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ustomProperty1.bin" ContentType="application/vnd.openxmlformats-officedocument.spreadsheetml.customProperty"/>
  <Override PartName="/xl/customProperty2.bin" ContentType="application/vnd.openxmlformats-officedocument.spreadsheetml.customProperty"/>
  <Override PartName="/xl/customProperty3.bin" ContentType="application/vnd.openxmlformats-officedocument.spreadsheetml.customProperty"/>
  <Override PartName="/xl/customProperty4.bin" ContentType="application/vnd.openxmlformats-officedocument.spreadsheetml.customProperty"/>
  <Override PartName="/xl/customProperty5.bin" ContentType="application/vnd.openxmlformats-officedocument.spreadsheetml.customProperty"/>
  <Override PartName="/xl/customProperty6.bin" ContentType="application/vnd.openxmlformats-officedocument.spreadsheetml.customProperty"/>
  <Override PartName="/xl/drawings/drawing1.xml" ContentType="application/vnd.openxmlformats-officedocument.drawing+xml"/>
  <Override PartName="/xl/customProperty7.bin" ContentType="application/vnd.openxmlformats-officedocument.spreadsheetml.customProperty"/>
  <Override PartName="/xl/customProperty8.bin" ContentType="application/vnd.openxmlformats-officedocument.spreadsheetml.customProperty"/>
  <Override PartName="/xl/customProperty9.bin" ContentType="application/vnd.openxmlformats-officedocument.spreadsheetml.customProperty"/>
  <Override PartName="/xl/customProperty10.bin" ContentType="application/vnd.openxmlformats-officedocument.spreadsheetml.customProperty"/>
  <Override PartName="/xl/customProperty11.bin" ContentType="application/vnd.openxmlformats-officedocument.spreadsheetml.customProperty"/>
  <Override PartName="/xl/customProperty12.bin" ContentType="application/vnd.openxmlformats-officedocument.spreadsheetml.customProperty"/>
  <Override PartName="/xl/customProperty13.bin" ContentType="application/vnd.openxmlformats-officedocument.spreadsheetml.customProperty"/>
  <Override PartName="/xl/customProperty14.bin" ContentType="application/vnd.openxmlformats-officedocument.spreadsheetml.customProperty"/>
  <Override PartName="/xl/customProperty15.bin" ContentType="application/vnd.openxmlformats-officedocument.spreadsheetml.customProperty"/>
  <Override PartName="/xl/comments1.xml" ContentType="application/vnd.openxmlformats-officedocument.spreadsheetml.comments+xml"/>
  <Override PartName="/xl/customProperty16.bin" ContentType="application/vnd.openxmlformats-officedocument.spreadsheetml.customProperty"/>
  <Override PartName="/xl/comments2.xml" ContentType="application/vnd.openxmlformats-officedocument.spreadsheetml.comments+xml"/>
  <Override PartName="/xl/customProperty17.bin" ContentType="application/vnd.openxmlformats-officedocument.spreadsheetml.customProperty"/>
  <Override PartName="/xl/comments3.xml" ContentType="application/vnd.openxmlformats-officedocument.spreadsheetml.comments+xml"/>
  <Override PartName="/xl/customProperty18.bin" ContentType="application/vnd.openxmlformats-officedocument.spreadsheetml.customProperty"/>
  <Override PartName="/xl/comments4.xml" ContentType="application/vnd.openxmlformats-officedocument.spreadsheetml.comments+xml"/>
  <Override PartName="/xl/customProperty19.bin" ContentType="application/vnd.openxmlformats-officedocument.spreadsheetml.customProperty"/>
  <Override PartName="/xl/customProperty20.bin" ContentType="application/vnd.openxmlformats-officedocument.spreadsheetml.customProperty"/>
  <Override PartName="/xl/customProperty21.bin" ContentType="application/vnd.openxmlformats-officedocument.spreadsheetml.customProperty"/>
  <Override PartName="/xl/drawings/drawing2.xml" ContentType="application/vnd.openxmlformats-officedocument.drawing+xml"/>
  <Override PartName="/xl/comments5.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4.xml" ContentType="application/vnd.openxmlformats-officedocument.drawingml.chartshapes+xml"/>
  <Override PartName="/xl/customProperty22.bin" ContentType="application/vnd.openxmlformats-officedocument.spreadsheetml.customProperty"/>
  <Override PartName="/xl/customProperty23.bin" ContentType="application/vnd.openxmlformats-officedocument.spreadsheetml.customProperty"/>
  <Override PartName="/xl/customProperty24.bin" ContentType="application/vnd.openxmlformats-officedocument.spreadsheetml.customProperty"/>
  <Override PartName="/xl/customProperty25.bin" ContentType="application/vnd.openxmlformats-officedocument.spreadsheetml.customProperty"/>
  <Override PartName="/xl/comments6.xml" ContentType="application/vnd.openxmlformats-officedocument.spreadsheetml.comments+xml"/>
  <Override PartName="/xl/customProperty26.bin" ContentType="application/vnd.openxmlformats-officedocument.spreadsheetml.customProperty"/>
  <Override PartName="/xl/comments7.xml" ContentType="application/vnd.openxmlformats-officedocument.spreadsheetml.comments+xml"/>
  <Override PartName="/xl/customProperty27.bin" ContentType="application/vnd.openxmlformats-officedocument.spreadsheetml.customProperty"/>
  <Override PartName="/xl/comments8.xml" ContentType="application/vnd.openxmlformats-officedocument.spreadsheetml.comments+xml"/>
  <Override PartName="/xl/customProperty28.bin" ContentType="application/vnd.openxmlformats-officedocument.spreadsheetml.customProperty"/>
  <Override PartName="/xl/customProperty29.bin" ContentType="application/vnd.openxmlformats-officedocument.spreadsheetml.customProperty"/>
  <Override PartName="/xl/customProperty30.bin" ContentType="application/vnd.openxmlformats-officedocument.spreadsheetml.customProperty"/>
  <Override PartName="/xl/customProperty31.bin" ContentType="application/vnd.openxmlformats-officedocument.spreadsheetml.customProperty"/>
  <Override PartName="/xl/drawings/drawing5.xml" ContentType="application/vnd.openxmlformats-officedocument.drawing+xml"/>
  <Override PartName="/xl/comments9.xml" ContentType="application/vnd.openxmlformats-officedocument.spreadsheetml.comment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6.xml" ContentType="application/vnd.openxmlformats-officedocument.drawingml.chartshapes+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7.xml" ContentType="application/vnd.openxmlformats-officedocument.drawingml.chartshapes+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8.xml" ContentType="application/vnd.openxmlformats-officedocument.drawingml.chartshapes+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9.xml" ContentType="application/vnd.openxmlformats-officedocument.drawingml.chartshapes+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10.xml" ContentType="application/vnd.openxmlformats-officedocument.drawingml.chartshapes+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11.xml" ContentType="application/vnd.openxmlformats-officedocument.drawingml.chartshapes+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12.xml" ContentType="application/vnd.openxmlformats-officedocument.drawingml.chartshapes+xml"/>
  <Override PartName="/xl/charts/chart10.xml" ContentType="application/vnd.openxmlformats-officedocument.drawingml.chart+xml"/>
  <Override PartName="/xl/drawings/drawing13.xml" ContentType="application/vnd.openxmlformats-officedocument.drawingml.chartshapes+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14.xml" ContentType="application/vnd.openxmlformats-officedocument.drawingml.chartshapes+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15.xml" ContentType="application/vnd.openxmlformats-officedocument.drawingml.chartshapes+xml"/>
  <Override PartName="/xl/customProperty32.bin" ContentType="application/vnd.openxmlformats-officedocument.spreadsheetml.customProperty"/>
  <Override PartName="/xl/customProperty33.bin" ContentType="application/vnd.openxmlformats-officedocument.spreadsheetml.customProperty"/>
  <Override PartName="/xl/customProperty34.bin" ContentType="application/vnd.openxmlformats-officedocument.spreadsheetml.customProperty"/>
  <Override PartName="/xl/customProperty35.bin" ContentType="application/vnd.openxmlformats-officedocument.spreadsheetml.customProperty"/>
  <Override PartName="/xl/comments10.xml" ContentType="application/vnd.openxmlformats-officedocument.spreadsheetml.comments+xml"/>
  <Override PartName="/xl/customProperty36.bin" ContentType="application/vnd.openxmlformats-officedocument.spreadsheetml.customProperty"/>
  <Override PartName="/xl/customProperty37.bin" ContentType="application/vnd.openxmlformats-officedocument.spreadsheetml.customProperty"/>
  <Override PartName="/xl/drawings/drawing16.xml" ContentType="application/vnd.openxmlformats-officedocument.drawing+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charts/chart14.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17.xml" ContentType="application/vnd.openxmlformats-officedocument.drawingml.chartshapes+xml"/>
  <Override PartName="/xl/charts/chart15.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18.xml" ContentType="application/vnd.openxmlformats-officedocument.drawingml.chartshapes+xml"/>
  <Override PartName="/xl/charts/chart16.xml" ContentType="application/vnd.openxmlformats-officedocument.drawingml.chart+xml"/>
  <Override PartName="/xl/charts/style15.xml" ContentType="application/vnd.ms-office.chartstyle+xml"/>
  <Override PartName="/xl/charts/colors15.xml" ContentType="application/vnd.ms-office.chartcolorstyle+xml"/>
  <Override PartName="/xl/charts/chart17.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19.xml" ContentType="application/vnd.openxmlformats-officedocument.drawingml.chartshapes+xml"/>
  <Override PartName="/xl/charts/chart18.xml" ContentType="application/vnd.openxmlformats-officedocument.drawingml.chart+xml"/>
  <Override PartName="/xl/charts/style17.xml" ContentType="application/vnd.ms-office.chartstyle+xml"/>
  <Override PartName="/xl/charts/colors17.xml" ContentType="application/vnd.ms-office.chartcolorstyle+xml"/>
  <Override PartName="/xl/charts/chart19.xml" ContentType="application/vnd.openxmlformats-officedocument.drawingml.chart+xml"/>
  <Override PartName="/xl/charts/style18.xml" ContentType="application/vnd.ms-office.chartstyle+xml"/>
  <Override PartName="/xl/charts/colors18.xml" ContentType="application/vnd.ms-office.chartcolorstyle+xml"/>
  <Override PartName="/xl/charts/chart20.xml" ContentType="application/vnd.openxmlformats-officedocument.drawingml.chart+xml"/>
  <Override PartName="/xl/charts/style19.xml" ContentType="application/vnd.ms-office.chartstyle+xml"/>
  <Override PartName="/xl/charts/colors19.xml" ContentType="application/vnd.ms-office.chartcolorstyle+xml"/>
  <Override PartName="/xl/customProperty38.bin" ContentType="application/vnd.openxmlformats-officedocument.spreadsheetml.customProperty"/>
  <Override PartName="/xl/customProperty39.bin" ContentType="application/vnd.openxmlformats-officedocument.spreadsheetml.customProperty"/>
  <Override PartName="/xl/customProperty40.bin" ContentType="application/vnd.openxmlformats-officedocument.spreadsheetml.customProperty"/>
  <Override PartName="/xl/customProperty41.bin" ContentType="application/vnd.openxmlformats-officedocument.spreadsheetml.customProperty"/>
  <Override PartName="/xl/customProperty42.bin" ContentType="application/vnd.openxmlformats-officedocument.spreadsheetml.customProperty"/>
  <Override PartName="/xl/customProperty43.bin" ContentType="application/vnd.openxmlformats-officedocument.spreadsheetml.customProperty"/>
  <Override PartName="/xl/customProperty44.bin" ContentType="application/vnd.openxmlformats-officedocument.spreadsheetml.customProperty"/>
  <Override PartName="/xl/customProperty45.bin" ContentType="application/vnd.openxmlformats-officedocument.spreadsheetml.customProperty"/>
  <Override PartName="/xl/customProperty46.bin" ContentType="application/vnd.openxmlformats-officedocument.spreadsheetml.customProperty"/>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microsoft.com/office/2011/relationships/webextensiontaskpanes" Target="xl/webextensions/taskpanes.xml"/><Relationship Id="rId2" Type="http://schemas.microsoft.com/office/2020/02/relationships/classificationlabels" Target="docMetadata/LabelInfo.xml"/><Relationship Id="rId1" Type="http://schemas.openxmlformats.org/officeDocument/2006/relationships/officeDocument" Target="xl/workbook.xml"/><Relationship Id="rId6" Type="http://schemas.openxmlformats.org/officeDocument/2006/relationships/custom-properties" Target="docProps/custom.xml"/><Relationship Id="rId5" Type="http://schemas.openxmlformats.org/officeDocument/2006/relationships/extended-properties" Target="docProps/app.xml"/><Relationship Id="rId4"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codeName="ThisWorkbook"/>
  <mc:AlternateContent xmlns:mc="http://schemas.openxmlformats.org/markup-compatibility/2006">
    <mc:Choice Requires="x15">
      <x15ac:absPath xmlns:x15ac="http://schemas.microsoft.com/office/spreadsheetml/2010/11/ac" url="\\firmwide.corp.gs.com\root\Projects\Research\ln\EquityResearch\Aerospace\Aerospace &amp; Defence\Client Models\"/>
    </mc:Choice>
  </mc:AlternateContent>
  <xr:revisionPtr revIDLastSave="0" documentId="13_ncr:1_{9C2DDF0C-C8DB-4869-8774-5C27EB810517}" xr6:coauthVersionLast="47" xr6:coauthVersionMax="47" xr10:uidLastSave="{00000000-0000-0000-0000-000000000000}"/>
  <bookViews>
    <workbookView xWindow="-120" yWindow="-120" windowWidth="57840" windowHeight="23640" firstSheet="1" activeTab="1" xr2:uid="{903AA89A-931E-4BED-94AC-82382F3909E0}"/>
  </bookViews>
  <sheets>
    <sheet name="_QP_SAF.PA" sheetId="4" state="hidden" r:id="rId1"/>
    <sheet name="Cover Page" sheetId="101" r:id="rId2"/>
    <sheet name="DCF Valuation" sheetId="133" r:id="rId3"/>
    <sheet name="Sheet5" sheetId="58" state="hidden" r:id="rId4"/>
    <sheet name="Sheet4" sheetId="57" state="hidden" r:id="rId5"/>
    <sheet name="MigrationOutput_QP_SAF.PA" sheetId="56" state="hidden" r:id="rId6"/>
    <sheet name="QP_SAF.PA_migrated" sheetId="5" state="hidden" r:id="rId7"/>
    <sheet name="DCF" sheetId="129" state="hidden" r:id="rId8"/>
    <sheet name="DCF Feed" sheetId="128" state="hidden" r:id="rId9"/>
    <sheet name="Income Statement" sheetId="122" r:id="rId10"/>
    <sheet name="Cashflow Statement" sheetId="124" r:id="rId11"/>
    <sheet name="Balance Sheet" sheetId="123" r:id="rId12"/>
    <sheet name="Multiples" sheetId="116" state="hidden" r:id="rId13"/>
    <sheet name="Exhibit 3 Statements" sheetId="118" state="hidden" r:id="rId14"/>
    <sheet name="Interims" sheetId="131" r:id="rId15"/>
    <sheet name="Aerospace Propulsion Division" sheetId="125" r:id="rId16"/>
    <sheet name="Aircraft Interiors Division" sheetId="127" r:id="rId17"/>
    <sheet name="Equipment and Defense" sheetId="126" r:id="rId18"/>
    <sheet name="GSe vs Consensus" sheetId="115" state="hidden" r:id="rId19"/>
    <sheet name="OpMod" sheetId="103" state="hidden" r:id="rId20"/>
    <sheet name="Sheet1" sheetId="132" state="hidden" r:id="rId21"/>
    <sheet name="Results table" sheetId="119" state="hidden" r:id="rId22"/>
    <sheet name="Interim" sheetId="130" state="hidden" r:id="rId23"/>
    <sheet name="Old vs New" sheetId="114" state="hidden" r:id="rId24"/>
    <sheet name="CMD" sheetId="121" state="hidden" r:id="rId25"/>
    <sheet name="Cons implied 4Q23" sheetId="120" state="hidden" r:id="rId26"/>
    <sheet name="Regional Breakdown" sheetId="81" state="hidden" r:id="rId27"/>
    <sheet name="Exhibit Summary" sheetId="117" state="hidden" r:id="rId28"/>
    <sheet name="Sheet2" sheetId="134" state="hidden" r:id="rId29"/>
  </sheets>
  <definedNames>
    <definedName name="__DCF1" localSheetId="2" hidden="1">{"Back Page",#N/A,FALSE,"Front and Back"}</definedName>
    <definedName name="__DCF1" localSheetId="21" hidden="1">{"Back Page",#N/A,FALSE,"Front and Back"}</definedName>
    <definedName name="__DCF1" hidden="1">{"Back Page",#N/A,FALSE,"Front and Back"}</definedName>
    <definedName name="__FDS_HYPERLINK_TOGGLE_STATE__" hidden="1">"ON"</definedName>
    <definedName name="__W2" localSheetId="2" hidden="1">{"page1",#N/A,TRUE,"CSC";"page2",#N/A,TRUE,"CSC"}</definedName>
    <definedName name="__W2" localSheetId="21" hidden="1">{"page1",#N/A,TRUE,"CSC";"page2",#N/A,TRUE,"CSC"}</definedName>
    <definedName name="__W2" hidden="1">{"page1",#N/A,TRUE,"CSC";"page2",#N/A,TRUE,"CSC"}</definedName>
    <definedName name="_bdm.FastTrackBookmark.2_21_2022_9_25_26_AM.edm" hidden="1">#REF!</definedName>
    <definedName name="_bdm.FastTrackBookmark.4_21_2022_4_18_32_PM.edm" hidden="1">'Aerospace Propulsion Division'!$N$135</definedName>
    <definedName name="_DCF1" localSheetId="1" hidden="1">{"Back Page",#N/A,FALSE,"Front and Back"}</definedName>
    <definedName name="_DCF1" localSheetId="2" hidden="1">{"Back Page",#N/A,FALSE,"Front and Back"}</definedName>
    <definedName name="_DCF1" localSheetId="19" hidden="1">{"Back Page",#N/A,FALSE,"Front and Back"}</definedName>
    <definedName name="_DCF1" localSheetId="21" hidden="1">{"Back Page",#N/A,FALSE,"Front and Back"}</definedName>
    <definedName name="_DCF1" hidden="1">{"Back Page",#N/A,FALSE,"Front and Back"}</definedName>
    <definedName name="_div08">#REF!</definedName>
    <definedName name="_div09">#REF!</definedName>
    <definedName name="_div10">#REF!</definedName>
    <definedName name="_GSRATES_1" hidden="1">"CT300001Latest          "</definedName>
    <definedName name="_GSRATES_2" hidden="1">"CT300001Latest          "</definedName>
    <definedName name="_GSRATES_3" hidden="1">"CT300001Latest          "</definedName>
    <definedName name="_GSRATES_4" hidden="1">"CF3000012001092920010101"</definedName>
    <definedName name="_GSRATES_5" hidden="1">"CT30000120010929        "</definedName>
    <definedName name="_GSRATES_6" hidden="1">"CF3000012000093020000101"</definedName>
    <definedName name="_GSRATES_7" hidden="1">"CF3000012000093020000101"</definedName>
    <definedName name="_GSRATES_8" hidden="1">"CF3000012001092920010101"</definedName>
    <definedName name="_GSRATES_COUNT" hidden="1">1</definedName>
    <definedName name="_GSRATESR_1" localSheetId="24" hidden="1">#REF!</definedName>
    <definedName name="_GSRATESR_1" localSheetId="1" hidden="1">#REF!</definedName>
    <definedName name="_GSRATESR_1" localSheetId="2" hidden="1">#REF!</definedName>
    <definedName name="_GSRATESR_1" localSheetId="18" hidden="1">#REF!</definedName>
    <definedName name="_GSRATESR_1" localSheetId="12" hidden="1">#REF!</definedName>
    <definedName name="_GSRATESR_1" localSheetId="23" hidden="1">#REF!</definedName>
    <definedName name="_GSRATESR_1" localSheetId="19" hidden="1">#REF!</definedName>
    <definedName name="_GSRATESR_1" localSheetId="21" hidden="1">#REF!</definedName>
    <definedName name="_GSRATESR_1" hidden="1">#REF!</definedName>
    <definedName name="_GSRATESR_2" localSheetId="24" hidden="1">#REF!</definedName>
    <definedName name="_GSRATESR_2" localSheetId="1" hidden="1">#REF!</definedName>
    <definedName name="_GSRATESR_2" localSheetId="18" hidden="1">#REF!</definedName>
    <definedName name="_GSRATESR_2" localSheetId="12" hidden="1">#REF!</definedName>
    <definedName name="_GSRATESR_2" localSheetId="23" hidden="1">#REF!</definedName>
    <definedName name="_GSRATESR_2" localSheetId="19" hidden="1">#REF!</definedName>
    <definedName name="_GSRATESR_2" localSheetId="21" hidden="1">#REF!</definedName>
    <definedName name="_GSRATESR_2" hidden="1">#REF!</definedName>
    <definedName name="_GSRATESR_3" localSheetId="24" hidden="1">#REF!</definedName>
    <definedName name="_GSRATESR_3" localSheetId="1" hidden="1">#REF!</definedName>
    <definedName name="_GSRATESR_3" localSheetId="18" hidden="1">#REF!</definedName>
    <definedName name="_GSRATESR_3" localSheetId="12" hidden="1">#REF!</definedName>
    <definedName name="_GSRATESR_3" localSheetId="23" hidden="1">#REF!</definedName>
    <definedName name="_GSRATESR_3" localSheetId="19" hidden="1">#REF!</definedName>
    <definedName name="_GSRATESR_3" localSheetId="21" hidden="1">#REF!</definedName>
    <definedName name="_GSRATESR_3" hidden="1">#REF!</definedName>
    <definedName name="_GSRATESR_4" localSheetId="24" hidden="1">#REF!</definedName>
    <definedName name="_GSRATESR_4" localSheetId="1" hidden="1">#REF!</definedName>
    <definedName name="_GSRATESR_4" localSheetId="18" hidden="1">#REF!</definedName>
    <definedName name="_GSRATESR_4" localSheetId="12" hidden="1">#REF!</definedName>
    <definedName name="_GSRATESR_4" localSheetId="23" hidden="1">#REF!</definedName>
    <definedName name="_GSRATESR_4" localSheetId="19" hidden="1">#REF!</definedName>
    <definedName name="_GSRATESR_4" localSheetId="21" hidden="1">#REF!</definedName>
    <definedName name="_GSRATESR_4" hidden="1">#REF!</definedName>
    <definedName name="_GSRATESR_5" localSheetId="24" hidden="1">#REF!</definedName>
    <definedName name="_GSRATESR_5" localSheetId="1" hidden="1">#REF!</definedName>
    <definedName name="_GSRATESR_5" localSheetId="18" hidden="1">#REF!</definedName>
    <definedName name="_GSRATESR_5" localSheetId="12" hidden="1">#REF!</definedName>
    <definedName name="_GSRATESR_5" localSheetId="23" hidden="1">#REF!</definedName>
    <definedName name="_GSRATESR_5" localSheetId="19" hidden="1">#REF!</definedName>
    <definedName name="_GSRATESR_5" localSheetId="21" hidden="1">#REF!</definedName>
    <definedName name="_GSRATESR_5" hidden="1">#REF!</definedName>
    <definedName name="_GSRATESR_6" localSheetId="24" hidden="1">#REF!</definedName>
    <definedName name="_GSRATESR_6" localSheetId="1" hidden="1">#REF!</definedName>
    <definedName name="_GSRATESR_6" localSheetId="18" hidden="1">#REF!</definedName>
    <definedName name="_GSRATESR_6" localSheetId="12" hidden="1">#REF!</definedName>
    <definedName name="_GSRATESR_6" localSheetId="23" hidden="1">#REF!</definedName>
    <definedName name="_GSRATESR_6" localSheetId="19" hidden="1">#REF!</definedName>
    <definedName name="_GSRATESR_6" localSheetId="21" hidden="1">#REF!</definedName>
    <definedName name="_GSRATESR_6" hidden="1">#REF!</definedName>
    <definedName name="_GSRATESR_7" localSheetId="24" hidden="1">#REF!</definedName>
    <definedName name="_GSRATESR_7" localSheetId="1" hidden="1">#REF!</definedName>
    <definedName name="_GSRATESR_7" localSheetId="18" hidden="1">#REF!</definedName>
    <definedName name="_GSRATESR_7" localSheetId="12" hidden="1">#REF!</definedName>
    <definedName name="_GSRATESR_7" localSheetId="23" hidden="1">#REF!</definedName>
    <definedName name="_GSRATESR_7" localSheetId="19" hidden="1">#REF!</definedName>
    <definedName name="_GSRATESR_7" localSheetId="21" hidden="1">#REF!</definedName>
    <definedName name="_GSRATESR_7" hidden="1">#REF!</definedName>
    <definedName name="_GSRATESR_8" localSheetId="24" hidden="1">#REF!</definedName>
    <definedName name="_GSRATESR_8" localSheetId="1" hidden="1">#REF!</definedName>
    <definedName name="_GSRATESR_8" localSheetId="18" hidden="1">#REF!</definedName>
    <definedName name="_GSRATESR_8" localSheetId="12" hidden="1">#REF!</definedName>
    <definedName name="_GSRATESR_8" localSheetId="23" hidden="1">#REF!</definedName>
    <definedName name="_GSRATESR_8" localSheetId="19" hidden="1">#REF!</definedName>
    <definedName name="_GSRATESR_8" localSheetId="21" hidden="1">#REF!</definedName>
    <definedName name="_GSRATESR_8" hidden="1">#REF!</definedName>
    <definedName name="_Key1" localSheetId="24" hidden="1">#REF!</definedName>
    <definedName name="_Key1" localSheetId="1" hidden="1">#REF!</definedName>
    <definedName name="_Key1" localSheetId="18" hidden="1">#REF!</definedName>
    <definedName name="_Key1" localSheetId="12" hidden="1">#REF!</definedName>
    <definedName name="_Key1" localSheetId="23" hidden="1">#REF!</definedName>
    <definedName name="_Key1" localSheetId="19" hidden="1">#REF!</definedName>
    <definedName name="_Key1" localSheetId="21" hidden="1">#REF!</definedName>
    <definedName name="_Key1" hidden="1">#REF!</definedName>
    <definedName name="_Key2" localSheetId="24" hidden="1">#REF!</definedName>
    <definedName name="_Key2" localSheetId="1" hidden="1">#REF!</definedName>
    <definedName name="_Key2" localSheetId="18" hidden="1">#REF!</definedName>
    <definedName name="_Key2" localSheetId="12" hidden="1">#REF!</definedName>
    <definedName name="_Key2" localSheetId="23" hidden="1">#REF!</definedName>
    <definedName name="_Key2" localSheetId="19" hidden="1">#REF!</definedName>
    <definedName name="_Key2" localSheetId="21" hidden="1">#REF!</definedName>
    <definedName name="_Key2" hidden="1">#REF!</definedName>
    <definedName name="_Order1" hidden="1">255</definedName>
    <definedName name="_Order2" hidden="1">0</definedName>
    <definedName name="_Regression_Int" hidden="1">1</definedName>
    <definedName name="_ShH3">#REF!</definedName>
    <definedName name="_Sort" localSheetId="2" hidden="1">#REF!</definedName>
    <definedName name="_Sort" hidden="1">#REF!</definedName>
    <definedName name="_Table2_In1" localSheetId="24" hidden="1">#REF!</definedName>
    <definedName name="_Table2_In1" localSheetId="1" hidden="1">#REF!</definedName>
    <definedName name="_Table2_In1" localSheetId="18" hidden="1">#REF!</definedName>
    <definedName name="_Table2_In1" localSheetId="12" hidden="1">#REF!</definedName>
    <definedName name="_Table2_In1" localSheetId="23" hidden="1">#REF!</definedName>
    <definedName name="_Table2_In1" localSheetId="19" hidden="1">#REF!</definedName>
    <definedName name="_Table2_In1" localSheetId="21" hidden="1">#REF!</definedName>
    <definedName name="_Table2_In1" hidden="1">#REF!</definedName>
    <definedName name="_Table2_In2" localSheetId="24" hidden="1">#REF!</definedName>
    <definedName name="_Table2_In2" localSheetId="1" hidden="1">#REF!</definedName>
    <definedName name="_Table2_In2" localSheetId="18" hidden="1">#REF!</definedName>
    <definedName name="_Table2_In2" localSheetId="12" hidden="1">#REF!</definedName>
    <definedName name="_Table2_In2" localSheetId="23" hidden="1">#REF!</definedName>
    <definedName name="_Table2_In2" localSheetId="19" hidden="1">#REF!</definedName>
    <definedName name="_Table2_In2" localSheetId="21" hidden="1">#REF!</definedName>
    <definedName name="_Table2_In2" hidden="1">#REF!</definedName>
    <definedName name="_Table2_Out" localSheetId="24" hidden="1">#REF!</definedName>
    <definedName name="_Table2_Out" localSheetId="1" hidden="1">#REF!</definedName>
    <definedName name="_Table2_Out" localSheetId="18" hidden="1">#REF!</definedName>
    <definedName name="_Table2_Out" localSheetId="12" hidden="1">#REF!</definedName>
    <definedName name="_Table2_Out" localSheetId="23" hidden="1">#REF!</definedName>
    <definedName name="_Table2_Out" localSheetId="19" hidden="1">#REF!</definedName>
    <definedName name="_Table2_Out" localSheetId="21" hidden="1">#REF!</definedName>
    <definedName name="_Table2_Out" hidden="1">#REF!</definedName>
    <definedName name="_W2" localSheetId="1" hidden="1">{"page1",#N/A,TRUE,"CSC";"page2",#N/A,TRUE,"CSC"}</definedName>
    <definedName name="_W2" localSheetId="2" hidden="1">{"page1",#N/A,TRUE,"CSC";"page2",#N/A,TRUE,"CSC"}</definedName>
    <definedName name="_W2" localSheetId="19" hidden="1">{"page1",#N/A,TRUE,"CSC";"page2",#N/A,TRUE,"CSC"}</definedName>
    <definedName name="_W2" localSheetId="21" hidden="1">{"page1",#N/A,TRUE,"CSC";"page2",#N/A,TRUE,"CSC"}</definedName>
    <definedName name="_W2" hidden="1">{"page1",#N/A,TRUE,"CSC";"page2",#N/A,TRUE,"CSC"}</definedName>
    <definedName name="a" localSheetId="1" hidden="1">{"Balance Sheet",#N/A,FALSE,"Balance Sheet";"Sum Cash Flow",#N/A,FALSE,"Sum Cash Flow";"Income Statement 1",#N/A,FALSE,"Income Statement 1";"DCF Projections",#N/A,FALSE,"DCF Projections";"DCF1",#N/A,FALSE,"DCF1";"AVP",#N/A,FALSE,"AVP";"CalcWorksheet",#N/A,FALSE,"Calc Wksht New";"PV of Future Prices",#N/A,FALSE,"Fut Share Price - New EPS";"FutureSharePrices",#N/A,FALSE,"Future Share Prices"}</definedName>
    <definedName name="a" localSheetId="2" hidden="1">{"Balance Sheet",#N/A,FALSE,"Balance Sheet";"Sum Cash Flow",#N/A,FALSE,"Sum Cash Flow";"Income Statement 1",#N/A,FALSE,"Income Statement 1";"DCF Projections",#N/A,FALSE,"DCF Projections";"DCF1",#N/A,FALSE,"DCF1";"AVP",#N/A,FALSE,"AVP";"CalcWorksheet",#N/A,FALSE,"Calc Wksht New";"PV of Future Prices",#N/A,FALSE,"Fut Share Price - New EPS";"FutureSharePrices",#N/A,FALSE,"Future Share Prices"}</definedName>
    <definedName name="a" localSheetId="19" hidden="1">{"Balance Sheet",#N/A,FALSE,"Balance Sheet";"Sum Cash Flow",#N/A,FALSE,"Sum Cash Flow";"Income Statement 1",#N/A,FALSE,"Income Statement 1";"DCF Projections",#N/A,FALSE,"DCF Projections";"DCF1",#N/A,FALSE,"DCF1";"AVP",#N/A,FALSE,"AVP";"CalcWorksheet",#N/A,FALSE,"Calc Wksht New";"PV of Future Prices",#N/A,FALSE,"Fut Share Price - New EPS";"FutureSharePrices",#N/A,FALSE,"Future Share Prices"}</definedName>
    <definedName name="a" localSheetId="21" hidden="1">{"Balance Sheet",#N/A,FALSE,"Balance Sheet";"Sum Cash Flow",#N/A,FALSE,"Sum Cash Flow";"Income Statement 1",#N/A,FALSE,"Income Statement 1";"DCF Projections",#N/A,FALSE,"DCF Projections";"DCF1",#N/A,FALSE,"DCF1";"AVP",#N/A,FALSE,"AVP";"CalcWorksheet",#N/A,FALSE,"Calc Wksht New";"PV of Future Prices",#N/A,FALSE,"Fut Share Price - New EPS";"FutureSharePrices",#N/A,FALSE,"Future Share Prices"}</definedName>
    <definedName name="a" hidden="1">{"Balance Sheet",#N/A,FALSE,"Balance Sheet";"Sum Cash Flow",#N/A,FALSE,"Sum Cash Flow";"Income Statement 1",#N/A,FALSE,"Income Statement 1";"DCF Projections",#N/A,FALSE,"DCF Projections";"DCF1",#N/A,FALSE,"DCF1";"AVP",#N/A,FALSE,"AVP";"CalcWorksheet",#N/A,FALSE,"Calc Wksht New";"PV of Future Prices",#N/A,FALSE,"Fut Share Price - New EPS";"FutureSharePrices",#N/A,FALSE,"Future Share Prices"}</definedName>
    <definedName name="A_ALL_AIR.PA" localSheetId="2">#REF!</definedName>
    <definedName name="A_ALL_AIR.PA">#REF!</definedName>
    <definedName name="A_ALL_AIR.PA_" localSheetId="24">#REF!</definedName>
    <definedName name="A_ALL_AIR.PA_" localSheetId="18">#REF!</definedName>
    <definedName name="A_ALL_AIR.PA_" localSheetId="12">#REF!</definedName>
    <definedName name="A_ALL_AIR.PA_" localSheetId="23">#REF!</definedName>
    <definedName name="A_ALL_AIR.PA_" localSheetId="19">#REF!</definedName>
    <definedName name="A_ALL_AIR.PA_" localSheetId="21">#REF!</definedName>
    <definedName name="A_ALL_AIR.PA_">#REF!</definedName>
    <definedName name="A_ALL_BAES.L_" localSheetId="24">#REF!</definedName>
    <definedName name="A_ALL_BAES.L_" localSheetId="18">#REF!</definedName>
    <definedName name="A_ALL_BAES.L_" localSheetId="12">#REF!</definedName>
    <definedName name="A_ALL_BAES.L_" localSheetId="23">#REF!</definedName>
    <definedName name="A_ALL_BAES.L_" localSheetId="19">#REF!</definedName>
    <definedName name="A_ALL_BAES.L_" localSheetId="21">#REF!</definedName>
    <definedName name="A_ALL_BAES.L_">#REF!</definedName>
    <definedName name="A_ALL_COB.L" localSheetId="2">#REF!</definedName>
    <definedName name="A_ALL_COB.L" localSheetId="12">#REF!</definedName>
    <definedName name="A_ALL_COB.L">#REF!</definedName>
    <definedName name="A_ALL_KEYWORDS_TYPE_ScalarContributed_EQTY_200000267">#REF!,#REF!</definedName>
    <definedName name="A_ALL_KEYWORDS_TYPE_ScalarContributed_EQTY_200003162" localSheetId="2">#REF!,#REF!</definedName>
    <definedName name="A_ALL_KEYWORDS_TYPE_ScalarContributed_EQTY_200003162" localSheetId="12">#REF!,#REF!</definedName>
    <definedName name="A_ALL_KEYWORDS_TYPE_ScalarContributed_EQTY_200003162">#REF!,#REF!</definedName>
    <definedName name="A_ALL_KEYWORDS_TYPE_ScalarContributed_EQTY_200003170" localSheetId="2">#REF!,#REF!</definedName>
    <definedName name="A_ALL_KEYWORDS_TYPE_ScalarContributed_EQTY_200003170" localSheetId="12">#REF!,#REF!</definedName>
    <definedName name="A_ALL_KEYWORDS_TYPE_ScalarContributed_EQTY_200003170">#REF!,#REF!</definedName>
    <definedName name="A_ALL_KEYWORDS_TYPE_ScalarContributed_EQTY_200003173" localSheetId="2">#REF!,#REF!</definedName>
    <definedName name="A_ALL_KEYWORDS_TYPE_ScalarContributed_EQTY_200003173" localSheetId="12">#REF!,#REF!</definedName>
    <definedName name="A_ALL_KEYWORDS_TYPE_ScalarContributed_EQTY_200003173">#REF!,#REF!</definedName>
    <definedName name="A_ALL_KEYWORDS_TYPE_ScalarContributed_EQTY_200003183" localSheetId="2">#REF!,#REF!</definedName>
    <definedName name="A_ALL_KEYWORDS_TYPE_ScalarContributed_EQTY_200003183" localSheetId="12">#REF!,#REF!</definedName>
    <definedName name="A_ALL_KEYWORDS_TYPE_ScalarContributed_EQTY_200003183">#REF!,#REF!</definedName>
    <definedName name="A_ALL_KEYWORDS_TYPE_ScalarContributed_EQTY_200003821" localSheetId="2">#REF!,#REF!</definedName>
    <definedName name="A_ALL_KEYWORDS_TYPE_ScalarContributed_EQTY_200003821" localSheetId="12">#REF!,#REF!</definedName>
    <definedName name="A_ALL_KEYWORDS_TYPE_ScalarContributed_EQTY_200003821">#REF!,#REF!</definedName>
    <definedName name="A_ALL_KEYWORDS_TYPE_ScalarContributed_EQTY_200004285" localSheetId="2">#REF!,#REF!</definedName>
    <definedName name="A_ALL_KEYWORDS_TYPE_ScalarContributed_EQTY_200004285">#REF!,#REF!</definedName>
    <definedName name="A_ALL_KEYWORDS_TYPE_ScalarContributed_EQTY_200005121" localSheetId="2">#REF!,#REF!</definedName>
    <definedName name="A_ALL_KEYWORDS_TYPE_ScalarContributed_EQTY_200005121" localSheetId="12">#REF!,#REF!</definedName>
    <definedName name="A_ALL_KEYWORDS_TYPE_ScalarContributed_EQTY_200005121">#REF!,#REF!</definedName>
    <definedName name="A_ALL_KEYWORDS_TYPE_ScalarContributed_EQTY_200007513" localSheetId="2">#REF!,#REF!</definedName>
    <definedName name="A_ALL_KEYWORDS_TYPE_ScalarContributed_EQTY_200007513" localSheetId="12">#REF!,#REF!</definedName>
    <definedName name="A_ALL_KEYWORDS_TYPE_ScalarContributed_EQTY_200007513">#REF!,#REF!</definedName>
    <definedName name="A_ALL_KEYWORDS_TYPE_ScalarContributed_EQTY_200008448">#REF!,#REF!,#REF!</definedName>
    <definedName name="A_ALL_KEYWORDS_TYPE_ScalarContributed_EQTY_200009618" localSheetId="2">#REF!,#REF!</definedName>
    <definedName name="A_ALL_KEYWORDS_TYPE_ScalarContributed_EQTY_200009618" localSheetId="12">#REF!,#REF!</definedName>
    <definedName name="A_ALL_KEYWORDS_TYPE_ScalarContributed_EQTY_200009618">#REF!,#REF!</definedName>
    <definedName name="A_ALL_KEYWORDS_TYPE_ScalarContributed_EQTY_200009619" localSheetId="2">#REF!,#REF!</definedName>
    <definedName name="A_ALL_KEYWORDS_TYPE_ScalarContributed_EQTY_200009619" localSheetId="12">#REF!,#REF!</definedName>
    <definedName name="A_ALL_KEYWORDS_TYPE_ScalarContributed_EQTY_200009619">#REF!,#REF!</definedName>
    <definedName name="A_ALL_KEYWORDS_TYPE_ScalarContributed_EQTY_200009620" localSheetId="2">#REF!,#REF!</definedName>
    <definedName name="A_ALL_KEYWORDS_TYPE_ScalarContributed_EQTY_200009620" localSheetId="12">#REF!,#REF!</definedName>
    <definedName name="A_ALL_KEYWORDS_TYPE_ScalarContributed_EQTY_200009620">#REF!,#REF!</definedName>
    <definedName name="A_ALL_KEYWORDS_TYPE_ScalarContributed_EQTY_200011295" localSheetId="2">#REF!,#REF!</definedName>
    <definedName name="A_ALL_KEYWORDS_TYPE_ScalarContributed_EQTY_200011295">#REF!,#REF!</definedName>
    <definedName name="A_ALL_KEYWORDS_TYPE_ScalarContributed_ISSR_208000023">#REF!,#REF!,#REF!,#REF!,#REF!,#REF!,#REF!,#REF!,#REF!,#REF!</definedName>
    <definedName name="A_ALL_KEYWORDS_TYPE_ScalarContributed_ISSR_208001092" localSheetId="2">#REF!,#REF!</definedName>
    <definedName name="A_ALL_KEYWORDS_TYPE_ScalarContributed_ISSR_208001092">#REF!,#REF!</definedName>
    <definedName name="A_ALL_KEYWORDS_TYPE_ScalarContributed_ISSR_208001095" localSheetId="2">#REF!,#REF!</definedName>
    <definedName name="A_ALL_KEYWORDS_TYPE_ScalarContributed_ISSR_208001095">#REF!,#REF!</definedName>
    <definedName name="A_ALL_KEYWORDS_TYPE_ScalarContributed_ISSR_208001100" localSheetId="2">#REF!,#REF!</definedName>
    <definedName name="A_ALL_KEYWORDS_TYPE_ScalarContributed_ISSR_208001100">#REF!,#REF!</definedName>
    <definedName name="A_ALL_KEYWORDS_TYPE_ScalarContributed_ISSR_208001219" localSheetId="2">#REF!,#REF!,#REF!,#REF!,#REF!,#REF!,#REF!,#REF!</definedName>
    <definedName name="A_ALL_KEYWORDS_TYPE_ScalarContributed_ISSR_208001219">#REF!,#REF!,#REF!,#REF!,#REF!,#REF!,#REF!,#REF!</definedName>
    <definedName name="A_ALL_KEYWORDS_TYPE_ScalarContributed_ISSR_208001433" localSheetId="2">#REF!,#REF!</definedName>
    <definedName name="A_ALL_KEYWORDS_TYPE_ScalarContributed_ISSR_208001433" localSheetId="23">#REF!,#REF!</definedName>
    <definedName name="A_ALL_KEYWORDS_TYPE_ScalarContributed_ISSR_208001433">#REF!,#REF!</definedName>
    <definedName name="A_ALL_KEYWORDS_TYPE_ScalarContributed_ISSR_208006659" localSheetId="2">#REF!,#REF!,#REF!</definedName>
    <definedName name="A_ALL_KEYWORDS_TYPE_ScalarContributed_ISSR_208006659" localSheetId="19">#REF!,#REF!,#REF!</definedName>
    <definedName name="A_ALL_KEYWORDS_TYPE_ScalarContributed_ISSR_208006659">#REF!,#REF!,#REF!</definedName>
    <definedName name="A_ALL_KEYWORDS_TYPE_ScalarContributed_ISSR_208007415" localSheetId="2">#REF!,#REF!</definedName>
    <definedName name="A_ALL_KEYWORDS_TYPE_ScalarContributed_ISSR_208007415">#REF!,#REF!</definedName>
    <definedName name="A_ALL_KEYWORDS_TYPE_ScalarContributed_ISSR_208008646" localSheetId="2">#REF!,#REF!</definedName>
    <definedName name="A_ALL_KEYWORDS_TYPE_ScalarContributed_ISSR_208008646">#REF!,#REF!</definedName>
    <definedName name="A_ALL_KEYWORDS_TYPE_ScalarReference_EQTY_200007513" localSheetId="24">#REF!</definedName>
    <definedName name="A_ALL_KEYWORDS_TYPE_ScalarReference_EQTY_200007513" localSheetId="18">#REF!</definedName>
    <definedName name="A_ALL_KEYWORDS_TYPE_ScalarReference_EQTY_200007513" localSheetId="12">#REF!</definedName>
    <definedName name="A_ALL_KEYWORDS_TYPE_ScalarReference_EQTY_200007513" localSheetId="23">#REF!</definedName>
    <definedName name="A_ALL_KEYWORDS_TYPE_ScalarReference_EQTY_200007513" localSheetId="19">#REF!</definedName>
    <definedName name="A_ALL_KEYWORDS_TYPE_ScalarReference_EQTY_200007513" localSheetId="21">#REF!</definedName>
    <definedName name="A_ALL_KEYWORDS_TYPE_ScalarReference_EQTY_200007513">#REF!</definedName>
    <definedName name="A_ALL_KEYWORDS_TYPE_ScalarReference_ISSR_208002861" localSheetId="24">#REF!</definedName>
    <definedName name="A_ALL_KEYWORDS_TYPE_ScalarReference_ISSR_208002861" localSheetId="18">#REF!</definedName>
    <definedName name="A_ALL_KEYWORDS_TYPE_ScalarReference_ISSR_208002861" localSheetId="12">#REF!</definedName>
    <definedName name="A_ALL_KEYWORDS_TYPE_ScalarReference_ISSR_208002861" localSheetId="23">#REF!</definedName>
    <definedName name="A_ALL_KEYWORDS_TYPE_ScalarReference_ISSR_208002861" localSheetId="19">#REF!</definedName>
    <definedName name="A_ALL_KEYWORDS_TYPE_ScalarReference_ISSR_208002861" localSheetId="21">#REF!</definedName>
    <definedName name="A_ALL_KEYWORDS_TYPE_ScalarReference_ISSR_208002861">#REF!</definedName>
    <definedName name="A_ALL_KEYWORDS_TYPE_Vector_EQTY_200000267">#REF!,#REF!,#REF!,#REF!,#REF!</definedName>
    <definedName name="A_ALL_KEYWORDS_TYPE_Vector_EQTY_200003162" localSheetId="2">#REF!,#REF!,#REF!,#REF!,#REF!</definedName>
    <definedName name="A_ALL_KEYWORDS_TYPE_Vector_EQTY_200003162" localSheetId="12">#REF!,#REF!,#REF!,#REF!,#REF!</definedName>
    <definedName name="A_ALL_KEYWORDS_TYPE_Vector_EQTY_200003162">#REF!,#REF!,#REF!,#REF!,#REF!</definedName>
    <definedName name="A_ALL_KEYWORDS_TYPE_Vector_EQTY_200003169" localSheetId="2">#REF!,#REF!,#REF!,#REF!,#REF!</definedName>
    <definedName name="A_ALL_KEYWORDS_TYPE_Vector_EQTY_200003169">#REF!,#REF!,#REF!,#REF!,#REF!</definedName>
    <definedName name="A_ALL_KEYWORDS_TYPE_Vector_EQTY_200003170" localSheetId="2">#REF!,#REF!,#REF!,#REF!,#REF!</definedName>
    <definedName name="A_ALL_KEYWORDS_TYPE_Vector_EQTY_200003170" localSheetId="12">#REF!,#REF!,#REF!,#REF!,#REF!</definedName>
    <definedName name="A_ALL_KEYWORDS_TYPE_Vector_EQTY_200003170">#REF!,#REF!,#REF!,#REF!,#REF!</definedName>
    <definedName name="A_ALL_KEYWORDS_TYPE_Vector_EQTY_200003173" localSheetId="2">#REF!,#REF!,#REF!,#REF!,#REF!</definedName>
    <definedName name="A_ALL_KEYWORDS_TYPE_Vector_EQTY_200003173" localSheetId="12">#REF!,#REF!,#REF!,#REF!,#REF!</definedName>
    <definedName name="A_ALL_KEYWORDS_TYPE_Vector_EQTY_200003173">#REF!,#REF!,#REF!,#REF!,#REF!</definedName>
    <definedName name="A_ALL_KEYWORDS_TYPE_Vector_EQTY_200003183" localSheetId="2">#REF!,#REF!,#REF!,#REF!,#REF!</definedName>
    <definedName name="A_ALL_KEYWORDS_TYPE_Vector_EQTY_200003183" localSheetId="12">#REF!,#REF!,#REF!,#REF!,#REF!</definedName>
    <definedName name="A_ALL_KEYWORDS_TYPE_Vector_EQTY_200003183">#REF!,#REF!,#REF!,#REF!,#REF!</definedName>
    <definedName name="A_ALL_KEYWORDS_TYPE_Vector_EQTY_200003821" localSheetId="2">#REF!,#REF!,#REF!,#REF!,#REF!</definedName>
    <definedName name="A_ALL_KEYWORDS_TYPE_Vector_EQTY_200003821" localSheetId="12">#REF!,#REF!,#REF!,#REF!,#REF!</definedName>
    <definedName name="A_ALL_KEYWORDS_TYPE_Vector_EQTY_200003821">#REF!,#REF!,#REF!,#REF!,#REF!</definedName>
    <definedName name="A_ALL_KEYWORDS_TYPE_Vector_EQTY_200004285" localSheetId="2">#REF!,#REF!,#REF!,#REF!,#REF!</definedName>
    <definedName name="A_ALL_KEYWORDS_TYPE_Vector_EQTY_200004285">#REF!,#REF!,#REF!,#REF!,#REF!</definedName>
    <definedName name="A_ALL_KEYWORDS_TYPE_Vector_EQTY_200005121" localSheetId="2">#REF!,#REF!,#REF!,#REF!,#REF!</definedName>
    <definedName name="A_ALL_KEYWORDS_TYPE_Vector_EQTY_200005121" localSheetId="12">#REF!,#REF!,#REF!,#REF!,#REF!</definedName>
    <definedName name="A_ALL_KEYWORDS_TYPE_Vector_EQTY_200005121" localSheetId="23">#REF!,#REF!,#REF!,#REF!,#REF!</definedName>
    <definedName name="A_ALL_KEYWORDS_TYPE_Vector_EQTY_200005121">#REF!,#REF!,#REF!,#REF!,#REF!</definedName>
    <definedName name="A_ALL_KEYWORDS_TYPE_Vector_EQTY_200007513" localSheetId="2">#REF!,#REF!,#REF!,#REF!,#REF!</definedName>
    <definedName name="A_ALL_KEYWORDS_TYPE_Vector_EQTY_200007513" localSheetId="12">#REF!,#REF!,#REF!,#REF!,#REF!</definedName>
    <definedName name="A_ALL_KEYWORDS_TYPE_Vector_EQTY_200007513">#REF!,#REF!,#REF!,#REF!,#REF!</definedName>
    <definedName name="A_ALL_KEYWORDS_TYPE_Vector_EQTY_200008448" localSheetId="2">#REF!,#REF!,#REF!,#REF!,#REF!</definedName>
    <definedName name="A_ALL_KEYWORDS_TYPE_Vector_EQTY_200008448" localSheetId="12">#REF!,#REF!,#REF!,#REF!,#REF!</definedName>
    <definedName name="A_ALL_KEYWORDS_TYPE_Vector_EQTY_200008448" localSheetId="19">#REF!,#REF!,#REF!,#REF!,#REF!</definedName>
    <definedName name="A_ALL_KEYWORDS_TYPE_Vector_EQTY_200008448">#REF!,#REF!,#REF!,#REF!,#REF!</definedName>
    <definedName name="A_ALL_KEYWORDS_TYPE_Vector_EQTY_200009618" localSheetId="2">#REF!,#REF!,#REF!,#REF!,#REF!</definedName>
    <definedName name="A_ALL_KEYWORDS_TYPE_Vector_EQTY_200009618" localSheetId="12">#REF!,#REF!,#REF!,#REF!,#REF!</definedName>
    <definedName name="A_ALL_KEYWORDS_TYPE_Vector_EQTY_200009618">#REF!,#REF!,#REF!,#REF!,#REF!</definedName>
    <definedName name="A_ALL_KEYWORDS_TYPE_Vector_EQTY_200009619" localSheetId="2">#REF!,#REF!,#REF!,#REF!,#REF!</definedName>
    <definedName name="A_ALL_KEYWORDS_TYPE_Vector_EQTY_200009619" localSheetId="12">#REF!,#REF!,#REF!,#REF!,#REF!</definedName>
    <definedName name="A_ALL_KEYWORDS_TYPE_Vector_EQTY_200009619">#REF!,#REF!,#REF!,#REF!,#REF!</definedName>
    <definedName name="A_ALL_KEYWORDS_TYPE_Vector_EQTY_200009620" localSheetId="2">#REF!,#REF!,#REF!,#REF!,#REF!</definedName>
    <definedName name="A_ALL_KEYWORDS_TYPE_Vector_EQTY_200009620" localSheetId="12">#REF!,#REF!,#REF!,#REF!,#REF!</definedName>
    <definedName name="A_ALL_KEYWORDS_TYPE_Vector_EQTY_200009620">#REF!,#REF!,#REF!,#REF!,#REF!</definedName>
    <definedName name="A_ALL_KEYWORDS_TYPE_Vector_EQTY_200011295" localSheetId="2">#REF!,#REF!,#REF!,#REF!,#REF!</definedName>
    <definedName name="A_ALL_KEYWORDS_TYPE_Vector_EQTY_200011295" localSheetId="12">#REF!,#REF!,#REF!,#REF!,#REF!</definedName>
    <definedName name="A_ALL_KEYWORDS_TYPE_Vector_EQTY_200011295">#REF!,#REF!,#REF!,#REF!,#REF!</definedName>
    <definedName name="A_ALL_KEYWORDS_TYPE_Vector_ISSR_208000023">#REF!,#REF!,#REF!,#REF!,#REF!,#REF!,#REF!,#REF!,#REF!,#REF!,#REF!,#REF!,#REF!,#REF!,#REF!,#REF!,#REF!,#REF!,#REF!,#REF!,#REF!,#REF!,#REF!,#REF!,#REF!</definedName>
    <definedName name="A_ALL_KEYWORDS_TYPE_Vector_ISSR_208001092" localSheetId="2">#REF!,#REF!,#REF!,#REF!,#REF!,#REF!,#REF!,#REF!,#REF!,#REF!,#REF!,#REF!,#REF!,#REF!,#REF!,#REF!,#REF!,#REF!,#REF!,#REF!,#REF!,#REF!,#REF!,#REF!,#REF!,#REF!</definedName>
    <definedName name="A_ALL_KEYWORDS_TYPE_Vector_ISSR_208001092" localSheetId="12">#REF!,#REF!,#REF!,#REF!,#REF!,#REF!,#REF!,#REF!,#REF!,#REF!,#REF!,#REF!,#REF!,#REF!,#REF!,#REF!,#REF!,#REF!,#REF!,#REF!,#REF!,#REF!,#REF!,#REF!,#REF!,#REF!</definedName>
    <definedName name="A_ALL_KEYWORDS_TYPE_Vector_ISSR_208001092">#REF!,#REF!,#REF!,#REF!,#REF!,#REF!,#REF!,#REF!,#REF!,#REF!,#REF!,#REF!,#REF!,#REF!,#REF!,#REF!,#REF!,#REF!,#REF!,#REF!,#REF!,#REF!,#REF!,#REF!,#REF!,#REF!</definedName>
    <definedName name="A_ALL_KEYWORDS_TYPE_Vector_ISSR_208001095" localSheetId="2">#REF!,#REF!,#REF!,#REF!,#REF!,#REF!,#REF!,#REF!,#REF!,#REF!,#REF!,#REF!,#REF!,#REF!</definedName>
    <definedName name="A_ALL_KEYWORDS_TYPE_Vector_ISSR_208001095">#REF!,#REF!,#REF!,#REF!,#REF!,#REF!,#REF!,#REF!,#REF!,#REF!,#REF!,#REF!,#REF!,#REF!</definedName>
    <definedName name="A_ALL_KEYWORDS_TYPE_Vector_ISSR_208001096" localSheetId="2">#REF!,#REF!,#REF!,#REF!,#REF!,#REF!,#REF!,#REF!,#REF!,#REF!,#REF!,#REF!,#REF!,#REF!,#REF!,#REF!,#REF!,#REF!,#REF!,#REF!,#REF!,#REF!,#REF!,#REF!,#REF!,#REF!</definedName>
    <definedName name="A_ALL_KEYWORDS_TYPE_Vector_ISSR_208001096" localSheetId="12">#REF!,#REF!,#REF!,#REF!,#REF!,#REF!,#REF!,#REF!,#REF!,#REF!,#REF!,#REF!,#REF!,#REF!,#REF!,#REF!,#REF!,#REF!,#REF!,#REF!,#REF!,#REF!,#REF!,#REF!,#REF!,#REF!</definedName>
    <definedName name="A_ALL_KEYWORDS_TYPE_Vector_ISSR_208001096">#REF!,#REF!,#REF!,#REF!,#REF!,#REF!,#REF!,#REF!,#REF!,#REF!,#REF!,#REF!,#REF!,#REF!,#REF!,#REF!,#REF!,#REF!,#REF!,#REF!,#REF!,#REF!,#REF!,#REF!,#REF!,#REF!</definedName>
    <definedName name="A_ALL_KEYWORDS_TYPE_Vector_ISSR_208001098" localSheetId="2">#REF!,#REF!,#REF!,#REF!,#REF!,#REF!,#REF!,#REF!,#REF!,#REF!,#REF!,#REF!,#REF!,#REF!,#REF!,#REF!,#REF!,#REF!,#REF!,#REF!,#REF!,#REF!,#REF!,#REF!,#REF!,#REF!</definedName>
    <definedName name="A_ALL_KEYWORDS_TYPE_Vector_ISSR_208001098" localSheetId="12">#REF!,#REF!,#REF!,#REF!,#REF!,#REF!,#REF!,#REF!,#REF!,#REF!,#REF!,#REF!,#REF!,#REF!,#REF!,#REF!,#REF!,#REF!,#REF!,#REF!,#REF!,#REF!,#REF!,#REF!,#REF!,#REF!</definedName>
    <definedName name="A_ALL_KEYWORDS_TYPE_Vector_ISSR_208001098">#REF!,#REF!,#REF!,#REF!,#REF!,#REF!,#REF!,#REF!,#REF!,#REF!,#REF!,#REF!,#REF!,#REF!,#REF!,#REF!,#REF!,#REF!,#REF!,#REF!,#REF!,#REF!,#REF!,#REF!,#REF!,#REF!</definedName>
    <definedName name="A_ALL_KEYWORDS_TYPE_Vector_ISSR_208001100" localSheetId="2">#REF!,#REF!,#REF!,#REF!,#REF!,#REF!,#REF!,#REF!,#REF!,#REF!,#REF!,#REF!,#REF!,#REF!,#REF!,#REF!,#REF!,#REF!,#REF!,#REF!,#REF!,#REF!,#REF!,#REF!,#REF!,#REF!</definedName>
    <definedName name="A_ALL_KEYWORDS_TYPE_Vector_ISSR_208001100" localSheetId="12">#REF!,#REF!,#REF!,#REF!,#REF!,#REF!,#REF!,#REF!,#REF!,#REF!,#REF!,#REF!,#REF!,#REF!,#REF!,#REF!,#REF!,#REF!,#REF!,#REF!,#REF!,#REF!,#REF!,#REF!,#REF!,#REF!</definedName>
    <definedName name="A_ALL_KEYWORDS_TYPE_Vector_ISSR_208001100">#REF!,#REF!,#REF!,#REF!,#REF!,#REF!,#REF!,#REF!,#REF!,#REF!,#REF!,#REF!,#REF!,#REF!,#REF!,#REF!,#REF!,#REF!,#REF!,#REF!,#REF!,#REF!,#REF!,#REF!,#REF!,#REF!</definedName>
    <definedName name="A_ALL_KEYWORDS_TYPE_Vector_ISSR_208001129" localSheetId="2">#REF!,#REF!,#REF!,#REF!,#REF!,#REF!,#REF!,#REF!,#REF!,#REF!,#REF!,#REF!,#REF!,#REF!,#REF!,#REF!,#REF!,#REF!,#REF!,#REF!,#REF!,#REF!,#REF!,#REF!,#REF!,#REF!</definedName>
    <definedName name="A_ALL_KEYWORDS_TYPE_Vector_ISSR_208001129" localSheetId="12">#REF!,#REF!,#REF!,#REF!,#REF!,#REF!,#REF!,#REF!,#REF!,#REF!,#REF!,#REF!,#REF!,#REF!,#REF!,#REF!,#REF!,#REF!,#REF!,#REF!,#REF!,#REF!,#REF!,#REF!,#REF!,#REF!</definedName>
    <definedName name="A_ALL_KEYWORDS_TYPE_Vector_ISSR_208001129">#REF!,#REF!,#REF!,#REF!,#REF!,#REF!,#REF!,#REF!,#REF!,#REF!,#REF!,#REF!,#REF!,#REF!,#REF!,#REF!,#REF!,#REF!,#REF!,#REF!,#REF!,#REF!,#REF!,#REF!,#REF!,#REF!</definedName>
    <definedName name="A_ALL_KEYWORDS_TYPE_Vector_ISSR_208001219" localSheetId="2">#REF!,#REF!,#REF!,#REF!,#REF!,#REF!,#REF!,#REF!,#REF!,#REF!,#REF!,#REF!,#REF!,#REF!,#REF!,#REF!,#REF!,#REF!,#REF!</definedName>
    <definedName name="A_ALL_KEYWORDS_TYPE_Vector_ISSR_208001219">#REF!,#REF!,#REF!,#REF!,#REF!,#REF!,#REF!,#REF!,#REF!,#REF!,#REF!,#REF!,#REF!,#REF!,#REF!,#REF!,#REF!,#REF!,#REF!</definedName>
    <definedName name="A_ALL_KEYWORDS_TYPE_Vector_ISSR_208001433" localSheetId="2">#REF!,#REF!,#REF!,#REF!,#REF!,#REF!,#REF!,#REF!,#REF!,#REF!,#REF!,#REF!,#REF!,#REF!,#REF!,#REF!,#REF!,#REF!,#REF!,#REF!,#REF!,#REF!,#REF!,#REF!,#REF!,#REF!</definedName>
    <definedName name="A_ALL_KEYWORDS_TYPE_Vector_ISSR_208001433" localSheetId="12">#REF!,#REF!,#REF!,#REF!,#REF!,#REF!,#REF!,#REF!,#REF!,#REF!,#REF!,#REF!,#REF!,#REF!</definedName>
    <definedName name="A_ALL_KEYWORDS_TYPE_Vector_ISSR_208001433" localSheetId="23">#REF!,#REF!,#REF!,#REF!,#REF!,#REF!,#REF!,#REF!,#REF!,#REF!,#REF!,#REF!,#REF!,#REF!</definedName>
    <definedName name="A_ALL_KEYWORDS_TYPE_Vector_ISSR_208001433">#REF!,#REF!,#REF!,#REF!,#REF!,#REF!,#REF!,#REF!,#REF!,#REF!,#REF!,#REF!,#REF!,#REF!,#REF!,#REF!,#REF!,#REF!,#REF!,#REF!,#REF!,#REF!,#REF!,#REF!,#REF!,#REF!</definedName>
    <definedName name="A_ALL_KEYWORDS_TYPE_Vector_ISSR_208002861" localSheetId="2">#REF!,#REF!,#REF!,#REF!,#REF!,#REF!,#REF!,#REF!,#REF!,#REF!,#REF!,#REF!,#REF!,#REF!,#REF!,#REF!,#REF!,#REF!,#REF!,#REF!,#REF!,#REF!,#REF!,#REF!,#REF!,#REF!</definedName>
    <definedName name="A_ALL_KEYWORDS_TYPE_Vector_ISSR_208002861" localSheetId="12">#REF!,#REF!,#REF!,#REF!,#REF!,#REF!,#REF!,#REF!,#REF!,#REF!,#REF!,#REF!,#REF!,#REF!,#REF!,#REF!,#REF!,#REF!,#REF!,#REF!,#REF!,#REF!,#REF!,#REF!,#REF!,#REF!</definedName>
    <definedName name="A_ALL_KEYWORDS_TYPE_Vector_ISSR_208002861">#REF!,#REF!,#REF!,#REF!,#REF!,#REF!,#REF!,#REF!,#REF!,#REF!,#REF!,#REF!,#REF!,#REF!,#REF!,#REF!,#REF!,#REF!,#REF!,#REF!,#REF!,#REF!,#REF!,#REF!,#REF!,#REF!</definedName>
    <definedName name="A_ALL_KEYWORDS_TYPE_Vector_ISSR_208006659" localSheetId="2">#REF!,#REF!,#REF!,#REF!,#REF!,#REF!,#REF!,#REF!,#REF!,#REF!,#REF!,#REF!,#REF!,#REF!</definedName>
    <definedName name="A_ALL_KEYWORDS_TYPE_Vector_ISSR_208006659" localSheetId="12">#REF!,#REF!,#REF!,#REF!,#REF!,#REF!,#REF!,#REF!,#REF!,#REF!,#REF!,#REF!,#REF!,#REF!,#REF!,#REF!,#REF!,#REF!,#REF!,#REF!,#REF!,#REF!,#REF!,#REF!,#REF!,#REF!</definedName>
    <definedName name="A_ALL_KEYWORDS_TYPE_Vector_ISSR_208006659" localSheetId="19">#REF!,#REF!,#REF!,#REF!,#REF!,#REF!,#REF!,#REF!,#REF!,#REF!,#REF!,#REF!,#REF!,#REF!</definedName>
    <definedName name="A_ALL_KEYWORDS_TYPE_Vector_ISSR_208006659">#REF!,#REF!,#REF!,#REF!,#REF!,#REF!,#REF!,#REF!,#REF!,#REF!,#REF!,#REF!,#REF!,#REF!,#REF!,#REF!,#REF!,#REF!,#REF!,#REF!,#REF!,#REF!</definedName>
    <definedName name="A_ALL_KEYWORDS_TYPE_Vector_ISSR_208007413" localSheetId="2">#REF!,#REF!,#REF!,#REF!,#REF!,#REF!,#REF!,#REF!,#REF!,#REF!,#REF!,#REF!,#REF!,#REF!,#REF!,#REF!,#REF!,#REF!,#REF!,#REF!,#REF!,#REF!,#REF!,#REF!,#REF!,#REF!</definedName>
    <definedName name="A_ALL_KEYWORDS_TYPE_Vector_ISSR_208007413" localSheetId="12">#REF!,#REF!,#REF!,#REF!,#REF!,#REF!,#REF!,#REF!,#REF!,#REF!,#REF!,#REF!</definedName>
    <definedName name="A_ALL_KEYWORDS_TYPE_Vector_ISSR_208007413">#REF!,#REF!,#REF!,#REF!,#REF!,#REF!,#REF!,#REF!,#REF!,#REF!,#REF!,#REF!,#REF!,#REF!,#REF!,#REF!,#REF!,#REF!,#REF!,#REF!,#REF!,#REF!,#REF!,#REF!,#REF!,#REF!</definedName>
    <definedName name="A_ALL_KEYWORDS_TYPE_Vector_ISSR_208007414" localSheetId="2">#REF!,#REF!,#REF!,#REF!,#REF!,#REF!,#REF!,#REF!,#REF!</definedName>
    <definedName name="A_ALL_KEYWORDS_TYPE_Vector_ISSR_208007414" localSheetId="12">#REF!,#REF!,#REF!,#REF!,#REF!,#REF!,#REF!,#REF!,#REF!</definedName>
    <definedName name="A_ALL_KEYWORDS_TYPE_Vector_ISSR_208007414">#REF!,#REF!,#REF!,#REF!,#REF!,#REF!,#REF!,#REF!,#REF!</definedName>
    <definedName name="A_ALL_KEYWORDS_TYPE_Vector_ISSR_208007415" localSheetId="2">#REF!,#REF!,#REF!,#REF!,#REF!,#REF!,#REF!,#REF!,#REF!,#REF!,#REF!,#REF!,#REF!,#REF!,#REF!,#REF!,#REF!,#REF!,#REF!,#REF!,#REF!,#REF!,#REF!,#REF!,#REF!,#REF!</definedName>
    <definedName name="A_ALL_KEYWORDS_TYPE_Vector_ISSR_208007415" localSheetId="12">#REF!,#REF!,#REF!,#REF!,#REF!,#REF!,#REF!,#REF!,#REF!,#REF!,#REF!,#REF!,#REF!,#REF!</definedName>
    <definedName name="A_ALL_KEYWORDS_TYPE_Vector_ISSR_208007415">#REF!,#REF!,#REF!,#REF!,#REF!,#REF!,#REF!,#REF!,#REF!,#REF!,#REF!,#REF!,#REF!,#REF!,#REF!,#REF!,#REF!,#REF!,#REF!,#REF!,#REF!,#REF!,#REF!,#REF!,#REF!,#REF!</definedName>
    <definedName name="A_ALL_KEYWORDS_TYPE_Vector_ISSR_208008646" localSheetId="2">#REF!,#REF!,#REF!,#REF!,#REF!,#REF!,#REF!,#REF!,#REF!,#REF!,#REF!,#REF!,#REF!,#REF!</definedName>
    <definedName name="A_ALL_KEYWORDS_TYPE_Vector_ISSR_208008646" localSheetId="12">#REF!,#REF!,#REF!,#REF!,#REF!,#REF!,#REF!,#REF!,#REF!,#REF!,#REF!,#REF!,#REF!,#REF!,#REF!,#REF!,#REF!,#REF!,#REF!,#REF!,#REF!,#REF!,#REF!,#REF!,#REF!,#REF!</definedName>
    <definedName name="A_ALL_KEYWORDS_TYPE_Vector_ISSR_208008646">#REF!,#REF!,#REF!,#REF!,#REF!,#REF!,#REF!,#REF!,#REF!,#REF!,#REF!,#REF!,#REF!,#REF!</definedName>
    <definedName name="A_ALL_MTXGn.DE" localSheetId="24">#REF!</definedName>
    <definedName name="A_ALL_MTXGn.DE" localSheetId="18">#REF!</definedName>
    <definedName name="A_ALL_MTXGn.DE" localSheetId="12">#REF!</definedName>
    <definedName name="A_ALL_MTXGn.DE" localSheetId="23">#REF!</definedName>
    <definedName name="A_ALL_MTXGn.DE" localSheetId="19">#REF!</definedName>
    <definedName name="A_ALL_MTXGn.DE" localSheetId="21">#REF!</definedName>
    <definedName name="A_ALL_MTXGn.DE">#REF!</definedName>
    <definedName name="A_ALL_PERIODS_MTXGn.DE" localSheetId="24">#REF!</definedName>
    <definedName name="A_ALL_PERIODS_MTXGn.DE" localSheetId="18">#REF!</definedName>
    <definedName name="A_ALL_PERIODS_MTXGn.DE" localSheetId="12">#REF!</definedName>
    <definedName name="A_ALL_PERIODS_MTXGn.DE" localSheetId="23">#REF!</definedName>
    <definedName name="A_ALL_PERIODS_MTXGn.DE" localSheetId="19">#REF!</definedName>
    <definedName name="A_ALL_PERIODS_MTXGn.DE" localSheetId="21">#REF!</definedName>
    <definedName name="A_ALL_PERIODS_MTXGn.DE">#REF!</definedName>
    <definedName name="A_ALL_RR.L">#REF!</definedName>
    <definedName name="A_ALL_SAABb.ST_" localSheetId="24">#REF!</definedName>
    <definedName name="A_ALL_SAABb.ST_" localSheetId="18">#REF!</definedName>
    <definedName name="A_ALL_SAABb.ST_" localSheetId="12">#REF!</definedName>
    <definedName name="A_ALL_SAABb.ST_" localSheetId="23">#REF!</definedName>
    <definedName name="A_ALL_SAABb.ST_" localSheetId="19">#REF!</definedName>
    <definedName name="A_ALL_SAABb.ST_" localSheetId="21">#REF!</definedName>
    <definedName name="A_ALL_SAABb.ST_">#REF!</definedName>
    <definedName name="A_ALL_SAF.PA" localSheetId="13">#REF!</definedName>
    <definedName name="A_ALL_SAF.PA">#REF!</definedName>
    <definedName name="A_ALL_SAF.PA_" localSheetId="24">#REF!</definedName>
    <definedName name="A_ALL_SAF.PA_" localSheetId="18">#REF!</definedName>
    <definedName name="A_ALL_SAF.PA_" localSheetId="12">#REF!</definedName>
    <definedName name="A_ALL_SAF.PA_" localSheetId="23">#REF!</definedName>
    <definedName name="A_ALL_SAF.PA_" localSheetId="19">#REF!</definedName>
    <definedName name="A_ALL_SAF.PA_" localSheetId="21">#REF!</definedName>
    <definedName name="A_ALL_SAF.PA_">#REF!</definedName>
    <definedName name="A_ALL_SAND.ST">#REF!</definedName>
    <definedName name="A_ALL_SECTION_KEYWORDS_EQTY_200007513_1314" localSheetId="24">#REF!</definedName>
    <definedName name="A_ALL_SECTION_KEYWORDS_EQTY_200007513_1314" localSheetId="18">#REF!</definedName>
    <definedName name="A_ALL_SECTION_KEYWORDS_EQTY_200007513_1314" localSheetId="12">#REF!</definedName>
    <definedName name="A_ALL_SECTION_KEYWORDS_EQTY_200007513_1314" localSheetId="23">#REF!</definedName>
    <definedName name="A_ALL_SECTION_KEYWORDS_EQTY_200007513_1314" localSheetId="19">#REF!</definedName>
    <definedName name="A_ALL_SECTION_KEYWORDS_EQTY_200007513_1314" localSheetId="21">#REF!</definedName>
    <definedName name="A_ALL_SECTION_KEYWORDS_EQTY_200007513_1314">#REF!</definedName>
    <definedName name="A_ALL_SECTION_KEYWORDS_EQTY_200007513_131E" localSheetId="24">#REF!</definedName>
    <definedName name="A_ALL_SECTION_KEYWORDS_EQTY_200007513_131E" localSheetId="18">#REF!</definedName>
    <definedName name="A_ALL_SECTION_KEYWORDS_EQTY_200007513_131E" localSheetId="12">#REF!</definedName>
    <definedName name="A_ALL_SECTION_KEYWORDS_EQTY_200007513_131E" localSheetId="23">#REF!</definedName>
    <definedName name="A_ALL_SECTION_KEYWORDS_EQTY_200007513_131E" localSheetId="19">#REF!</definedName>
    <definedName name="A_ALL_SECTION_KEYWORDS_EQTY_200007513_131E" localSheetId="21">#REF!</definedName>
    <definedName name="A_ALL_SECTION_KEYWORDS_EQTY_200007513_131E">#REF!</definedName>
    <definedName name="A_ALL_SECTION_KEYWORDS_EQTY_200007513_131O" localSheetId="24">#REF!</definedName>
    <definedName name="A_ALL_SECTION_KEYWORDS_EQTY_200007513_131O" localSheetId="18">#REF!</definedName>
    <definedName name="A_ALL_SECTION_KEYWORDS_EQTY_200007513_131O" localSheetId="12">#REF!</definedName>
    <definedName name="A_ALL_SECTION_KEYWORDS_EQTY_200007513_131O" localSheetId="23">#REF!</definedName>
    <definedName name="A_ALL_SECTION_KEYWORDS_EQTY_200007513_131O" localSheetId="19">#REF!</definedName>
    <definedName name="A_ALL_SECTION_KEYWORDS_EQTY_200007513_131O" localSheetId="21">#REF!</definedName>
    <definedName name="A_ALL_SECTION_KEYWORDS_EQTY_200007513_131O">#REF!</definedName>
    <definedName name="A_ALL_SECTION_KEYWORDS_EQTY_200007513_13A" localSheetId="24">#REF!</definedName>
    <definedName name="A_ALL_SECTION_KEYWORDS_EQTY_200007513_13A" localSheetId="18">#REF!</definedName>
    <definedName name="A_ALL_SECTION_KEYWORDS_EQTY_200007513_13A" localSheetId="12">#REF!</definedName>
    <definedName name="A_ALL_SECTION_KEYWORDS_EQTY_200007513_13A" localSheetId="23">#REF!</definedName>
    <definedName name="A_ALL_SECTION_KEYWORDS_EQTY_200007513_13A" localSheetId="19">#REF!</definedName>
    <definedName name="A_ALL_SECTION_KEYWORDS_EQTY_200007513_13A" localSheetId="21">#REF!</definedName>
    <definedName name="A_ALL_SECTION_KEYWORDS_EQTY_200007513_13A">#REF!</definedName>
    <definedName name="A_ALL_SECTION_KEYWORDS_EQTY_200007513_13K" localSheetId="24">#REF!</definedName>
    <definedName name="A_ALL_SECTION_KEYWORDS_EQTY_200007513_13K" localSheetId="18">#REF!</definedName>
    <definedName name="A_ALL_SECTION_KEYWORDS_EQTY_200007513_13K" localSheetId="12">#REF!</definedName>
    <definedName name="A_ALL_SECTION_KEYWORDS_EQTY_200007513_13K" localSheetId="23">#REF!</definedName>
    <definedName name="A_ALL_SECTION_KEYWORDS_EQTY_200007513_13K" localSheetId="19">#REF!</definedName>
    <definedName name="A_ALL_SECTION_KEYWORDS_EQTY_200007513_13K" localSheetId="21">#REF!</definedName>
    <definedName name="A_ALL_SECTION_KEYWORDS_EQTY_200007513_13K">#REF!</definedName>
    <definedName name="A_ALL_SECTION_KEYWORDS_EQTY_200007513_13U" localSheetId="24">#REF!</definedName>
    <definedName name="A_ALL_SECTION_KEYWORDS_EQTY_200007513_13U" localSheetId="18">#REF!</definedName>
    <definedName name="A_ALL_SECTION_KEYWORDS_EQTY_200007513_13U" localSheetId="12">#REF!</definedName>
    <definedName name="A_ALL_SECTION_KEYWORDS_EQTY_200007513_13U" localSheetId="23">#REF!</definedName>
    <definedName name="A_ALL_SECTION_KEYWORDS_EQTY_200007513_13U" localSheetId="19">#REF!</definedName>
    <definedName name="A_ALL_SECTION_KEYWORDS_EQTY_200007513_13U" localSheetId="21">#REF!</definedName>
    <definedName name="A_ALL_SECTION_KEYWORDS_EQTY_200007513_13U">#REF!</definedName>
    <definedName name="A_ALL_SECTION_KEYWORDS_EQTY_200007513_13V" localSheetId="24">#REF!</definedName>
    <definedName name="A_ALL_SECTION_KEYWORDS_EQTY_200007513_13V" localSheetId="18">#REF!</definedName>
    <definedName name="A_ALL_SECTION_KEYWORDS_EQTY_200007513_13V" localSheetId="12">#REF!</definedName>
    <definedName name="A_ALL_SECTION_KEYWORDS_EQTY_200007513_13V" localSheetId="23">#REF!</definedName>
    <definedName name="A_ALL_SECTION_KEYWORDS_EQTY_200007513_13V" localSheetId="19">#REF!</definedName>
    <definedName name="A_ALL_SECTION_KEYWORDS_EQTY_200007513_13V" localSheetId="21">#REF!</definedName>
    <definedName name="A_ALL_SECTION_KEYWORDS_EQTY_200007513_13V">#REF!</definedName>
    <definedName name="A_ALL_SECTION_KEYWORDS_EQTY_200007513_Reference_Data" localSheetId="24">#REF!</definedName>
    <definedName name="A_ALL_SECTION_KEYWORDS_EQTY_200007513_Reference_Data" localSheetId="18">#REF!</definedName>
    <definedName name="A_ALL_SECTION_KEYWORDS_EQTY_200007513_Reference_Data" localSheetId="12">#REF!</definedName>
    <definedName name="A_ALL_SECTION_KEYWORDS_EQTY_200007513_Reference_Data" localSheetId="23">#REF!</definedName>
    <definedName name="A_ALL_SECTION_KEYWORDS_EQTY_200007513_Reference_Data" localSheetId="19">#REF!</definedName>
    <definedName name="A_ALL_SECTION_KEYWORDS_EQTY_200007513_Reference_Data" localSheetId="21">#REF!</definedName>
    <definedName name="A_ALL_SECTION_KEYWORDS_EQTY_200007513_Reference_Data">#REF!</definedName>
    <definedName name="A_ALL_SECTION_KEYWORDS_EQTY_200008448_13A">#REF!</definedName>
    <definedName name="A_ALL_SECTION_KEYWORDS_ISSR_208000023_13V">#REF!,#REF!</definedName>
    <definedName name="A_ALL_SECTION_KEYWORDS_ISSR_208001092_13V" localSheetId="2">#REF!,#REF!</definedName>
    <definedName name="A_ALL_SECTION_KEYWORDS_ISSR_208001092_13V">#REF!,#REF!</definedName>
    <definedName name="A_ALL_SECTION_KEYWORDS_ISSR_208001095_13V" localSheetId="2">#REF!,#REF!</definedName>
    <definedName name="A_ALL_SECTION_KEYWORDS_ISSR_208001095_13V">#REF!,#REF!</definedName>
    <definedName name="A_ALL_SECTION_KEYWORDS_ISSR_208001098_13173">#REF!,#REF!</definedName>
    <definedName name="A_ALL_SECTION_KEYWORDS_ISSR_208001098_13178">#REF!,#REF!</definedName>
    <definedName name="A_ALL_SECTION_KEYWORDS_ISSR_208001098_136J">#REF!,#REF!</definedName>
    <definedName name="A_ALL_SECTION_KEYWORDS_ISSR_208001100_13V" localSheetId="2">#REF!,#REF!</definedName>
    <definedName name="A_ALL_SECTION_KEYWORDS_ISSR_208001100_13V">#REF!,#REF!</definedName>
    <definedName name="A_ALL_SECTION_KEYWORDS_ISSR_208001219_136E" localSheetId="2">#REF!,#REF!</definedName>
    <definedName name="A_ALL_SECTION_KEYWORDS_ISSR_208001219_136E">#REF!,#REF!</definedName>
    <definedName name="A_ALL_SECTION_KEYWORDS_ISSR_208001433_13173" localSheetId="2">#REF!,#REF!</definedName>
    <definedName name="A_ALL_SECTION_KEYWORDS_ISSR_208001433_13173">#REF!,#REF!</definedName>
    <definedName name="A_ALL_SECTION_KEYWORDS_ISSR_208001433_13178">#REF!,#REF!</definedName>
    <definedName name="A_ALL_SECTION_KEYWORDS_ISSR_208001433_131O">#REF!,#REF!</definedName>
    <definedName name="A_ALL_SECTION_KEYWORDS_ISSR_208001433_136J" localSheetId="2">#REF!,#REF!</definedName>
    <definedName name="A_ALL_SECTION_KEYWORDS_ISSR_208001433_136J">#REF!,#REF!</definedName>
    <definedName name="A_ALL_SECTION_KEYWORDS_ISSR_208001433_13V" localSheetId="2">#REF!,#REF!</definedName>
    <definedName name="A_ALL_SECTION_KEYWORDS_ISSR_208001433_13V" localSheetId="23">#REF!,#REF!</definedName>
    <definedName name="A_ALL_SECTION_KEYWORDS_ISSR_208001433_13V">#REF!,#REF!</definedName>
    <definedName name="A_ALL_SECTION_KEYWORDS_ISSR_208002861_1314" localSheetId="24">#REF!</definedName>
    <definedName name="A_ALL_SECTION_KEYWORDS_ISSR_208002861_1314" localSheetId="18">#REF!</definedName>
    <definedName name="A_ALL_SECTION_KEYWORDS_ISSR_208002861_1314" localSheetId="12">#REF!</definedName>
    <definedName name="A_ALL_SECTION_KEYWORDS_ISSR_208002861_1314" localSheetId="23">#REF!</definedName>
    <definedName name="A_ALL_SECTION_KEYWORDS_ISSR_208002861_1314" localSheetId="19">#REF!</definedName>
    <definedName name="A_ALL_SECTION_KEYWORDS_ISSR_208002861_1314" localSheetId="21">#REF!</definedName>
    <definedName name="A_ALL_SECTION_KEYWORDS_ISSR_208002861_1314">#REF!</definedName>
    <definedName name="A_ALL_SECTION_KEYWORDS_ISSR_208002861_13168" localSheetId="24">#REF!</definedName>
    <definedName name="A_ALL_SECTION_KEYWORDS_ISSR_208002861_13168" localSheetId="18">#REF!</definedName>
    <definedName name="A_ALL_SECTION_KEYWORDS_ISSR_208002861_13168" localSheetId="12">#REF!</definedName>
    <definedName name="A_ALL_SECTION_KEYWORDS_ISSR_208002861_13168" localSheetId="23">#REF!</definedName>
    <definedName name="A_ALL_SECTION_KEYWORDS_ISSR_208002861_13168" localSheetId="19">#REF!</definedName>
    <definedName name="A_ALL_SECTION_KEYWORDS_ISSR_208002861_13168" localSheetId="21">#REF!</definedName>
    <definedName name="A_ALL_SECTION_KEYWORDS_ISSR_208002861_13168">#REF!</definedName>
    <definedName name="A_ALL_SECTION_KEYWORDS_ISSR_208002861_1316S" localSheetId="24">#REF!</definedName>
    <definedName name="A_ALL_SECTION_KEYWORDS_ISSR_208002861_1316S" localSheetId="18">#REF!</definedName>
    <definedName name="A_ALL_SECTION_KEYWORDS_ISSR_208002861_1316S" localSheetId="12">#REF!</definedName>
    <definedName name="A_ALL_SECTION_KEYWORDS_ISSR_208002861_1316S" localSheetId="23">#REF!</definedName>
    <definedName name="A_ALL_SECTION_KEYWORDS_ISSR_208002861_1316S" localSheetId="19">#REF!</definedName>
    <definedName name="A_ALL_SECTION_KEYWORDS_ISSR_208002861_1316S" localSheetId="21">#REF!</definedName>
    <definedName name="A_ALL_SECTION_KEYWORDS_ISSR_208002861_1316S">#REF!</definedName>
    <definedName name="A_ALL_SECTION_KEYWORDS_ISSR_208002861_1316T" localSheetId="24">#REF!</definedName>
    <definedName name="A_ALL_SECTION_KEYWORDS_ISSR_208002861_1316T" localSheetId="18">#REF!</definedName>
    <definedName name="A_ALL_SECTION_KEYWORDS_ISSR_208002861_1316T" localSheetId="12">#REF!</definedName>
    <definedName name="A_ALL_SECTION_KEYWORDS_ISSR_208002861_1316T" localSheetId="23">#REF!</definedName>
    <definedName name="A_ALL_SECTION_KEYWORDS_ISSR_208002861_1316T" localSheetId="19">#REF!</definedName>
    <definedName name="A_ALL_SECTION_KEYWORDS_ISSR_208002861_1316T" localSheetId="21">#REF!</definedName>
    <definedName name="A_ALL_SECTION_KEYWORDS_ISSR_208002861_1316T">#REF!</definedName>
    <definedName name="A_ALL_SECTION_KEYWORDS_ISSR_208002861_1316U" localSheetId="24">#REF!</definedName>
    <definedName name="A_ALL_SECTION_KEYWORDS_ISSR_208002861_1316U" localSheetId="18">#REF!</definedName>
    <definedName name="A_ALL_SECTION_KEYWORDS_ISSR_208002861_1316U" localSheetId="12">#REF!</definedName>
    <definedName name="A_ALL_SECTION_KEYWORDS_ISSR_208002861_1316U" localSheetId="23">#REF!</definedName>
    <definedName name="A_ALL_SECTION_KEYWORDS_ISSR_208002861_1316U" localSheetId="19">#REF!</definedName>
    <definedName name="A_ALL_SECTION_KEYWORDS_ISSR_208002861_1316U" localSheetId="21">#REF!</definedName>
    <definedName name="A_ALL_SECTION_KEYWORDS_ISSR_208002861_1316U">#REF!</definedName>
    <definedName name="A_ALL_SECTION_KEYWORDS_ISSR_208002861_1319" localSheetId="24">#REF!</definedName>
    <definedName name="A_ALL_SECTION_KEYWORDS_ISSR_208002861_1319" localSheetId="18">#REF!</definedName>
    <definedName name="A_ALL_SECTION_KEYWORDS_ISSR_208002861_1319" localSheetId="12">#REF!</definedName>
    <definedName name="A_ALL_SECTION_KEYWORDS_ISSR_208002861_1319" localSheetId="23">#REF!</definedName>
    <definedName name="A_ALL_SECTION_KEYWORDS_ISSR_208002861_1319" localSheetId="19">#REF!</definedName>
    <definedName name="A_ALL_SECTION_KEYWORDS_ISSR_208002861_1319" localSheetId="21">#REF!</definedName>
    <definedName name="A_ALL_SECTION_KEYWORDS_ISSR_208002861_1319">#REF!</definedName>
    <definedName name="A_ALL_SECTION_KEYWORDS_ISSR_208002861_131E" localSheetId="24">#REF!</definedName>
    <definedName name="A_ALL_SECTION_KEYWORDS_ISSR_208002861_131E" localSheetId="18">#REF!</definedName>
    <definedName name="A_ALL_SECTION_KEYWORDS_ISSR_208002861_131E" localSheetId="12">#REF!</definedName>
    <definedName name="A_ALL_SECTION_KEYWORDS_ISSR_208002861_131E" localSheetId="23">#REF!</definedName>
    <definedName name="A_ALL_SECTION_KEYWORDS_ISSR_208002861_131E" localSheetId="19">#REF!</definedName>
    <definedName name="A_ALL_SECTION_KEYWORDS_ISSR_208002861_131E" localSheetId="21">#REF!</definedName>
    <definedName name="A_ALL_SECTION_KEYWORDS_ISSR_208002861_131E">#REF!</definedName>
    <definedName name="A_ALL_SECTION_KEYWORDS_ISSR_208002861_131J" localSheetId="24">#REF!</definedName>
    <definedName name="A_ALL_SECTION_KEYWORDS_ISSR_208002861_131J" localSheetId="18">#REF!</definedName>
    <definedName name="A_ALL_SECTION_KEYWORDS_ISSR_208002861_131J" localSheetId="12">#REF!</definedName>
    <definedName name="A_ALL_SECTION_KEYWORDS_ISSR_208002861_131J" localSheetId="23">#REF!</definedName>
    <definedName name="A_ALL_SECTION_KEYWORDS_ISSR_208002861_131J" localSheetId="19">#REF!</definedName>
    <definedName name="A_ALL_SECTION_KEYWORDS_ISSR_208002861_131J" localSheetId="21">#REF!</definedName>
    <definedName name="A_ALL_SECTION_KEYWORDS_ISSR_208002861_131J">#REF!</definedName>
    <definedName name="A_ALL_SECTION_KEYWORDS_ISSR_208002861_131O" localSheetId="24">#REF!</definedName>
    <definedName name="A_ALL_SECTION_KEYWORDS_ISSR_208002861_131O" localSheetId="18">#REF!</definedName>
    <definedName name="A_ALL_SECTION_KEYWORDS_ISSR_208002861_131O" localSheetId="12">#REF!</definedName>
    <definedName name="A_ALL_SECTION_KEYWORDS_ISSR_208002861_131O" localSheetId="23">#REF!</definedName>
    <definedName name="A_ALL_SECTION_KEYWORDS_ISSR_208002861_131O" localSheetId="19">#REF!</definedName>
    <definedName name="A_ALL_SECTION_KEYWORDS_ISSR_208002861_131O" localSheetId="21">#REF!</definedName>
    <definedName name="A_ALL_SECTION_KEYWORDS_ISSR_208002861_131O">#REF!</definedName>
    <definedName name="A_ALL_SECTION_KEYWORDS_ISSR_208002861_13U" localSheetId="24">#REF!</definedName>
    <definedName name="A_ALL_SECTION_KEYWORDS_ISSR_208002861_13U" localSheetId="18">#REF!</definedName>
    <definedName name="A_ALL_SECTION_KEYWORDS_ISSR_208002861_13U" localSheetId="12">#REF!</definedName>
    <definedName name="A_ALL_SECTION_KEYWORDS_ISSR_208002861_13U" localSheetId="23">#REF!</definedName>
    <definedName name="A_ALL_SECTION_KEYWORDS_ISSR_208002861_13U" localSheetId="19">#REF!</definedName>
    <definedName name="A_ALL_SECTION_KEYWORDS_ISSR_208002861_13U" localSheetId="21">#REF!</definedName>
    <definedName name="A_ALL_SECTION_KEYWORDS_ISSR_208002861_13U">#REF!</definedName>
    <definedName name="A_ALL_SECTION_KEYWORDS_ISSR_208002861_13V" localSheetId="24">#REF!</definedName>
    <definedName name="A_ALL_SECTION_KEYWORDS_ISSR_208002861_13V" localSheetId="18">#REF!</definedName>
    <definedName name="A_ALL_SECTION_KEYWORDS_ISSR_208002861_13V" localSheetId="12">#REF!</definedName>
    <definedName name="A_ALL_SECTION_KEYWORDS_ISSR_208002861_13V" localSheetId="23">#REF!</definedName>
    <definedName name="A_ALL_SECTION_KEYWORDS_ISSR_208002861_13V" localSheetId="19">#REF!</definedName>
    <definedName name="A_ALL_SECTION_KEYWORDS_ISSR_208002861_13V" localSheetId="21">#REF!</definedName>
    <definedName name="A_ALL_SECTION_KEYWORDS_ISSR_208002861_13V">#REF!</definedName>
    <definedName name="A_ALL_SECTION_KEYWORDS_ISSR_208002861_Reference_Data" localSheetId="24">#REF!</definedName>
    <definedName name="A_ALL_SECTION_KEYWORDS_ISSR_208002861_Reference_Data" localSheetId="18">#REF!</definedName>
    <definedName name="A_ALL_SECTION_KEYWORDS_ISSR_208002861_Reference_Data" localSheetId="12">#REF!</definedName>
    <definedName name="A_ALL_SECTION_KEYWORDS_ISSR_208002861_Reference_Data" localSheetId="23">#REF!</definedName>
    <definedName name="A_ALL_SECTION_KEYWORDS_ISSR_208002861_Reference_Data" localSheetId="19">#REF!</definedName>
    <definedName name="A_ALL_SECTION_KEYWORDS_ISSR_208002861_Reference_Data" localSheetId="21">#REF!</definedName>
    <definedName name="A_ALL_SECTION_KEYWORDS_ISSR_208002861_Reference_Data">#REF!</definedName>
    <definedName name="A_ALL_SECTION_KEYWORDS_ISSR_208006659_13173" localSheetId="2">#REF!,#REF!</definedName>
    <definedName name="A_ALL_SECTION_KEYWORDS_ISSR_208006659_13173" localSheetId="19">#REF!,#REF!</definedName>
    <definedName name="A_ALL_SECTION_KEYWORDS_ISSR_208006659_13173">#REF!,#REF!</definedName>
    <definedName name="A_ALL_SECTION_KEYWORDS_ISSR_208006659_13178">#REF!,#REF!</definedName>
    <definedName name="A_ALL_SECTION_KEYWORDS_ISSR_208006659_1319">#REF!,#REF!</definedName>
    <definedName name="A_ALL_SECTION_KEYWORDS_ISSR_208006659_131O" localSheetId="2">#REF!,#REF!</definedName>
    <definedName name="A_ALL_SECTION_KEYWORDS_ISSR_208006659_131O" localSheetId="19">#REF!,#REF!</definedName>
    <definedName name="A_ALL_SECTION_KEYWORDS_ISSR_208006659_131O">#REF!,#REF!</definedName>
    <definedName name="A_ALL_SECTION_KEYWORDS_ISSR_208006659_136J" localSheetId="2">#REF!,#REF!</definedName>
    <definedName name="A_ALL_SECTION_KEYWORDS_ISSR_208006659_136J" localSheetId="19">#REF!,#REF!</definedName>
    <definedName name="A_ALL_SECTION_KEYWORDS_ISSR_208006659_136J">#REF!</definedName>
    <definedName name="A_ALL_SECTION_KEYWORDS_ISSR_208007415_13V" localSheetId="2">#REF!,#REF!</definedName>
    <definedName name="A_ALL_SECTION_KEYWORDS_ISSR_208007415_13V">#REF!,#REF!</definedName>
    <definedName name="A_ALL_SECTION_KEYWORDS_ISSR_208008646_13V" localSheetId="2">#REF!,#REF!</definedName>
    <definedName name="A_ALL_SECTION_KEYWORDS_ISSR_208008646_13V">#REF!,#REF!</definedName>
    <definedName name="A_ALL_SECTIONS_EQTY_200003162" localSheetId="2">#REF!,#REF!,#REF!,#REF!,#REF!,#REF!,#REF!,#REF!</definedName>
    <definedName name="A_ALL_SECTIONS_EQTY_200003162" localSheetId="12">#REF!,#REF!,#REF!,#REF!,#REF!,#REF!,#REF!,#REF!</definedName>
    <definedName name="A_ALL_SECTIONS_EQTY_200003162">#REF!,#REF!,#REF!,#REF!,#REF!,#REF!,#REF!,#REF!</definedName>
    <definedName name="A_ALL_SECTIONS_EQTY_200003170" localSheetId="2">#REF!,#REF!,#REF!,#REF!,#REF!,#REF!,#REF!,#REF!</definedName>
    <definedName name="A_ALL_SECTIONS_EQTY_200003170" localSheetId="12">#REF!,#REF!,#REF!,#REF!,#REF!,#REF!,#REF!,#REF!</definedName>
    <definedName name="A_ALL_SECTIONS_EQTY_200003170">#REF!,#REF!,#REF!,#REF!,#REF!,#REF!,#REF!,#REF!</definedName>
    <definedName name="A_ALL_SECTIONS_EQTY_200003173" localSheetId="2">#REF!,#REF!,#REF!,#REF!,#REF!,#REF!,#REF!,#REF!</definedName>
    <definedName name="A_ALL_SECTIONS_EQTY_200003173" localSheetId="12">#REF!,#REF!,#REF!,#REF!,#REF!,#REF!,#REF!,#REF!</definedName>
    <definedName name="A_ALL_SECTIONS_EQTY_200003173">#REF!,#REF!,#REF!,#REF!,#REF!,#REF!,#REF!,#REF!</definedName>
    <definedName name="A_ALL_SECTIONS_EQTY_200003183" localSheetId="2">#REF!,#REF!,#REF!,#REF!,#REF!,#REF!,#REF!,#REF!</definedName>
    <definedName name="A_ALL_SECTIONS_EQTY_200003183" localSheetId="12">#REF!,#REF!,#REF!,#REF!,#REF!,#REF!,#REF!,#REF!</definedName>
    <definedName name="A_ALL_SECTIONS_EQTY_200003183">#REF!,#REF!,#REF!,#REF!,#REF!,#REF!,#REF!,#REF!</definedName>
    <definedName name="A_ALL_SECTIONS_EQTY_200003821" localSheetId="2">#REF!,#REF!,#REF!,#REF!,#REF!,#REF!,#REF!,#REF!</definedName>
    <definedName name="A_ALL_SECTIONS_EQTY_200003821" localSheetId="12">#REF!,#REF!,#REF!,#REF!,#REF!,#REF!,#REF!,#REF!</definedName>
    <definedName name="A_ALL_SECTIONS_EQTY_200003821">#REF!,#REF!,#REF!,#REF!,#REF!,#REF!,#REF!,#REF!</definedName>
    <definedName name="A_ALL_SECTIONS_EQTY_200004285" localSheetId="2">#REF!,#REF!,#REF!,#REF!,#REF!,#REF!,#REF!,#REF!</definedName>
    <definedName name="A_ALL_SECTIONS_EQTY_200004285">#REF!,#REF!,#REF!,#REF!,#REF!,#REF!,#REF!,#REF!</definedName>
    <definedName name="A_ALL_SECTIONS_EQTY_200005121" localSheetId="2">#REF!,#REF!,#REF!,#REF!,#REF!,#REF!,#REF!,#REF!</definedName>
    <definedName name="A_ALL_SECTIONS_EQTY_200005121" localSheetId="12">#REF!,#REF!,#REF!,#REF!,#REF!,#REF!,#REF!,#REF!</definedName>
    <definedName name="A_ALL_SECTIONS_EQTY_200005121">#REF!,#REF!,#REF!,#REF!,#REF!,#REF!,#REF!,#REF!</definedName>
    <definedName name="A_ALL_SECTIONS_EQTY_200007513" localSheetId="2">#REF!,#REF!,#REF!,#REF!,#REF!,#REF!,#REF!,#REF!</definedName>
    <definedName name="A_ALL_SECTIONS_EQTY_200007513" localSheetId="12">#REF!,#REF!,#REF!,#REF!,#REF!,#REF!,#REF!,#REF!</definedName>
    <definedName name="A_ALL_SECTIONS_EQTY_200007513">#REF!,#REF!,#REF!,#REF!,#REF!,#REF!,#REF!,#REF!</definedName>
    <definedName name="A_ALL_SECTIONS_EQTY_200009618" localSheetId="2">#REF!,#REF!,#REF!,#REF!,#REF!,#REF!,#REF!,#REF!</definedName>
    <definedName name="A_ALL_SECTIONS_EQTY_200009618" localSheetId="12">#REF!,#REF!,#REF!,#REF!,#REF!,#REF!,#REF!,#REF!</definedName>
    <definedName name="A_ALL_SECTIONS_EQTY_200009618">#REF!,#REF!,#REF!,#REF!,#REF!,#REF!,#REF!,#REF!</definedName>
    <definedName name="A_ALL_SECTIONS_EQTY_200009619" localSheetId="2">#REF!,#REF!,#REF!,#REF!,#REF!,#REF!,#REF!,#REF!</definedName>
    <definedName name="A_ALL_SECTIONS_EQTY_200009619" localSheetId="12">#REF!,#REF!,#REF!,#REF!,#REF!,#REF!,#REF!,#REF!</definedName>
    <definedName name="A_ALL_SECTIONS_EQTY_200009619">#REF!,#REF!,#REF!,#REF!,#REF!,#REF!,#REF!,#REF!</definedName>
    <definedName name="A_ALL_SECTIONS_EQTY_200009620" localSheetId="2">#REF!,#REF!,#REF!,#REF!,#REF!,#REF!,#REF!,#REF!</definedName>
    <definedName name="A_ALL_SECTIONS_EQTY_200009620" localSheetId="12">#REF!,#REF!,#REF!,#REF!,#REF!,#REF!,#REF!,#REF!</definedName>
    <definedName name="A_ALL_SECTIONS_EQTY_200009620">#REF!,#REF!,#REF!,#REF!,#REF!,#REF!,#REF!,#REF!</definedName>
    <definedName name="A_ALL_SECTIONS_EQTY_200011295" localSheetId="2">#REF!,#REF!,#REF!,#REF!,#REF!,#REF!,#REF!,#REF!</definedName>
    <definedName name="A_ALL_SECTIONS_EQTY_200011295">#REF!,#REF!,#REF!,#REF!,#REF!,#REF!,#REF!,#REF!</definedName>
    <definedName name="A_ALL_SECTIONS_ISSR_208001092" localSheetId="2">#REF!,#REF!,#REF!,#REF!,#REF!,#REF!,#REF!,#REF!,#REF!,#REF!</definedName>
    <definedName name="A_ALL_SECTIONS_ISSR_208001092" localSheetId="12">#REF!,#REF!,#REF!,#REF!,#REF!,#REF!,#REF!,#REF!,#REF!,#REF!</definedName>
    <definedName name="A_ALL_SECTIONS_ISSR_208001092">#REF!,#REF!,#REF!,#REF!,#REF!,#REF!,#REF!,#REF!,#REF!,#REF!</definedName>
    <definedName name="A_ALL_SECTIONS_ISSR_208001096" localSheetId="2">#REF!,#REF!,#REF!,#REF!,#REF!,#REF!,#REF!,#REF!,#REF!,#REF!</definedName>
    <definedName name="A_ALL_SECTIONS_ISSR_208001096" localSheetId="12">#REF!,#REF!,#REF!,#REF!,#REF!,#REF!,#REF!,#REF!,#REF!,#REF!</definedName>
    <definedName name="A_ALL_SECTIONS_ISSR_208001096">#REF!,#REF!,#REF!,#REF!,#REF!,#REF!,#REF!,#REF!,#REF!,#REF!</definedName>
    <definedName name="A_ALL_SECTIONS_ISSR_208001098" localSheetId="2">#REF!,#REF!,#REF!,#REF!,#REF!,#REF!,#REF!,#REF!,#REF!,#REF!</definedName>
    <definedName name="A_ALL_SECTIONS_ISSR_208001098" localSheetId="12">#REF!,#REF!,#REF!,#REF!,#REF!,#REF!,#REF!,#REF!,#REF!,#REF!</definedName>
    <definedName name="A_ALL_SECTIONS_ISSR_208001098">#REF!,#REF!,#REF!,#REF!,#REF!,#REF!,#REF!,#REF!,#REF!,#REF!</definedName>
    <definedName name="A_ALL_SECTIONS_ISSR_208001100" localSheetId="2">#REF!,#REF!,#REF!,#REF!,#REF!,#REF!,#REF!,#REF!,#REF!,#REF!</definedName>
    <definedName name="A_ALL_SECTIONS_ISSR_208001100" localSheetId="12">#REF!,#REF!,#REF!,#REF!,#REF!,#REF!,#REF!,#REF!,#REF!,#REF!</definedName>
    <definedName name="A_ALL_SECTIONS_ISSR_208001100">#REF!,#REF!,#REF!,#REF!,#REF!,#REF!,#REF!,#REF!,#REF!,#REF!</definedName>
    <definedName name="A_ALL_SECTIONS_ISSR_208001129" localSheetId="2">#REF!,#REF!,#REF!,#REF!,#REF!,#REF!,#REF!,#REF!,#REF!,#REF!</definedName>
    <definedName name="A_ALL_SECTIONS_ISSR_208001129" localSheetId="12">#REF!,#REF!,#REF!,#REF!,#REF!,#REF!,#REF!,#REF!,#REF!,#REF!</definedName>
    <definedName name="A_ALL_SECTIONS_ISSR_208001129">#REF!,#REF!,#REF!,#REF!,#REF!,#REF!,#REF!,#REF!,#REF!,#REF!</definedName>
    <definedName name="A_ALL_SECTIONS_ISSR_208001433" localSheetId="2">#REF!,#REF!,#REF!,#REF!,#REF!,#REF!,#REF!,#REF!,#REF!,#REF!</definedName>
    <definedName name="A_ALL_SECTIONS_ISSR_208001433" localSheetId="12">#REF!,#REF!,#REF!,#REF!,#REF!,#REF!,#REF!,#REF!,#REF!,#REF!</definedName>
    <definedName name="A_ALL_SECTIONS_ISSR_208001433">#REF!,#REF!,#REF!,#REF!,#REF!,#REF!,#REF!,#REF!,#REF!,#REF!</definedName>
    <definedName name="A_ALL_SECTIONS_ISSR_208002861" localSheetId="2">#REF!,#REF!,#REF!,#REF!,#REF!,#REF!,#REF!,#REF!,#REF!,#REF!</definedName>
    <definedName name="A_ALL_SECTIONS_ISSR_208002861" localSheetId="12">#REF!,#REF!,#REF!,#REF!,#REF!,#REF!,#REF!,#REF!,#REF!,#REF!</definedName>
    <definedName name="A_ALL_SECTIONS_ISSR_208002861">#REF!,#REF!,#REF!,#REF!,#REF!,#REF!,#REF!,#REF!,#REF!,#REF!</definedName>
    <definedName name="A_ALL_SECTIONS_ISSR_208007413" localSheetId="2">#REF!,#REF!,#REF!,#REF!,#REF!,#REF!,#REF!,#REF!,#REF!,#REF!</definedName>
    <definedName name="A_ALL_SECTIONS_ISSR_208007413" localSheetId="12">#REF!,#REF!,#REF!,#REF!,#REF!,#REF!,#REF!,#REF!,#REF!,#REF!,#REF!,#REF!</definedName>
    <definedName name="A_ALL_SECTIONS_ISSR_208007413">#REF!,#REF!,#REF!,#REF!,#REF!,#REF!,#REF!,#REF!,#REF!,#REF!</definedName>
    <definedName name="A_ALL_SECTIONS_ISSR_208007414" localSheetId="2">#REF!,#REF!,#REF!,#REF!,#REF!,#REF!,#REF!,#REF!,#REF!</definedName>
    <definedName name="A_ALL_SECTIONS_ISSR_208007414" localSheetId="12">#REF!,#REF!,#REF!,#REF!,#REF!,#REF!,#REF!,#REF!,#REF!</definedName>
    <definedName name="A_ALL_SECTIONS_ISSR_208007414">#REF!,#REF!,#REF!,#REF!,#REF!,#REF!,#REF!,#REF!,#REF!</definedName>
    <definedName name="A_ALL_SECTIONS_ISSR_208007415" localSheetId="2">#REF!,#REF!,#REF!,#REF!,#REF!,#REF!,#REF!,#REF!,#REF!,#REF!</definedName>
    <definedName name="A_ALL_SECTIONS_ISSR_208007415" localSheetId="12">#REF!,#REF!,#REF!,#REF!,#REF!,#REF!,#REF!,#REF!,#REF!,#REF!</definedName>
    <definedName name="A_ALL_SECTIONS_ISSR_208007415">#REF!,#REF!,#REF!,#REF!,#REF!,#REF!,#REF!,#REF!,#REF!,#REF!</definedName>
    <definedName name="A_ALL_SECTIONS_ISSR_208008646" localSheetId="2">#REF!,#REF!,#REF!,#REF!,#REF!,#REF!,#REF!,#REF!,#REF!,#REF!</definedName>
    <definedName name="A_ALL_SECTIONS_ISSR_208008646">#REF!,#REF!,#REF!,#REF!,#REF!,#REF!,#REF!,#REF!,#REF!,#REF!</definedName>
    <definedName name="A_ALL_ULE.L" localSheetId="2">#REF!</definedName>
    <definedName name="A_ALL_ULE.L">#REF!</definedName>
    <definedName name="A_CURRENCY_EQTY_200007513_PRI" localSheetId="24">#REF!</definedName>
    <definedName name="A_CURRENCY_EQTY_200007513_PRI" localSheetId="18">#REF!</definedName>
    <definedName name="A_CURRENCY_EQTY_200007513_PRI" localSheetId="12">#REF!</definedName>
    <definedName name="A_CURRENCY_EQTY_200007513_PRI" localSheetId="23">#REF!</definedName>
    <definedName name="A_CURRENCY_EQTY_200007513_PRI" localSheetId="19">#REF!</definedName>
    <definedName name="A_CURRENCY_EQTY_200007513_PRI" localSheetId="21">#REF!</definedName>
    <definedName name="A_CURRENCY_EQTY_200007513_PRI">#REF!</definedName>
    <definedName name="A_CURRENCY_EQTY_200007513_PUB" localSheetId="24">#REF!</definedName>
    <definedName name="A_CURRENCY_EQTY_200007513_PUB" localSheetId="18">#REF!</definedName>
    <definedName name="A_CURRENCY_EQTY_200007513_PUB" localSheetId="12">#REF!</definedName>
    <definedName name="A_CURRENCY_EQTY_200007513_PUB" localSheetId="23">#REF!</definedName>
    <definedName name="A_CURRENCY_EQTY_200007513_PUB" localSheetId="19">#REF!</definedName>
    <definedName name="A_CURRENCY_EQTY_200007513_PUB" localSheetId="21">#REF!</definedName>
    <definedName name="A_CURRENCY_EQTY_200007513_PUB">#REF!</definedName>
    <definedName name="A_CURRENCY_EQTY_200007513_REP" localSheetId="24">#REF!</definedName>
    <definedName name="A_CURRENCY_EQTY_200007513_REP" localSheetId="18">#REF!</definedName>
    <definedName name="A_CURRENCY_EQTY_200007513_REP" localSheetId="12">#REF!</definedName>
    <definedName name="A_CURRENCY_EQTY_200007513_REP" localSheetId="23">#REF!</definedName>
    <definedName name="A_CURRENCY_EQTY_200007513_REP" localSheetId="19">#REF!</definedName>
    <definedName name="A_CURRENCY_EQTY_200007513_REP" localSheetId="21">#REF!</definedName>
    <definedName name="A_CURRENCY_EQTY_200007513_REP">#REF!</definedName>
    <definedName name="A_CURRENCY_ISSR_208002861_REP" localSheetId="24">#REF!</definedName>
    <definedName name="A_CURRENCY_ISSR_208002861_REP" localSheetId="18">#REF!</definedName>
    <definedName name="A_CURRENCY_ISSR_208002861_REP" localSheetId="12">#REF!</definedName>
    <definedName name="A_CURRENCY_ISSR_208002861_REP" localSheetId="23">#REF!</definedName>
    <definedName name="A_CURRENCY_ISSR_208002861_REP" localSheetId="19">#REF!</definedName>
    <definedName name="A_CURRENCY_ISSR_208002861_REP" localSheetId="21">#REF!</definedName>
    <definedName name="A_CURRENCY_ISSR_208002861_REP">#REF!</definedName>
    <definedName name="A_ENTITY_DATA_ISSR_208002861" localSheetId="24">#REF!</definedName>
    <definedName name="A_ENTITY_DATA_ISSR_208002861" localSheetId="18">#REF!</definedName>
    <definedName name="A_ENTITY_DATA_ISSR_208002861" localSheetId="12">#REF!</definedName>
    <definedName name="A_ENTITY_DATA_ISSR_208002861" localSheetId="23">#REF!</definedName>
    <definedName name="A_ENTITY_DATA_ISSR_208002861" localSheetId="19">#REF!</definedName>
    <definedName name="A_ENTITY_DATA_ISSR_208002861" localSheetId="21">#REF!</definedName>
    <definedName name="A_ENTITY_DATA_ISSR_208002861">#REF!</definedName>
    <definedName name="A_KEYWORD_EQTY_200007513_BETA_ANALYST" localSheetId="24">#REF!</definedName>
    <definedName name="A_KEYWORD_EQTY_200007513_BETA_ANALYST" localSheetId="18">#REF!</definedName>
    <definedName name="A_KEYWORD_EQTY_200007513_BETA_ANALYST" localSheetId="12">#REF!</definedName>
    <definedName name="A_KEYWORD_EQTY_200007513_BETA_ANALYST" localSheetId="23">#REF!</definedName>
    <definedName name="A_KEYWORD_EQTY_200007513_BETA_ANALYST" localSheetId="19">#REF!</definedName>
    <definedName name="A_KEYWORD_EQTY_200007513_BETA_ANALYST" localSheetId="21">#REF!</definedName>
    <definedName name="A_KEYWORD_EQTY_200007513_BETA_ANALYST">#REF!</definedName>
    <definedName name="A_KEYWORD_EQTY_200007513_BVPS" localSheetId="24">#REF!</definedName>
    <definedName name="A_KEYWORD_EQTY_200007513_BVPS" localSheetId="18">#REF!</definedName>
    <definedName name="A_KEYWORD_EQTY_200007513_BVPS" localSheetId="12">#REF!</definedName>
    <definedName name="A_KEYWORD_EQTY_200007513_BVPS" localSheetId="23">#REF!</definedName>
    <definedName name="A_KEYWORD_EQTY_200007513_BVPS" localSheetId="19">#REF!</definedName>
    <definedName name="A_KEYWORD_EQTY_200007513_BVPS" localSheetId="21">#REF!</definedName>
    <definedName name="A_KEYWORD_EQTY_200007513_BVPS">#REF!</definedName>
    <definedName name="A_KEYWORD_EQTY_200007513_BVPS_PUB" localSheetId="24">#REF!</definedName>
    <definedName name="A_KEYWORD_EQTY_200007513_BVPS_PUB" localSheetId="18">#REF!</definedName>
    <definedName name="A_KEYWORD_EQTY_200007513_BVPS_PUB" localSheetId="12">#REF!</definedName>
    <definedName name="A_KEYWORD_EQTY_200007513_BVPS_PUB" localSheetId="23">#REF!</definedName>
    <definedName name="A_KEYWORD_EQTY_200007513_BVPS_PUB" localSheetId="19">#REF!</definedName>
    <definedName name="A_KEYWORD_EQTY_200007513_BVPS_PUB" localSheetId="21">#REF!</definedName>
    <definedName name="A_KEYWORD_EQTY_200007513_BVPS_PUB">#REF!</definedName>
    <definedName name="A_KEYWORD_EQTY_200007513_CF_NI_PRE_PREF" localSheetId="24">#REF!</definedName>
    <definedName name="A_KEYWORD_EQTY_200007513_CF_NI_PRE_PREF" localSheetId="18">#REF!</definedName>
    <definedName name="A_KEYWORD_EQTY_200007513_CF_NI_PRE_PREF" localSheetId="12">#REF!</definedName>
    <definedName name="A_KEYWORD_EQTY_200007513_CF_NI_PRE_PREF" localSheetId="23">#REF!</definedName>
    <definedName name="A_KEYWORD_EQTY_200007513_CF_NI_PRE_PREF" localSheetId="19">#REF!</definedName>
    <definedName name="A_KEYWORD_EQTY_200007513_CF_NI_PRE_PREF" localSheetId="21">#REF!</definedName>
    <definedName name="A_KEYWORD_EQTY_200007513_CF_NI_PRE_PREF">#REF!</definedName>
    <definedName name="A_KEYWORD_EQTY_200007513_COMMON_DIV_PAID" localSheetId="24">#REF!</definedName>
    <definedName name="A_KEYWORD_EQTY_200007513_COMMON_DIV_PAID" localSheetId="18">#REF!</definedName>
    <definedName name="A_KEYWORD_EQTY_200007513_COMMON_DIV_PAID" localSheetId="12">#REF!</definedName>
    <definedName name="A_KEYWORD_EQTY_200007513_COMMON_DIV_PAID" localSheetId="23">#REF!</definedName>
    <definedName name="A_KEYWORD_EQTY_200007513_COMMON_DIV_PAID" localSheetId="19">#REF!</definedName>
    <definedName name="A_KEYWORD_EQTY_200007513_COMMON_DIV_PAID" localSheetId="21">#REF!</definedName>
    <definedName name="A_KEYWORD_EQTY_200007513_COMMON_DIV_PAID">#REF!</definedName>
    <definedName name="A_KEYWORD_EQTY_200007513_CURRENCY_ISO" localSheetId="24">#REF!</definedName>
    <definedName name="A_KEYWORD_EQTY_200007513_CURRENCY_ISO" localSheetId="18">#REF!</definedName>
    <definedName name="A_KEYWORD_EQTY_200007513_CURRENCY_ISO" localSheetId="12">#REF!</definedName>
    <definedName name="A_KEYWORD_EQTY_200007513_CURRENCY_ISO" localSheetId="23">#REF!</definedName>
    <definedName name="A_KEYWORD_EQTY_200007513_CURRENCY_ISO" localSheetId="19">#REF!</definedName>
    <definedName name="A_KEYWORD_EQTY_200007513_CURRENCY_ISO" localSheetId="21">#REF!</definedName>
    <definedName name="A_KEYWORD_EQTY_200007513_CURRENCY_ISO">#REF!</definedName>
    <definedName name="A_KEYWORD_EQTY_200007513_DILUTE_SHARES" localSheetId="24">#REF!</definedName>
    <definedName name="A_KEYWORD_EQTY_200007513_DILUTE_SHARES" localSheetId="18">#REF!</definedName>
    <definedName name="A_KEYWORD_EQTY_200007513_DILUTE_SHARES" localSheetId="12">#REF!</definedName>
    <definedName name="A_KEYWORD_EQTY_200007513_DILUTE_SHARES" localSheetId="23">#REF!</definedName>
    <definedName name="A_KEYWORD_EQTY_200007513_DILUTE_SHARES" localSheetId="19">#REF!</definedName>
    <definedName name="A_KEYWORD_EQTY_200007513_DILUTE_SHARES" localSheetId="21">#REF!</definedName>
    <definedName name="A_KEYWORD_EQTY_200007513_DILUTE_SHARES">#REF!</definedName>
    <definedName name="A_KEYWORD_EQTY_200007513_DPS" localSheetId="24">#REF!</definedName>
    <definedName name="A_KEYWORD_EQTY_200007513_DPS" localSheetId="18">#REF!</definedName>
    <definedName name="A_KEYWORD_EQTY_200007513_DPS" localSheetId="12">#REF!</definedName>
    <definedName name="A_KEYWORD_EQTY_200007513_DPS" localSheetId="23">#REF!</definedName>
    <definedName name="A_KEYWORD_EQTY_200007513_DPS" localSheetId="19">#REF!</definedName>
    <definedName name="A_KEYWORD_EQTY_200007513_DPS" localSheetId="21">#REF!</definedName>
    <definedName name="A_KEYWORD_EQTY_200007513_DPS">#REF!</definedName>
    <definedName name="A_KEYWORD_EQTY_200007513_DPS_PUB" localSheetId="24">#REF!</definedName>
    <definedName name="A_KEYWORD_EQTY_200007513_DPS_PUB" localSheetId="18">#REF!</definedName>
    <definedName name="A_KEYWORD_EQTY_200007513_DPS_PUB" localSheetId="12">#REF!</definedName>
    <definedName name="A_KEYWORD_EQTY_200007513_DPS_PUB" localSheetId="23">#REF!</definedName>
    <definedName name="A_KEYWORD_EQTY_200007513_DPS_PUB" localSheetId="19">#REF!</definedName>
    <definedName name="A_KEYWORD_EQTY_200007513_DPS_PUB" localSheetId="21">#REF!</definedName>
    <definedName name="A_KEYWORD_EQTY_200007513_DPS_PUB">#REF!</definedName>
    <definedName name="A_KEYWORD_EQTY_200007513_EBIT_PUB" localSheetId="24">#REF!</definedName>
    <definedName name="A_KEYWORD_EQTY_200007513_EBIT_PUB" localSheetId="18">#REF!</definedName>
    <definedName name="A_KEYWORD_EQTY_200007513_EBIT_PUB" localSheetId="12">#REF!</definedName>
    <definedName name="A_KEYWORD_EQTY_200007513_EBIT_PUB" localSheetId="23">#REF!</definedName>
    <definedName name="A_KEYWORD_EQTY_200007513_EBIT_PUB" localSheetId="19">#REF!</definedName>
    <definedName name="A_KEYWORD_EQTY_200007513_EBIT_PUB" localSheetId="21">#REF!</definedName>
    <definedName name="A_KEYWORD_EQTY_200007513_EBIT_PUB">#REF!</definedName>
    <definedName name="A_KEYWORD_EQTY_200007513_EBITDA_PUB" localSheetId="24">#REF!</definedName>
    <definedName name="A_KEYWORD_EQTY_200007513_EBITDA_PUB" localSheetId="18">#REF!</definedName>
    <definedName name="A_KEYWORD_EQTY_200007513_EBITDA_PUB" localSheetId="12">#REF!</definedName>
    <definedName name="A_KEYWORD_EQTY_200007513_EBITDA_PUB" localSheetId="23">#REF!</definedName>
    <definedName name="A_KEYWORD_EQTY_200007513_EBITDA_PUB" localSheetId="19">#REF!</definedName>
    <definedName name="A_KEYWORD_EQTY_200007513_EBITDA_PUB" localSheetId="21">#REF!</definedName>
    <definedName name="A_KEYWORD_EQTY_200007513_EBITDA_PUB">#REF!</definedName>
    <definedName name="A_KEYWORD_EQTY_200007513_EPS" localSheetId="24">#REF!</definedName>
    <definedName name="A_KEYWORD_EQTY_200007513_EPS" localSheetId="18">#REF!</definedName>
    <definedName name="A_KEYWORD_EQTY_200007513_EPS" localSheetId="12">#REF!</definedName>
    <definedName name="A_KEYWORD_EQTY_200007513_EPS" localSheetId="23">#REF!</definedName>
    <definedName name="A_KEYWORD_EQTY_200007513_EPS" localSheetId="19">#REF!</definedName>
    <definedName name="A_KEYWORD_EQTY_200007513_EPS" localSheetId="21">#REF!</definedName>
    <definedName name="A_KEYWORD_EQTY_200007513_EPS">#REF!</definedName>
    <definedName name="A_KEYWORD_EQTY_200007513_EPS_FUL_DIL" localSheetId="24">#REF!</definedName>
    <definedName name="A_KEYWORD_EQTY_200007513_EPS_FUL_DIL" localSheetId="18">#REF!</definedName>
    <definedName name="A_KEYWORD_EQTY_200007513_EPS_FUL_DIL" localSheetId="12">#REF!</definedName>
    <definedName name="A_KEYWORD_EQTY_200007513_EPS_FUL_DIL" localSheetId="23">#REF!</definedName>
    <definedName name="A_KEYWORD_EQTY_200007513_EPS_FUL_DIL" localSheetId="19">#REF!</definedName>
    <definedName name="A_KEYWORD_EQTY_200007513_EPS_FUL_DIL" localSheetId="21">#REF!</definedName>
    <definedName name="A_KEYWORD_EQTY_200007513_EPS_FUL_DIL">#REF!</definedName>
    <definedName name="A_KEYWORD_EQTY_200007513_EPS_POST_BASIC" localSheetId="24">#REF!</definedName>
    <definedName name="A_KEYWORD_EQTY_200007513_EPS_POST_BASIC" localSheetId="18">#REF!</definedName>
    <definedName name="A_KEYWORD_EQTY_200007513_EPS_POST_BASIC" localSheetId="12">#REF!</definedName>
    <definedName name="A_KEYWORD_EQTY_200007513_EPS_POST_BASIC" localSheetId="23">#REF!</definedName>
    <definedName name="A_KEYWORD_EQTY_200007513_EPS_POST_BASIC" localSheetId="19">#REF!</definedName>
    <definedName name="A_KEYWORD_EQTY_200007513_EPS_POST_BASIC" localSheetId="21">#REF!</definedName>
    <definedName name="A_KEYWORD_EQTY_200007513_EPS_POST_BASIC">#REF!</definedName>
    <definedName name="A_KEYWORD_EQTY_200007513_EPS_PUB" localSheetId="24">#REF!</definedName>
    <definedName name="A_KEYWORD_EQTY_200007513_EPS_PUB" localSheetId="18">#REF!</definedName>
    <definedName name="A_KEYWORD_EQTY_200007513_EPS_PUB" localSheetId="12">#REF!</definedName>
    <definedName name="A_KEYWORD_EQTY_200007513_EPS_PUB" localSheetId="23">#REF!</definedName>
    <definedName name="A_KEYWORD_EQTY_200007513_EPS_PUB" localSheetId="19">#REF!</definedName>
    <definedName name="A_KEYWORD_EQTY_200007513_EPS_PUB" localSheetId="21">#REF!</definedName>
    <definedName name="A_KEYWORD_EQTY_200007513_EPS_PUB">#REF!</definedName>
    <definedName name="A_KEYWORD_EQTY_200007513_EQ_PUB" localSheetId="24">#REF!</definedName>
    <definedName name="A_KEYWORD_EQTY_200007513_EQ_PUB" localSheetId="18">#REF!</definedName>
    <definedName name="A_KEYWORD_EQTY_200007513_EQ_PUB" localSheetId="12">#REF!</definedName>
    <definedName name="A_KEYWORD_EQTY_200007513_EQ_PUB" localSheetId="23">#REF!</definedName>
    <definedName name="A_KEYWORD_EQTY_200007513_EQ_PUB" localSheetId="19">#REF!</definedName>
    <definedName name="A_KEYWORD_EQTY_200007513_EQ_PUB" localSheetId="21">#REF!</definedName>
    <definedName name="A_KEYWORD_EQTY_200007513_EQ_PUB">#REF!</definedName>
    <definedName name="A_KEYWORD_EQTY_200007513_EURO_CONVICTION" localSheetId="24">#REF!</definedName>
    <definedName name="A_KEYWORD_EQTY_200007513_EURO_CONVICTION" localSheetId="18">#REF!</definedName>
    <definedName name="A_KEYWORD_EQTY_200007513_EURO_CONVICTION" localSheetId="12">#REF!</definedName>
    <definedName name="A_KEYWORD_EQTY_200007513_EURO_CONVICTION" localSheetId="23">#REF!</definedName>
    <definedName name="A_KEYWORD_EQTY_200007513_EURO_CONVICTION" localSheetId="19">#REF!</definedName>
    <definedName name="A_KEYWORD_EQTY_200007513_EURO_CONVICTION" localSheetId="21">#REF!</definedName>
    <definedName name="A_KEYWORD_EQTY_200007513_EURO_CONVICTION">#REF!</definedName>
    <definedName name="A_KEYWORD_EQTY_200007513_EURO_LIST" localSheetId="24">#REF!</definedName>
    <definedName name="A_KEYWORD_EQTY_200007513_EURO_LIST" localSheetId="18">#REF!</definedName>
    <definedName name="A_KEYWORD_EQTY_200007513_EURO_LIST" localSheetId="12">#REF!</definedName>
    <definedName name="A_KEYWORD_EQTY_200007513_EURO_LIST" localSheetId="23">#REF!</definedName>
    <definedName name="A_KEYWORD_EQTY_200007513_EURO_LIST" localSheetId="19">#REF!</definedName>
    <definedName name="A_KEYWORD_EQTY_200007513_EURO_LIST" localSheetId="21">#REF!</definedName>
    <definedName name="A_KEYWORD_EQTY_200007513_EURO_LIST">#REF!</definedName>
    <definedName name="A_KEYWORD_EQTY_200007513_EV_ADJ_PUB" localSheetId="24">#REF!</definedName>
    <definedName name="A_KEYWORD_EQTY_200007513_EV_ADJ_PUB" localSheetId="18">#REF!</definedName>
    <definedName name="A_KEYWORD_EQTY_200007513_EV_ADJ_PUB" localSheetId="12">#REF!</definedName>
    <definedName name="A_KEYWORD_EQTY_200007513_EV_ADJ_PUB" localSheetId="23">#REF!</definedName>
    <definedName name="A_KEYWORD_EQTY_200007513_EV_ADJ_PUB" localSheetId="19">#REF!</definedName>
    <definedName name="A_KEYWORD_EQTY_200007513_EV_ADJ_PUB" localSheetId="21">#REF!</definedName>
    <definedName name="A_KEYWORD_EQTY_200007513_EV_ADJ_PUB">#REF!</definedName>
    <definedName name="A_KEYWORD_EQTY_200007513_FREE_FLOAT" localSheetId="24">#REF!</definedName>
    <definedName name="A_KEYWORD_EQTY_200007513_FREE_FLOAT" localSheetId="18">#REF!</definedName>
    <definedName name="A_KEYWORD_EQTY_200007513_FREE_FLOAT" localSheetId="12">#REF!</definedName>
    <definedName name="A_KEYWORD_EQTY_200007513_FREE_FLOAT" localSheetId="23">#REF!</definedName>
    <definedName name="A_KEYWORD_EQTY_200007513_FREE_FLOAT" localSheetId="19">#REF!</definedName>
    <definedName name="A_KEYWORD_EQTY_200007513_FREE_FLOAT" localSheetId="21">#REF!</definedName>
    <definedName name="A_KEYWORD_EQTY_200007513_FREE_FLOAT">#REF!</definedName>
    <definedName name="A_KEYWORD_EQTY_200007513_FULLY_DIL_EPS" localSheetId="24">#REF!</definedName>
    <definedName name="A_KEYWORD_EQTY_200007513_FULLY_DIL_EPS" localSheetId="18">#REF!</definedName>
    <definedName name="A_KEYWORD_EQTY_200007513_FULLY_DIL_EPS" localSheetId="12">#REF!</definedName>
    <definedName name="A_KEYWORD_EQTY_200007513_FULLY_DIL_EPS" localSheetId="23">#REF!</definedName>
    <definedName name="A_KEYWORD_EQTY_200007513_FULLY_DIL_EPS" localSheetId="19">#REF!</definedName>
    <definedName name="A_KEYWORD_EQTY_200007513_FULLY_DIL_EPS" localSheetId="21">#REF!</definedName>
    <definedName name="A_KEYWORD_EQTY_200007513_FULLY_DIL_EPS">#REF!</definedName>
    <definedName name="A_KEYWORD_EQTY_200007513_INC_MINORITY" localSheetId="24">#REF!</definedName>
    <definedName name="A_KEYWORD_EQTY_200007513_INC_MINORITY" localSheetId="18">#REF!</definedName>
    <definedName name="A_KEYWORD_EQTY_200007513_INC_MINORITY" localSheetId="12">#REF!</definedName>
    <definedName name="A_KEYWORD_EQTY_200007513_INC_MINORITY" localSheetId="23">#REF!</definedName>
    <definedName name="A_KEYWORD_EQTY_200007513_INC_MINORITY" localSheetId="19">#REF!</definedName>
    <definedName name="A_KEYWORD_EQTY_200007513_INC_MINORITY" localSheetId="21">#REF!</definedName>
    <definedName name="A_KEYWORD_EQTY_200007513_INC_MINORITY">#REF!</definedName>
    <definedName name="A_KEYWORD_EQTY_200007513_Interim_Type" localSheetId="24">#REF!</definedName>
    <definedName name="A_KEYWORD_EQTY_200007513_Interim_Type" localSheetId="18">#REF!</definedName>
    <definedName name="A_KEYWORD_EQTY_200007513_Interim_Type" localSheetId="12">#REF!</definedName>
    <definedName name="A_KEYWORD_EQTY_200007513_Interim_Type" localSheetId="23">#REF!</definedName>
    <definedName name="A_KEYWORD_EQTY_200007513_Interim_Type" localSheetId="19">#REF!</definedName>
    <definedName name="A_KEYWORD_EQTY_200007513_Interim_Type" localSheetId="21">#REF!</definedName>
    <definedName name="A_KEYWORD_EQTY_200007513_Interim_Type">#REF!</definedName>
    <definedName name="A_KEYWORD_EQTY_200007513_LEGAL_RATING" localSheetId="24">#REF!</definedName>
    <definedName name="A_KEYWORD_EQTY_200007513_LEGAL_RATING" localSheetId="18">#REF!</definedName>
    <definedName name="A_KEYWORD_EQTY_200007513_LEGAL_RATING" localSheetId="12">#REF!</definedName>
    <definedName name="A_KEYWORD_EQTY_200007513_LEGAL_RATING" localSheetId="23">#REF!</definedName>
    <definedName name="A_KEYWORD_EQTY_200007513_LEGAL_RATING" localSheetId="19">#REF!</definedName>
    <definedName name="A_KEYWORD_EQTY_200007513_LEGAL_RATING" localSheetId="21">#REF!</definedName>
    <definedName name="A_KEYWORD_EQTY_200007513_LEGAL_RATING">#REF!</definedName>
    <definedName name="A_KEYWORD_EQTY_200007513_MARGIN_TAX_RATE" localSheetId="24">#REF!</definedName>
    <definedName name="A_KEYWORD_EQTY_200007513_MARGIN_TAX_RATE" localSheetId="18">#REF!</definedName>
    <definedName name="A_KEYWORD_EQTY_200007513_MARGIN_TAX_RATE" localSheetId="12">#REF!</definedName>
    <definedName name="A_KEYWORD_EQTY_200007513_MARGIN_TAX_RATE" localSheetId="23">#REF!</definedName>
    <definedName name="A_KEYWORD_EQTY_200007513_MARGIN_TAX_RATE" localSheetId="19">#REF!</definedName>
    <definedName name="A_KEYWORD_EQTY_200007513_MARGIN_TAX_RATE" localSheetId="21">#REF!</definedName>
    <definedName name="A_KEYWORD_EQTY_200007513_MARGIN_TAX_RATE">#REF!</definedName>
    <definedName name="A_KEYWORD_EQTY_200007513_MKT_EQ_RISK_PREM" localSheetId="24">#REF!</definedName>
    <definedName name="A_KEYWORD_EQTY_200007513_MKT_EQ_RISK_PREM" localSheetId="18">#REF!</definedName>
    <definedName name="A_KEYWORD_EQTY_200007513_MKT_EQ_RISK_PREM" localSheetId="12">#REF!</definedName>
    <definedName name="A_KEYWORD_EQTY_200007513_MKT_EQ_RISK_PREM" localSheetId="23">#REF!</definedName>
    <definedName name="A_KEYWORD_EQTY_200007513_MKT_EQ_RISK_PREM" localSheetId="19">#REF!</definedName>
    <definedName name="A_KEYWORD_EQTY_200007513_MKT_EQ_RISK_PREM" localSheetId="21">#REF!</definedName>
    <definedName name="A_KEYWORD_EQTY_200007513_MKT_EQ_RISK_PREM">#REF!</definedName>
    <definedName name="A_KEYWORD_EQTY_200007513_NET_DEBT_PUB" localSheetId="24">#REF!</definedName>
    <definedName name="A_KEYWORD_EQTY_200007513_NET_DEBT_PUB" localSheetId="18">#REF!</definedName>
    <definedName name="A_KEYWORD_EQTY_200007513_NET_DEBT_PUB" localSheetId="12">#REF!</definedName>
    <definedName name="A_KEYWORD_EQTY_200007513_NET_DEBT_PUB" localSheetId="23">#REF!</definedName>
    <definedName name="A_KEYWORD_EQTY_200007513_NET_DEBT_PUB" localSheetId="19">#REF!</definedName>
    <definedName name="A_KEYWORD_EQTY_200007513_NET_DEBT_PUB" localSheetId="21">#REF!</definedName>
    <definedName name="A_KEYWORD_EQTY_200007513_NET_DEBT_PUB">#REF!</definedName>
    <definedName name="A_KEYWORD_EQTY_200007513_NET_EARNING" localSheetId="24">#REF!</definedName>
    <definedName name="A_KEYWORD_EQTY_200007513_NET_EARNING" localSheetId="18">#REF!</definedName>
    <definedName name="A_KEYWORD_EQTY_200007513_NET_EARNING" localSheetId="12">#REF!</definedName>
    <definedName name="A_KEYWORD_EQTY_200007513_NET_EARNING" localSheetId="23">#REF!</definedName>
    <definedName name="A_KEYWORD_EQTY_200007513_NET_EARNING" localSheetId="19">#REF!</definedName>
    <definedName name="A_KEYWORD_EQTY_200007513_NET_EARNING" localSheetId="21">#REF!</definedName>
    <definedName name="A_KEYWORD_EQTY_200007513_NET_EARNING">#REF!</definedName>
    <definedName name="A_KEYWORD_EQTY_200007513_NET_INC" localSheetId="24">#REF!</definedName>
    <definedName name="A_KEYWORD_EQTY_200007513_NET_INC" localSheetId="18">#REF!</definedName>
    <definedName name="A_KEYWORD_EQTY_200007513_NET_INC" localSheetId="12">#REF!</definedName>
    <definedName name="A_KEYWORD_EQTY_200007513_NET_INC" localSheetId="23">#REF!</definedName>
    <definedName name="A_KEYWORD_EQTY_200007513_NET_INC" localSheetId="19">#REF!</definedName>
    <definedName name="A_KEYWORD_EQTY_200007513_NET_INC" localSheetId="21">#REF!</definedName>
    <definedName name="A_KEYWORD_EQTY_200007513_NET_INC">#REF!</definedName>
    <definedName name="A_KEYWORD_EQTY_200007513_NI_PRE_PREF" localSheetId="24">#REF!</definedName>
    <definedName name="A_KEYWORD_EQTY_200007513_NI_PRE_PREF" localSheetId="18">#REF!</definedName>
    <definedName name="A_KEYWORD_EQTY_200007513_NI_PRE_PREF" localSheetId="12">#REF!</definedName>
    <definedName name="A_KEYWORD_EQTY_200007513_NI_PRE_PREF" localSheetId="23">#REF!</definedName>
    <definedName name="A_KEYWORD_EQTY_200007513_NI_PRE_PREF" localSheetId="19">#REF!</definedName>
    <definedName name="A_KEYWORD_EQTY_200007513_NI_PRE_PREF" localSheetId="21">#REF!</definedName>
    <definedName name="A_KEYWORD_EQTY_200007513_NI_PRE_PREF">#REF!</definedName>
    <definedName name="A_KEYWORD_EQTY_200007513_NI_PUB" localSheetId="24">#REF!</definedName>
    <definedName name="A_KEYWORD_EQTY_200007513_NI_PUB" localSheetId="18">#REF!</definedName>
    <definedName name="A_KEYWORD_EQTY_200007513_NI_PUB" localSheetId="12">#REF!</definedName>
    <definedName name="A_KEYWORD_EQTY_200007513_NI_PUB" localSheetId="23">#REF!</definedName>
    <definedName name="A_KEYWORD_EQTY_200007513_NI_PUB" localSheetId="19">#REF!</definedName>
    <definedName name="A_KEYWORD_EQTY_200007513_NI_PUB" localSheetId="21">#REF!</definedName>
    <definedName name="A_KEYWORD_EQTY_200007513_NI_PUB">#REF!</definedName>
    <definedName name="A_KEYWORD_EQTY_200007513_NON_OP_ADD" localSheetId="24">#REF!</definedName>
    <definedName name="A_KEYWORD_EQTY_200007513_NON_OP_ADD" localSheetId="18">#REF!</definedName>
    <definedName name="A_KEYWORD_EQTY_200007513_NON_OP_ADD" localSheetId="12">#REF!</definedName>
    <definedName name="A_KEYWORD_EQTY_200007513_NON_OP_ADD" localSheetId="23">#REF!</definedName>
    <definedName name="A_KEYWORD_EQTY_200007513_NON_OP_ADD" localSheetId="19">#REF!</definedName>
    <definedName name="A_KEYWORD_EQTY_200007513_NON_OP_ADD" localSheetId="21">#REF!</definedName>
    <definedName name="A_KEYWORD_EQTY_200007513_NON_OP_ADD">#REF!</definedName>
    <definedName name="A_KEYWORD_EQTY_200007513_NUM_SH" localSheetId="24">#REF!</definedName>
    <definedName name="A_KEYWORD_EQTY_200007513_NUM_SH" localSheetId="18">#REF!</definedName>
    <definedName name="A_KEYWORD_EQTY_200007513_NUM_SH" localSheetId="12">#REF!</definedName>
    <definedName name="A_KEYWORD_EQTY_200007513_NUM_SH" localSheetId="23">#REF!</definedName>
    <definedName name="A_KEYWORD_EQTY_200007513_NUM_SH" localSheetId="19">#REF!</definedName>
    <definedName name="A_KEYWORD_EQTY_200007513_NUM_SH" localSheetId="21">#REF!</definedName>
    <definedName name="A_KEYWORD_EQTY_200007513_NUM_SH">#REF!</definedName>
    <definedName name="A_KEYWORD_EQTY_200007513_ORG_EPS" localSheetId="24">#REF!</definedName>
    <definedName name="A_KEYWORD_EQTY_200007513_ORG_EPS" localSheetId="18">#REF!</definedName>
    <definedName name="A_KEYWORD_EQTY_200007513_ORG_EPS" localSheetId="12">#REF!</definedName>
    <definedName name="A_KEYWORD_EQTY_200007513_ORG_EPS" localSheetId="23">#REF!</definedName>
    <definedName name="A_KEYWORD_EQTY_200007513_ORG_EPS" localSheetId="19">#REF!</definedName>
    <definedName name="A_KEYWORD_EQTY_200007513_ORG_EPS" localSheetId="21">#REF!</definedName>
    <definedName name="A_KEYWORD_EQTY_200007513_ORG_EPS">#REF!</definedName>
    <definedName name="A_KEYWORD_EQTY_200007513_ORG_NI" localSheetId="24">#REF!</definedName>
    <definedName name="A_KEYWORD_EQTY_200007513_ORG_NI" localSheetId="18">#REF!</definedName>
    <definedName name="A_KEYWORD_EQTY_200007513_ORG_NI" localSheetId="12">#REF!</definedName>
    <definedName name="A_KEYWORD_EQTY_200007513_ORG_NI" localSheetId="23">#REF!</definedName>
    <definedName name="A_KEYWORD_EQTY_200007513_ORG_NI" localSheetId="19">#REF!</definedName>
    <definedName name="A_KEYWORD_EQTY_200007513_ORG_NI" localSheetId="21">#REF!</definedName>
    <definedName name="A_KEYWORD_EQTY_200007513_ORG_NI">#REF!</definedName>
    <definedName name="A_KEYWORD_EQTY_200007513_PREF_DIV" localSheetId="24">#REF!</definedName>
    <definedName name="A_KEYWORD_EQTY_200007513_PREF_DIV" localSheetId="18">#REF!</definedName>
    <definedName name="A_KEYWORD_EQTY_200007513_PREF_DIV" localSheetId="12">#REF!</definedName>
    <definedName name="A_KEYWORD_EQTY_200007513_PREF_DIV" localSheetId="23">#REF!</definedName>
    <definedName name="A_KEYWORD_EQTY_200007513_PREF_DIV" localSheetId="19">#REF!</definedName>
    <definedName name="A_KEYWORD_EQTY_200007513_PREF_DIV" localSheetId="21">#REF!</definedName>
    <definedName name="A_KEYWORD_EQTY_200007513_PREF_DIV">#REF!</definedName>
    <definedName name="A_KEYWORD_EQTY_200007513_PRICE_CURRENCY_ISO" localSheetId="24">#REF!</definedName>
    <definedName name="A_KEYWORD_EQTY_200007513_PRICE_CURRENCY_ISO" localSheetId="18">#REF!</definedName>
    <definedName name="A_KEYWORD_EQTY_200007513_PRICE_CURRENCY_ISO" localSheetId="12">#REF!</definedName>
    <definedName name="A_KEYWORD_EQTY_200007513_PRICE_CURRENCY_ISO" localSheetId="23">#REF!</definedName>
    <definedName name="A_KEYWORD_EQTY_200007513_PRICE_CURRENCY_ISO" localSheetId="19">#REF!</definedName>
    <definedName name="A_KEYWORD_EQTY_200007513_PRICE_CURRENCY_ISO" localSheetId="21">#REF!</definedName>
    <definedName name="A_KEYWORD_EQTY_200007513_PRICE_CURRENCY_ISO">#REF!</definedName>
    <definedName name="A_KEYWORD_EQTY_200007513_PROV_INC_TAX" localSheetId="24">#REF!</definedName>
    <definedName name="A_KEYWORD_EQTY_200007513_PROV_INC_TAX" localSheetId="18">#REF!</definedName>
    <definedName name="A_KEYWORD_EQTY_200007513_PROV_INC_TAX" localSheetId="12">#REF!</definedName>
    <definedName name="A_KEYWORD_EQTY_200007513_PROV_INC_TAX" localSheetId="23">#REF!</definedName>
    <definedName name="A_KEYWORD_EQTY_200007513_PROV_INC_TAX" localSheetId="19">#REF!</definedName>
    <definedName name="A_KEYWORD_EQTY_200007513_PROV_INC_TAX" localSheetId="21">#REF!</definedName>
    <definedName name="A_KEYWORD_EQTY_200007513_PROV_INC_TAX">#REF!</definedName>
    <definedName name="A_KEYWORD_EQTY_200007513_PTP_PUB" localSheetId="24">#REF!</definedName>
    <definedName name="A_KEYWORD_EQTY_200007513_PTP_PUB" localSheetId="18">#REF!</definedName>
    <definedName name="A_KEYWORD_EQTY_200007513_PTP_PUB" localSheetId="12">#REF!</definedName>
    <definedName name="A_KEYWORD_EQTY_200007513_PTP_PUB" localSheetId="23">#REF!</definedName>
    <definedName name="A_KEYWORD_EQTY_200007513_PTP_PUB" localSheetId="19">#REF!</definedName>
    <definedName name="A_KEYWORD_EQTY_200007513_PTP_PUB" localSheetId="21">#REF!</definedName>
    <definedName name="A_KEYWORD_EQTY_200007513_PTP_PUB">#REF!</definedName>
    <definedName name="A_KEYWORD_EQTY_200007513_PUB_CURRENCY_ISO" localSheetId="24">#REF!</definedName>
    <definedName name="A_KEYWORD_EQTY_200007513_PUB_CURRENCY_ISO" localSheetId="18">#REF!</definedName>
    <definedName name="A_KEYWORD_EQTY_200007513_PUB_CURRENCY_ISO" localSheetId="12">#REF!</definedName>
    <definedName name="A_KEYWORD_EQTY_200007513_PUB_CURRENCY_ISO" localSheetId="23">#REF!</definedName>
    <definedName name="A_KEYWORD_EQTY_200007513_PUB_CURRENCY_ISO" localSheetId="19">#REF!</definedName>
    <definedName name="A_KEYWORD_EQTY_200007513_PUB_CURRENCY_ISO" localSheetId="21">#REF!</definedName>
    <definedName name="A_KEYWORD_EQTY_200007513_PUB_CURRENCY_ISO">#REF!</definedName>
    <definedName name="A_KEYWORD_EQTY_200007513_REVS_PUB" localSheetId="24">#REF!</definedName>
    <definedName name="A_KEYWORD_EQTY_200007513_REVS_PUB" localSheetId="18">#REF!</definedName>
    <definedName name="A_KEYWORD_EQTY_200007513_REVS_PUB" localSheetId="12">#REF!</definedName>
    <definedName name="A_KEYWORD_EQTY_200007513_REVS_PUB" localSheetId="23">#REF!</definedName>
    <definedName name="A_KEYWORD_EQTY_200007513_REVS_PUB" localSheetId="19">#REF!</definedName>
    <definedName name="A_KEYWORD_EQTY_200007513_REVS_PUB" localSheetId="21">#REF!</definedName>
    <definedName name="A_KEYWORD_EQTY_200007513_REVS_PUB">#REF!</definedName>
    <definedName name="A_KEYWORD_EQTY_200007513_RISK_FR_RATE" localSheetId="24">#REF!</definedName>
    <definedName name="A_KEYWORD_EQTY_200007513_RISK_FR_RATE" localSheetId="18">#REF!</definedName>
    <definedName name="A_KEYWORD_EQTY_200007513_RISK_FR_RATE" localSheetId="12">#REF!</definedName>
    <definedName name="A_KEYWORD_EQTY_200007513_RISK_FR_RATE" localSheetId="23">#REF!</definedName>
    <definedName name="A_KEYWORD_EQTY_200007513_RISK_FR_RATE" localSheetId="19">#REF!</definedName>
    <definedName name="A_KEYWORD_EQTY_200007513_RISK_FR_RATE" localSheetId="21">#REF!</definedName>
    <definedName name="A_KEYWORD_EQTY_200007513_RISK_FR_RATE">#REF!</definedName>
    <definedName name="A_KEYWORD_EQTY_200007513_Security_Name" localSheetId="24">#REF!</definedName>
    <definedName name="A_KEYWORD_EQTY_200007513_Security_Name" localSheetId="18">#REF!</definedName>
    <definedName name="A_KEYWORD_EQTY_200007513_Security_Name" localSheetId="12">#REF!</definedName>
    <definedName name="A_KEYWORD_EQTY_200007513_Security_Name" localSheetId="23">#REF!</definedName>
    <definedName name="A_KEYWORD_EQTY_200007513_Security_Name" localSheetId="19">#REF!</definedName>
    <definedName name="A_KEYWORD_EQTY_200007513_Security_Name" localSheetId="21">#REF!</definedName>
    <definedName name="A_KEYWORD_EQTY_200007513_Security_Name">#REF!</definedName>
    <definedName name="A_KEYWORD_EQTY_200007513_SH" localSheetId="24">#REF!</definedName>
    <definedName name="A_KEYWORD_EQTY_200007513_SH" localSheetId="18">#REF!</definedName>
    <definedName name="A_KEYWORD_EQTY_200007513_SH" localSheetId="12">#REF!</definedName>
    <definedName name="A_KEYWORD_EQTY_200007513_SH" localSheetId="23">#REF!</definedName>
    <definedName name="A_KEYWORD_EQTY_200007513_SH" localSheetId="19">#REF!</definedName>
    <definedName name="A_KEYWORD_EQTY_200007513_SH" localSheetId="21">#REF!</definedName>
    <definedName name="A_KEYWORD_EQTY_200007513_SH">#REF!</definedName>
    <definedName name="A_KEYWORD_EQTY_200007513_TARGET_PRICE" localSheetId="24">#REF!</definedName>
    <definedName name="A_KEYWORD_EQTY_200007513_TARGET_PRICE" localSheetId="18">#REF!</definedName>
    <definedName name="A_KEYWORD_EQTY_200007513_TARGET_PRICE" localSheetId="12">#REF!</definedName>
    <definedName name="A_KEYWORD_EQTY_200007513_TARGET_PRICE" localSheetId="23">#REF!</definedName>
    <definedName name="A_KEYWORD_EQTY_200007513_TARGET_PRICE" localSheetId="19">#REF!</definedName>
    <definedName name="A_KEYWORD_EQTY_200007513_TARGET_PRICE" localSheetId="21">#REF!</definedName>
    <definedName name="A_KEYWORD_EQTY_200007513_TARGET_PRICE">#REF!</definedName>
    <definedName name="A_KEYWORD_EQTY_200007513_TAX_EXC" localSheetId="24">#REF!</definedName>
    <definedName name="A_KEYWORD_EQTY_200007513_TAX_EXC" localSheetId="18">#REF!</definedName>
    <definedName name="A_KEYWORD_EQTY_200007513_TAX_EXC" localSheetId="12">#REF!</definedName>
    <definedName name="A_KEYWORD_EQTY_200007513_TAX_EXC" localSheetId="23">#REF!</definedName>
    <definedName name="A_KEYWORD_EQTY_200007513_TAX_EXC" localSheetId="19">#REF!</definedName>
    <definedName name="A_KEYWORD_EQTY_200007513_TAX_EXC" localSheetId="21">#REF!</definedName>
    <definedName name="A_KEYWORD_EQTY_200007513_TAX_EXC">#REF!</definedName>
    <definedName name="A_KEYWORD_EQTY_200007513_Ticker" localSheetId="24">#REF!</definedName>
    <definedName name="A_KEYWORD_EQTY_200007513_Ticker" localSheetId="18">#REF!</definedName>
    <definedName name="A_KEYWORD_EQTY_200007513_Ticker" localSheetId="12">#REF!</definedName>
    <definedName name="A_KEYWORD_EQTY_200007513_Ticker" localSheetId="23">#REF!</definedName>
    <definedName name="A_KEYWORD_EQTY_200007513_Ticker" localSheetId="19">#REF!</definedName>
    <definedName name="A_KEYWORD_EQTY_200007513_Ticker" localSheetId="21">#REF!</definedName>
    <definedName name="A_KEYWORD_EQTY_200007513_Ticker">#REF!</definedName>
    <definedName name="A_KEYWORD_EQTY_200007513_TP_PERIOD" localSheetId="24">#REF!</definedName>
    <definedName name="A_KEYWORD_EQTY_200007513_TP_PERIOD" localSheetId="18">#REF!</definedName>
    <definedName name="A_KEYWORD_EQTY_200007513_TP_PERIOD" localSheetId="12">#REF!</definedName>
    <definedName name="A_KEYWORD_EQTY_200007513_TP_PERIOD" localSheetId="23">#REF!</definedName>
    <definedName name="A_KEYWORD_EQTY_200007513_TP_PERIOD" localSheetId="19">#REF!</definedName>
    <definedName name="A_KEYWORD_EQTY_200007513_TP_PERIOD" localSheetId="21">#REF!</definedName>
    <definedName name="A_KEYWORD_EQTY_200007513_TP_PERIOD">#REF!</definedName>
    <definedName name="A_KEYWORD_ISSR_208002861_ACC_AMORT" localSheetId="24">#REF!</definedName>
    <definedName name="A_KEYWORD_ISSR_208002861_ACC_AMORT" localSheetId="18">#REF!</definedName>
    <definedName name="A_KEYWORD_ISSR_208002861_ACC_AMORT" localSheetId="12">#REF!</definedName>
    <definedName name="A_KEYWORD_ISSR_208002861_ACC_AMORT" localSheetId="23">#REF!</definedName>
    <definedName name="A_KEYWORD_ISSR_208002861_ACC_AMORT" localSheetId="19">#REF!</definedName>
    <definedName name="A_KEYWORD_ISSR_208002861_ACC_AMORT" localSheetId="21">#REF!</definedName>
    <definedName name="A_KEYWORD_ISSR_208002861_ACC_AMORT">#REF!</definedName>
    <definedName name="A_KEYWORD_ISSR_208002861_ACC_DDA" localSheetId="24">#REF!</definedName>
    <definedName name="A_KEYWORD_ISSR_208002861_ACC_DDA" localSheetId="18">#REF!</definedName>
    <definedName name="A_KEYWORD_ISSR_208002861_ACC_DDA" localSheetId="12">#REF!</definedName>
    <definedName name="A_KEYWORD_ISSR_208002861_ACC_DDA" localSheetId="23">#REF!</definedName>
    <definedName name="A_KEYWORD_ISSR_208002861_ACC_DDA" localSheetId="19">#REF!</definedName>
    <definedName name="A_KEYWORD_ISSR_208002861_ACC_DDA" localSheetId="21">#REF!</definedName>
    <definedName name="A_KEYWORD_ISSR_208002861_ACC_DDA">#REF!</definedName>
    <definedName name="A_KEYWORD_ISSR_208002861_ACC_END_DATE" localSheetId="24">#REF!</definedName>
    <definedName name="A_KEYWORD_ISSR_208002861_ACC_END_DATE" localSheetId="18">#REF!</definedName>
    <definedName name="A_KEYWORD_ISSR_208002861_ACC_END_DATE" localSheetId="12">#REF!</definedName>
    <definedName name="A_KEYWORD_ISSR_208002861_ACC_END_DATE" localSheetId="23">#REF!</definedName>
    <definedName name="A_KEYWORD_ISSR_208002861_ACC_END_DATE" localSheetId="19">#REF!</definedName>
    <definedName name="A_KEYWORD_ISSR_208002861_ACC_END_DATE" localSheetId="21">#REF!</definedName>
    <definedName name="A_KEYWORD_ISSR_208002861_ACC_END_DATE">#REF!</definedName>
    <definedName name="A_KEYWORD_ISSR_208002861_ACC_PAY_GQ" localSheetId="24">#REF!</definedName>
    <definedName name="A_KEYWORD_ISSR_208002861_ACC_PAY_GQ" localSheetId="18">#REF!</definedName>
    <definedName name="A_KEYWORD_ISSR_208002861_ACC_PAY_GQ" localSheetId="12">#REF!</definedName>
    <definedName name="A_KEYWORD_ISSR_208002861_ACC_PAY_GQ" localSheetId="23">#REF!</definedName>
    <definedName name="A_KEYWORD_ISSR_208002861_ACC_PAY_GQ" localSheetId="19">#REF!</definedName>
    <definedName name="A_KEYWORD_ISSR_208002861_ACC_PAY_GQ" localSheetId="21">#REF!</definedName>
    <definedName name="A_KEYWORD_ISSR_208002861_ACC_PAY_GQ">#REF!</definedName>
    <definedName name="A_KEYWORD_ISSR_208002861_ACQ" localSheetId="24">#REF!</definedName>
    <definedName name="A_KEYWORD_ISSR_208002861_ACQ" localSheetId="18">#REF!</definedName>
    <definedName name="A_KEYWORD_ISSR_208002861_ACQ" localSheetId="12">#REF!</definedName>
    <definedName name="A_KEYWORD_ISSR_208002861_ACQ" localSheetId="23">#REF!</definedName>
    <definedName name="A_KEYWORD_ISSR_208002861_ACQ" localSheetId="19">#REF!</definedName>
    <definedName name="A_KEYWORD_ISSR_208002861_ACQ" localSheetId="21">#REF!</definedName>
    <definedName name="A_KEYWORD_ISSR_208002861_ACQ">#REF!</definedName>
    <definedName name="A_KEYWORD_ISSR_208002861_ADJ_UNF_PENS_GOOD" localSheetId="24">#REF!</definedName>
    <definedName name="A_KEYWORD_ISSR_208002861_ADJ_UNF_PENS_GOOD" localSheetId="18">#REF!</definedName>
    <definedName name="A_KEYWORD_ISSR_208002861_ADJ_UNF_PENS_GOOD" localSheetId="12">#REF!</definedName>
    <definedName name="A_KEYWORD_ISSR_208002861_ADJ_UNF_PENS_GOOD" localSheetId="23">#REF!</definedName>
    <definedName name="A_KEYWORD_ISSR_208002861_ADJ_UNF_PENS_GOOD" localSheetId="19">#REF!</definedName>
    <definedName name="A_KEYWORD_ISSR_208002861_ADJ_UNF_PENS_GOOD" localSheetId="21">#REF!</definedName>
    <definedName name="A_KEYWORD_ISSR_208002861_ADJ_UNF_PENS_GOOD">#REF!</definedName>
    <definedName name="A_KEYWORD_ISSR_208002861_ASSOC_JV_ADDBK" localSheetId="24">#REF!</definedName>
    <definedName name="A_KEYWORD_ISSR_208002861_ASSOC_JV_ADDBK" localSheetId="18">#REF!</definedName>
    <definedName name="A_KEYWORD_ISSR_208002861_ASSOC_JV_ADDBK" localSheetId="12">#REF!</definedName>
    <definedName name="A_KEYWORD_ISSR_208002861_ASSOC_JV_ADDBK" localSheetId="23">#REF!</definedName>
    <definedName name="A_KEYWORD_ISSR_208002861_ASSOC_JV_ADDBK" localSheetId="19">#REF!</definedName>
    <definedName name="A_KEYWORD_ISSR_208002861_ASSOC_JV_ADDBK" localSheetId="21">#REF!</definedName>
    <definedName name="A_KEYWORD_ISSR_208002861_ASSOC_JV_ADDBK">#REF!</definedName>
    <definedName name="A_KEYWORD_ISSR_208002861_ASSOCIATE" localSheetId="24">#REF!</definedName>
    <definedName name="A_KEYWORD_ISSR_208002861_ASSOCIATE" localSheetId="18">#REF!</definedName>
    <definedName name="A_KEYWORD_ISSR_208002861_ASSOCIATE" localSheetId="12">#REF!</definedName>
    <definedName name="A_KEYWORD_ISSR_208002861_ASSOCIATE" localSheetId="23">#REF!</definedName>
    <definedName name="A_KEYWORD_ISSR_208002861_ASSOCIATE" localSheetId="19">#REF!</definedName>
    <definedName name="A_KEYWORD_ISSR_208002861_ASSOCIATE" localSheetId="21">#REF!</definedName>
    <definedName name="A_KEYWORD_ISSR_208002861_ASSOCIATE">#REF!</definedName>
    <definedName name="A_KEYWORD_ISSR_208002861_ASSOCIATE_OP" localSheetId="24">#REF!</definedName>
    <definedName name="A_KEYWORD_ISSR_208002861_ASSOCIATE_OP" localSheetId="18">#REF!</definedName>
    <definedName name="A_KEYWORD_ISSR_208002861_ASSOCIATE_OP" localSheetId="12">#REF!</definedName>
    <definedName name="A_KEYWORD_ISSR_208002861_ASSOCIATE_OP" localSheetId="23">#REF!</definedName>
    <definedName name="A_KEYWORD_ISSR_208002861_ASSOCIATE_OP" localSheetId="19">#REF!</definedName>
    <definedName name="A_KEYWORD_ISSR_208002861_ASSOCIATE_OP" localSheetId="21">#REF!</definedName>
    <definedName name="A_KEYWORD_ISSR_208002861_ASSOCIATE_OP">#REF!</definedName>
    <definedName name="A_KEYWORD_ISSR_208002861_BAL_MINO_INT" localSheetId="24">#REF!</definedName>
    <definedName name="A_KEYWORD_ISSR_208002861_BAL_MINO_INT" localSheetId="18">#REF!</definedName>
    <definedName name="A_KEYWORD_ISSR_208002861_BAL_MINO_INT" localSheetId="12">#REF!</definedName>
    <definedName name="A_KEYWORD_ISSR_208002861_BAL_MINO_INT" localSheetId="23">#REF!</definedName>
    <definedName name="A_KEYWORD_ISSR_208002861_BAL_MINO_INT" localSheetId="19">#REF!</definedName>
    <definedName name="A_KEYWORD_ISSR_208002861_BAL_MINO_INT" localSheetId="21">#REF!</definedName>
    <definedName name="A_KEYWORD_ISSR_208002861_BAL_MINO_INT">#REF!</definedName>
    <definedName name="A_KEYWORD_ISSR_208002861_CAP_LEASES" localSheetId="24">#REF!</definedName>
    <definedName name="A_KEYWORD_ISSR_208002861_CAP_LEASES" localSheetId="18">#REF!</definedName>
    <definedName name="A_KEYWORD_ISSR_208002861_CAP_LEASES" localSheetId="12">#REF!</definedName>
    <definedName name="A_KEYWORD_ISSR_208002861_CAP_LEASES" localSheetId="23">#REF!</definedName>
    <definedName name="A_KEYWORD_ISSR_208002861_CAP_LEASES" localSheetId="19">#REF!</definedName>
    <definedName name="A_KEYWORD_ISSR_208002861_CAP_LEASES" localSheetId="21">#REF!</definedName>
    <definedName name="A_KEYWORD_ISSR_208002861_CAP_LEASES">#REF!</definedName>
    <definedName name="A_KEYWORD_ISSR_208002861_CAPEX" localSheetId="24">#REF!</definedName>
    <definedName name="A_KEYWORD_ISSR_208002861_CAPEX" localSheetId="18">#REF!</definedName>
    <definedName name="A_KEYWORD_ISSR_208002861_CAPEX" localSheetId="12">#REF!</definedName>
    <definedName name="A_KEYWORD_ISSR_208002861_CAPEX" localSheetId="23">#REF!</definedName>
    <definedName name="A_KEYWORD_ISSR_208002861_CAPEX" localSheetId="19">#REF!</definedName>
    <definedName name="A_KEYWORD_ISSR_208002861_CAPEX" localSheetId="21">#REF!</definedName>
    <definedName name="A_KEYWORD_ISSR_208002861_CAPEX">#REF!</definedName>
    <definedName name="A_KEYWORD_ISSR_208002861_CAPEX_EXPANSION" localSheetId="24">#REF!</definedName>
    <definedName name="A_KEYWORD_ISSR_208002861_CAPEX_EXPANSION" localSheetId="18">#REF!</definedName>
    <definedName name="A_KEYWORD_ISSR_208002861_CAPEX_EXPANSION" localSheetId="12">#REF!</definedName>
    <definedName name="A_KEYWORD_ISSR_208002861_CAPEX_EXPANSION" localSheetId="23">#REF!</definedName>
    <definedName name="A_KEYWORD_ISSR_208002861_CAPEX_EXPANSION" localSheetId="19">#REF!</definedName>
    <definedName name="A_KEYWORD_ISSR_208002861_CAPEX_EXPANSION" localSheetId="21">#REF!</definedName>
    <definedName name="A_KEYWORD_ISSR_208002861_CAPEX_EXPANSION">#REF!</definedName>
    <definedName name="A_KEYWORD_ISSR_208002861_CAPEX_MAINTENANCE" localSheetId="24">#REF!</definedName>
    <definedName name="A_KEYWORD_ISSR_208002861_CAPEX_MAINTENANCE" localSheetId="18">#REF!</definedName>
    <definedName name="A_KEYWORD_ISSR_208002861_CAPEX_MAINTENANCE" localSheetId="12">#REF!</definedName>
    <definedName name="A_KEYWORD_ISSR_208002861_CAPEX_MAINTENANCE" localSheetId="23">#REF!</definedName>
    <definedName name="A_KEYWORD_ISSR_208002861_CAPEX_MAINTENANCE" localSheetId="19">#REF!</definedName>
    <definedName name="A_KEYWORD_ISSR_208002861_CAPEX_MAINTENANCE" localSheetId="21">#REF!</definedName>
    <definedName name="A_KEYWORD_ISSR_208002861_CAPEX_MAINTENANCE">#REF!</definedName>
    <definedName name="A_KEYWORD_ISSR_208002861_CASH_EQ" localSheetId="24">#REF!</definedName>
    <definedName name="A_KEYWORD_ISSR_208002861_CASH_EQ" localSheetId="18">#REF!</definedName>
    <definedName name="A_KEYWORD_ISSR_208002861_CASH_EQ" localSheetId="12">#REF!</definedName>
    <definedName name="A_KEYWORD_ISSR_208002861_CASH_EQ" localSheetId="23">#REF!</definedName>
    <definedName name="A_KEYWORD_ISSR_208002861_CASH_EQ" localSheetId="19">#REF!</definedName>
    <definedName name="A_KEYWORD_ISSR_208002861_CASH_EQ" localSheetId="21">#REF!</definedName>
    <definedName name="A_KEYWORD_ISSR_208002861_CASH_EQ">#REF!</definedName>
    <definedName name="A_KEYWORD_ISSR_208002861_CASH_INT_EXP" localSheetId="24">#REF!</definedName>
    <definedName name="A_KEYWORD_ISSR_208002861_CASH_INT_EXP" localSheetId="18">#REF!</definedName>
    <definedName name="A_KEYWORD_ISSR_208002861_CASH_INT_EXP" localSheetId="12">#REF!</definedName>
    <definedName name="A_KEYWORD_ISSR_208002861_CASH_INT_EXP" localSheetId="23">#REF!</definedName>
    <definedName name="A_KEYWORD_ISSR_208002861_CASH_INT_EXP" localSheetId="19">#REF!</definedName>
    <definedName name="A_KEYWORD_ISSR_208002861_CASH_INT_EXP" localSheetId="21">#REF!</definedName>
    <definedName name="A_KEYWORD_ISSR_208002861_CASH_INT_EXP">#REF!</definedName>
    <definedName name="A_KEYWORD_ISSR_208002861_CASH_INT_INC_EXP" localSheetId="24">#REF!</definedName>
    <definedName name="A_KEYWORD_ISSR_208002861_CASH_INT_INC_EXP" localSheetId="18">#REF!</definedName>
    <definedName name="A_KEYWORD_ISSR_208002861_CASH_INT_INC_EXP" localSheetId="12">#REF!</definedName>
    <definedName name="A_KEYWORD_ISSR_208002861_CASH_INT_INC_EXP" localSheetId="23">#REF!</definedName>
    <definedName name="A_KEYWORD_ISSR_208002861_CASH_INT_INC_EXP" localSheetId="19">#REF!</definedName>
    <definedName name="A_KEYWORD_ISSR_208002861_CASH_INT_INC_EXP" localSheetId="21">#REF!</definedName>
    <definedName name="A_KEYWORD_ISSR_208002861_CASH_INT_INC_EXP">#REF!</definedName>
    <definedName name="A_KEYWORD_ISSR_208002861_CASH_TAX_EXP" localSheetId="24">#REF!</definedName>
    <definedName name="A_KEYWORD_ISSR_208002861_CASH_TAX_EXP" localSheetId="18">#REF!</definedName>
    <definedName name="A_KEYWORD_ISSR_208002861_CASH_TAX_EXP" localSheetId="12">#REF!</definedName>
    <definedName name="A_KEYWORD_ISSR_208002861_CASH_TAX_EXP" localSheetId="23">#REF!</definedName>
    <definedName name="A_KEYWORD_ISSR_208002861_CASH_TAX_EXP" localSheetId="19">#REF!</definedName>
    <definedName name="A_KEYWORD_ISSR_208002861_CASH_TAX_EXP" localSheetId="21">#REF!</definedName>
    <definedName name="A_KEYWORD_ISSR_208002861_CASH_TAX_EXP">#REF!</definedName>
    <definedName name="A_KEYWORD_ISSR_208002861_CASH_TAX_PD" localSheetId="24">#REF!</definedName>
    <definedName name="A_KEYWORD_ISSR_208002861_CASH_TAX_PD" localSheetId="18">#REF!</definedName>
    <definedName name="A_KEYWORD_ISSR_208002861_CASH_TAX_PD" localSheetId="12">#REF!</definedName>
    <definedName name="A_KEYWORD_ISSR_208002861_CASH_TAX_PD" localSheetId="23">#REF!</definedName>
    <definedName name="A_KEYWORD_ISSR_208002861_CASH_TAX_PD" localSheetId="19">#REF!</definedName>
    <definedName name="A_KEYWORD_ISSR_208002861_CASH_TAX_PD" localSheetId="21">#REF!</definedName>
    <definedName name="A_KEYWORD_ISSR_208002861_CASH_TAX_PD">#REF!</definedName>
    <definedName name="A_KEYWORD_ISSR_208002861_CF_FIN" localSheetId="24">#REF!</definedName>
    <definedName name="A_KEYWORD_ISSR_208002861_CF_FIN" localSheetId="18">#REF!</definedName>
    <definedName name="A_KEYWORD_ISSR_208002861_CF_FIN" localSheetId="12">#REF!</definedName>
    <definedName name="A_KEYWORD_ISSR_208002861_CF_FIN" localSheetId="23">#REF!</definedName>
    <definedName name="A_KEYWORD_ISSR_208002861_CF_FIN" localSheetId="19">#REF!</definedName>
    <definedName name="A_KEYWORD_ISSR_208002861_CF_FIN" localSheetId="21">#REF!</definedName>
    <definedName name="A_KEYWORD_ISSR_208002861_CF_FIN">#REF!</definedName>
    <definedName name="A_KEYWORD_ISSR_208002861_CF_INC_MINORITY" localSheetId="24">#REF!</definedName>
    <definedName name="A_KEYWORD_ISSR_208002861_CF_INC_MINORITY" localSheetId="18">#REF!</definedName>
    <definedName name="A_KEYWORD_ISSR_208002861_CF_INC_MINORITY" localSheetId="12">#REF!</definedName>
    <definedName name="A_KEYWORD_ISSR_208002861_CF_INC_MINORITY" localSheetId="23">#REF!</definedName>
    <definedName name="A_KEYWORD_ISSR_208002861_CF_INC_MINORITY" localSheetId="19">#REF!</definedName>
    <definedName name="A_KEYWORD_ISSR_208002861_CF_INC_MINORITY" localSheetId="21">#REF!</definedName>
    <definedName name="A_KEYWORD_ISSR_208002861_CF_INC_MINORITY">#REF!</definedName>
    <definedName name="A_KEYWORD_ISSR_208002861_CF_INV" localSheetId="24">#REF!</definedName>
    <definedName name="A_KEYWORD_ISSR_208002861_CF_INV" localSheetId="18">#REF!</definedName>
    <definedName name="A_KEYWORD_ISSR_208002861_CF_INV" localSheetId="12">#REF!</definedName>
    <definedName name="A_KEYWORD_ISSR_208002861_CF_INV" localSheetId="23">#REF!</definedName>
    <definedName name="A_KEYWORD_ISSR_208002861_CF_INV" localSheetId="19">#REF!</definedName>
    <definedName name="A_KEYWORD_ISSR_208002861_CF_INV" localSheetId="21">#REF!</definedName>
    <definedName name="A_KEYWORD_ISSR_208002861_CF_INV">#REF!</definedName>
    <definedName name="A_KEYWORD_ISSR_208002861_CF_OPS" localSheetId="24">#REF!</definedName>
    <definedName name="A_KEYWORD_ISSR_208002861_CF_OPS" localSheetId="18">#REF!</definedName>
    <definedName name="A_KEYWORD_ISSR_208002861_CF_OPS" localSheetId="12">#REF!</definedName>
    <definedName name="A_KEYWORD_ISSR_208002861_CF_OPS" localSheetId="23">#REF!</definedName>
    <definedName name="A_KEYWORD_ISSR_208002861_CF_OPS" localSheetId="19">#REF!</definedName>
    <definedName name="A_KEYWORD_ISSR_208002861_CF_OPS" localSheetId="21">#REF!</definedName>
    <definedName name="A_KEYWORD_ISSR_208002861_CF_OPS">#REF!</definedName>
    <definedName name="A_KEYWORD_ISSR_208002861_CHG_LT_DEBT" localSheetId="24">#REF!</definedName>
    <definedName name="A_KEYWORD_ISSR_208002861_CHG_LT_DEBT" localSheetId="18">#REF!</definedName>
    <definedName name="A_KEYWORD_ISSR_208002861_CHG_LT_DEBT" localSheetId="12">#REF!</definedName>
    <definedName name="A_KEYWORD_ISSR_208002861_CHG_LT_DEBT" localSheetId="23">#REF!</definedName>
    <definedName name="A_KEYWORD_ISSR_208002861_CHG_LT_DEBT" localSheetId="19">#REF!</definedName>
    <definedName name="A_KEYWORD_ISSR_208002861_CHG_LT_DEBT" localSheetId="21">#REF!</definedName>
    <definedName name="A_KEYWORD_ISSR_208002861_CHG_LT_DEBT">#REF!</definedName>
    <definedName name="A_KEYWORD_ISSR_208002861_CO_BOR_MARGIN" localSheetId="24">#REF!</definedName>
    <definedName name="A_KEYWORD_ISSR_208002861_CO_BOR_MARGIN" localSheetId="18">#REF!</definedName>
    <definedName name="A_KEYWORD_ISSR_208002861_CO_BOR_MARGIN" localSheetId="12">#REF!</definedName>
    <definedName name="A_KEYWORD_ISSR_208002861_CO_BOR_MARGIN" localSheetId="23">#REF!</definedName>
    <definedName name="A_KEYWORD_ISSR_208002861_CO_BOR_MARGIN" localSheetId="19">#REF!</definedName>
    <definedName name="A_KEYWORD_ISSR_208002861_CO_BOR_MARGIN" localSheetId="21">#REF!</definedName>
    <definedName name="A_KEYWORD_ISSR_208002861_CO_BOR_MARGIN">#REF!</definedName>
    <definedName name="A_KEYWORD_ISSR_208002861_COST_GD_SD" localSheetId="24">#REF!</definedName>
    <definedName name="A_KEYWORD_ISSR_208002861_COST_GD_SD" localSheetId="18">#REF!</definedName>
    <definedName name="A_KEYWORD_ISSR_208002861_COST_GD_SD" localSheetId="12">#REF!</definedName>
    <definedName name="A_KEYWORD_ISSR_208002861_COST_GD_SD" localSheetId="23">#REF!</definedName>
    <definedName name="A_KEYWORD_ISSR_208002861_COST_GD_SD" localSheetId="19">#REF!</definedName>
    <definedName name="A_KEYWORD_ISSR_208002861_COST_GD_SD" localSheetId="21">#REF!</definedName>
    <definedName name="A_KEYWORD_ISSR_208002861_COST_GD_SD">#REF!</definedName>
    <definedName name="A_KEYWORD_ISSR_208002861_CUR_ASS" localSheetId="24">#REF!</definedName>
    <definedName name="A_KEYWORD_ISSR_208002861_CUR_ASS" localSheetId="18">#REF!</definedName>
    <definedName name="A_KEYWORD_ISSR_208002861_CUR_ASS" localSheetId="12">#REF!</definedName>
    <definedName name="A_KEYWORD_ISSR_208002861_CUR_ASS" localSheetId="23">#REF!</definedName>
    <definedName name="A_KEYWORD_ISSR_208002861_CUR_ASS" localSheetId="19">#REF!</definedName>
    <definedName name="A_KEYWORD_ISSR_208002861_CUR_ASS" localSheetId="21">#REF!</definedName>
    <definedName name="A_KEYWORD_ISSR_208002861_CUR_ASS">#REF!</definedName>
    <definedName name="A_KEYWORD_ISSR_208002861_CURRENCY_ISO" localSheetId="24">#REF!</definedName>
    <definedName name="A_KEYWORD_ISSR_208002861_CURRENCY_ISO" localSheetId="18">#REF!</definedName>
    <definedName name="A_KEYWORD_ISSR_208002861_CURRENCY_ISO" localSheetId="12">#REF!</definedName>
    <definedName name="A_KEYWORD_ISSR_208002861_CURRENCY_ISO" localSheetId="23">#REF!</definedName>
    <definedName name="A_KEYWORD_ISSR_208002861_CURRENCY_ISO" localSheetId="19">#REF!</definedName>
    <definedName name="A_KEYWORD_ISSR_208002861_CURRENCY_ISO" localSheetId="21">#REF!</definedName>
    <definedName name="A_KEYWORD_ISSR_208002861_CURRENCY_ISO">#REF!</definedName>
    <definedName name="A_KEYWORD_ISSR_208002861_DEBTORS" localSheetId="24">#REF!</definedName>
    <definedName name="A_KEYWORD_ISSR_208002861_DEBTORS" localSheetId="18">#REF!</definedName>
    <definedName name="A_KEYWORD_ISSR_208002861_DEBTORS" localSheetId="12">#REF!</definedName>
    <definedName name="A_KEYWORD_ISSR_208002861_DEBTORS" localSheetId="23">#REF!</definedName>
    <definedName name="A_KEYWORD_ISSR_208002861_DEBTORS" localSheetId="19">#REF!</definedName>
    <definedName name="A_KEYWORD_ISSR_208002861_DEBTORS" localSheetId="21">#REF!</definedName>
    <definedName name="A_KEYWORD_ISSR_208002861_DEBTORS">#REF!</definedName>
    <definedName name="A_KEYWORD_ISSR_208002861_DEF_INC_TAX" localSheetId="24">#REF!</definedName>
    <definedName name="A_KEYWORD_ISSR_208002861_DEF_INC_TAX" localSheetId="18">#REF!</definedName>
    <definedName name="A_KEYWORD_ISSR_208002861_DEF_INC_TAX" localSheetId="12">#REF!</definedName>
    <definedName name="A_KEYWORD_ISSR_208002861_DEF_INC_TAX" localSheetId="23">#REF!</definedName>
    <definedName name="A_KEYWORD_ISSR_208002861_DEF_INC_TAX" localSheetId="19">#REF!</definedName>
    <definedName name="A_KEYWORD_ISSR_208002861_DEF_INC_TAX" localSheetId="21">#REF!</definedName>
    <definedName name="A_KEYWORD_ISSR_208002861_DEF_INC_TAX">#REF!</definedName>
    <definedName name="A_KEYWORD_ISSR_208002861_DEPR_AMORT" localSheetId="24">#REF!</definedName>
    <definedName name="A_KEYWORD_ISSR_208002861_DEPR_AMORT" localSheetId="18">#REF!</definedName>
    <definedName name="A_KEYWORD_ISSR_208002861_DEPR_AMORT" localSheetId="12">#REF!</definedName>
    <definedName name="A_KEYWORD_ISSR_208002861_DEPR_AMORT" localSheetId="23">#REF!</definedName>
    <definedName name="A_KEYWORD_ISSR_208002861_DEPR_AMORT" localSheetId="19">#REF!</definedName>
    <definedName name="A_KEYWORD_ISSR_208002861_DEPR_AMORT" localSheetId="21">#REF!</definedName>
    <definedName name="A_KEYWORD_ISSR_208002861_DEPR_AMORT">#REF!</definedName>
    <definedName name="A_KEYWORD_ISSR_208002861_DEPREC" localSheetId="24">#REF!</definedName>
    <definedName name="A_KEYWORD_ISSR_208002861_DEPREC" localSheetId="18">#REF!</definedName>
    <definedName name="A_KEYWORD_ISSR_208002861_DEPREC" localSheetId="12">#REF!</definedName>
    <definedName name="A_KEYWORD_ISSR_208002861_DEPREC" localSheetId="23">#REF!</definedName>
    <definedName name="A_KEYWORD_ISSR_208002861_DEPREC" localSheetId="19">#REF!</definedName>
    <definedName name="A_KEYWORD_ISSR_208002861_DEPREC" localSheetId="21">#REF!</definedName>
    <definedName name="A_KEYWORD_ISSR_208002861_DEPREC">#REF!</definedName>
    <definedName name="A_KEYWORD_ISSR_208002861_DIV_PAID" localSheetId="24">#REF!</definedName>
    <definedName name="A_KEYWORD_ISSR_208002861_DIV_PAID" localSheetId="18">#REF!</definedName>
    <definedName name="A_KEYWORD_ISSR_208002861_DIV_PAID" localSheetId="12">#REF!</definedName>
    <definedName name="A_KEYWORD_ISSR_208002861_DIV_PAID" localSheetId="23">#REF!</definedName>
    <definedName name="A_KEYWORD_ISSR_208002861_DIV_PAID" localSheetId="19">#REF!</definedName>
    <definedName name="A_KEYWORD_ISSR_208002861_DIV_PAID" localSheetId="21">#REF!</definedName>
    <definedName name="A_KEYWORD_ISSR_208002861_DIV_PAID">#REF!</definedName>
    <definedName name="A_KEYWORD_ISSR_208002861_DIVDS_ASSOC_JV" localSheetId="24">#REF!</definedName>
    <definedName name="A_KEYWORD_ISSR_208002861_DIVDS_ASSOC_JV" localSheetId="18">#REF!</definedName>
    <definedName name="A_KEYWORD_ISSR_208002861_DIVDS_ASSOC_JV" localSheetId="12">#REF!</definedName>
    <definedName name="A_KEYWORD_ISSR_208002861_DIVDS_ASSOC_JV" localSheetId="23">#REF!</definedName>
    <definedName name="A_KEYWORD_ISSR_208002861_DIVDS_ASSOC_JV" localSheetId="19">#REF!</definedName>
    <definedName name="A_KEYWORD_ISSR_208002861_DIVDS_ASSOC_JV" localSheetId="21">#REF!</definedName>
    <definedName name="A_KEYWORD_ISSR_208002861_DIVDS_ASSOC_JV">#REF!</definedName>
    <definedName name="A_KEYWORD_ISSR_208002861_DIVDS_PD_MINORITIES" localSheetId="24">#REF!</definedName>
    <definedName name="A_KEYWORD_ISSR_208002861_DIVDS_PD_MINORITIES" localSheetId="18">#REF!</definedName>
    <definedName name="A_KEYWORD_ISSR_208002861_DIVDS_PD_MINORITIES" localSheetId="12">#REF!</definedName>
    <definedName name="A_KEYWORD_ISSR_208002861_DIVDS_PD_MINORITIES" localSheetId="23">#REF!</definedName>
    <definedName name="A_KEYWORD_ISSR_208002861_DIVDS_PD_MINORITIES" localSheetId="19">#REF!</definedName>
    <definedName name="A_KEYWORD_ISSR_208002861_DIVDS_PD_MINORITIES" localSheetId="21">#REF!</definedName>
    <definedName name="A_KEYWORD_ISSR_208002861_DIVDS_PD_MINORITIES">#REF!</definedName>
    <definedName name="A_KEYWORD_ISSR_208002861_DIVEST" localSheetId="24">#REF!</definedName>
    <definedName name="A_KEYWORD_ISSR_208002861_DIVEST" localSheetId="18">#REF!</definedName>
    <definedName name="A_KEYWORD_ISSR_208002861_DIVEST" localSheetId="12">#REF!</definedName>
    <definedName name="A_KEYWORD_ISSR_208002861_DIVEST" localSheetId="23">#REF!</definedName>
    <definedName name="A_KEYWORD_ISSR_208002861_DIVEST" localSheetId="19">#REF!</definedName>
    <definedName name="A_KEYWORD_ISSR_208002861_DIVEST" localSheetId="21">#REF!</definedName>
    <definedName name="A_KEYWORD_ISSR_208002861_DIVEST">#REF!</definedName>
    <definedName name="A_KEYWORD_ISSR_208002861_EBIT" localSheetId="24">#REF!</definedName>
    <definedName name="A_KEYWORD_ISSR_208002861_EBIT" localSheetId="18">#REF!</definedName>
    <definedName name="A_KEYWORD_ISSR_208002861_EBIT" localSheetId="12">#REF!</definedName>
    <definedName name="A_KEYWORD_ISSR_208002861_EBIT" localSheetId="23">#REF!</definedName>
    <definedName name="A_KEYWORD_ISSR_208002861_EBIT" localSheetId="19">#REF!</definedName>
    <definedName name="A_KEYWORD_ISSR_208002861_EBIT" localSheetId="21">#REF!</definedName>
    <definedName name="A_KEYWORD_ISSR_208002861_EBIT">#REF!</definedName>
    <definedName name="A_KEYWORD_ISSR_208002861_EBITDA_CALC" localSheetId="24">#REF!</definedName>
    <definedName name="A_KEYWORD_ISSR_208002861_EBITDA_CALC" localSheetId="18">#REF!</definedName>
    <definedName name="A_KEYWORD_ISSR_208002861_EBITDA_CALC" localSheetId="12">#REF!</definedName>
    <definedName name="A_KEYWORD_ISSR_208002861_EBITDA_CALC" localSheetId="23">#REF!</definedName>
    <definedName name="A_KEYWORD_ISSR_208002861_EBITDA_CALC" localSheetId="19">#REF!</definedName>
    <definedName name="A_KEYWORD_ISSR_208002861_EBITDA_CALC" localSheetId="21">#REF!</definedName>
    <definedName name="A_KEYWORD_ISSR_208002861_EBITDA_CALC">#REF!</definedName>
    <definedName name="A_KEYWORD_ISSR_208002861_EMPLOYEES" localSheetId="24">#REF!</definedName>
    <definedName name="A_KEYWORD_ISSR_208002861_EMPLOYEES" localSheetId="18">#REF!</definedName>
    <definedName name="A_KEYWORD_ISSR_208002861_EMPLOYEES" localSheetId="12">#REF!</definedName>
    <definedName name="A_KEYWORD_ISSR_208002861_EMPLOYEES" localSheetId="23">#REF!</definedName>
    <definedName name="A_KEYWORD_ISSR_208002861_EMPLOYEES" localSheetId="19">#REF!</definedName>
    <definedName name="A_KEYWORD_ISSR_208002861_EMPLOYEES" localSheetId="21">#REF!</definedName>
    <definedName name="A_KEYWORD_ISSR_208002861_EMPLOYEES">#REF!</definedName>
    <definedName name="A_KEYWORD_ISSR_208002861_EQ" localSheetId="24">#REF!</definedName>
    <definedName name="A_KEYWORD_ISSR_208002861_EQ" localSheetId="18">#REF!</definedName>
    <definedName name="A_KEYWORD_ISSR_208002861_EQ" localSheetId="12">#REF!</definedName>
    <definedName name="A_KEYWORD_ISSR_208002861_EQ" localSheetId="23">#REF!</definedName>
    <definedName name="A_KEYWORD_ISSR_208002861_EQ" localSheetId="19">#REF!</definedName>
    <definedName name="A_KEYWORD_ISSR_208002861_EQ" localSheetId="21">#REF!</definedName>
    <definedName name="A_KEYWORD_ISSR_208002861_EQ">#REF!</definedName>
    <definedName name="A_KEYWORD_ISSR_208002861_EXP_ALUMINIUM" localSheetId="24">#REF!</definedName>
    <definedName name="A_KEYWORD_ISSR_208002861_EXP_ALUMINIUM" localSheetId="18">#REF!</definedName>
    <definedName name="A_KEYWORD_ISSR_208002861_EXP_ALUMINIUM" localSheetId="12">#REF!</definedName>
    <definedName name="A_KEYWORD_ISSR_208002861_EXP_ALUMINIUM" localSheetId="23">#REF!</definedName>
    <definedName name="A_KEYWORD_ISSR_208002861_EXP_ALUMINIUM" localSheetId="19">#REF!</definedName>
    <definedName name="A_KEYWORD_ISSR_208002861_EXP_ALUMINIUM" localSheetId="21">#REF!</definedName>
    <definedName name="A_KEYWORD_ISSR_208002861_EXP_ALUMINIUM">#REF!</definedName>
    <definedName name="A_KEYWORD_ISSR_208002861_EXP_COPPER" localSheetId="24">#REF!</definedName>
    <definedName name="A_KEYWORD_ISSR_208002861_EXP_COPPER" localSheetId="18">#REF!</definedName>
    <definedName name="A_KEYWORD_ISSR_208002861_EXP_COPPER" localSheetId="12">#REF!</definedName>
    <definedName name="A_KEYWORD_ISSR_208002861_EXP_COPPER" localSheetId="23">#REF!</definedName>
    <definedName name="A_KEYWORD_ISSR_208002861_EXP_COPPER" localSheetId="19">#REF!</definedName>
    <definedName name="A_KEYWORD_ISSR_208002861_EXP_COPPER" localSheetId="21">#REF!</definedName>
    <definedName name="A_KEYWORD_ISSR_208002861_EXP_COPPER">#REF!</definedName>
    <definedName name="A_KEYWORD_ISSR_208002861_EXP_GLASS" localSheetId="24">#REF!</definedName>
    <definedName name="A_KEYWORD_ISSR_208002861_EXP_GLASS" localSheetId="18">#REF!</definedName>
    <definedName name="A_KEYWORD_ISSR_208002861_EXP_GLASS" localSheetId="12">#REF!</definedName>
    <definedName name="A_KEYWORD_ISSR_208002861_EXP_GLASS" localSheetId="23">#REF!</definedName>
    <definedName name="A_KEYWORD_ISSR_208002861_EXP_GLASS" localSheetId="19">#REF!</definedName>
    <definedName name="A_KEYWORD_ISSR_208002861_EXP_GLASS" localSheetId="21">#REF!</definedName>
    <definedName name="A_KEYWORD_ISSR_208002861_EXP_GLASS">#REF!</definedName>
    <definedName name="A_KEYWORD_ISSR_208002861_EXP_GOLD" localSheetId="24">#REF!</definedName>
    <definedName name="A_KEYWORD_ISSR_208002861_EXP_GOLD" localSheetId="18">#REF!</definedName>
    <definedName name="A_KEYWORD_ISSR_208002861_EXP_GOLD" localSheetId="12">#REF!</definedName>
    <definedName name="A_KEYWORD_ISSR_208002861_EXP_GOLD" localSheetId="23">#REF!</definedName>
    <definedName name="A_KEYWORD_ISSR_208002861_EXP_GOLD" localSheetId="19">#REF!</definedName>
    <definedName name="A_KEYWORD_ISSR_208002861_EXP_GOLD" localSheetId="21">#REF!</definedName>
    <definedName name="A_KEYWORD_ISSR_208002861_EXP_GOLD">#REF!</definedName>
    <definedName name="A_KEYWORD_ISSR_208002861_EXP_NAT_GAS" localSheetId="24">#REF!</definedName>
    <definedName name="A_KEYWORD_ISSR_208002861_EXP_NAT_GAS" localSheetId="18">#REF!</definedName>
    <definedName name="A_KEYWORD_ISSR_208002861_EXP_NAT_GAS" localSheetId="12">#REF!</definedName>
    <definedName name="A_KEYWORD_ISSR_208002861_EXP_NAT_GAS" localSheetId="23">#REF!</definedName>
    <definedName name="A_KEYWORD_ISSR_208002861_EXP_NAT_GAS" localSheetId="19">#REF!</definedName>
    <definedName name="A_KEYWORD_ISSR_208002861_EXP_NAT_GAS" localSheetId="21">#REF!</definedName>
    <definedName name="A_KEYWORD_ISSR_208002861_EXP_NAT_GAS">#REF!</definedName>
    <definedName name="A_KEYWORD_ISSR_208002861_EXP_NICKEL" localSheetId="24">#REF!</definedName>
    <definedName name="A_KEYWORD_ISSR_208002861_EXP_NICKEL" localSheetId="18">#REF!</definedName>
    <definedName name="A_KEYWORD_ISSR_208002861_EXP_NICKEL" localSheetId="12">#REF!</definedName>
    <definedName name="A_KEYWORD_ISSR_208002861_EXP_NICKEL" localSheetId="23">#REF!</definedName>
    <definedName name="A_KEYWORD_ISSR_208002861_EXP_NICKEL" localSheetId="19">#REF!</definedName>
    <definedName name="A_KEYWORD_ISSR_208002861_EXP_NICKEL" localSheetId="21">#REF!</definedName>
    <definedName name="A_KEYWORD_ISSR_208002861_EXP_NICKEL">#REF!</definedName>
    <definedName name="A_KEYWORD_ISSR_208002861_EXP_OIL_DERIV_NGLS_PLASTICS" localSheetId="24">#REF!</definedName>
    <definedName name="A_KEYWORD_ISSR_208002861_EXP_OIL_DERIV_NGLS_PLASTICS" localSheetId="18">#REF!</definedName>
    <definedName name="A_KEYWORD_ISSR_208002861_EXP_OIL_DERIV_NGLS_PLASTICS" localSheetId="12">#REF!</definedName>
    <definedName name="A_KEYWORD_ISSR_208002861_EXP_OIL_DERIV_NGLS_PLASTICS" localSheetId="23">#REF!</definedName>
    <definedName name="A_KEYWORD_ISSR_208002861_EXP_OIL_DERIV_NGLS_PLASTICS" localSheetId="19">#REF!</definedName>
    <definedName name="A_KEYWORD_ISSR_208002861_EXP_OIL_DERIV_NGLS_PLASTICS" localSheetId="21">#REF!</definedName>
    <definedName name="A_KEYWORD_ISSR_208002861_EXP_OIL_DERIV_NGLS_PLASTICS">#REF!</definedName>
    <definedName name="A_KEYWORD_ISSR_208002861_EXP_OIL_PETRO_FUEL" localSheetId="24">#REF!</definedName>
    <definedName name="A_KEYWORD_ISSR_208002861_EXP_OIL_PETRO_FUEL" localSheetId="18">#REF!</definedName>
    <definedName name="A_KEYWORD_ISSR_208002861_EXP_OIL_PETRO_FUEL" localSheetId="12">#REF!</definedName>
    <definedName name="A_KEYWORD_ISSR_208002861_EXP_OIL_PETRO_FUEL" localSheetId="23">#REF!</definedName>
    <definedName name="A_KEYWORD_ISSR_208002861_EXP_OIL_PETRO_FUEL" localSheetId="19">#REF!</definedName>
    <definedName name="A_KEYWORD_ISSR_208002861_EXP_OIL_PETRO_FUEL" localSheetId="21">#REF!</definedName>
    <definedName name="A_KEYWORD_ISSR_208002861_EXP_OIL_PETRO_FUEL">#REF!</definedName>
    <definedName name="A_KEYWORD_ISSR_208002861_EXP_OTH_COMMODITY" localSheetId="24">#REF!</definedName>
    <definedName name="A_KEYWORD_ISSR_208002861_EXP_OTH_COMMODITY" localSheetId="18">#REF!</definedName>
    <definedName name="A_KEYWORD_ISSR_208002861_EXP_OTH_COMMODITY" localSheetId="12">#REF!</definedName>
    <definedName name="A_KEYWORD_ISSR_208002861_EXP_OTH_COMMODITY" localSheetId="23">#REF!</definedName>
    <definedName name="A_KEYWORD_ISSR_208002861_EXP_OTH_COMMODITY" localSheetId="19">#REF!</definedName>
    <definedName name="A_KEYWORD_ISSR_208002861_EXP_OTH_COMMODITY" localSheetId="21">#REF!</definedName>
    <definedName name="A_KEYWORD_ISSR_208002861_EXP_OTH_COMMODITY">#REF!</definedName>
    <definedName name="A_KEYWORD_ISSR_208002861_EXP_OTH_COST" localSheetId="24">#REF!</definedName>
    <definedName name="A_KEYWORD_ISSR_208002861_EXP_OTH_COST" localSheetId="18">#REF!</definedName>
    <definedName name="A_KEYWORD_ISSR_208002861_EXP_OTH_COST" localSheetId="12">#REF!</definedName>
    <definedName name="A_KEYWORD_ISSR_208002861_EXP_OTH_COST" localSheetId="23">#REF!</definedName>
    <definedName name="A_KEYWORD_ISSR_208002861_EXP_OTH_COST" localSheetId="19">#REF!</definedName>
    <definedName name="A_KEYWORD_ISSR_208002861_EXP_OTH_COST" localSheetId="21">#REF!</definedName>
    <definedName name="A_KEYWORD_ISSR_208002861_EXP_OTH_COST">#REF!</definedName>
    <definedName name="A_KEYWORD_ISSR_208002861_EXP_PALLADIUM" localSheetId="24">#REF!</definedName>
    <definedName name="A_KEYWORD_ISSR_208002861_EXP_PALLADIUM" localSheetId="18">#REF!</definedName>
    <definedName name="A_KEYWORD_ISSR_208002861_EXP_PALLADIUM" localSheetId="12">#REF!</definedName>
    <definedName name="A_KEYWORD_ISSR_208002861_EXP_PALLADIUM" localSheetId="23">#REF!</definedName>
    <definedName name="A_KEYWORD_ISSR_208002861_EXP_PALLADIUM" localSheetId="19">#REF!</definedName>
    <definedName name="A_KEYWORD_ISSR_208002861_EXP_PALLADIUM" localSheetId="21">#REF!</definedName>
    <definedName name="A_KEYWORD_ISSR_208002861_EXP_PALLADIUM">#REF!</definedName>
    <definedName name="A_KEYWORD_ISSR_208002861_EXP_PLATINUM" localSheetId="24">#REF!</definedName>
    <definedName name="A_KEYWORD_ISSR_208002861_EXP_PLATINUM" localSheetId="18">#REF!</definedName>
    <definedName name="A_KEYWORD_ISSR_208002861_EXP_PLATINUM" localSheetId="12">#REF!</definedName>
    <definedName name="A_KEYWORD_ISSR_208002861_EXP_PLATINUM" localSheetId="23">#REF!</definedName>
    <definedName name="A_KEYWORD_ISSR_208002861_EXP_PLATINUM" localSheetId="19">#REF!</definedName>
    <definedName name="A_KEYWORD_ISSR_208002861_EXP_PLATINUM" localSheetId="21">#REF!</definedName>
    <definedName name="A_KEYWORD_ISSR_208002861_EXP_PLATINUM">#REF!</definedName>
    <definedName name="A_KEYWORD_ISSR_208002861_EXP_RUBBER" localSheetId="24">#REF!</definedName>
    <definedName name="A_KEYWORD_ISSR_208002861_EXP_RUBBER" localSheetId="18">#REF!</definedName>
    <definedName name="A_KEYWORD_ISSR_208002861_EXP_RUBBER" localSheetId="12">#REF!</definedName>
    <definedName name="A_KEYWORD_ISSR_208002861_EXP_RUBBER" localSheetId="23">#REF!</definedName>
    <definedName name="A_KEYWORD_ISSR_208002861_EXP_RUBBER" localSheetId="19">#REF!</definedName>
    <definedName name="A_KEYWORD_ISSR_208002861_EXP_RUBBER" localSheetId="21">#REF!</definedName>
    <definedName name="A_KEYWORD_ISSR_208002861_EXP_RUBBER">#REF!</definedName>
    <definedName name="A_KEYWORD_ISSR_208002861_EXP_SILVER" localSheetId="24">#REF!</definedName>
    <definedName name="A_KEYWORD_ISSR_208002861_EXP_SILVER" localSheetId="18">#REF!</definedName>
    <definedName name="A_KEYWORD_ISSR_208002861_EXP_SILVER" localSheetId="12">#REF!</definedName>
    <definedName name="A_KEYWORD_ISSR_208002861_EXP_SILVER" localSheetId="23">#REF!</definedName>
    <definedName name="A_KEYWORD_ISSR_208002861_EXP_SILVER" localSheetId="19">#REF!</definedName>
    <definedName name="A_KEYWORD_ISSR_208002861_EXP_SILVER" localSheetId="21">#REF!</definedName>
    <definedName name="A_KEYWORD_ISSR_208002861_EXP_SILVER">#REF!</definedName>
    <definedName name="A_KEYWORD_ISSR_208002861_EXP_STEEL" localSheetId="24">#REF!</definedName>
    <definedName name="A_KEYWORD_ISSR_208002861_EXP_STEEL" localSheetId="18">#REF!</definedName>
    <definedName name="A_KEYWORD_ISSR_208002861_EXP_STEEL" localSheetId="12">#REF!</definedName>
    <definedName name="A_KEYWORD_ISSR_208002861_EXP_STEEL" localSheetId="23">#REF!</definedName>
    <definedName name="A_KEYWORD_ISSR_208002861_EXP_STEEL" localSheetId="19">#REF!</definedName>
    <definedName name="A_KEYWORD_ISSR_208002861_EXP_STEEL" localSheetId="21">#REF!</definedName>
    <definedName name="A_KEYWORD_ISSR_208002861_EXP_STEEL">#REF!</definedName>
    <definedName name="A_KEYWORD_ISSR_208002861_EXP_WATER" localSheetId="24">#REF!</definedName>
    <definedName name="A_KEYWORD_ISSR_208002861_EXP_WATER" localSheetId="18">#REF!</definedName>
    <definedName name="A_KEYWORD_ISSR_208002861_EXP_WATER" localSheetId="12">#REF!</definedName>
    <definedName name="A_KEYWORD_ISSR_208002861_EXP_WATER" localSheetId="23">#REF!</definedName>
    <definedName name="A_KEYWORD_ISSR_208002861_EXP_WATER" localSheetId="19">#REF!</definedName>
    <definedName name="A_KEYWORD_ISSR_208002861_EXP_WATER" localSheetId="21">#REF!</definedName>
    <definedName name="A_KEYWORD_ISSR_208002861_EXP_WATER">#REF!</definedName>
    <definedName name="A_KEYWORD_ISSR_208002861_EXP_ZINC" localSheetId="24">#REF!</definedName>
    <definedName name="A_KEYWORD_ISSR_208002861_EXP_ZINC" localSheetId="18">#REF!</definedName>
    <definedName name="A_KEYWORD_ISSR_208002861_EXP_ZINC" localSheetId="12">#REF!</definedName>
    <definedName name="A_KEYWORD_ISSR_208002861_EXP_ZINC" localSheetId="23">#REF!</definedName>
    <definedName name="A_KEYWORD_ISSR_208002861_EXP_ZINC" localSheetId="19">#REF!</definedName>
    <definedName name="A_KEYWORD_ISSR_208002861_EXP_ZINC" localSheetId="21">#REF!</definedName>
    <definedName name="A_KEYWORD_ISSR_208002861_EXP_ZINC">#REF!</definedName>
    <definedName name="A_KEYWORD_ISSR_208002861_FIX_ASS_INV" localSheetId="24">#REF!</definedName>
    <definedName name="A_KEYWORD_ISSR_208002861_FIX_ASS_INV" localSheetId="18">#REF!</definedName>
    <definedName name="A_KEYWORD_ISSR_208002861_FIX_ASS_INV" localSheetId="12">#REF!</definedName>
    <definedName name="A_KEYWORD_ISSR_208002861_FIX_ASS_INV" localSheetId="23">#REF!</definedName>
    <definedName name="A_KEYWORD_ISSR_208002861_FIX_ASS_INV" localSheetId="19">#REF!</definedName>
    <definedName name="A_KEYWORD_ISSR_208002861_FIX_ASS_INV" localSheetId="21">#REF!</definedName>
    <definedName name="A_KEYWORD_ISSR_208002861_FIX_ASS_INV">#REF!</definedName>
    <definedName name="A_KEYWORD_ISSR_208002861_GCI_INFL" localSheetId="24">#REF!</definedName>
    <definedName name="A_KEYWORD_ISSR_208002861_GCI_INFL" localSheetId="18">#REF!</definedName>
    <definedName name="A_KEYWORD_ISSR_208002861_GCI_INFL" localSheetId="12">#REF!</definedName>
    <definedName name="A_KEYWORD_ISSR_208002861_GCI_INFL" localSheetId="23">#REF!</definedName>
    <definedName name="A_KEYWORD_ISSR_208002861_GCI_INFL" localSheetId="19">#REF!</definedName>
    <definedName name="A_KEYWORD_ISSR_208002861_GCI_INFL" localSheetId="21">#REF!</definedName>
    <definedName name="A_KEYWORD_ISSR_208002861_GCI_INFL">#REF!</definedName>
    <definedName name="A_KEYWORD_ISSR_208002861_GOODWILL_AMORT" localSheetId="24">#REF!</definedName>
    <definedName name="A_KEYWORD_ISSR_208002861_GOODWILL_AMORT" localSheetId="18">#REF!</definedName>
    <definedName name="A_KEYWORD_ISSR_208002861_GOODWILL_AMORT" localSheetId="12">#REF!</definedName>
    <definedName name="A_KEYWORD_ISSR_208002861_GOODWILL_AMORT" localSheetId="23">#REF!</definedName>
    <definedName name="A_KEYWORD_ISSR_208002861_GOODWILL_AMORT" localSheetId="19">#REF!</definedName>
    <definedName name="A_KEYWORD_ISSR_208002861_GOODWILL_AMORT" localSheetId="21">#REF!</definedName>
    <definedName name="A_KEYWORD_ISSR_208002861_GOODWILL_AMORT">#REF!</definedName>
    <definedName name="A_KEYWORD_ISSR_208002861_GR_FIX_ASS" localSheetId="24">#REF!</definedName>
    <definedName name="A_KEYWORD_ISSR_208002861_GR_FIX_ASS" localSheetId="18">#REF!</definedName>
    <definedName name="A_KEYWORD_ISSR_208002861_GR_FIX_ASS" localSheetId="12">#REF!</definedName>
    <definedName name="A_KEYWORD_ISSR_208002861_GR_FIX_ASS" localSheetId="23">#REF!</definedName>
    <definedName name="A_KEYWORD_ISSR_208002861_GR_FIX_ASS" localSheetId="19">#REF!</definedName>
    <definedName name="A_KEYWORD_ISSR_208002861_GR_FIX_ASS" localSheetId="21">#REF!</definedName>
    <definedName name="A_KEYWORD_ISSR_208002861_GR_FIX_ASS">#REF!</definedName>
    <definedName name="A_KEYWORD_ISSR_208002861_GR_INTANG" localSheetId="24">#REF!</definedName>
    <definedName name="A_KEYWORD_ISSR_208002861_GR_INTANG" localSheetId="18">#REF!</definedName>
    <definedName name="A_KEYWORD_ISSR_208002861_GR_INTANG" localSheetId="12">#REF!</definedName>
    <definedName name="A_KEYWORD_ISSR_208002861_GR_INTANG" localSheetId="23">#REF!</definedName>
    <definedName name="A_KEYWORD_ISSR_208002861_GR_INTANG" localSheetId="19">#REF!</definedName>
    <definedName name="A_KEYWORD_ISSR_208002861_GR_INTANG" localSheetId="21">#REF!</definedName>
    <definedName name="A_KEYWORD_ISSR_208002861_GR_INTANG">#REF!</definedName>
    <definedName name="A_KEYWORD_ISSR_208002861_GW_AMORT" localSheetId="24">#REF!</definedName>
    <definedName name="A_KEYWORD_ISSR_208002861_GW_AMORT" localSheetId="18">#REF!</definedName>
    <definedName name="A_KEYWORD_ISSR_208002861_GW_AMORT" localSheetId="12">#REF!</definedName>
    <definedName name="A_KEYWORD_ISSR_208002861_GW_AMORT" localSheetId="23">#REF!</definedName>
    <definedName name="A_KEYWORD_ISSR_208002861_GW_AMORT" localSheetId="19">#REF!</definedName>
    <definedName name="A_KEYWORD_ISSR_208002861_GW_AMORT" localSheetId="21">#REF!</definedName>
    <definedName name="A_KEYWORD_ISSR_208002861_GW_AMORT">#REF!</definedName>
    <definedName name="A_KEYWORD_ISSR_208002861_IND_SALES_BRAZIL" localSheetId="24">#REF!</definedName>
    <definedName name="A_KEYWORD_ISSR_208002861_IND_SALES_BRAZIL" localSheetId="18">#REF!</definedName>
    <definedName name="A_KEYWORD_ISSR_208002861_IND_SALES_BRAZIL" localSheetId="12">#REF!</definedName>
    <definedName name="A_KEYWORD_ISSR_208002861_IND_SALES_BRAZIL" localSheetId="23">#REF!</definedName>
    <definedName name="A_KEYWORD_ISSR_208002861_IND_SALES_BRAZIL" localSheetId="19">#REF!</definedName>
    <definedName name="A_KEYWORD_ISSR_208002861_IND_SALES_BRAZIL" localSheetId="21">#REF!</definedName>
    <definedName name="A_KEYWORD_ISSR_208002861_IND_SALES_BRAZIL">#REF!</definedName>
    <definedName name="A_KEYWORD_ISSR_208002861_IND_SALES_CEE" localSheetId="24">#REF!</definedName>
    <definedName name="A_KEYWORD_ISSR_208002861_IND_SALES_CEE" localSheetId="18">#REF!</definedName>
    <definedName name="A_KEYWORD_ISSR_208002861_IND_SALES_CEE" localSheetId="12">#REF!</definedName>
    <definedName name="A_KEYWORD_ISSR_208002861_IND_SALES_CEE" localSheetId="23">#REF!</definedName>
    <definedName name="A_KEYWORD_ISSR_208002861_IND_SALES_CEE" localSheetId="19">#REF!</definedName>
    <definedName name="A_KEYWORD_ISSR_208002861_IND_SALES_CEE" localSheetId="21">#REF!</definedName>
    <definedName name="A_KEYWORD_ISSR_208002861_IND_SALES_CEE">#REF!</definedName>
    <definedName name="A_KEYWORD_ISSR_208002861_IND_SALES_CHINA" localSheetId="24">#REF!</definedName>
    <definedName name="A_KEYWORD_ISSR_208002861_IND_SALES_CHINA" localSheetId="18">#REF!</definedName>
    <definedName name="A_KEYWORD_ISSR_208002861_IND_SALES_CHINA" localSheetId="12">#REF!</definedName>
    <definedName name="A_KEYWORD_ISSR_208002861_IND_SALES_CHINA" localSheetId="23">#REF!</definedName>
    <definedName name="A_KEYWORD_ISSR_208002861_IND_SALES_CHINA" localSheetId="19">#REF!</definedName>
    <definedName name="A_KEYWORD_ISSR_208002861_IND_SALES_CHINA" localSheetId="21">#REF!</definedName>
    <definedName name="A_KEYWORD_ISSR_208002861_IND_SALES_CHINA">#REF!</definedName>
    <definedName name="A_KEYWORD_ISSR_208002861_IND_SALES_CONS" localSheetId="24">#REF!</definedName>
    <definedName name="A_KEYWORD_ISSR_208002861_IND_SALES_CONS" localSheetId="18">#REF!</definedName>
    <definedName name="A_KEYWORD_ISSR_208002861_IND_SALES_CONS" localSheetId="12">#REF!</definedName>
    <definedName name="A_KEYWORD_ISSR_208002861_IND_SALES_CONS" localSheetId="23">#REF!</definedName>
    <definedName name="A_KEYWORD_ISSR_208002861_IND_SALES_CONS" localSheetId="19">#REF!</definedName>
    <definedName name="A_KEYWORD_ISSR_208002861_IND_SALES_CONS" localSheetId="21">#REF!</definedName>
    <definedName name="A_KEYWORD_ISSR_208002861_IND_SALES_CONS">#REF!</definedName>
    <definedName name="A_KEYWORD_ISSR_208002861_IND_SALES_EU_EX_UK" localSheetId="24">#REF!</definedName>
    <definedName name="A_KEYWORD_ISSR_208002861_IND_SALES_EU_EX_UK" localSheetId="18">#REF!</definedName>
    <definedName name="A_KEYWORD_ISSR_208002861_IND_SALES_EU_EX_UK" localSheetId="12">#REF!</definedName>
    <definedName name="A_KEYWORD_ISSR_208002861_IND_SALES_EU_EX_UK" localSheetId="23">#REF!</definedName>
    <definedName name="A_KEYWORD_ISSR_208002861_IND_SALES_EU_EX_UK" localSheetId="19">#REF!</definedName>
    <definedName name="A_KEYWORD_ISSR_208002861_IND_SALES_EU_EX_UK" localSheetId="21">#REF!</definedName>
    <definedName name="A_KEYWORD_ISSR_208002861_IND_SALES_EU_EX_UK">#REF!</definedName>
    <definedName name="A_KEYWORD_ISSR_208002861_IND_SALES_FINAN" localSheetId="24">#REF!</definedName>
    <definedName name="A_KEYWORD_ISSR_208002861_IND_SALES_FINAN" localSheetId="18">#REF!</definedName>
    <definedName name="A_KEYWORD_ISSR_208002861_IND_SALES_FINAN" localSheetId="12">#REF!</definedName>
    <definedName name="A_KEYWORD_ISSR_208002861_IND_SALES_FINAN" localSheetId="23">#REF!</definedName>
    <definedName name="A_KEYWORD_ISSR_208002861_IND_SALES_FINAN" localSheetId="19">#REF!</definedName>
    <definedName name="A_KEYWORD_ISSR_208002861_IND_SALES_FINAN" localSheetId="21">#REF!</definedName>
    <definedName name="A_KEYWORD_ISSR_208002861_IND_SALES_FINAN">#REF!</definedName>
    <definedName name="A_KEYWORD_ISSR_208002861_IND_SALES_FRA" localSheetId="24">#REF!</definedName>
    <definedName name="A_KEYWORD_ISSR_208002861_IND_SALES_FRA" localSheetId="18">#REF!</definedName>
    <definedName name="A_KEYWORD_ISSR_208002861_IND_SALES_FRA" localSheetId="12">#REF!</definedName>
    <definedName name="A_KEYWORD_ISSR_208002861_IND_SALES_FRA" localSheetId="23">#REF!</definedName>
    <definedName name="A_KEYWORD_ISSR_208002861_IND_SALES_FRA" localSheetId="19">#REF!</definedName>
    <definedName name="A_KEYWORD_ISSR_208002861_IND_SALES_FRA" localSheetId="21">#REF!</definedName>
    <definedName name="A_KEYWORD_ISSR_208002861_IND_SALES_FRA">#REF!</definedName>
    <definedName name="A_KEYWORD_ISSR_208002861_IND_SALES_GER" localSheetId="24">#REF!</definedName>
    <definedName name="A_KEYWORD_ISSR_208002861_IND_SALES_GER" localSheetId="18">#REF!</definedName>
    <definedName name="A_KEYWORD_ISSR_208002861_IND_SALES_GER" localSheetId="12">#REF!</definedName>
    <definedName name="A_KEYWORD_ISSR_208002861_IND_SALES_GER" localSheetId="23">#REF!</definedName>
    <definedName name="A_KEYWORD_ISSR_208002861_IND_SALES_GER" localSheetId="19">#REF!</definedName>
    <definedName name="A_KEYWORD_ISSR_208002861_IND_SALES_GER" localSheetId="21">#REF!</definedName>
    <definedName name="A_KEYWORD_ISSR_208002861_IND_SALES_GER">#REF!</definedName>
    <definedName name="A_KEYWORD_ISSR_208002861_IND_SALES_GOV" localSheetId="24">#REF!</definedName>
    <definedName name="A_KEYWORD_ISSR_208002861_IND_SALES_GOV" localSheetId="18">#REF!</definedName>
    <definedName name="A_KEYWORD_ISSR_208002861_IND_SALES_GOV" localSheetId="12">#REF!</definedName>
    <definedName name="A_KEYWORD_ISSR_208002861_IND_SALES_GOV" localSheetId="23">#REF!</definedName>
    <definedName name="A_KEYWORD_ISSR_208002861_IND_SALES_GOV" localSheetId="19">#REF!</definedName>
    <definedName name="A_KEYWORD_ISSR_208002861_IND_SALES_GOV" localSheetId="21">#REF!</definedName>
    <definedName name="A_KEYWORD_ISSR_208002861_IND_SALES_GOV">#REF!</definedName>
    <definedName name="A_KEYWORD_ISSR_208002861_IND_SALES_IND" localSheetId="24">#REF!</definedName>
    <definedName name="A_KEYWORD_ISSR_208002861_IND_SALES_IND" localSheetId="18">#REF!</definedName>
    <definedName name="A_KEYWORD_ISSR_208002861_IND_SALES_IND" localSheetId="12">#REF!</definedName>
    <definedName name="A_KEYWORD_ISSR_208002861_IND_SALES_IND" localSheetId="23">#REF!</definedName>
    <definedName name="A_KEYWORD_ISSR_208002861_IND_SALES_IND" localSheetId="19">#REF!</definedName>
    <definedName name="A_KEYWORD_ISSR_208002861_IND_SALES_IND" localSheetId="21">#REF!</definedName>
    <definedName name="A_KEYWORD_ISSR_208002861_IND_SALES_IND">#REF!</definedName>
    <definedName name="A_KEYWORD_ISSR_208002861_IND_SALES_INDIA" localSheetId="24">#REF!</definedName>
    <definedName name="A_KEYWORD_ISSR_208002861_IND_SALES_INDIA" localSheetId="18">#REF!</definedName>
    <definedName name="A_KEYWORD_ISSR_208002861_IND_SALES_INDIA" localSheetId="12">#REF!</definedName>
    <definedName name="A_KEYWORD_ISSR_208002861_IND_SALES_INDIA" localSheetId="23">#REF!</definedName>
    <definedName name="A_KEYWORD_ISSR_208002861_IND_SALES_INDIA" localSheetId="19">#REF!</definedName>
    <definedName name="A_KEYWORD_ISSR_208002861_IND_SALES_INDIA" localSheetId="21">#REF!</definedName>
    <definedName name="A_KEYWORD_ISSR_208002861_IND_SALES_INDIA">#REF!</definedName>
    <definedName name="A_KEYWORD_ISSR_208002861_IND_SALES_ITA" localSheetId="24">#REF!</definedName>
    <definedName name="A_KEYWORD_ISSR_208002861_IND_SALES_ITA" localSheetId="18">#REF!</definedName>
    <definedName name="A_KEYWORD_ISSR_208002861_IND_SALES_ITA" localSheetId="12">#REF!</definedName>
    <definedName name="A_KEYWORD_ISSR_208002861_IND_SALES_ITA" localSheetId="23">#REF!</definedName>
    <definedName name="A_KEYWORD_ISSR_208002861_IND_SALES_ITA" localSheetId="19">#REF!</definedName>
    <definedName name="A_KEYWORD_ISSR_208002861_IND_SALES_ITA" localSheetId="21">#REF!</definedName>
    <definedName name="A_KEYWORD_ISSR_208002861_IND_SALES_ITA">#REF!</definedName>
    <definedName name="A_KEYWORD_ISSR_208002861_IND_SALES_JAPAN" localSheetId="24">#REF!</definedName>
    <definedName name="A_KEYWORD_ISSR_208002861_IND_SALES_JAPAN" localSheetId="18">#REF!</definedName>
    <definedName name="A_KEYWORD_ISSR_208002861_IND_SALES_JAPAN" localSheetId="12">#REF!</definedName>
    <definedName name="A_KEYWORD_ISSR_208002861_IND_SALES_JAPAN" localSheetId="23">#REF!</definedName>
    <definedName name="A_KEYWORD_ISSR_208002861_IND_SALES_JAPAN" localSheetId="19">#REF!</definedName>
    <definedName name="A_KEYWORD_ISSR_208002861_IND_SALES_JAPAN" localSheetId="21">#REF!</definedName>
    <definedName name="A_KEYWORD_ISSR_208002861_IND_SALES_JAPAN">#REF!</definedName>
    <definedName name="A_KEYWORD_ISSR_208002861_IND_SALES_ME" localSheetId="24">#REF!</definedName>
    <definedName name="A_KEYWORD_ISSR_208002861_IND_SALES_ME" localSheetId="18">#REF!</definedName>
    <definedName name="A_KEYWORD_ISSR_208002861_IND_SALES_ME" localSheetId="12">#REF!</definedName>
    <definedName name="A_KEYWORD_ISSR_208002861_IND_SALES_ME" localSheetId="23">#REF!</definedName>
    <definedName name="A_KEYWORD_ISSR_208002861_IND_SALES_ME" localSheetId="19">#REF!</definedName>
    <definedName name="A_KEYWORD_ISSR_208002861_IND_SALES_ME" localSheetId="21">#REF!</definedName>
    <definedName name="A_KEYWORD_ISSR_208002861_IND_SALES_ME">#REF!</definedName>
    <definedName name="A_KEYWORD_ISSR_208002861_IND_SALES_NIGERIA" localSheetId="24">#REF!</definedName>
    <definedName name="A_KEYWORD_ISSR_208002861_IND_SALES_NIGERIA" localSheetId="18">#REF!</definedName>
    <definedName name="A_KEYWORD_ISSR_208002861_IND_SALES_NIGERIA" localSheetId="12">#REF!</definedName>
    <definedName name="A_KEYWORD_ISSR_208002861_IND_SALES_NIGERIA" localSheetId="23">#REF!</definedName>
    <definedName name="A_KEYWORD_ISSR_208002861_IND_SALES_NIGERIA" localSheetId="19">#REF!</definedName>
    <definedName name="A_KEYWORD_ISSR_208002861_IND_SALES_NIGERIA" localSheetId="21">#REF!</definedName>
    <definedName name="A_KEYWORD_ISSR_208002861_IND_SALES_NIGERIA">#REF!</definedName>
    <definedName name="A_KEYWORD_ISSR_208002861_IND_SALES_OTH_AEJ" localSheetId="24">#REF!</definedName>
    <definedName name="A_KEYWORD_ISSR_208002861_IND_SALES_OTH_AEJ" localSheetId="18">#REF!</definedName>
    <definedName name="A_KEYWORD_ISSR_208002861_IND_SALES_OTH_AEJ" localSheetId="12">#REF!</definedName>
    <definedName name="A_KEYWORD_ISSR_208002861_IND_SALES_OTH_AEJ" localSheetId="23">#REF!</definedName>
    <definedName name="A_KEYWORD_ISSR_208002861_IND_SALES_OTH_AEJ" localSheetId="19">#REF!</definedName>
    <definedName name="A_KEYWORD_ISSR_208002861_IND_SALES_OTH_AEJ" localSheetId="21">#REF!</definedName>
    <definedName name="A_KEYWORD_ISSR_208002861_IND_SALES_OTH_AEJ">#REF!</definedName>
    <definedName name="A_KEYWORD_ISSR_208002861_IND_SALES_OTH_AFRICA" localSheetId="24">#REF!</definedName>
    <definedName name="A_KEYWORD_ISSR_208002861_IND_SALES_OTH_AFRICA" localSheetId="18">#REF!</definedName>
    <definedName name="A_KEYWORD_ISSR_208002861_IND_SALES_OTH_AFRICA" localSheetId="12">#REF!</definedName>
    <definedName name="A_KEYWORD_ISSR_208002861_IND_SALES_OTH_AFRICA" localSheetId="23">#REF!</definedName>
    <definedName name="A_KEYWORD_ISSR_208002861_IND_SALES_OTH_AFRICA" localSheetId="19">#REF!</definedName>
    <definedName name="A_KEYWORD_ISSR_208002861_IND_SALES_OTH_AFRICA" localSheetId="21">#REF!</definedName>
    <definedName name="A_KEYWORD_ISSR_208002861_IND_SALES_OTH_AFRICA">#REF!</definedName>
    <definedName name="A_KEYWORD_ISSR_208002861_IND_SALES_OTH_AM" localSheetId="24">#REF!</definedName>
    <definedName name="A_KEYWORD_ISSR_208002861_IND_SALES_OTH_AM" localSheetId="18">#REF!</definedName>
    <definedName name="A_KEYWORD_ISSR_208002861_IND_SALES_OTH_AM" localSheetId="12">#REF!</definedName>
    <definedName name="A_KEYWORD_ISSR_208002861_IND_SALES_OTH_AM" localSheetId="23">#REF!</definedName>
    <definedName name="A_KEYWORD_ISSR_208002861_IND_SALES_OTH_AM" localSheetId="19">#REF!</definedName>
    <definedName name="A_KEYWORD_ISSR_208002861_IND_SALES_OTH_AM" localSheetId="21">#REF!</definedName>
    <definedName name="A_KEYWORD_ISSR_208002861_IND_SALES_OTH_AM">#REF!</definedName>
    <definedName name="A_KEYWORD_ISSR_208002861_IND_SALES_OTH_EMEA" localSheetId="24">#REF!</definedName>
    <definedName name="A_KEYWORD_ISSR_208002861_IND_SALES_OTH_EMEA" localSheetId="18">#REF!</definedName>
    <definedName name="A_KEYWORD_ISSR_208002861_IND_SALES_OTH_EMEA" localSheetId="12">#REF!</definedName>
    <definedName name="A_KEYWORD_ISSR_208002861_IND_SALES_OTH_EMEA" localSheetId="23">#REF!</definedName>
    <definedName name="A_KEYWORD_ISSR_208002861_IND_SALES_OTH_EMEA" localSheetId="19">#REF!</definedName>
    <definedName name="A_KEYWORD_ISSR_208002861_IND_SALES_OTH_EMEA" localSheetId="21">#REF!</definedName>
    <definedName name="A_KEYWORD_ISSR_208002861_IND_SALES_OTH_EMEA">#REF!</definedName>
    <definedName name="A_KEYWORD_ISSR_208002861_IND_SALES_OTH_EU_EX_UK" localSheetId="24">#REF!</definedName>
    <definedName name="A_KEYWORD_ISSR_208002861_IND_SALES_OTH_EU_EX_UK" localSheetId="18">#REF!</definedName>
    <definedName name="A_KEYWORD_ISSR_208002861_IND_SALES_OTH_EU_EX_UK" localSheetId="12">#REF!</definedName>
    <definedName name="A_KEYWORD_ISSR_208002861_IND_SALES_OTH_EU_EX_UK" localSheetId="23">#REF!</definedName>
    <definedName name="A_KEYWORD_ISSR_208002861_IND_SALES_OTH_EU_EX_UK" localSheetId="19">#REF!</definedName>
    <definedName name="A_KEYWORD_ISSR_208002861_IND_SALES_OTH_EU_EX_UK" localSheetId="21">#REF!</definedName>
    <definedName name="A_KEYWORD_ISSR_208002861_IND_SALES_OTH_EU_EX_UK">#REF!</definedName>
    <definedName name="A_KEYWORD_ISSR_208002861_IND_SALES_OTHER" localSheetId="24">#REF!</definedName>
    <definedName name="A_KEYWORD_ISSR_208002861_IND_SALES_OTHER" localSheetId="18">#REF!</definedName>
    <definedName name="A_KEYWORD_ISSR_208002861_IND_SALES_OTHER" localSheetId="12">#REF!</definedName>
    <definedName name="A_KEYWORD_ISSR_208002861_IND_SALES_OTHER" localSheetId="23">#REF!</definedName>
    <definedName name="A_KEYWORD_ISSR_208002861_IND_SALES_OTHER" localSheetId="19">#REF!</definedName>
    <definedName name="A_KEYWORD_ISSR_208002861_IND_SALES_OTHER" localSheetId="21">#REF!</definedName>
    <definedName name="A_KEYWORD_ISSR_208002861_IND_SALES_OTHER">#REF!</definedName>
    <definedName name="A_KEYWORD_ISSR_208002861_IND_SALES_RUSSIA" localSheetId="24">#REF!</definedName>
    <definedName name="A_KEYWORD_ISSR_208002861_IND_SALES_RUSSIA" localSheetId="18">#REF!</definedName>
    <definedName name="A_KEYWORD_ISSR_208002861_IND_SALES_RUSSIA" localSheetId="12">#REF!</definedName>
    <definedName name="A_KEYWORD_ISSR_208002861_IND_SALES_RUSSIA" localSheetId="23">#REF!</definedName>
    <definedName name="A_KEYWORD_ISSR_208002861_IND_SALES_RUSSIA" localSheetId="19">#REF!</definedName>
    <definedName name="A_KEYWORD_ISSR_208002861_IND_SALES_RUSSIA" localSheetId="21">#REF!</definedName>
    <definedName name="A_KEYWORD_ISSR_208002861_IND_SALES_RUSSIA">#REF!</definedName>
    <definedName name="A_KEYWORD_ISSR_208002861_IND_SALES_SO_AFRICA" localSheetId="24">#REF!</definedName>
    <definedName name="A_KEYWORD_ISSR_208002861_IND_SALES_SO_AFRICA" localSheetId="18">#REF!</definedName>
    <definedName name="A_KEYWORD_ISSR_208002861_IND_SALES_SO_AFRICA" localSheetId="12">#REF!</definedName>
    <definedName name="A_KEYWORD_ISSR_208002861_IND_SALES_SO_AFRICA" localSheetId="23">#REF!</definedName>
    <definedName name="A_KEYWORD_ISSR_208002861_IND_SALES_SO_AFRICA" localSheetId="19">#REF!</definedName>
    <definedName name="A_KEYWORD_ISSR_208002861_IND_SALES_SO_AFRICA" localSheetId="21">#REF!</definedName>
    <definedName name="A_KEYWORD_ISSR_208002861_IND_SALES_SO_AFRICA">#REF!</definedName>
    <definedName name="A_KEYWORD_ISSR_208002861_IND_SALES_SPA" localSheetId="24">#REF!</definedName>
    <definedName name="A_KEYWORD_ISSR_208002861_IND_SALES_SPA" localSheetId="18">#REF!</definedName>
    <definedName name="A_KEYWORD_ISSR_208002861_IND_SALES_SPA" localSheetId="12">#REF!</definedName>
    <definedName name="A_KEYWORD_ISSR_208002861_IND_SALES_SPA" localSheetId="23">#REF!</definedName>
    <definedName name="A_KEYWORD_ISSR_208002861_IND_SALES_SPA" localSheetId="19">#REF!</definedName>
    <definedName name="A_KEYWORD_ISSR_208002861_IND_SALES_SPA" localSheetId="21">#REF!</definedName>
    <definedName name="A_KEYWORD_ISSR_208002861_IND_SALES_SPA">#REF!</definedName>
    <definedName name="A_KEYWORD_ISSR_208002861_IND_SALES_TOT_AFRICA" localSheetId="24">#REF!</definedName>
    <definedName name="A_KEYWORD_ISSR_208002861_IND_SALES_TOT_AFRICA" localSheetId="18">#REF!</definedName>
    <definedName name="A_KEYWORD_ISSR_208002861_IND_SALES_TOT_AFRICA" localSheetId="12">#REF!</definedName>
    <definedName name="A_KEYWORD_ISSR_208002861_IND_SALES_TOT_AFRICA" localSheetId="23">#REF!</definedName>
    <definedName name="A_KEYWORD_ISSR_208002861_IND_SALES_TOT_AFRICA" localSheetId="19">#REF!</definedName>
    <definedName name="A_KEYWORD_ISSR_208002861_IND_SALES_TOT_AFRICA" localSheetId="21">#REF!</definedName>
    <definedName name="A_KEYWORD_ISSR_208002861_IND_SALES_TOT_AFRICA">#REF!</definedName>
    <definedName name="A_KEYWORD_ISSR_208002861_IND_SALES_TOT_AM" localSheetId="24">#REF!</definedName>
    <definedName name="A_KEYWORD_ISSR_208002861_IND_SALES_TOT_AM" localSheetId="18">#REF!</definedName>
    <definedName name="A_KEYWORD_ISSR_208002861_IND_SALES_TOT_AM" localSheetId="12">#REF!</definedName>
    <definedName name="A_KEYWORD_ISSR_208002861_IND_SALES_TOT_AM" localSheetId="23">#REF!</definedName>
    <definedName name="A_KEYWORD_ISSR_208002861_IND_SALES_TOT_AM" localSheetId="19">#REF!</definedName>
    <definedName name="A_KEYWORD_ISSR_208002861_IND_SALES_TOT_AM" localSheetId="21">#REF!</definedName>
    <definedName name="A_KEYWORD_ISSR_208002861_IND_SALES_TOT_AM">#REF!</definedName>
    <definedName name="A_KEYWORD_ISSR_208002861_IND_SALES_TOT_ASIA" localSheetId="24">#REF!</definedName>
    <definedName name="A_KEYWORD_ISSR_208002861_IND_SALES_TOT_ASIA" localSheetId="18">#REF!</definedName>
    <definedName name="A_KEYWORD_ISSR_208002861_IND_SALES_TOT_ASIA" localSheetId="12">#REF!</definedName>
    <definedName name="A_KEYWORD_ISSR_208002861_IND_SALES_TOT_ASIA" localSheetId="23">#REF!</definedName>
    <definedName name="A_KEYWORD_ISSR_208002861_IND_SALES_TOT_ASIA" localSheetId="19">#REF!</definedName>
    <definedName name="A_KEYWORD_ISSR_208002861_IND_SALES_TOT_ASIA" localSheetId="21">#REF!</definedName>
    <definedName name="A_KEYWORD_ISSR_208002861_IND_SALES_TOT_ASIA">#REF!</definedName>
    <definedName name="A_KEYWORD_ISSR_208002861_IND_SALES_TOT_EMEA" localSheetId="24">#REF!</definedName>
    <definedName name="A_KEYWORD_ISSR_208002861_IND_SALES_TOT_EMEA" localSheetId="18">#REF!</definedName>
    <definedName name="A_KEYWORD_ISSR_208002861_IND_SALES_TOT_EMEA" localSheetId="12">#REF!</definedName>
    <definedName name="A_KEYWORD_ISSR_208002861_IND_SALES_TOT_EMEA" localSheetId="23">#REF!</definedName>
    <definedName name="A_KEYWORD_ISSR_208002861_IND_SALES_TOT_EMEA" localSheetId="19">#REF!</definedName>
    <definedName name="A_KEYWORD_ISSR_208002861_IND_SALES_TOT_EMEA" localSheetId="21">#REF!</definedName>
    <definedName name="A_KEYWORD_ISSR_208002861_IND_SALES_TOT_EMEA">#REF!</definedName>
    <definedName name="A_KEYWORD_ISSR_208002861_IND_SALES_UK" localSheetId="24">#REF!</definedName>
    <definedName name="A_KEYWORD_ISSR_208002861_IND_SALES_UK" localSheetId="18">#REF!</definedName>
    <definedName name="A_KEYWORD_ISSR_208002861_IND_SALES_UK" localSheetId="12">#REF!</definedName>
    <definedName name="A_KEYWORD_ISSR_208002861_IND_SALES_UK" localSheetId="23">#REF!</definedName>
    <definedName name="A_KEYWORD_ISSR_208002861_IND_SALES_UK" localSheetId="19">#REF!</definedName>
    <definedName name="A_KEYWORD_ISSR_208002861_IND_SALES_UK" localSheetId="21">#REF!</definedName>
    <definedName name="A_KEYWORD_ISSR_208002861_IND_SALES_UK">#REF!</definedName>
    <definedName name="A_KEYWORD_ISSR_208002861_IND_SALES_US" localSheetId="24">#REF!</definedName>
    <definedName name="A_KEYWORD_ISSR_208002861_IND_SALES_US" localSheetId="18">#REF!</definedName>
    <definedName name="A_KEYWORD_ISSR_208002861_IND_SALES_US" localSheetId="12">#REF!</definedName>
    <definedName name="A_KEYWORD_ISSR_208002861_IND_SALES_US" localSheetId="23">#REF!</definedName>
    <definedName name="A_KEYWORD_ISSR_208002861_IND_SALES_US" localSheetId="19">#REF!</definedName>
    <definedName name="A_KEYWORD_ISSR_208002861_IND_SALES_US" localSheetId="21">#REF!</definedName>
    <definedName name="A_KEYWORD_ISSR_208002861_IND_SALES_US">#REF!</definedName>
    <definedName name="A_KEYWORD_ISSR_208002861_INT_EXP_IND" localSheetId="24">#REF!</definedName>
    <definedName name="A_KEYWORD_ISSR_208002861_INT_EXP_IND" localSheetId="18">#REF!</definedName>
    <definedName name="A_KEYWORD_ISSR_208002861_INT_EXP_IND" localSheetId="12">#REF!</definedName>
    <definedName name="A_KEYWORD_ISSR_208002861_INT_EXP_IND" localSheetId="23">#REF!</definedName>
    <definedName name="A_KEYWORD_ISSR_208002861_INT_EXP_IND" localSheetId="19">#REF!</definedName>
    <definedName name="A_KEYWORD_ISSR_208002861_INT_EXP_IND" localSheetId="21">#REF!</definedName>
    <definedName name="A_KEYWORD_ISSR_208002861_INT_EXP_IND">#REF!</definedName>
    <definedName name="A_KEYWORD_ISSR_208002861_INT_INC_IND" localSheetId="24">#REF!</definedName>
    <definedName name="A_KEYWORD_ISSR_208002861_INT_INC_IND" localSheetId="18">#REF!</definedName>
    <definedName name="A_KEYWORD_ISSR_208002861_INT_INC_IND" localSheetId="12">#REF!</definedName>
    <definedName name="A_KEYWORD_ISSR_208002861_INT_INC_IND" localSheetId="23">#REF!</definedName>
    <definedName name="A_KEYWORD_ISSR_208002861_INT_INC_IND" localSheetId="19">#REF!</definedName>
    <definedName name="A_KEYWORD_ISSR_208002861_INT_INC_IND" localSheetId="21">#REF!</definedName>
    <definedName name="A_KEYWORD_ISSR_208002861_INT_INC_IND">#REF!</definedName>
    <definedName name="A_KEYWORD_ISSR_208002861_INV_SECUR" localSheetId="24">#REF!</definedName>
    <definedName name="A_KEYWORD_ISSR_208002861_INV_SECUR" localSheetId="18">#REF!</definedName>
    <definedName name="A_KEYWORD_ISSR_208002861_INV_SECUR" localSheetId="12">#REF!</definedName>
    <definedName name="A_KEYWORD_ISSR_208002861_INV_SECUR" localSheetId="23">#REF!</definedName>
    <definedName name="A_KEYWORD_ISSR_208002861_INV_SECUR" localSheetId="19">#REF!</definedName>
    <definedName name="A_KEYWORD_ISSR_208002861_INV_SECUR" localSheetId="21">#REF!</definedName>
    <definedName name="A_KEYWORD_ISSR_208002861_INV_SECUR">#REF!</definedName>
    <definedName name="A_KEYWORD_ISSR_208002861_Issuer_Name" localSheetId="24">#REF!</definedName>
    <definedName name="A_KEYWORD_ISSR_208002861_Issuer_Name" localSheetId="18">#REF!</definedName>
    <definedName name="A_KEYWORD_ISSR_208002861_Issuer_Name" localSheetId="12">#REF!</definedName>
    <definedName name="A_KEYWORD_ISSR_208002861_Issuer_Name" localSheetId="23">#REF!</definedName>
    <definedName name="A_KEYWORD_ISSR_208002861_Issuer_Name" localSheetId="19">#REF!</definedName>
    <definedName name="A_KEYWORD_ISSR_208002861_Issuer_Name" localSheetId="21">#REF!</definedName>
    <definedName name="A_KEYWORD_ISSR_208002861_Issuer_Name">#REF!</definedName>
    <definedName name="A_KEYWORD_ISSR_208002861_LEASE_DEEM_DEPR" localSheetId="24">#REF!</definedName>
    <definedName name="A_KEYWORD_ISSR_208002861_LEASE_DEEM_DEPR" localSheetId="18">#REF!</definedName>
    <definedName name="A_KEYWORD_ISSR_208002861_LEASE_DEEM_DEPR" localSheetId="12">#REF!</definedName>
    <definedName name="A_KEYWORD_ISSR_208002861_LEASE_DEEM_DEPR" localSheetId="23">#REF!</definedName>
    <definedName name="A_KEYWORD_ISSR_208002861_LEASE_DEEM_DEPR" localSheetId="19">#REF!</definedName>
    <definedName name="A_KEYWORD_ISSR_208002861_LEASE_DEEM_DEPR" localSheetId="21">#REF!</definedName>
    <definedName name="A_KEYWORD_ISSR_208002861_LEASE_DEEM_DEPR">#REF!</definedName>
    <definedName name="A_KEYWORD_ISSR_208002861_LEASE_DEEM_INT" localSheetId="24">#REF!</definedName>
    <definedName name="A_KEYWORD_ISSR_208002861_LEASE_DEEM_INT" localSheetId="18">#REF!</definedName>
    <definedName name="A_KEYWORD_ISSR_208002861_LEASE_DEEM_INT" localSheetId="12">#REF!</definedName>
    <definedName name="A_KEYWORD_ISSR_208002861_LEASE_DEEM_INT" localSheetId="23">#REF!</definedName>
    <definedName name="A_KEYWORD_ISSR_208002861_LEASE_DEEM_INT" localSheetId="19">#REF!</definedName>
    <definedName name="A_KEYWORD_ISSR_208002861_LEASE_DEEM_INT" localSheetId="21">#REF!</definedName>
    <definedName name="A_KEYWORD_ISSR_208002861_LEASE_DEEM_INT">#REF!</definedName>
    <definedName name="A_KEYWORD_ISSR_208002861_LEASE_PAY" localSheetId="24">#REF!</definedName>
    <definedName name="A_KEYWORD_ISSR_208002861_LEASE_PAY" localSheetId="18">#REF!</definedName>
    <definedName name="A_KEYWORD_ISSR_208002861_LEASE_PAY" localSheetId="12">#REF!</definedName>
    <definedName name="A_KEYWORD_ISSR_208002861_LEASE_PAY" localSheetId="23">#REF!</definedName>
    <definedName name="A_KEYWORD_ISSR_208002861_LEASE_PAY" localSheetId="19">#REF!</definedName>
    <definedName name="A_KEYWORD_ISSR_208002861_LEASE_PAY" localSheetId="21">#REF!</definedName>
    <definedName name="A_KEYWORD_ISSR_208002861_LEASE_PAY">#REF!</definedName>
    <definedName name="A_KEYWORD_ISSR_208002861_LT_DEBT" localSheetId="24">#REF!</definedName>
    <definedName name="A_KEYWORD_ISSR_208002861_LT_DEBT" localSheetId="18">#REF!</definedName>
    <definedName name="A_KEYWORD_ISSR_208002861_LT_DEBT" localSheetId="12">#REF!</definedName>
    <definedName name="A_KEYWORD_ISSR_208002861_LT_DEBT" localSheetId="23">#REF!</definedName>
    <definedName name="A_KEYWORD_ISSR_208002861_LT_DEBT" localSheetId="19">#REF!</definedName>
    <definedName name="A_KEYWORD_ISSR_208002861_LT_DEBT" localSheetId="21">#REF!</definedName>
    <definedName name="A_KEYWORD_ISSR_208002861_LT_DEBT">#REF!</definedName>
    <definedName name="A_KEYWORD_ISSR_208002861_MINORITIES" localSheetId="24">#REF!</definedName>
    <definedName name="A_KEYWORD_ISSR_208002861_MINORITIES" localSheetId="18">#REF!</definedName>
    <definedName name="A_KEYWORD_ISSR_208002861_MINORITIES" localSheetId="12">#REF!</definedName>
    <definedName name="A_KEYWORD_ISSR_208002861_MINORITIES" localSheetId="23">#REF!</definedName>
    <definedName name="A_KEYWORD_ISSR_208002861_MINORITIES" localSheetId="19">#REF!</definedName>
    <definedName name="A_KEYWORD_ISSR_208002861_MINORITIES" localSheetId="21">#REF!</definedName>
    <definedName name="A_KEYWORD_ISSR_208002861_MINORITIES">#REF!</definedName>
    <definedName name="A_KEYWORD_ISSR_208002861_MV_ASSOCIATES" localSheetId="24">#REF!</definedName>
    <definedName name="A_KEYWORD_ISSR_208002861_MV_ASSOCIATES" localSheetId="18">#REF!</definedName>
    <definedName name="A_KEYWORD_ISSR_208002861_MV_ASSOCIATES" localSheetId="12">#REF!</definedName>
    <definedName name="A_KEYWORD_ISSR_208002861_MV_ASSOCIATES" localSheetId="23">#REF!</definedName>
    <definedName name="A_KEYWORD_ISSR_208002861_MV_ASSOCIATES" localSheetId="19">#REF!</definedName>
    <definedName name="A_KEYWORD_ISSR_208002861_MV_ASSOCIATES" localSheetId="21">#REF!</definedName>
    <definedName name="A_KEYWORD_ISSR_208002861_MV_ASSOCIATES">#REF!</definedName>
    <definedName name="A_KEYWORD_ISSR_208002861_NET_DEBT" localSheetId="24">#REF!</definedName>
    <definedName name="A_KEYWORD_ISSR_208002861_NET_DEBT" localSheetId="18">#REF!</definedName>
    <definedName name="A_KEYWORD_ISSR_208002861_NET_DEBT" localSheetId="12">#REF!</definedName>
    <definedName name="A_KEYWORD_ISSR_208002861_NET_DEBT" localSheetId="23">#REF!</definedName>
    <definedName name="A_KEYWORD_ISSR_208002861_NET_DEBT" localSheetId="19">#REF!</definedName>
    <definedName name="A_KEYWORD_ISSR_208002861_NET_DEBT" localSheetId="21">#REF!</definedName>
    <definedName name="A_KEYWORD_ISSR_208002861_NET_DEBT">#REF!</definedName>
    <definedName name="A_KEYWORD_ISSR_208002861_NET_DEBT_ADJ" localSheetId="24">#REF!</definedName>
    <definedName name="A_KEYWORD_ISSR_208002861_NET_DEBT_ADJ" localSheetId="18">#REF!</definedName>
    <definedName name="A_KEYWORD_ISSR_208002861_NET_DEBT_ADJ" localSheetId="12">#REF!</definedName>
    <definedName name="A_KEYWORD_ISSR_208002861_NET_DEBT_ADJ" localSheetId="23">#REF!</definedName>
    <definedName name="A_KEYWORD_ISSR_208002861_NET_DEBT_ADJ" localSheetId="19">#REF!</definedName>
    <definedName name="A_KEYWORD_ISSR_208002861_NET_DEBT_ADJ" localSheetId="21">#REF!</definedName>
    <definedName name="A_KEYWORD_ISSR_208002861_NET_DEBT_ADJ">#REF!</definedName>
    <definedName name="A_KEYWORD_ISSR_208002861_NET_FIX_ASS" localSheetId="24">#REF!</definedName>
    <definedName name="A_KEYWORD_ISSR_208002861_NET_FIX_ASS" localSheetId="18">#REF!</definedName>
    <definedName name="A_KEYWORD_ISSR_208002861_NET_FIX_ASS" localSheetId="12">#REF!</definedName>
    <definedName name="A_KEYWORD_ISSR_208002861_NET_FIX_ASS" localSheetId="23">#REF!</definedName>
    <definedName name="A_KEYWORD_ISSR_208002861_NET_FIX_ASS" localSheetId="19">#REF!</definedName>
    <definedName name="A_KEYWORD_ISSR_208002861_NET_FIX_ASS" localSheetId="21">#REF!</definedName>
    <definedName name="A_KEYWORD_ISSR_208002861_NET_FIX_ASS">#REF!</definedName>
    <definedName name="A_KEYWORD_ISSR_208002861_NET_INT_CH" localSheetId="24">#REF!</definedName>
    <definedName name="A_KEYWORD_ISSR_208002861_NET_INT_CH" localSheetId="18">#REF!</definedName>
    <definedName name="A_KEYWORD_ISSR_208002861_NET_INT_CH" localSheetId="12">#REF!</definedName>
    <definedName name="A_KEYWORD_ISSR_208002861_NET_INT_CH" localSheetId="23">#REF!</definedName>
    <definedName name="A_KEYWORD_ISSR_208002861_NET_INT_CH" localSheetId="19">#REF!</definedName>
    <definedName name="A_KEYWORD_ISSR_208002861_NET_INT_CH" localSheetId="21">#REF!</definedName>
    <definedName name="A_KEYWORD_ISSR_208002861_NET_INT_CH">#REF!</definedName>
    <definedName name="A_KEYWORD_ISSR_208002861_NET_INT_EXP" localSheetId="24">#REF!</definedName>
    <definedName name="A_KEYWORD_ISSR_208002861_NET_INT_EXP" localSheetId="18">#REF!</definedName>
    <definedName name="A_KEYWORD_ISSR_208002861_NET_INT_EXP" localSheetId="12">#REF!</definedName>
    <definedName name="A_KEYWORD_ISSR_208002861_NET_INT_EXP" localSheetId="23">#REF!</definedName>
    <definedName name="A_KEYWORD_ISSR_208002861_NET_INT_EXP" localSheetId="19">#REF!</definedName>
    <definedName name="A_KEYWORD_ISSR_208002861_NET_INT_EXP" localSheetId="21">#REF!</definedName>
    <definedName name="A_KEYWORD_ISSR_208002861_NET_INT_EXP">#REF!</definedName>
    <definedName name="A_KEYWORD_ISSR_208002861_NET_INTANG" localSheetId="24">#REF!</definedName>
    <definedName name="A_KEYWORD_ISSR_208002861_NET_INTANG" localSheetId="18">#REF!</definedName>
    <definedName name="A_KEYWORD_ISSR_208002861_NET_INTANG" localSheetId="12">#REF!</definedName>
    <definedName name="A_KEYWORD_ISSR_208002861_NET_INTANG" localSheetId="23">#REF!</definedName>
    <definedName name="A_KEYWORD_ISSR_208002861_NET_INTANG" localSheetId="19">#REF!</definedName>
    <definedName name="A_KEYWORD_ISSR_208002861_NET_INTANG" localSheetId="21">#REF!</definedName>
    <definedName name="A_KEYWORD_ISSR_208002861_NET_INTANG">#REF!</definedName>
    <definedName name="A_KEYWORD_ISSR_208002861_NONPPE_CAPEX" localSheetId="24">#REF!</definedName>
    <definedName name="A_KEYWORD_ISSR_208002861_NONPPE_CAPEX" localSheetId="18">#REF!</definedName>
    <definedName name="A_KEYWORD_ISSR_208002861_NONPPE_CAPEX" localSheetId="12">#REF!</definedName>
    <definedName name="A_KEYWORD_ISSR_208002861_NONPPE_CAPEX" localSheetId="23">#REF!</definedName>
    <definedName name="A_KEYWORD_ISSR_208002861_NONPPE_CAPEX" localSheetId="19">#REF!</definedName>
    <definedName name="A_KEYWORD_ISSR_208002861_NONPPE_CAPEX" localSheetId="21">#REF!</definedName>
    <definedName name="A_KEYWORD_ISSR_208002861_NONPPE_CAPEX">#REF!</definedName>
    <definedName name="A_KEYWORD_ISSR_208002861_OP_COST" localSheetId="24">#REF!</definedName>
    <definedName name="A_KEYWORD_ISSR_208002861_OP_COST" localSheetId="18">#REF!</definedName>
    <definedName name="A_KEYWORD_ISSR_208002861_OP_COST" localSheetId="12">#REF!</definedName>
    <definedName name="A_KEYWORD_ISSR_208002861_OP_COST" localSheetId="23">#REF!</definedName>
    <definedName name="A_KEYWORD_ISSR_208002861_OP_COST" localSheetId="19">#REF!</definedName>
    <definedName name="A_KEYWORD_ISSR_208002861_OP_COST" localSheetId="21">#REF!</definedName>
    <definedName name="A_KEYWORD_ISSR_208002861_OP_COST">#REF!</definedName>
    <definedName name="A_KEYWORD_ISSR_208002861_ORD_SH_FUND" localSheetId="24">#REF!</definedName>
    <definedName name="A_KEYWORD_ISSR_208002861_ORD_SH_FUND" localSheetId="18">#REF!</definedName>
    <definedName name="A_KEYWORD_ISSR_208002861_ORD_SH_FUND" localSheetId="12">#REF!</definedName>
    <definedName name="A_KEYWORD_ISSR_208002861_ORD_SH_FUND" localSheetId="23">#REF!</definedName>
    <definedName name="A_KEYWORD_ISSR_208002861_ORD_SH_FUND" localSheetId="19">#REF!</definedName>
    <definedName name="A_KEYWORD_ISSR_208002861_ORD_SH_FUND" localSheetId="21">#REF!</definedName>
    <definedName name="A_KEYWORD_ISSR_208002861_ORD_SH_FUND">#REF!</definedName>
    <definedName name="A_KEYWORD_ISSR_208002861_ORG_REV" localSheetId="24">#REF!</definedName>
    <definedName name="A_KEYWORD_ISSR_208002861_ORG_REV" localSheetId="18">#REF!</definedName>
    <definedName name="A_KEYWORD_ISSR_208002861_ORG_REV" localSheetId="12">#REF!</definedName>
    <definedName name="A_KEYWORD_ISSR_208002861_ORG_REV" localSheetId="23">#REF!</definedName>
    <definedName name="A_KEYWORD_ISSR_208002861_ORG_REV" localSheetId="19">#REF!</definedName>
    <definedName name="A_KEYWORD_ISSR_208002861_ORG_REV" localSheetId="21">#REF!</definedName>
    <definedName name="A_KEYWORD_ISSR_208002861_ORG_REV">#REF!</definedName>
    <definedName name="A_KEYWORD_ISSR_208002861_ORG_REV_GRTH" localSheetId="24">#REF!</definedName>
    <definedName name="A_KEYWORD_ISSR_208002861_ORG_REV_GRTH" localSheetId="18">#REF!</definedName>
    <definedName name="A_KEYWORD_ISSR_208002861_ORG_REV_GRTH" localSheetId="12">#REF!</definedName>
    <definedName name="A_KEYWORD_ISSR_208002861_ORG_REV_GRTH" localSheetId="23">#REF!</definedName>
    <definedName name="A_KEYWORD_ISSR_208002861_ORG_REV_GRTH" localSheetId="19">#REF!</definedName>
    <definedName name="A_KEYWORD_ISSR_208002861_ORG_REV_GRTH" localSheetId="21">#REF!</definedName>
    <definedName name="A_KEYWORD_ISSR_208002861_ORG_REV_GRTH">#REF!</definedName>
    <definedName name="A_KEYWORD_ISSR_208002861_OTH_COST_INC" localSheetId="24">#REF!</definedName>
    <definedName name="A_KEYWORD_ISSR_208002861_OTH_COST_INC" localSheetId="18">#REF!</definedName>
    <definedName name="A_KEYWORD_ISSR_208002861_OTH_COST_INC" localSheetId="12">#REF!</definedName>
    <definedName name="A_KEYWORD_ISSR_208002861_OTH_COST_INC" localSheetId="23">#REF!</definedName>
    <definedName name="A_KEYWORD_ISSR_208002861_OTH_COST_INC" localSheetId="19">#REF!</definedName>
    <definedName name="A_KEYWORD_ISSR_208002861_OTH_COST_INC" localSheetId="21">#REF!</definedName>
    <definedName name="A_KEYWORD_ISSR_208002861_OTH_COST_INC">#REF!</definedName>
    <definedName name="A_KEYWORD_ISSR_208002861_OTH_CUR_ASS" localSheetId="24">#REF!</definedName>
    <definedName name="A_KEYWORD_ISSR_208002861_OTH_CUR_ASS" localSheetId="18">#REF!</definedName>
    <definedName name="A_KEYWORD_ISSR_208002861_OTH_CUR_ASS" localSheetId="12">#REF!</definedName>
    <definedName name="A_KEYWORD_ISSR_208002861_OTH_CUR_ASS" localSheetId="23">#REF!</definedName>
    <definedName name="A_KEYWORD_ISSR_208002861_OTH_CUR_ASS" localSheetId="19">#REF!</definedName>
    <definedName name="A_KEYWORD_ISSR_208002861_OTH_CUR_ASS" localSheetId="21">#REF!</definedName>
    <definedName name="A_KEYWORD_ISSR_208002861_OTH_CUR_ASS">#REF!</definedName>
    <definedName name="A_KEYWORD_ISSR_208002861_OTH_CUR_LIABS" localSheetId="24">#REF!</definedName>
    <definedName name="A_KEYWORD_ISSR_208002861_OTH_CUR_LIABS" localSheetId="18">#REF!</definedName>
    <definedName name="A_KEYWORD_ISSR_208002861_OTH_CUR_LIABS" localSheetId="12">#REF!</definedName>
    <definedName name="A_KEYWORD_ISSR_208002861_OTH_CUR_LIABS" localSheetId="23">#REF!</definedName>
    <definedName name="A_KEYWORD_ISSR_208002861_OTH_CUR_LIABS" localSheetId="19">#REF!</definedName>
    <definedName name="A_KEYWORD_ISSR_208002861_OTH_CUR_LIABS" localSheetId="21">#REF!</definedName>
    <definedName name="A_KEYWORD_ISSR_208002861_OTH_CUR_LIABS">#REF!</definedName>
    <definedName name="A_KEYWORD_ISSR_208002861_OTH_DACF_ADJ" localSheetId="24">#REF!</definedName>
    <definedName name="A_KEYWORD_ISSR_208002861_OTH_DACF_ADJ" localSheetId="18">#REF!</definedName>
    <definedName name="A_KEYWORD_ISSR_208002861_OTH_DACF_ADJ" localSheetId="12">#REF!</definedName>
    <definedName name="A_KEYWORD_ISSR_208002861_OTH_DACF_ADJ" localSheetId="23">#REF!</definedName>
    <definedName name="A_KEYWORD_ISSR_208002861_OTH_DACF_ADJ" localSheetId="19">#REF!</definedName>
    <definedName name="A_KEYWORD_ISSR_208002861_OTH_DACF_ADJ" localSheetId="21">#REF!</definedName>
    <definedName name="A_KEYWORD_ISSR_208002861_OTH_DACF_ADJ">#REF!</definedName>
    <definedName name="A_KEYWORD_ISSR_208002861_OTH_FIN_CF" localSheetId="24">#REF!</definedName>
    <definedName name="A_KEYWORD_ISSR_208002861_OTH_FIN_CF" localSheetId="18">#REF!</definedName>
    <definedName name="A_KEYWORD_ISSR_208002861_OTH_FIN_CF" localSheetId="12">#REF!</definedName>
    <definedName name="A_KEYWORD_ISSR_208002861_OTH_FIN_CF" localSheetId="23">#REF!</definedName>
    <definedName name="A_KEYWORD_ISSR_208002861_OTH_FIN_CF" localSheetId="19">#REF!</definedName>
    <definedName name="A_KEYWORD_ISSR_208002861_OTH_FIN_CF" localSheetId="21">#REF!</definedName>
    <definedName name="A_KEYWORD_ISSR_208002861_OTH_FIN_CF">#REF!</definedName>
    <definedName name="A_KEYWORD_ISSR_208002861_OTH_GCI_ADJ" localSheetId="24">#REF!</definedName>
    <definedName name="A_KEYWORD_ISSR_208002861_OTH_GCI_ADJ" localSheetId="18">#REF!</definedName>
    <definedName name="A_KEYWORD_ISSR_208002861_OTH_GCI_ADJ" localSheetId="12">#REF!</definedName>
    <definedName name="A_KEYWORD_ISSR_208002861_OTH_GCI_ADJ" localSheetId="23">#REF!</definedName>
    <definedName name="A_KEYWORD_ISSR_208002861_OTH_GCI_ADJ" localSheetId="19">#REF!</definedName>
    <definedName name="A_KEYWORD_ISSR_208002861_OTH_GCI_ADJ" localSheetId="21">#REF!</definedName>
    <definedName name="A_KEYWORD_ISSR_208002861_OTH_GCI_ADJ">#REF!</definedName>
    <definedName name="A_KEYWORD_ISSR_208002861_OTH_INT_AMORT" localSheetId="24">#REF!</definedName>
    <definedName name="A_KEYWORD_ISSR_208002861_OTH_INT_AMORT" localSheetId="18">#REF!</definedName>
    <definedName name="A_KEYWORD_ISSR_208002861_OTH_INT_AMORT" localSheetId="12">#REF!</definedName>
    <definedName name="A_KEYWORD_ISSR_208002861_OTH_INT_AMORT" localSheetId="23">#REF!</definedName>
    <definedName name="A_KEYWORD_ISSR_208002861_OTH_INT_AMORT" localSheetId="19">#REF!</definedName>
    <definedName name="A_KEYWORD_ISSR_208002861_OTH_INT_AMORT" localSheetId="21">#REF!</definedName>
    <definedName name="A_KEYWORD_ISSR_208002861_OTH_INT_AMORT">#REF!</definedName>
    <definedName name="A_KEYWORD_ISSR_208002861_OTH_INV_CF" localSheetId="24">#REF!</definedName>
    <definedName name="A_KEYWORD_ISSR_208002861_OTH_INV_CF" localSheetId="18">#REF!</definedName>
    <definedName name="A_KEYWORD_ISSR_208002861_OTH_INV_CF" localSheetId="12">#REF!</definedName>
    <definedName name="A_KEYWORD_ISSR_208002861_OTH_INV_CF" localSheetId="23">#REF!</definedName>
    <definedName name="A_KEYWORD_ISSR_208002861_OTH_INV_CF" localSheetId="19">#REF!</definedName>
    <definedName name="A_KEYWORD_ISSR_208002861_OTH_INV_CF" localSheetId="21">#REF!</definedName>
    <definedName name="A_KEYWORD_ISSR_208002861_OTH_INV_CF">#REF!</definedName>
    <definedName name="A_KEYWORD_ISSR_208002861_OTH_ITEM_NCF" localSheetId="24">#REF!</definedName>
    <definedName name="A_KEYWORD_ISSR_208002861_OTH_ITEM_NCF" localSheetId="18">#REF!</definedName>
    <definedName name="A_KEYWORD_ISSR_208002861_OTH_ITEM_NCF" localSheetId="12">#REF!</definedName>
    <definedName name="A_KEYWORD_ISSR_208002861_OTH_ITEM_NCF" localSheetId="23">#REF!</definedName>
    <definedName name="A_KEYWORD_ISSR_208002861_OTH_ITEM_NCF" localSheetId="19">#REF!</definedName>
    <definedName name="A_KEYWORD_ISSR_208002861_OTH_ITEM_NCF" localSheetId="21">#REF!</definedName>
    <definedName name="A_KEYWORD_ISSR_208002861_OTH_ITEM_NCF">#REF!</definedName>
    <definedName name="A_KEYWORD_ISSR_208002861_OTH_LT_ASS" localSheetId="24">#REF!</definedName>
    <definedName name="A_KEYWORD_ISSR_208002861_OTH_LT_ASS" localSheetId="18">#REF!</definedName>
    <definedName name="A_KEYWORD_ISSR_208002861_OTH_LT_ASS" localSheetId="12">#REF!</definedName>
    <definedName name="A_KEYWORD_ISSR_208002861_OTH_LT_ASS" localSheetId="23">#REF!</definedName>
    <definedName name="A_KEYWORD_ISSR_208002861_OTH_LT_ASS" localSheetId="19">#REF!</definedName>
    <definedName name="A_KEYWORD_ISSR_208002861_OTH_LT_ASS" localSheetId="21">#REF!</definedName>
    <definedName name="A_KEYWORD_ISSR_208002861_OTH_LT_ASS">#REF!</definedName>
    <definedName name="A_KEYWORD_ISSR_208002861_OTH_LT_CRED_GQ" localSheetId="24">#REF!</definedName>
    <definedName name="A_KEYWORD_ISSR_208002861_OTH_LT_CRED_GQ" localSheetId="18">#REF!</definedName>
    <definedName name="A_KEYWORD_ISSR_208002861_OTH_LT_CRED_GQ" localSheetId="12">#REF!</definedName>
    <definedName name="A_KEYWORD_ISSR_208002861_OTH_LT_CRED_GQ" localSheetId="23">#REF!</definedName>
    <definedName name="A_KEYWORD_ISSR_208002861_OTH_LT_CRED_GQ" localSheetId="19">#REF!</definedName>
    <definedName name="A_KEYWORD_ISSR_208002861_OTH_LT_CRED_GQ" localSheetId="21">#REF!</definedName>
    <definedName name="A_KEYWORD_ISSR_208002861_OTH_LT_CRED_GQ">#REF!</definedName>
    <definedName name="A_KEYWORD_ISSR_208002861_OTH_NONCASH_ADJ" localSheetId="24">#REF!</definedName>
    <definedName name="A_KEYWORD_ISSR_208002861_OTH_NONCASH_ADJ" localSheetId="18">#REF!</definedName>
    <definedName name="A_KEYWORD_ISSR_208002861_OTH_NONCASH_ADJ" localSheetId="12">#REF!</definedName>
    <definedName name="A_KEYWORD_ISSR_208002861_OTH_NONCASH_ADJ" localSheetId="23">#REF!</definedName>
    <definedName name="A_KEYWORD_ISSR_208002861_OTH_NONCASH_ADJ" localSheetId="19">#REF!</definedName>
    <definedName name="A_KEYWORD_ISSR_208002861_OTH_NONCASH_ADJ" localSheetId="21">#REF!</definedName>
    <definedName name="A_KEYWORD_ISSR_208002861_OTH_NONCASH_ADJ">#REF!</definedName>
    <definedName name="A_KEYWORD_ISSR_208002861_OTH_OP_CF" localSheetId="24">#REF!</definedName>
    <definedName name="A_KEYWORD_ISSR_208002861_OTH_OP_CF" localSheetId="18">#REF!</definedName>
    <definedName name="A_KEYWORD_ISSR_208002861_OTH_OP_CF" localSheetId="12">#REF!</definedName>
    <definedName name="A_KEYWORD_ISSR_208002861_OTH_OP_CF" localSheetId="23">#REF!</definedName>
    <definedName name="A_KEYWORD_ISSR_208002861_OTH_OP_CF" localSheetId="19">#REF!</definedName>
    <definedName name="A_KEYWORD_ISSR_208002861_OTH_OP_CF" localSheetId="21">#REF!</definedName>
    <definedName name="A_KEYWORD_ISSR_208002861_OTH_OP_CF">#REF!</definedName>
    <definedName name="A_KEYWORD_ISSR_208002861_OTH_OP_INC_EXP" localSheetId="24">#REF!</definedName>
    <definedName name="A_KEYWORD_ISSR_208002861_OTH_OP_INC_EXP" localSheetId="18">#REF!</definedName>
    <definedName name="A_KEYWORD_ISSR_208002861_OTH_OP_INC_EXP" localSheetId="12">#REF!</definedName>
    <definedName name="A_KEYWORD_ISSR_208002861_OTH_OP_INC_EXP" localSheetId="23">#REF!</definedName>
    <definedName name="A_KEYWORD_ISSR_208002861_OTH_OP_INC_EXP" localSheetId="19">#REF!</definedName>
    <definedName name="A_KEYWORD_ISSR_208002861_OTH_OP_INC_EXP" localSheetId="21">#REF!</definedName>
    <definedName name="A_KEYWORD_ISSR_208002861_OTH_OP_INC_EXP">#REF!</definedName>
    <definedName name="A_KEYWORD_ISSR_208002861_PERIOD_MILESTONE" localSheetId="24">#REF!</definedName>
    <definedName name="A_KEYWORD_ISSR_208002861_PERIOD_MILESTONE" localSheetId="18">#REF!</definedName>
    <definedName name="A_KEYWORD_ISSR_208002861_PERIOD_MILESTONE" localSheetId="12">#REF!</definedName>
    <definedName name="A_KEYWORD_ISSR_208002861_PERIOD_MILESTONE" localSheetId="23">#REF!</definedName>
    <definedName name="A_KEYWORD_ISSR_208002861_PERIOD_MILESTONE" localSheetId="19">#REF!</definedName>
    <definedName name="A_KEYWORD_ISSR_208002861_PERIOD_MILESTONE" localSheetId="21">#REF!</definedName>
    <definedName name="A_KEYWORD_ISSR_208002861_PERIOD_MILESTONE">#REF!</definedName>
    <definedName name="A_KEYWORD_ISSR_208002861_PL_SALE_ASSETS" localSheetId="24">#REF!</definedName>
    <definedName name="A_KEYWORD_ISSR_208002861_PL_SALE_ASSETS" localSheetId="18">#REF!</definedName>
    <definedName name="A_KEYWORD_ISSR_208002861_PL_SALE_ASSETS" localSheetId="12">#REF!</definedName>
    <definedName name="A_KEYWORD_ISSR_208002861_PL_SALE_ASSETS" localSheetId="23">#REF!</definedName>
    <definedName name="A_KEYWORD_ISSR_208002861_PL_SALE_ASSETS" localSheetId="19">#REF!</definedName>
    <definedName name="A_KEYWORD_ISSR_208002861_PL_SALE_ASSETS" localSheetId="21">#REF!</definedName>
    <definedName name="A_KEYWORD_ISSR_208002861_PL_SALE_ASSETS">#REF!</definedName>
    <definedName name="A_KEYWORD_ISSR_208002861_PREF_SH" localSheetId="24">#REF!</definedName>
    <definedName name="A_KEYWORD_ISSR_208002861_PREF_SH" localSheetId="18">#REF!</definedName>
    <definedName name="A_KEYWORD_ISSR_208002861_PREF_SH" localSheetId="12">#REF!</definedName>
    <definedName name="A_KEYWORD_ISSR_208002861_PREF_SH" localSheetId="23">#REF!</definedName>
    <definedName name="A_KEYWORD_ISSR_208002861_PREF_SH" localSheetId="19">#REF!</definedName>
    <definedName name="A_KEYWORD_ISSR_208002861_PREF_SH" localSheetId="21">#REF!</definedName>
    <definedName name="A_KEYWORD_ISSR_208002861_PREF_SH">#REF!</definedName>
    <definedName name="A_KEYWORD_ISSR_208002861_PROFIT_ON_DISP" localSheetId="24">#REF!</definedName>
    <definedName name="A_KEYWORD_ISSR_208002861_PROFIT_ON_DISP" localSheetId="18">#REF!</definedName>
    <definedName name="A_KEYWORD_ISSR_208002861_PROFIT_ON_DISP" localSheetId="12">#REF!</definedName>
    <definedName name="A_KEYWORD_ISSR_208002861_PROFIT_ON_DISP" localSheetId="23">#REF!</definedName>
    <definedName name="A_KEYWORD_ISSR_208002861_PROFIT_ON_DISP" localSheetId="19">#REF!</definedName>
    <definedName name="A_KEYWORD_ISSR_208002861_PROFIT_ON_DISP" localSheetId="21">#REF!</definedName>
    <definedName name="A_KEYWORD_ISSR_208002861_PROFIT_ON_DISP">#REF!</definedName>
    <definedName name="A_KEYWORD_ISSR_208002861_PT_PROF" localSheetId="24">#REF!</definedName>
    <definedName name="A_KEYWORD_ISSR_208002861_PT_PROF" localSheetId="18">#REF!</definedName>
    <definedName name="A_KEYWORD_ISSR_208002861_PT_PROF" localSheetId="12">#REF!</definedName>
    <definedName name="A_KEYWORD_ISSR_208002861_PT_PROF" localSheetId="23">#REF!</definedName>
    <definedName name="A_KEYWORD_ISSR_208002861_PT_PROF" localSheetId="19">#REF!</definedName>
    <definedName name="A_KEYWORD_ISSR_208002861_PT_PROF" localSheetId="21">#REF!</definedName>
    <definedName name="A_KEYWORD_ISSR_208002861_PT_PROF">#REF!</definedName>
    <definedName name="A_KEYWORD_ISSR_208002861_RD_EXP" localSheetId="24">#REF!</definedName>
    <definedName name="A_KEYWORD_ISSR_208002861_RD_EXP" localSheetId="18">#REF!</definedName>
    <definedName name="A_KEYWORD_ISSR_208002861_RD_EXP" localSheetId="12">#REF!</definedName>
    <definedName name="A_KEYWORD_ISSR_208002861_RD_EXP" localSheetId="23">#REF!</definedName>
    <definedName name="A_KEYWORD_ISSR_208002861_RD_EXP" localSheetId="19">#REF!</definedName>
    <definedName name="A_KEYWORD_ISSR_208002861_RD_EXP" localSheetId="21">#REF!</definedName>
    <definedName name="A_KEYWORD_ISSR_208002861_RD_EXP">#REF!</definedName>
    <definedName name="A_KEYWORD_ISSR_208002861_SALES" localSheetId="24">#REF!</definedName>
    <definedName name="A_KEYWORD_ISSR_208002861_SALES" localSheetId="18">#REF!</definedName>
    <definedName name="A_KEYWORD_ISSR_208002861_SALES" localSheetId="12">#REF!</definedName>
    <definedName name="A_KEYWORD_ISSR_208002861_SALES" localSheetId="23">#REF!</definedName>
    <definedName name="A_KEYWORD_ISSR_208002861_SALES" localSheetId="19">#REF!</definedName>
    <definedName name="A_KEYWORD_ISSR_208002861_SALES" localSheetId="21">#REF!</definedName>
    <definedName name="A_KEYWORD_ISSR_208002861_SALES">#REF!</definedName>
    <definedName name="A_KEYWORD_ISSR_208002861_SALES_BRAZIL" localSheetId="24">#REF!</definedName>
    <definedName name="A_KEYWORD_ISSR_208002861_SALES_BRAZIL" localSheetId="18">#REF!</definedName>
    <definedName name="A_KEYWORD_ISSR_208002861_SALES_BRAZIL" localSheetId="12">#REF!</definedName>
    <definedName name="A_KEYWORD_ISSR_208002861_SALES_BRAZIL" localSheetId="23">#REF!</definedName>
    <definedName name="A_KEYWORD_ISSR_208002861_SALES_BRAZIL" localSheetId="19">#REF!</definedName>
    <definedName name="A_KEYWORD_ISSR_208002861_SALES_BRAZIL" localSheetId="21">#REF!</definedName>
    <definedName name="A_KEYWORD_ISSR_208002861_SALES_BRAZIL">#REF!</definedName>
    <definedName name="A_KEYWORD_ISSR_208002861_SALES_CEE" localSheetId="24">#REF!</definedName>
    <definedName name="A_KEYWORD_ISSR_208002861_SALES_CEE" localSheetId="18">#REF!</definedName>
    <definedName name="A_KEYWORD_ISSR_208002861_SALES_CEE" localSheetId="12">#REF!</definedName>
    <definedName name="A_KEYWORD_ISSR_208002861_SALES_CEE" localSheetId="23">#REF!</definedName>
    <definedName name="A_KEYWORD_ISSR_208002861_SALES_CEE" localSheetId="19">#REF!</definedName>
    <definedName name="A_KEYWORD_ISSR_208002861_SALES_CEE" localSheetId="21">#REF!</definedName>
    <definedName name="A_KEYWORD_ISSR_208002861_SALES_CEE">#REF!</definedName>
    <definedName name="A_KEYWORD_ISSR_208002861_SALES_CHINA" localSheetId="24">#REF!</definedName>
    <definedName name="A_KEYWORD_ISSR_208002861_SALES_CHINA" localSheetId="18">#REF!</definedName>
    <definedName name="A_KEYWORD_ISSR_208002861_SALES_CHINA" localSheetId="12">#REF!</definedName>
    <definedName name="A_KEYWORD_ISSR_208002861_SALES_CHINA" localSheetId="23">#REF!</definedName>
    <definedName name="A_KEYWORD_ISSR_208002861_SALES_CHINA" localSheetId="19">#REF!</definedName>
    <definedName name="A_KEYWORD_ISSR_208002861_SALES_CHINA" localSheetId="21">#REF!</definedName>
    <definedName name="A_KEYWORD_ISSR_208002861_SALES_CHINA">#REF!</definedName>
    <definedName name="A_KEYWORD_ISSR_208002861_SALES_CONS" localSheetId="24">#REF!</definedName>
    <definedName name="A_KEYWORD_ISSR_208002861_SALES_CONS" localSheetId="18">#REF!</definedName>
    <definedName name="A_KEYWORD_ISSR_208002861_SALES_CONS" localSheetId="12">#REF!</definedName>
    <definedName name="A_KEYWORD_ISSR_208002861_SALES_CONS" localSheetId="23">#REF!</definedName>
    <definedName name="A_KEYWORD_ISSR_208002861_SALES_CONS" localSheetId="19">#REF!</definedName>
    <definedName name="A_KEYWORD_ISSR_208002861_SALES_CONS" localSheetId="21">#REF!</definedName>
    <definedName name="A_KEYWORD_ISSR_208002861_SALES_CONS">#REF!</definedName>
    <definedName name="A_KEYWORD_ISSR_208002861_SALES_EU_EX_UK" localSheetId="24">#REF!</definedName>
    <definedName name="A_KEYWORD_ISSR_208002861_SALES_EU_EX_UK" localSheetId="18">#REF!</definedName>
    <definedName name="A_KEYWORD_ISSR_208002861_SALES_EU_EX_UK" localSheetId="12">#REF!</definedName>
    <definedName name="A_KEYWORD_ISSR_208002861_SALES_EU_EX_UK" localSheetId="23">#REF!</definedName>
    <definedName name="A_KEYWORD_ISSR_208002861_SALES_EU_EX_UK" localSheetId="19">#REF!</definedName>
    <definedName name="A_KEYWORD_ISSR_208002861_SALES_EU_EX_UK" localSheetId="21">#REF!</definedName>
    <definedName name="A_KEYWORD_ISSR_208002861_SALES_EU_EX_UK">#REF!</definedName>
    <definedName name="A_KEYWORD_ISSR_208002861_SALES_FINAN" localSheetId="24">#REF!</definedName>
    <definedName name="A_KEYWORD_ISSR_208002861_SALES_FINAN" localSheetId="18">#REF!</definedName>
    <definedName name="A_KEYWORD_ISSR_208002861_SALES_FINAN" localSheetId="12">#REF!</definedName>
    <definedName name="A_KEYWORD_ISSR_208002861_SALES_FINAN" localSheetId="23">#REF!</definedName>
    <definedName name="A_KEYWORD_ISSR_208002861_SALES_FINAN" localSheetId="19">#REF!</definedName>
    <definedName name="A_KEYWORD_ISSR_208002861_SALES_FINAN" localSheetId="21">#REF!</definedName>
    <definedName name="A_KEYWORD_ISSR_208002861_SALES_FINAN">#REF!</definedName>
    <definedName name="A_KEYWORD_ISSR_208002861_SALES_FRA" localSheetId="24">#REF!</definedName>
    <definedName name="A_KEYWORD_ISSR_208002861_SALES_FRA" localSheetId="18">#REF!</definedName>
    <definedName name="A_KEYWORD_ISSR_208002861_SALES_FRA" localSheetId="12">#REF!</definedName>
    <definedName name="A_KEYWORD_ISSR_208002861_SALES_FRA" localSheetId="23">#REF!</definedName>
    <definedName name="A_KEYWORD_ISSR_208002861_SALES_FRA" localSheetId="19">#REF!</definedName>
    <definedName name="A_KEYWORD_ISSR_208002861_SALES_FRA" localSheetId="21">#REF!</definedName>
    <definedName name="A_KEYWORD_ISSR_208002861_SALES_FRA">#REF!</definedName>
    <definedName name="A_KEYWORD_ISSR_208002861_SALES_FX_AED" localSheetId="24">#REF!</definedName>
    <definedName name="A_KEYWORD_ISSR_208002861_SALES_FX_AED" localSheetId="18">#REF!</definedName>
    <definedName name="A_KEYWORD_ISSR_208002861_SALES_FX_AED" localSheetId="12">#REF!</definedName>
    <definedName name="A_KEYWORD_ISSR_208002861_SALES_FX_AED" localSheetId="23">#REF!</definedName>
    <definedName name="A_KEYWORD_ISSR_208002861_SALES_FX_AED" localSheetId="19">#REF!</definedName>
    <definedName name="A_KEYWORD_ISSR_208002861_SALES_FX_AED" localSheetId="21">#REF!</definedName>
    <definedName name="A_KEYWORD_ISSR_208002861_SALES_FX_AED">#REF!</definedName>
    <definedName name="A_KEYWORD_ISSR_208002861_SALES_FX_BRL" localSheetId="24">#REF!</definedName>
    <definedName name="A_KEYWORD_ISSR_208002861_SALES_FX_BRL" localSheetId="18">#REF!</definedName>
    <definedName name="A_KEYWORD_ISSR_208002861_SALES_FX_BRL" localSheetId="12">#REF!</definedName>
    <definedName name="A_KEYWORD_ISSR_208002861_SALES_FX_BRL" localSheetId="23">#REF!</definedName>
    <definedName name="A_KEYWORD_ISSR_208002861_SALES_FX_BRL" localSheetId="19">#REF!</definedName>
    <definedName name="A_KEYWORD_ISSR_208002861_SALES_FX_BRL" localSheetId="21">#REF!</definedName>
    <definedName name="A_KEYWORD_ISSR_208002861_SALES_FX_BRL">#REF!</definedName>
    <definedName name="A_KEYWORD_ISSR_208002861_SALES_FX_CHF" localSheetId="24">#REF!</definedName>
    <definedName name="A_KEYWORD_ISSR_208002861_SALES_FX_CHF" localSheetId="18">#REF!</definedName>
    <definedName name="A_KEYWORD_ISSR_208002861_SALES_FX_CHF" localSheetId="12">#REF!</definedName>
    <definedName name="A_KEYWORD_ISSR_208002861_SALES_FX_CHF" localSheetId="23">#REF!</definedName>
    <definedName name="A_KEYWORD_ISSR_208002861_SALES_FX_CHF" localSheetId="19">#REF!</definedName>
    <definedName name="A_KEYWORD_ISSR_208002861_SALES_FX_CHF" localSheetId="21">#REF!</definedName>
    <definedName name="A_KEYWORD_ISSR_208002861_SALES_FX_CHF">#REF!</definedName>
    <definedName name="A_KEYWORD_ISSR_208002861_SALES_FX_CNY" localSheetId="24">#REF!</definedName>
    <definedName name="A_KEYWORD_ISSR_208002861_SALES_FX_CNY" localSheetId="18">#REF!</definedName>
    <definedName name="A_KEYWORD_ISSR_208002861_SALES_FX_CNY" localSheetId="12">#REF!</definedName>
    <definedName name="A_KEYWORD_ISSR_208002861_SALES_FX_CNY" localSheetId="23">#REF!</definedName>
    <definedName name="A_KEYWORD_ISSR_208002861_SALES_FX_CNY" localSheetId="19">#REF!</definedName>
    <definedName name="A_KEYWORD_ISSR_208002861_SALES_FX_CNY" localSheetId="21">#REF!</definedName>
    <definedName name="A_KEYWORD_ISSR_208002861_SALES_FX_CNY">#REF!</definedName>
    <definedName name="A_KEYWORD_ISSR_208002861_SALES_FX_EUR" localSheetId="24">#REF!</definedName>
    <definedName name="A_KEYWORD_ISSR_208002861_SALES_FX_EUR" localSheetId="18">#REF!</definedName>
    <definedName name="A_KEYWORD_ISSR_208002861_SALES_FX_EUR" localSheetId="12">#REF!</definedName>
    <definedName name="A_KEYWORD_ISSR_208002861_SALES_FX_EUR" localSheetId="23">#REF!</definedName>
    <definedName name="A_KEYWORD_ISSR_208002861_SALES_FX_EUR" localSheetId="19">#REF!</definedName>
    <definedName name="A_KEYWORD_ISSR_208002861_SALES_FX_EUR" localSheetId="21">#REF!</definedName>
    <definedName name="A_KEYWORD_ISSR_208002861_SALES_FX_EUR">#REF!</definedName>
    <definedName name="A_KEYWORD_ISSR_208002861_SALES_FX_GPB" localSheetId="24">#REF!</definedName>
    <definedName name="A_KEYWORD_ISSR_208002861_SALES_FX_GPB" localSheetId="18">#REF!</definedName>
    <definedName name="A_KEYWORD_ISSR_208002861_SALES_FX_GPB" localSheetId="12">#REF!</definedName>
    <definedName name="A_KEYWORD_ISSR_208002861_SALES_FX_GPB" localSheetId="23">#REF!</definedName>
    <definedName name="A_KEYWORD_ISSR_208002861_SALES_FX_GPB" localSheetId="19">#REF!</definedName>
    <definedName name="A_KEYWORD_ISSR_208002861_SALES_FX_GPB" localSheetId="21">#REF!</definedName>
    <definedName name="A_KEYWORD_ISSR_208002861_SALES_FX_GPB">#REF!</definedName>
    <definedName name="A_KEYWORD_ISSR_208002861_SALES_FX_INR" localSheetId="24">#REF!</definedName>
    <definedName name="A_KEYWORD_ISSR_208002861_SALES_FX_INR" localSheetId="18">#REF!</definedName>
    <definedName name="A_KEYWORD_ISSR_208002861_SALES_FX_INR" localSheetId="12">#REF!</definedName>
    <definedName name="A_KEYWORD_ISSR_208002861_SALES_FX_INR" localSheetId="23">#REF!</definedName>
    <definedName name="A_KEYWORD_ISSR_208002861_SALES_FX_INR" localSheetId="19">#REF!</definedName>
    <definedName name="A_KEYWORD_ISSR_208002861_SALES_FX_INR" localSheetId="21">#REF!</definedName>
    <definedName name="A_KEYWORD_ISSR_208002861_SALES_FX_INR">#REF!</definedName>
    <definedName name="A_KEYWORD_ISSR_208002861_SALES_FX_NGN" localSheetId="24">#REF!</definedName>
    <definedName name="A_KEYWORD_ISSR_208002861_SALES_FX_NGN" localSheetId="18">#REF!</definedName>
    <definedName name="A_KEYWORD_ISSR_208002861_SALES_FX_NGN" localSheetId="12">#REF!</definedName>
    <definedName name="A_KEYWORD_ISSR_208002861_SALES_FX_NGN" localSheetId="23">#REF!</definedName>
    <definedName name="A_KEYWORD_ISSR_208002861_SALES_FX_NGN" localSheetId="19">#REF!</definedName>
    <definedName name="A_KEYWORD_ISSR_208002861_SALES_FX_NGN" localSheetId="21">#REF!</definedName>
    <definedName name="A_KEYWORD_ISSR_208002861_SALES_FX_NGN">#REF!</definedName>
    <definedName name="A_KEYWORD_ISSR_208002861_SALES_FX_OTH" localSheetId="24">#REF!</definedName>
    <definedName name="A_KEYWORD_ISSR_208002861_SALES_FX_OTH" localSheetId="18">#REF!</definedName>
    <definedName name="A_KEYWORD_ISSR_208002861_SALES_FX_OTH" localSheetId="12">#REF!</definedName>
    <definedName name="A_KEYWORD_ISSR_208002861_SALES_FX_OTH" localSheetId="23">#REF!</definedName>
    <definedName name="A_KEYWORD_ISSR_208002861_SALES_FX_OTH" localSheetId="19">#REF!</definedName>
    <definedName name="A_KEYWORD_ISSR_208002861_SALES_FX_OTH" localSheetId="21">#REF!</definedName>
    <definedName name="A_KEYWORD_ISSR_208002861_SALES_FX_OTH">#REF!</definedName>
    <definedName name="A_KEYWORD_ISSR_208002861_SALES_FX_RUB" localSheetId="24">#REF!</definedName>
    <definedName name="A_KEYWORD_ISSR_208002861_SALES_FX_RUB" localSheetId="18">#REF!</definedName>
    <definedName name="A_KEYWORD_ISSR_208002861_SALES_FX_RUB" localSheetId="12">#REF!</definedName>
    <definedName name="A_KEYWORD_ISSR_208002861_SALES_FX_RUB" localSheetId="23">#REF!</definedName>
    <definedName name="A_KEYWORD_ISSR_208002861_SALES_FX_RUB" localSheetId="19">#REF!</definedName>
    <definedName name="A_KEYWORD_ISSR_208002861_SALES_FX_RUB" localSheetId="21">#REF!</definedName>
    <definedName name="A_KEYWORD_ISSR_208002861_SALES_FX_RUB">#REF!</definedName>
    <definedName name="A_KEYWORD_ISSR_208002861_SALES_FX_TRY" localSheetId="24">#REF!</definedName>
    <definedName name="A_KEYWORD_ISSR_208002861_SALES_FX_TRY" localSheetId="18">#REF!</definedName>
    <definedName name="A_KEYWORD_ISSR_208002861_SALES_FX_TRY" localSheetId="12">#REF!</definedName>
    <definedName name="A_KEYWORD_ISSR_208002861_SALES_FX_TRY" localSheetId="23">#REF!</definedName>
    <definedName name="A_KEYWORD_ISSR_208002861_SALES_FX_TRY" localSheetId="19">#REF!</definedName>
    <definedName name="A_KEYWORD_ISSR_208002861_SALES_FX_TRY" localSheetId="21">#REF!</definedName>
    <definedName name="A_KEYWORD_ISSR_208002861_SALES_FX_TRY">#REF!</definedName>
    <definedName name="A_KEYWORD_ISSR_208002861_SALES_FX_USD" localSheetId="24">#REF!</definedName>
    <definedName name="A_KEYWORD_ISSR_208002861_SALES_FX_USD" localSheetId="18">#REF!</definedName>
    <definedName name="A_KEYWORD_ISSR_208002861_SALES_FX_USD" localSheetId="12">#REF!</definedName>
    <definedName name="A_KEYWORD_ISSR_208002861_SALES_FX_USD" localSheetId="23">#REF!</definedName>
    <definedName name="A_KEYWORD_ISSR_208002861_SALES_FX_USD" localSheetId="19">#REF!</definedName>
    <definedName name="A_KEYWORD_ISSR_208002861_SALES_FX_USD" localSheetId="21">#REF!</definedName>
    <definedName name="A_KEYWORD_ISSR_208002861_SALES_FX_USD">#REF!</definedName>
    <definedName name="A_KEYWORD_ISSR_208002861_SALES_FX_YEN" localSheetId="24">#REF!</definedName>
    <definedName name="A_KEYWORD_ISSR_208002861_SALES_FX_YEN" localSheetId="18">#REF!</definedName>
    <definedName name="A_KEYWORD_ISSR_208002861_SALES_FX_YEN" localSheetId="12">#REF!</definedName>
    <definedName name="A_KEYWORD_ISSR_208002861_SALES_FX_YEN" localSheetId="23">#REF!</definedName>
    <definedName name="A_KEYWORD_ISSR_208002861_SALES_FX_YEN" localSheetId="19">#REF!</definedName>
    <definedName name="A_KEYWORD_ISSR_208002861_SALES_FX_YEN" localSheetId="21">#REF!</definedName>
    <definedName name="A_KEYWORD_ISSR_208002861_SALES_FX_YEN">#REF!</definedName>
    <definedName name="A_KEYWORD_ISSR_208002861_SALES_FX_ZAR" localSheetId="24">#REF!</definedName>
    <definedName name="A_KEYWORD_ISSR_208002861_SALES_FX_ZAR" localSheetId="18">#REF!</definedName>
    <definedName name="A_KEYWORD_ISSR_208002861_SALES_FX_ZAR" localSheetId="12">#REF!</definedName>
    <definedName name="A_KEYWORD_ISSR_208002861_SALES_FX_ZAR" localSheetId="23">#REF!</definedName>
    <definedName name="A_KEYWORD_ISSR_208002861_SALES_FX_ZAR" localSheetId="19">#REF!</definedName>
    <definedName name="A_KEYWORD_ISSR_208002861_SALES_FX_ZAR" localSheetId="21">#REF!</definedName>
    <definedName name="A_KEYWORD_ISSR_208002861_SALES_FX_ZAR">#REF!</definedName>
    <definedName name="A_KEYWORD_ISSR_208002861_SALES_GER" localSheetId="24">#REF!</definedName>
    <definedName name="A_KEYWORD_ISSR_208002861_SALES_GER" localSheetId="18">#REF!</definedName>
    <definedName name="A_KEYWORD_ISSR_208002861_SALES_GER" localSheetId="12">#REF!</definedName>
    <definedName name="A_KEYWORD_ISSR_208002861_SALES_GER" localSheetId="23">#REF!</definedName>
    <definedName name="A_KEYWORD_ISSR_208002861_SALES_GER" localSheetId="19">#REF!</definedName>
    <definedName name="A_KEYWORD_ISSR_208002861_SALES_GER" localSheetId="21">#REF!</definedName>
    <definedName name="A_KEYWORD_ISSR_208002861_SALES_GER">#REF!</definedName>
    <definedName name="A_KEYWORD_ISSR_208002861_SALES_GOV" localSheetId="24">#REF!</definedName>
    <definedName name="A_KEYWORD_ISSR_208002861_SALES_GOV" localSheetId="18">#REF!</definedName>
    <definedName name="A_KEYWORD_ISSR_208002861_SALES_GOV" localSheetId="12">#REF!</definedName>
    <definedName name="A_KEYWORD_ISSR_208002861_SALES_GOV" localSheetId="23">#REF!</definedName>
    <definedName name="A_KEYWORD_ISSR_208002861_SALES_GOV" localSheetId="19">#REF!</definedName>
    <definedName name="A_KEYWORD_ISSR_208002861_SALES_GOV" localSheetId="21">#REF!</definedName>
    <definedName name="A_KEYWORD_ISSR_208002861_SALES_GOV">#REF!</definedName>
    <definedName name="A_KEYWORD_ISSR_208002861_SALES_IND" localSheetId="24">#REF!</definedName>
    <definedName name="A_KEYWORD_ISSR_208002861_SALES_IND" localSheetId="18">#REF!</definedName>
    <definedName name="A_KEYWORD_ISSR_208002861_SALES_IND" localSheetId="12">#REF!</definedName>
    <definedName name="A_KEYWORD_ISSR_208002861_SALES_IND" localSheetId="23">#REF!</definedName>
    <definedName name="A_KEYWORD_ISSR_208002861_SALES_IND" localSheetId="19">#REF!</definedName>
    <definedName name="A_KEYWORD_ISSR_208002861_SALES_IND" localSheetId="21">#REF!</definedName>
    <definedName name="A_KEYWORD_ISSR_208002861_SALES_IND">#REF!</definedName>
    <definedName name="A_KEYWORD_ISSR_208002861_SALES_INDIA" localSheetId="24">#REF!</definedName>
    <definedName name="A_KEYWORD_ISSR_208002861_SALES_INDIA" localSheetId="18">#REF!</definedName>
    <definedName name="A_KEYWORD_ISSR_208002861_SALES_INDIA" localSheetId="12">#REF!</definedName>
    <definedName name="A_KEYWORD_ISSR_208002861_SALES_INDIA" localSheetId="23">#REF!</definedName>
    <definedName name="A_KEYWORD_ISSR_208002861_SALES_INDIA" localSheetId="19">#REF!</definedName>
    <definedName name="A_KEYWORD_ISSR_208002861_SALES_INDIA" localSheetId="21">#REF!</definedName>
    <definedName name="A_KEYWORD_ISSR_208002861_SALES_INDIA">#REF!</definedName>
    <definedName name="A_KEYWORD_ISSR_208002861_SALES_ITA" localSheetId="24">#REF!</definedName>
    <definedName name="A_KEYWORD_ISSR_208002861_SALES_ITA" localSheetId="18">#REF!</definedName>
    <definedName name="A_KEYWORD_ISSR_208002861_SALES_ITA" localSheetId="12">#REF!</definedName>
    <definedName name="A_KEYWORD_ISSR_208002861_SALES_ITA" localSheetId="23">#REF!</definedName>
    <definedName name="A_KEYWORD_ISSR_208002861_SALES_ITA" localSheetId="19">#REF!</definedName>
    <definedName name="A_KEYWORD_ISSR_208002861_SALES_ITA" localSheetId="21">#REF!</definedName>
    <definedName name="A_KEYWORD_ISSR_208002861_SALES_ITA">#REF!</definedName>
    <definedName name="A_KEYWORD_ISSR_208002861_SALES_JAPAN" localSheetId="24">#REF!</definedName>
    <definedName name="A_KEYWORD_ISSR_208002861_SALES_JAPAN" localSheetId="18">#REF!</definedName>
    <definedName name="A_KEYWORD_ISSR_208002861_SALES_JAPAN" localSheetId="12">#REF!</definedName>
    <definedName name="A_KEYWORD_ISSR_208002861_SALES_JAPAN" localSheetId="23">#REF!</definedName>
    <definedName name="A_KEYWORD_ISSR_208002861_SALES_JAPAN" localSheetId="19">#REF!</definedName>
    <definedName name="A_KEYWORD_ISSR_208002861_SALES_JAPAN" localSheetId="21">#REF!</definedName>
    <definedName name="A_KEYWORD_ISSR_208002861_SALES_JAPAN">#REF!</definedName>
    <definedName name="A_KEYWORD_ISSR_208002861_SALES_ME" localSheetId="24">#REF!</definedName>
    <definedName name="A_KEYWORD_ISSR_208002861_SALES_ME" localSheetId="18">#REF!</definedName>
    <definedName name="A_KEYWORD_ISSR_208002861_SALES_ME" localSheetId="12">#REF!</definedName>
    <definedName name="A_KEYWORD_ISSR_208002861_SALES_ME" localSheetId="23">#REF!</definedName>
    <definedName name="A_KEYWORD_ISSR_208002861_SALES_ME" localSheetId="19">#REF!</definedName>
    <definedName name="A_KEYWORD_ISSR_208002861_SALES_ME" localSheetId="21">#REF!</definedName>
    <definedName name="A_KEYWORD_ISSR_208002861_SALES_ME">#REF!</definedName>
    <definedName name="A_KEYWORD_ISSR_208002861_SALES_NIGERIA" localSheetId="24">#REF!</definedName>
    <definedName name="A_KEYWORD_ISSR_208002861_SALES_NIGERIA" localSheetId="18">#REF!</definedName>
    <definedName name="A_KEYWORD_ISSR_208002861_SALES_NIGERIA" localSheetId="12">#REF!</definedName>
    <definedName name="A_KEYWORD_ISSR_208002861_SALES_NIGERIA" localSheetId="23">#REF!</definedName>
    <definedName name="A_KEYWORD_ISSR_208002861_SALES_NIGERIA" localSheetId="19">#REF!</definedName>
    <definedName name="A_KEYWORD_ISSR_208002861_SALES_NIGERIA" localSheetId="21">#REF!</definedName>
    <definedName name="A_KEYWORD_ISSR_208002861_SALES_NIGERIA">#REF!</definedName>
    <definedName name="A_KEYWORD_ISSR_208002861_SALES_OTH_AEJ" localSheetId="24">#REF!</definedName>
    <definedName name="A_KEYWORD_ISSR_208002861_SALES_OTH_AEJ" localSheetId="18">#REF!</definedName>
    <definedName name="A_KEYWORD_ISSR_208002861_SALES_OTH_AEJ" localSheetId="12">#REF!</definedName>
    <definedName name="A_KEYWORD_ISSR_208002861_SALES_OTH_AEJ" localSheetId="23">#REF!</definedName>
    <definedName name="A_KEYWORD_ISSR_208002861_SALES_OTH_AEJ" localSheetId="19">#REF!</definedName>
    <definedName name="A_KEYWORD_ISSR_208002861_SALES_OTH_AEJ" localSheetId="21">#REF!</definedName>
    <definedName name="A_KEYWORD_ISSR_208002861_SALES_OTH_AEJ">#REF!</definedName>
    <definedName name="A_KEYWORD_ISSR_208002861_SALES_OTH_AFRICA" localSheetId="24">#REF!</definedName>
    <definedName name="A_KEYWORD_ISSR_208002861_SALES_OTH_AFRICA" localSheetId="18">#REF!</definedName>
    <definedName name="A_KEYWORD_ISSR_208002861_SALES_OTH_AFRICA" localSheetId="12">#REF!</definedName>
    <definedName name="A_KEYWORD_ISSR_208002861_SALES_OTH_AFRICA" localSheetId="23">#REF!</definedName>
    <definedName name="A_KEYWORD_ISSR_208002861_SALES_OTH_AFRICA" localSheetId="19">#REF!</definedName>
    <definedName name="A_KEYWORD_ISSR_208002861_SALES_OTH_AFRICA" localSheetId="21">#REF!</definedName>
    <definedName name="A_KEYWORD_ISSR_208002861_SALES_OTH_AFRICA">#REF!</definedName>
    <definedName name="A_KEYWORD_ISSR_208002861_SALES_OTH_AM" localSheetId="24">#REF!</definedName>
    <definedName name="A_KEYWORD_ISSR_208002861_SALES_OTH_AM" localSheetId="18">#REF!</definedName>
    <definedName name="A_KEYWORD_ISSR_208002861_SALES_OTH_AM" localSheetId="12">#REF!</definedName>
    <definedName name="A_KEYWORD_ISSR_208002861_SALES_OTH_AM" localSheetId="23">#REF!</definedName>
    <definedName name="A_KEYWORD_ISSR_208002861_SALES_OTH_AM" localSheetId="19">#REF!</definedName>
    <definedName name="A_KEYWORD_ISSR_208002861_SALES_OTH_AM" localSheetId="21">#REF!</definedName>
    <definedName name="A_KEYWORD_ISSR_208002861_SALES_OTH_AM">#REF!</definedName>
    <definedName name="A_KEYWORD_ISSR_208002861_SALES_OTH_COMMODITY" localSheetId="24">#REF!</definedName>
    <definedName name="A_KEYWORD_ISSR_208002861_SALES_OTH_COMMODITY" localSheetId="18">#REF!</definedName>
    <definedName name="A_KEYWORD_ISSR_208002861_SALES_OTH_COMMODITY" localSheetId="12">#REF!</definedName>
    <definedName name="A_KEYWORD_ISSR_208002861_SALES_OTH_COMMODITY" localSheetId="23">#REF!</definedName>
    <definedName name="A_KEYWORD_ISSR_208002861_SALES_OTH_COMMODITY" localSheetId="19">#REF!</definedName>
    <definedName name="A_KEYWORD_ISSR_208002861_SALES_OTH_COMMODITY" localSheetId="21">#REF!</definedName>
    <definedName name="A_KEYWORD_ISSR_208002861_SALES_OTH_COMMODITY">#REF!</definedName>
    <definedName name="A_KEYWORD_ISSR_208002861_SALES_OTH_EMEA" localSheetId="24">#REF!</definedName>
    <definedName name="A_KEYWORD_ISSR_208002861_SALES_OTH_EMEA" localSheetId="18">#REF!</definedName>
    <definedName name="A_KEYWORD_ISSR_208002861_SALES_OTH_EMEA" localSheetId="12">#REF!</definedName>
    <definedName name="A_KEYWORD_ISSR_208002861_SALES_OTH_EMEA" localSheetId="23">#REF!</definedName>
    <definedName name="A_KEYWORD_ISSR_208002861_SALES_OTH_EMEA" localSheetId="19">#REF!</definedName>
    <definedName name="A_KEYWORD_ISSR_208002861_SALES_OTH_EMEA" localSheetId="21">#REF!</definedName>
    <definedName name="A_KEYWORD_ISSR_208002861_SALES_OTH_EMEA">#REF!</definedName>
    <definedName name="A_KEYWORD_ISSR_208002861_SALES_OTH_EU_EX_UK" localSheetId="24">#REF!</definedName>
    <definedName name="A_KEYWORD_ISSR_208002861_SALES_OTH_EU_EX_UK" localSheetId="18">#REF!</definedName>
    <definedName name="A_KEYWORD_ISSR_208002861_SALES_OTH_EU_EX_UK" localSheetId="12">#REF!</definedName>
    <definedName name="A_KEYWORD_ISSR_208002861_SALES_OTH_EU_EX_UK" localSheetId="23">#REF!</definedName>
    <definedName name="A_KEYWORD_ISSR_208002861_SALES_OTH_EU_EX_UK" localSheetId="19">#REF!</definedName>
    <definedName name="A_KEYWORD_ISSR_208002861_SALES_OTH_EU_EX_UK" localSheetId="21">#REF!</definedName>
    <definedName name="A_KEYWORD_ISSR_208002861_SALES_OTH_EU_EX_UK">#REF!</definedName>
    <definedName name="A_KEYWORD_ISSR_208002861_SALES_OTH_SALES_SOURCES" localSheetId="24">#REF!</definedName>
    <definedName name="A_KEYWORD_ISSR_208002861_SALES_OTH_SALES_SOURCES" localSheetId="18">#REF!</definedName>
    <definedName name="A_KEYWORD_ISSR_208002861_SALES_OTH_SALES_SOURCES" localSheetId="12">#REF!</definedName>
    <definedName name="A_KEYWORD_ISSR_208002861_SALES_OTH_SALES_SOURCES" localSheetId="23">#REF!</definedName>
    <definedName name="A_KEYWORD_ISSR_208002861_SALES_OTH_SALES_SOURCES" localSheetId="19">#REF!</definedName>
    <definedName name="A_KEYWORD_ISSR_208002861_SALES_OTH_SALES_SOURCES" localSheetId="21">#REF!</definedName>
    <definedName name="A_KEYWORD_ISSR_208002861_SALES_OTH_SALES_SOURCES">#REF!</definedName>
    <definedName name="A_KEYWORD_ISSR_208002861_SALES_OTHER" localSheetId="24">#REF!</definedName>
    <definedName name="A_KEYWORD_ISSR_208002861_SALES_OTHER" localSheetId="18">#REF!</definedName>
    <definedName name="A_KEYWORD_ISSR_208002861_SALES_OTHER" localSheetId="12">#REF!</definedName>
    <definedName name="A_KEYWORD_ISSR_208002861_SALES_OTHER" localSheetId="23">#REF!</definedName>
    <definedName name="A_KEYWORD_ISSR_208002861_SALES_OTHER" localSheetId="19">#REF!</definedName>
    <definedName name="A_KEYWORD_ISSR_208002861_SALES_OTHER" localSheetId="21">#REF!</definedName>
    <definedName name="A_KEYWORD_ISSR_208002861_SALES_OTHER">#REF!</definedName>
    <definedName name="A_KEYWORD_ISSR_208002861_SALES_RUSSIA" localSheetId="24">#REF!</definedName>
    <definedName name="A_KEYWORD_ISSR_208002861_SALES_RUSSIA" localSheetId="18">#REF!</definedName>
    <definedName name="A_KEYWORD_ISSR_208002861_SALES_RUSSIA" localSheetId="12">#REF!</definedName>
    <definedName name="A_KEYWORD_ISSR_208002861_SALES_RUSSIA" localSheetId="23">#REF!</definedName>
    <definedName name="A_KEYWORD_ISSR_208002861_SALES_RUSSIA" localSheetId="19">#REF!</definedName>
    <definedName name="A_KEYWORD_ISSR_208002861_SALES_RUSSIA" localSheetId="21">#REF!</definedName>
    <definedName name="A_KEYWORD_ISSR_208002861_SALES_RUSSIA">#REF!</definedName>
    <definedName name="A_KEYWORD_ISSR_208002861_SALES_SO_AFRICA" localSheetId="24">#REF!</definedName>
    <definedName name="A_KEYWORD_ISSR_208002861_SALES_SO_AFRICA" localSheetId="18">#REF!</definedName>
    <definedName name="A_KEYWORD_ISSR_208002861_SALES_SO_AFRICA" localSheetId="12">#REF!</definedName>
    <definedName name="A_KEYWORD_ISSR_208002861_SALES_SO_AFRICA" localSheetId="23">#REF!</definedName>
    <definedName name="A_KEYWORD_ISSR_208002861_SALES_SO_AFRICA" localSheetId="19">#REF!</definedName>
    <definedName name="A_KEYWORD_ISSR_208002861_SALES_SO_AFRICA" localSheetId="21">#REF!</definedName>
    <definedName name="A_KEYWORD_ISSR_208002861_SALES_SO_AFRICA">#REF!</definedName>
    <definedName name="A_KEYWORD_ISSR_208002861_SALES_SPA" localSheetId="24">#REF!</definedName>
    <definedName name="A_KEYWORD_ISSR_208002861_SALES_SPA" localSheetId="18">#REF!</definedName>
    <definedName name="A_KEYWORD_ISSR_208002861_SALES_SPA" localSheetId="12">#REF!</definedName>
    <definedName name="A_KEYWORD_ISSR_208002861_SALES_SPA" localSheetId="23">#REF!</definedName>
    <definedName name="A_KEYWORD_ISSR_208002861_SALES_SPA" localSheetId="19">#REF!</definedName>
    <definedName name="A_KEYWORD_ISSR_208002861_SALES_SPA" localSheetId="21">#REF!</definedName>
    <definedName name="A_KEYWORD_ISSR_208002861_SALES_SPA">#REF!</definedName>
    <definedName name="A_KEYWORD_ISSR_208002861_SALES_TOT_AFRICA" localSheetId="24">#REF!</definedName>
    <definedName name="A_KEYWORD_ISSR_208002861_SALES_TOT_AFRICA" localSheetId="18">#REF!</definedName>
    <definedName name="A_KEYWORD_ISSR_208002861_SALES_TOT_AFRICA" localSheetId="12">#REF!</definedName>
    <definedName name="A_KEYWORD_ISSR_208002861_SALES_TOT_AFRICA" localSheetId="23">#REF!</definedName>
    <definedName name="A_KEYWORD_ISSR_208002861_SALES_TOT_AFRICA" localSheetId="19">#REF!</definedName>
    <definedName name="A_KEYWORD_ISSR_208002861_SALES_TOT_AFRICA" localSheetId="21">#REF!</definedName>
    <definedName name="A_KEYWORD_ISSR_208002861_SALES_TOT_AFRICA">#REF!</definedName>
    <definedName name="A_KEYWORD_ISSR_208002861_SALES_TOT_AM" localSheetId="24">#REF!</definedName>
    <definedName name="A_KEYWORD_ISSR_208002861_SALES_TOT_AM" localSheetId="18">#REF!</definedName>
    <definedName name="A_KEYWORD_ISSR_208002861_SALES_TOT_AM" localSheetId="12">#REF!</definedName>
    <definedName name="A_KEYWORD_ISSR_208002861_SALES_TOT_AM" localSheetId="23">#REF!</definedName>
    <definedName name="A_KEYWORD_ISSR_208002861_SALES_TOT_AM" localSheetId="19">#REF!</definedName>
    <definedName name="A_KEYWORD_ISSR_208002861_SALES_TOT_AM" localSheetId="21">#REF!</definedName>
    <definedName name="A_KEYWORD_ISSR_208002861_SALES_TOT_AM">#REF!</definedName>
    <definedName name="A_KEYWORD_ISSR_208002861_SALES_TOT_ASIA" localSheetId="24">#REF!</definedName>
    <definedName name="A_KEYWORD_ISSR_208002861_SALES_TOT_ASIA" localSheetId="18">#REF!</definedName>
    <definedName name="A_KEYWORD_ISSR_208002861_SALES_TOT_ASIA" localSheetId="12">#REF!</definedName>
    <definedName name="A_KEYWORD_ISSR_208002861_SALES_TOT_ASIA" localSheetId="23">#REF!</definedName>
    <definedName name="A_KEYWORD_ISSR_208002861_SALES_TOT_ASIA" localSheetId="19">#REF!</definedName>
    <definedName name="A_KEYWORD_ISSR_208002861_SALES_TOT_ASIA" localSheetId="21">#REF!</definedName>
    <definedName name="A_KEYWORD_ISSR_208002861_SALES_TOT_ASIA">#REF!</definedName>
    <definedName name="A_KEYWORD_ISSR_208002861_SALES_TOT_EMEA" localSheetId="24">#REF!</definedName>
    <definedName name="A_KEYWORD_ISSR_208002861_SALES_TOT_EMEA" localSheetId="18">#REF!</definedName>
    <definedName name="A_KEYWORD_ISSR_208002861_SALES_TOT_EMEA" localSheetId="12">#REF!</definedName>
    <definedName name="A_KEYWORD_ISSR_208002861_SALES_TOT_EMEA" localSheetId="23">#REF!</definedName>
    <definedName name="A_KEYWORD_ISSR_208002861_SALES_TOT_EMEA" localSheetId="19">#REF!</definedName>
    <definedName name="A_KEYWORD_ISSR_208002861_SALES_TOT_EMEA" localSheetId="21">#REF!</definedName>
    <definedName name="A_KEYWORD_ISSR_208002861_SALES_TOT_EMEA">#REF!</definedName>
    <definedName name="A_KEYWORD_ISSR_208002861_SALES_UK" localSheetId="24">#REF!</definedName>
    <definedName name="A_KEYWORD_ISSR_208002861_SALES_UK" localSheetId="18">#REF!</definedName>
    <definedName name="A_KEYWORD_ISSR_208002861_SALES_UK" localSheetId="12">#REF!</definedName>
    <definedName name="A_KEYWORD_ISSR_208002861_SALES_UK" localSheetId="23">#REF!</definedName>
    <definedName name="A_KEYWORD_ISSR_208002861_SALES_UK" localSheetId="19">#REF!</definedName>
    <definedName name="A_KEYWORD_ISSR_208002861_SALES_UK" localSheetId="21">#REF!</definedName>
    <definedName name="A_KEYWORD_ISSR_208002861_SALES_UK">#REF!</definedName>
    <definedName name="A_KEYWORD_ISSR_208002861_SALES_US" localSheetId="24">#REF!</definedName>
    <definedName name="A_KEYWORD_ISSR_208002861_SALES_US" localSheetId="18">#REF!</definedName>
    <definedName name="A_KEYWORD_ISSR_208002861_SALES_US" localSheetId="12">#REF!</definedName>
    <definedName name="A_KEYWORD_ISSR_208002861_SALES_US" localSheetId="23">#REF!</definedName>
    <definedName name="A_KEYWORD_ISSR_208002861_SALES_US" localSheetId="19">#REF!</definedName>
    <definedName name="A_KEYWORD_ISSR_208002861_SALES_US" localSheetId="21">#REF!</definedName>
    <definedName name="A_KEYWORD_ISSR_208002861_SALES_US">#REF!</definedName>
    <definedName name="A_KEYWORD_ISSR_208002861_SEL_GL_AD" localSheetId="24">#REF!</definedName>
    <definedName name="A_KEYWORD_ISSR_208002861_SEL_GL_AD" localSheetId="18">#REF!</definedName>
    <definedName name="A_KEYWORD_ISSR_208002861_SEL_GL_AD" localSheetId="12">#REF!</definedName>
    <definedName name="A_KEYWORD_ISSR_208002861_SEL_GL_AD" localSheetId="23">#REF!</definedName>
    <definedName name="A_KEYWORD_ISSR_208002861_SEL_GL_AD" localSheetId="19">#REF!</definedName>
    <definedName name="A_KEYWORD_ISSR_208002861_SEL_GL_AD" localSheetId="21">#REF!</definedName>
    <definedName name="A_KEYWORD_ISSR_208002861_SEL_GL_AD">#REF!</definedName>
    <definedName name="A_KEYWORD_ISSR_208002861_SH_REPUR" localSheetId="24">#REF!</definedName>
    <definedName name="A_KEYWORD_ISSR_208002861_SH_REPUR" localSheetId="18">#REF!</definedName>
    <definedName name="A_KEYWORD_ISSR_208002861_SH_REPUR" localSheetId="12">#REF!</definedName>
    <definedName name="A_KEYWORD_ISSR_208002861_SH_REPUR" localSheetId="23">#REF!</definedName>
    <definedName name="A_KEYWORD_ISSR_208002861_SH_REPUR" localSheetId="19">#REF!</definedName>
    <definedName name="A_KEYWORD_ISSR_208002861_SH_REPUR" localSheetId="21">#REF!</definedName>
    <definedName name="A_KEYWORD_ISSR_208002861_SH_REPUR">#REF!</definedName>
    <definedName name="A_KEYWORD_ISSR_208002861_SHORT_T_DEBT" localSheetId="24">#REF!</definedName>
    <definedName name="A_KEYWORD_ISSR_208002861_SHORT_T_DEBT" localSheetId="18">#REF!</definedName>
    <definedName name="A_KEYWORD_ISSR_208002861_SHORT_T_DEBT" localSheetId="12">#REF!</definedName>
    <definedName name="A_KEYWORD_ISSR_208002861_SHORT_T_DEBT" localSheetId="23">#REF!</definedName>
    <definedName name="A_KEYWORD_ISSR_208002861_SHORT_T_DEBT" localSheetId="19">#REF!</definedName>
    <definedName name="A_KEYWORD_ISSR_208002861_SHORT_T_DEBT" localSheetId="21">#REF!</definedName>
    <definedName name="A_KEYWORD_ISSR_208002861_SHORT_T_DEBT">#REF!</definedName>
    <definedName name="A_KEYWORD_ISSR_208002861_SHORT_TERM_LIABS" localSheetId="24">#REF!</definedName>
    <definedName name="A_KEYWORD_ISSR_208002861_SHORT_TERM_LIABS" localSheetId="18">#REF!</definedName>
    <definedName name="A_KEYWORD_ISSR_208002861_SHORT_TERM_LIABS" localSheetId="12">#REF!</definedName>
    <definedName name="A_KEYWORD_ISSR_208002861_SHORT_TERM_LIABS" localSheetId="23">#REF!</definedName>
    <definedName name="A_KEYWORD_ISSR_208002861_SHORT_TERM_LIABS" localSheetId="19">#REF!</definedName>
    <definedName name="A_KEYWORD_ISSR_208002861_SHORT_TERM_LIABS" localSheetId="21">#REF!</definedName>
    <definedName name="A_KEYWORD_ISSR_208002861_SHORT_TERM_LIABS">#REF!</definedName>
    <definedName name="A_KEYWORD_ISSR_208002861_STOCKS" localSheetId="24">#REF!</definedName>
    <definedName name="A_KEYWORD_ISSR_208002861_STOCKS" localSheetId="18">#REF!</definedName>
    <definedName name="A_KEYWORD_ISSR_208002861_STOCKS" localSheetId="12">#REF!</definedName>
    <definedName name="A_KEYWORD_ISSR_208002861_STOCKS" localSheetId="23">#REF!</definedName>
    <definedName name="A_KEYWORD_ISSR_208002861_STOCKS" localSheetId="19">#REF!</definedName>
    <definedName name="A_KEYWORD_ISSR_208002861_STOCKS" localSheetId="21">#REF!</definedName>
    <definedName name="A_KEYWORD_ISSR_208002861_STOCKS">#REF!</definedName>
    <definedName name="A_KEYWORD_ISSR_208002861_TOT_ASSET" localSheetId="24">#REF!</definedName>
    <definedName name="A_KEYWORD_ISSR_208002861_TOT_ASSET" localSheetId="18">#REF!</definedName>
    <definedName name="A_KEYWORD_ISSR_208002861_TOT_ASSET" localSheetId="12">#REF!</definedName>
    <definedName name="A_KEYWORD_ISSR_208002861_TOT_ASSET" localSheetId="23">#REF!</definedName>
    <definedName name="A_KEYWORD_ISSR_208002861_TOT_ASSET" localSheetId="19">#REF!</definedName>
    <definedName name="A_KEYWORD_ISSR_208002861_TOT_ASSET" localSheetId="21">#REF!</definedName>
    <definedName name="A_KEYWORD_ISSR_208002861_TOT_ASSET">#REF!</definedName>
    <definedName name="A_KEYWORD_ISSR_208002861_TOT_CF" localSheetId="24">#REF!</definedName>
    <definedName name="A_KEYWORD_ISSR_208002861_TOT_CF" localSheetId="18">#REF!</definedName>
    <definedName name="A_KEYWORD_ISSR_208002861_TOT_CF" localSheetId="12">#REF!</definedName>
    <definedName name="A_KEYWORD_ISSR_208002861_TOT_CF" localSheetId="23">#REF!</definedName>
    <definedName name="A_KEYWORD_ISSR_208002861_TOT_CF" localSheetId="19">#REF!</definedName>
    <definedName name="A_KEYWORD_ISSR_208002861_TOT_CF" localSheetId="21">#REF!</definedName>
    <definedName name="A_KEYWORD_ISSR_208002861_TOT_CF">#REF!</definedName>
    <definedName name="A_KEYWORD_ISSR_208002861_TOT_LIAB" localSheetId="24">#REF!</definedName>
    <definedName name="A_KEYWORD_ISSR_208002861_TOT_LIAB" localSheetId="18">#REF!</definedName>
    <definedName name="A_KEYWORD_ISSR_208002861_TOT_LIAB" localSheetId="12">#REF!</definedName>
    <definedName name="A_KEYWORD_ISSR_208002861_TOT_LIAB" localSheetId="23">#REF!</definedName>
    <definedName name="A_KEYWORD_ISSR_208002861_TOT_LIAB" localSheetId="19">#REF!</definedName>
    <definedName name="A_KEYWORD_ISSR_208002861_TOT_LIAB" localSheetId="21">#REF!</definedName>
    <definedName name="A_KEYWORD_ISSR_208002861_TOT_LIAB">#REF!</definedName>
    <definedName name="A_KEYWORD_ISSR_208002861_TOT_LIAB_EQ" localSheetId="24">#REF!</definedName>
    <definedName name="A_KEYWORD_ISSR_208002861_TOT_LIAB_EQ" localSheetId="18">#REF!</definedName>
    <definedName name="A_KEYWORD_ISSR_208002861_TOT_LIAB_EQ" localSheetId="12">#REF!</definedName>
    <definedName name="A_KEYWORD_ISSR_208002861_TOT_LIAB_EQ" localSheetId="23">#REF!</definedName>
    <definedName name="A_KEYWORD_ISSR_208002861_TOT_LIAB_EQ" localSheetId="19">#REF!</definedName>
    <definedName name="A_KEYWORD_ISSR_208002861_TOT_LIAB_EQ" localSheetId="21">#REF!</definedName>
    <definedName name="A_KEYWORD_ISSR_208002861_TOT_LIAB_EQ">#REF!</definedName>
    <definedName name="A_KEYWORD_ISSR_208002861_TOT_LT_LIAB" localSheetId="24">#REF!</definedName>
    <definedName name="A_KEYWORD_ISSR_208002861_TOT_LT_LIAB" localSheetId="18">#REF!</definedName>
    <definedName name="A_KEYWORD_ISSR_208002861_TOT_LT_LIAB" localSheetId="12">#REF!</definedName>
    <definedName name="A_KEYWORD_ISSR_208002861_TOT_LT_LIAB" localSheetId="23">#REF!</definedName>
    <definedName name="A_KEYWORD_ISSR_208002861_TOT_LT_LIAB" localSheetId="19">#REF!</definedName>
    <definedName name="A_KEYWORD_ISSR_208002861_TOT_LT_LIAB" localSheetId="21">#REF!</definedName>
    <definedName name="A_KEYWORD_ISSR_208002861_TOT_LT_LIAB">#REF!</definedName>
    <definedName name="A_KEYWORD_ISSR_208002861_TOT_OPS_EXP" localSheetId="24">#REF!</definedName>
    <definedName name="A_KEYWORD_ISSR_208002861_TOT_OPS_EXP" localSheetId="18">#REF!</definedName>
    <definedName name="A_KEYWORD_ISSR_208002861_TOT_OPS_EXP" localSheetId="12">#REF!</definedName>
    <definedName name="A_KEYWORD_ISSR_208002861_TOT_OPS_EXP" localSheetId="23">#REF!</definedName>
    <definedName name="A_KEYWORD_ISSR_208002861_TOT_OPS_EXP" localSheetId="19">#REF!</definedName>
    <definedName name="A_KEYWORD_ISSR_208002861_TOT_OPS_EXP" localSheetId="21">#REF!</definedName>
    <definedName name="A_KEYWORD_ISSR_208002861_TOT_OPS_EXP">#REF!</definedName>
    <definedName name="A_KEYWORD_ISSR_208002861_TOT_OPS_EXP_DDA" localSheetId="24">#REF!</definedName>
    <definedName name="A_KEYWORD_ISSR_208002861_TOT_OPS_EXP_DDA" localSheetId="18">#REF!</definedName>
    <definedName name="A_KEYWORD_ISSR_208002861_TOT_OPS_EXP_DDA" localSheetId="12">#REF!</definedName>
    <definedName name="A_KEYWORD_ISSR_208002861_TOT_OPS_EXP_DDA" localSheetId="23">#REF!</definedName>
    <definedName name="A_KEYWORD_ISSR_208002861_TOT_OPS_EXP_DDA" localSheetId="19">#REF!</definedName>
    <definedName name="A_KEYWORD_ISSR_208002861_TOT_OPS_EXP_DDA" localSheetId="21">#REF!</definedName>
    <definedName name="A_KEYWORD_ISSR_208002861_TOT_OPS_EXP_DDA">#REF!</definedName>
    <definedName name="A_KEYWORD_ISSR_208002861_UNF_PENS" localSheetId="24">#REF!</definedName>
    <definedName name="A_KEYWORD_ISSR_208002861_UNF_PENS" localSheetId="18">#REF!</definedName>
    <definedName name="A_KEYWORD_ISSR_208002861_UNF_PENS" localSheetId="12">#REF!</definedName>
    <definedName name="A_KEYWORD_ISSR_208002861_UNF_PENS" localSheetId="23">#REF!</definedName>
    <definedName name="A_KEYWORD_ISSR_208002861_UNF_PENS" localSheetId="19">#REF!</definedName>
    <definedName name="A_KEYWORD_ISSR_208002861_UNF_PENS" localSheetId="21">#REF!</definedName>
    <definedName name="A_KEYWORD_ISSR_208002861_UNF_PENS">#REF!</definedName>
    <definedName name="A_KEYWORD_ISSR_208002861_UNF_PENS_LIAB_OTH" localSheetId="24">#REF!</definedName>
    <definedName name="A_KEYWORD_ISSR_208002861_UNF_PENS_LIAB_OTH" localSheetId="18">#REF!</definedName>
    <definedName name="A_KEYWORD_ISSR_208002861_UNF_PENS_LIAB_OTH" localSheetId="12">#REF!</definedName>
    <definedName name="A_KEYWORD_ISSR_208002861_UNF_PENS_LIAB_OTH" localSheetId="23">#REF!</definedName>
    <definedName name="A_KEYWORD_ISSR_208002861_UNF_PENS_LIAB_OTH" localSheetId="19">#REF!</definedName>
    <definedName name="A_KEYWORD_ISSR_208002861_UNF_PENS_LIAB_OTH" localSheetId="21">#REF!</definedName>
    <definedName name="A_KEYWORD_ISSR_208002861_UNF_PENS_LIAB_OTH">#REF!</definedName>
    <definedName name="A_KEYWORD_ISSR_208002861_UNF_PENS_OFF" localSheetId="24">#REF!</definedName>
    <definedName name="A_KEYWORD_ISSR_208002861_UNF_PENS_OFF" localSheetId="18">#REF!</definedName>
    <definedName name="A_KEYWORD_ISSR_208002861_UNF_PENS_OFF" localSheetId="12">#REF!</definedName>
    <definedName name="A_KEYWORD_ISSR_208002861_UNF_PENS_OFF" localSheetId="23">#REF!</definedName>
    <definedName name="A_KEYWORD_ISSR_208002861_UNF_PENS_OFF" localSheetId="19">#REF!</definedName>
    <definedName name="A_KEYWORD_ISSR_208002861_UNF_PENS_OFF" localSheetId="21">#REF!</definedName>
    <definedName name="A_KEYWORD_ISSR_208002861_UNF_PENS_OFF">#REF!</definedName>
    <definedName name="A_KEYWORD_ISSR_208002861_WORK_CAP" localSheetId="24">#REF!</definedName>
    <definedName name="A_KEYWORD_ISSR_208002861_WORK_CAP" localSheetId="18">#REF!</definedName>
    <definedName name="A_KEYWORD_ISSR_208002861_WORK_CAP" localSheetId="12">#REF!</definedName>
    <definedName name="A_KEYWORD_ISSR_208002861_WORK_CAP" localSheetId="23">#REF!</definedName>
    <definedName name="A_KEYWORD_ISSR_208002861_WORK_CAP" localSheetId="19">#REF!</definedName>
    <definedName name="A_KEYWORD_ISSR_208002861_WORK_CAP" localSheetId="21">#REF!</definedName>
    <definedName name="A_KEYWORD_ISSR_208002861_WORK_CAP">#REF!</definedName>
    <definedName name="A_LIVEDATA_EQTY_200007513" localSheetId="24">#REF!</definedName>
    <definedName name="A_LIVEDATA_EQTY_200007513" localSheetId="18">#REF!</definedName>
    <definedName name="A_LIVEDATA_EQTY_200007513" localSheetId="12">#REF!</definedName>
    <definedName name="A_LIVEDATA_EQTY_200007513" localSheetId="23">#REF!</definedName>
    <definedName name="A_LIVEDATA_EQTY_200007513" localSheetId="19">#REF!</definedName>
    <definedName name="A_LIVEDATA_EQTY_200007513" localSheetId="21">#REF!</definedName>
    <definedName name="A_LIVEDATA_EQTY_200007513">#REF!</definedName>
    <definedName name="A_LIVEDATA_ISSR_208002861" localSheetId="24">#REF!</definedName>
    <definedName name="A_LIVEDATA_ISSR_208002861" localSheetId="18">#REF!</definedName>
    <definedName name="A_LIVEDATA_ISSR_208002861" localSheetId="12">#REF!</definedName>
    <definedName name="A_LIVEDATA_ISSR_208002861" localSheetId="23">#REF!</definedName>
    <definedName name="A_LIVEDATA_ISSR_208002861" localSheetId="19">#REF!</definedName>
    <definedName name="A_LIVEDATA_ISSR_208002861" localSheetId="21">#REF!</definedName>
    <definedName name="A_LIVEDATA_ISSR_208002861">#REF!</definedName>
    <definedName name="A_PERIOD_2002" localSheetId="12">#REF!</definedName>
    <definedName name="A_PERIOD_2003" localSheetId="12">#REF!</definedName>
    <definedName name="A_PERIOD_2004" localSheetId="12">#REF!</definedName>
    <definedName name="A_PERIOD_2005" localSheetId="12">#REF!</definedName>
    <definedName name="A_PERIOD_2006_Q1" localSheetId="24">#REF!</definedName>
    <definedName name="A_PERIOD_2006_Q1" localSheetId="18">#REF!</definedName>
    <definedName name="A_PERIOD_2006_Q1" localSheetId="12">#REF!</definedName>
    <definedName name="A_PERIOD_2006_Q1" localSheetId="23">#REF!</definedName>
    <definedName name="A_PERIOD_2006_Q1" localSheetId="19">#REF!</definedName>
    <definedName name="A_PERIOD_2006_Q1" localSheetId="21">#REF!</definedName>
    <definedName name="A_PERIOD_2006_Q1">#REF!</definedName>
    <definedName name="A_PERIOD_2006_Q2" localSheetId="24">#REF!</definedName>
    <definedName name="A_PERIOD_2006_Q2" localSheetId="18">#REF!</definedName>
    <definedName name="A_PERIOD_2006_Q2" localSheetId="12">#REF!</definedName>
    <definedName name="A_PERIOD_2006_Q2" localSheetId="23">#REF!</definedName>
    <definedName name="A_PERIOD_2006_Q2" localSheetId="19">#REF!</definedName>
    <definedName name="A_PERIOD_2006_Q2" localSheetId="21">#REF!</definedName>
    <definedName name="A_PERIOD_2006_Q2">#REF!</definedName>
    <definedName name="A_PERIOD_2006_Q3" localSheetId="24">#REF!</definedName>
    <definedName name="A_PERIOD_2006_Q3" localSheetId="18">#REF!</definedName>
    <definedName name="A_PERIOD_2006_Q3" localSheetId="12">#REF!</definedName>
    <definedName name="A_PERIOD_2006_Q3" localSheetId="23">#REF!</definedName>
    <definedName name="A_PERIOD_2006_Q3" localSheetId="19">#REF!</definedName>
    <definedName name="A_PERIOD_2006_Q3" localSheetId="21">#REF!</definedName>
    <definedName name="A_PERIOD_2006_Q3">#REF!</definedName>
    <definedName name="A_PERIOD_2006_Q4" localSheetId="24">#REF!</definedName>
    <definedName name="A_PERIOD_2006_Q4" localSheetId="18">#REF!</definedName>
    <definedName name="A_PERIOD_2006_Q4" localSheetId="12">#REF!</definedName>
    <definedName name="A_PERIOD_2006_Q4" localSheetId="23">#REF!</definedName>
    <definedName name="A_PERIOD_2006_Q4" localSheetId="19">#REF!</definedName>
    <definedName name="A_PERIOD_2006_Q4" localSheetId="21">#REF!</definedName>
    <definedName name="A_PERIOD_2006_Q4">#REF!</definedName>
    <definedName name="A_PERIOD_2007_Q1" localSheetId="24">#REF!</definedName>
    <definedName name="A_PERIOD_2007_Q1" localSheetId="18">#REF!</definedName>
    <definedName name="A_PERIOD_2007_Q1" localSheetId="12">#REF!</definedName>
    <definedName name="A_PERIOD_2007_Q1" localSheetId="23">#REF!</definedName>
    <definedName name="A_PERIOD_2007_Q1" localSheetId="19">#REF!</definedName>
    <definedName name="A_PERIOD_2007_Q1" localSheetId="21">#REF!</definedName>
    <definedName name="A_PERIOD_2007_Q1">#REF!</definedName>
    <definedName name="A_PERIOD_2007_Q2" localSheetId="24">#REF!</definedName>
    <definedName name="A_PERIOD_2007_Q2" localSheetId="18">#REF!</definedName>
    <definedName name="A_PERIOD_2007_Q2" localSheetId="12">#REF!</definedName>
    <definedName name="A_PERIOD_2007_Q2" localSheetId="23">#REF!</definedName>
    <definedName name="A_PERIOD_2007_Q2" localSheetId="19">#REF!</definedName>
    <definedName name="A_PERIOD_2007_Q2" localSheetId="21">#REF!</definedName>
    <definedName name="A_PERIOD_2007_Q2">#REF!</definedName>
    <definedName name="A_PERIOD_2007_Q3" localSheetId="24">#REF!</definedName>
    <definedName name="A_PERIOD_2007_Q3" localSheetId="18">#REF!</definedName>
    <definedName name="A_PERIOD_2007_Q3" localSheetId="12">#REF!</definedName>
    <definedName name="A_PERIOD_2007_Q3" localSheetId="23">#REF!</definedName>
    <definedName name="A_PERIOD_2007_Q3" localSheetId="19">#REF!</definedName>
    <definedName name="A_PERIOD_2007_Q3" localSheetId="21">#REF!</definedName>
    <definedName name="A_PERIOD_2007_Q3">#REF!</definedName>
    <definedName name="A_PERIOD_2007_Q4" localSheetId="24">#REF!</definedName>
    <definedName name="A_PERIOD_2007_Q4" localSheetId="18">#REF!</definedName>
    <definedName name="A_PERIOD_2007_Q4" localSheetId="12">#REF!</definedName>
    <definedName name="A_PERIOD_2007_Q4" localSheetId="23">#REF!</definedName>
    <definedName name="A_PERIOD_2007_Q4" localSheetId="19">#REF!</definedName>
    <definedName name="A_PERIOD_2007_Q4" localSheetId="21">#REF!</definedName>
    <definedName name="A_PERIOD_2007_Q4">#REF!</definedName>
    <definedName name="A_PERIOD_2008_Q1" localSheetId="24">#REF!</definedName>
    <definedName name="A_PERIOD_2008_Q1" localSheetId="18">#REF!</definedName>
    <definedName name="A_PERIOD_2008_Q1" localSheetId="12">#REF!</definedName>
    <definedName name="A_PERIOD_2008_Q1" localSheetId="23">#REF!</definedName>
    <definedName name="A_PERIOD_2008_Q1" localSheetId="19">#REF!</definedName>
    <definedName name="A_PERIOD_2008_Q1" localSheetId="21">#REF!</definedName>
    <definedName name="A_PERIOD_2008_Q1">#REF!</definedName>
    <definedName name="A_PERIOD_2008_Q2" localSheetId="24">#REF!</definedName>
    <definedName name="A_PERIOD_2008_Q2" localSheetId="18">#REF!</definedName>
    <definedName name="A_PERIOD_2008_Q2" localSheetId="12">#REF!</definedName>
    <definedName name="A_PERIOD_2008_Q2" localSheetId="23">#REF!</definedName>
    <definedName name="A_PERIOD_2008_Q2" localSheetId="19">#REF!</definedName>
    <definedName name="A_PERIOD_2008_Q2" localSheetId="21">#REF!</definedName>
    <definedName name="A_PERIOD_2008_Q2">#REF!</definedName>
    <definedName name="A_PERIOD_2008_Q3" localSheetId="24">#REF!</definedName>
    <definedName name="A_PERIOD_2008_Q3" localSheetId="18">#REF!</definedName>
    <definedName name="A_PERIOD_2008_Q3" localSheetId="12">#REF!</definedName>
    <definedName name="A_PERIOD_2008_Q3" localSheetId="23">#REF!</definedName>
    <definedName name="A_PERIOD_2008_Q3" localSheetId="19">#REF!</definedName>
    <definedName name="A_PERIOD_2008_Q3" localSheetId="21">#REF!</definedName>
    <definedName name="A_PERIOD_2008_Q3">#REF!</definedName>
    <definedName name="A_PERIOD_2008_Q4" localSheetId="24">#REF!</definedName>
    <definedName name="A_PERIOD_2008_Q4" localSheetId="18">#REF!</definedName>
    <definedName name="A_PERIOD_2008_Q4" localSheetId="12">#REF!</definedName>
    <definedName name="A_PERIOD_2008_Q4" localSheetId="23">#REF!</definedName>
    <definedName name="A_PERIOD_2008_Q4" localSheetId="19">#REF!</definedName>
    <definedName name="A_PERIOD_2008_Q4" localSheetId="21">#REF!</definedName>
    <definedName name="A_PERIOD_2008_Q4">#REF!</definedName>
    <definedName name="A_PERIOD_2009_Q1" localSheetId="24">#REF!</definedName>
    <definedName name="A_PERIOD_2009_Q1" localSheetId="18">#REF!</definedName>
    <definedName name="A_PERIOD_2009_Q1" localSheetId="12">#REF!</definedName>
    <definedName name="A_PERIOD_2009_Q1" localSheetId="23">#REF!</definedName>
    <definedName name="A_PERIOD_2009_Q1" localSheetId="19">#REF!</definedName>
    <definedName name="A_PERIOD_2009_Q1" localSheetId="21">#REF!</definedName>
    <definedName name="A_PERIOD_2009_Q1">#REF!</definedName>
    <definedName name="A_PERIOD_2009_Q2" localSheetId="24">#REF!</definedName>
    <definedName name="A_PERIOD_2009_Q2" localSheetId="18">#REF!</definedName>
    <definedName name="A_PERIOD_2009_Q2" localSheetId="12">#REF!</definedName>
    <definedName name="A_PERIOD_2009_Q2" localSheetId="23">#REF!</definedName>
    <definedName name="A_PERIOD_2009_Q2" localSheetId="19">#REF!</definedName>
    <definedName name="A_PERIOD_2009_Q2" localSheetId="21">#REF!</definedName>
    <definedName name="A_PERIOD_2009_Q2">#REF!</definedName>
    <definedName name="A_PERIOD_2009_Q3" localSheetId="24">#REF!</definedName>
    <definedName name="A_PERIOD_2009_Q3" localSheetId="18">#REF!</definedName>
    <definedName name="A_PERIOD_2009_Q3" localSheetId="12">#REF!</definedName>
    <definedName name="A_PERIOD_2009_Q3" localSheetId="23">#REF!</definedName>
    <definedName name="A_PERIOD_2009_Q3" localSheetId="19">#REF!</definedName>
    <definedName name="A_PERIOD_2009_Q3" localSheetId="21">#REF!</definedName>
    <definedName name="A_PERIOD_2009_Q3">#REF!</definedName>
    <definedName name="A_PERIOD_2009_Q4" localSheetId="24">#REF!</definedName>
    <definedName name="A_PERIOD_2009_Q4" localSheetId="18">#REF!</definedName>
    <definedName name="A_PERIOD_2009_Q4" localSheetId="12">#REF!</definedName>
    <definedName name="A_PERIOD_2009_Q4" localSheetId="23">#REF!</definedName>
    <definedName name="A_PERIOD_2009_Q4" localSheetId="19">#REF!</definedName>
    <definedName name="A_PERIOD_2009_Q4" localSheetId="21">#REF!</definedName>
    <definedName name="A_PERIOD_2009_Q4">#REF!</definedName>
    <definedName name="A_PERIOD_2010_Q1" localSheetId="24">#REF!</definedName>
    <definedName name="A_PERIOD_2010_Q1" localSheetId="18">#REF!</definedName>
    <definedName name="A_PERIOD_2010_Q1" localSheetId="12">#REF!</definedName>
    <definedName name="A_PERIOD_2010_Q1" localSheetId="23">#REF!</definedName>
    <definedName name="A_PERIOD_2010_Q1" localSheetId="19">#REF!</definedName>
    <definedName name="A_PERIOD_2010_Q1" localSheetId="21">#REF!</definedName>
    <definedName name="A_PERIOD_2010_Q1">#REF!</definedName>
    <definedName name="A_PERIOD_2010_Q2" localSheetId="24">#REF!</definedName>
    <definedName name="A_PERIOD_2010_Q2" localSheetId="18">#REF!</definedName>
    <definedName name="A_PERIOD_2010_Q2" localSheetId="12">#REF!</definedName>
    <definedName name="A_PERIOD_2010_Q2" localSheetId="23">#REF!</definedName>
    <definedName name="A_PERIOD_2010_Q2" localSheetId="19">#REF!</definedName>
    <definedName name="A_PERIOD_2010_Q2" localSheetId="21">#REF!</definedName>
    <definedName name="A_PERIOD_2010_Q2">#REF!</definedName>
    <definedName name="A_PERIOD_2010_Q3" localSheetId="24">#REF!</definedName>
    <definedName name="A_PERIOD_2010_Q3" localSheetId="18">#REF!</definedName>
    <definedName name="A_PERIOD_2010_Q3" localSheetId="12">#REF!</definedName>
    <definedName name="A_PERIOD_2010_Q3" localSheetId="23">#REF!</definedName>
    <definedName name="A_PERIOD_2010_Q3" localSheetId="19">#REF!</definedName>
    <definedName name="A_PERIOD_2010_Q3" localSheetId="21">#REF!</definedName>
    <definedName name="A_PERIOD_2010_Q3">#REF!</definedName>
    <definedName name="A_PERIOD_2010_Q4" localSheetId="24">#REF!</definedName>
    <definedName name="A_PERIOD_2010_Q4" localSheetId="18">#REF!</definedName>
    <definedName name="A_PERIOD_2010_Q4" localSheetId="12">#REF!</definedName>
    <definedName name="A_PERIOD_2010_Q4" localSheetId="23">#REF!</definedName>
    <definedName name="A_PERIOD_2010_Q4" localSheetId="19">#REF!</definedName>
    <definedName name="A_PERIOD_2010_Q4" localSheetId="21">#REF!</definedName>
    <definedName name="A_PERIOD_2010_Q4">#REF!</definedName>
    <definedName name="A_PERIOD_2011_Q1" localSheetId="24">#REF!</definedName>
    <definedName name="A_PERIOD_2011_Q1" localSheetId="18">#REF!</definedName>
    <definedName name="A_PERIOD_2011_Q1" localSheetId="12">#REF!</definedName>
    <definedName name="A_PERIOD_2011_Q1" localSheetId="23">#REF!</definedName>
    <definedName name="A_PERIOD_2011_Q1" localSheetId="19">#REF!</definedName>
    <definedName name="A_PERIOD_2011_Q1" localSheetId="21">#REF!</definedName>
    <definedName name="A_PERIOD_2011_Q1">#REF!</definedName>
    <definedName name="A_PERIOD_2011_Q2" localSheetId="24">#REF!</definedName>
    <definedName name="A_PERIOD_2011_Q2" localSheetId="18">#REF!</definedName>
    <definedName name="A_PERIOD_2011_Q2" localSheetId="12">#REF!</definedName>
    <definedName name="A_PERIOD_2011_Q2" localSheetId="23">#REF!</definedName>
    <definedName name="A_PERIOD_2011_Q2" localSheetId="19">#REF!</definedName>
    <definedName name="A_PERIOD_2011_Q2" localSheetId="21">#REF!</definedName>
    <definedName name="A_PERIOD_2011_Q2">#REF!</definedName>
    <definedName name="A_PERIOD_2011_Q3" localSheetId="24">#REF!</definedName>
    <definedName name="A_PERIOD_2011_Q3" localSheetId="18">#REF!</definedName>
    <definedName name="A_PERIOD_2011_Q3" localSheetId="12">#REF!</definedName>
    <definedName name="A_PERIOD_2011_Q3" localSheetId="23">#REF!</definedName>
    <definedName name="A_PERIOD_2011_Q3" localSheetId="19">#REF!</definedName>
    <definedName name="A_PERIOD_2011_Q3" localSheetId="21">#REF!</definedName>
    <definedName name="A_PERIOD_2011_Q3">#REF!</definedName>
    <definedName name="A_PERIOD_2011_Q4" localSheetId="24">#REF!</definedName>
    <definedName name="A_PERIOD_2011_Q4" localSheetId="18">#REF!</definedName>
    <definedName name="A_PERIOD_2011_Q4" localSheetId="12">#REF!</definedName>
    <definedName name="A_PERIOD_2011_Q4" localSheetId="23">#REF!</definedName>
    <definedName name="A_PERIOD_2011_Q4" localSheetId="19">#REF!</definedName>
    <definedName name="A_PERIOD_2011_Q4" localSheetId="21">#REF!</definedName>
    <definedName name="A_PERIOD_2011_Q4">#REF!</definedName>
    <definedName name="A_PERIOD_2012_Q1" localSheetId="24">#REF!</definedName>
    <definedName name="A_PERIOD_2012_Q1" localSheetId="18">#REF!</definedName>
    <definedName name="A_PERIOD_2012_Q1" localSheetId="12">#REF!</definedName>
    <definedName name="A_PERIOD_2012_Q1" localSheetId="23">#REF!</definedName>
    <definedName name="A_PERIOD_2012_Q1" localSheetId="19">#REF!</definedName>
    <definedName name="A_PERIOD_2012_Q1" localSheetId="21">#REF!</definedName>
    <definedName name="A_PERIOD_2012_Q1">#REF!</definedName>
    <definedName name="A_PERIOD_2012_Q2" localSheetId="24">#REF!</definedName>
    <definedName name="A_PERIOD_2012_Q2" localSheetId="18">#REF!</definedName>
    <definedName name="A_PERIOD_2012_Q2" localSheetId="12">#REF!</definedName>
    <definedName name="A_PERIOD_2012_Q2" localSheetId="23">#REF!</definedName>
    <definedName name="A_PERIOD_2012_Q2" localSheetId="19">#REF!</definedName>
    <definedName name="A_PERIOD_2012_Q2" localSheetId="21">#REF!</definedName>
    <definedName name="A_PERIOD_2012_Q2">#REF!</definedName>
    <definedName name="A_PERIOD_2012_Q3" localSheetId="24">#REF!</definedName>
    <definedName name="A_PERIOD_2012_Q3" localSheetId="18">#REF!</definedName>
    <definedName name="A_PERIOD_2012_Q3" localSheetId="12">#REF!</definedName>
    <definedName name="A_PERIOD_2012_Q3" localSheetId="23">#REF!</definedName>
    <definedName name="A_PERIOD_2012_Q3" localSheetId="19">#REF!</definedName>
    <definedName name="A_PERIOD_2012_Q3" localSheetId="21">#REF!</definedName>
    <definedName name="A_PERIOD_2012_Q3">#REF!</definedName>
    <definedName name="A_PERIOD_2012_Q4" localSheetId="24">#REF!</definedName>
    <definedName name="A_PERIOD_2012_Q4" localSheetId="18">#REF!</definedName>
    <definedName name="A_PERIOD_2012_Q4" localSheetId="12">#REF!</definedName>
    <definedName name="A_PERIOD_2012_Q4" localSheetId="23">#REF!</definedName>
    <definedName name="A_PERIOD_2012_Q4" localSheetId="19">#REF!</definedName>
    <definedName name="A_PERIOD_2012_Q4" localSheetId="21">#REF!</definedName>
    <definedName name="A_PERIOD_2012_Q4">#REF!</definedName>
    <definedName name="A_PERIOD_2020_H1" localSheetId="12">#REF!</definedName>
    <definedName name="A_PERIOD_2020_H1" localSheetId="19">#REF!</definedName>
    <definedName name="A_PERIOD_2020_H1" localSheetId="21">#REF!</definedName>
    <definedName name="A_PERIOD_2020_H1">#REF!</definedName>
    <definedName name="A_PERIOD_2020_H2" localSheetId="12">#REF!</definedName>
    <definedName name="A_PERIOD_2020_H2" localSheetId="19">#REF!</definedName>
    <definedName name="A_PERIOD_2020_H2" localSheetId="21">#REF!</definedName>
    <definedName name="A_PERIOD_2020_H2">#REF!</definedName>
    <definedName name="A_PERIOD_2021_Q1" localSheetId="24">#REF!</definedName>
    <definedName name="A_PERIOD_2021_Q1" localSheetId="18">#REF!</definedName>
    <definedName name="A_PERIOD_2021_Q1" localSheetId="12">#REF!</definedName>
    <definedName name="A_PERIOD_2021_Q1" localSheetId="23">#REF!</definedName>
    <definedName name="A_PERIOD_2021_Q1" localSheetId="19">#REF!</definedName>
    <definedName name="A_PERIOD_2021_Q1" localSheetId="21">#REF!</definedName>
    <definedName name="A_PERIOD_2021_Q1">#REF!</definedName>
    <definedName name="A_PERIOD_2021_Q2" localSheetId="24">#REF!</definedName>
    <definedName name="A_PERIOD_2021_Q2" localSheetId="18">#REF!</definedName>
    <definedName name="A_PERIOD_2021_Q2" localSheetId="12">#REF!</definedName>
    <definedName name="A_PERIOD_2021_Q2" localSheetId="23">#REF!</definedName>
    <definedName name="A_PERIOD_2021_Q2" localSheetId="19">#REF!</definedName>
    <definedName name="A_PERIOD_2021_Q2" localSheetId="21">#REF!</definedName>
    <definedName name="A_PERIOD_2021_Q2">#REF!</definedName>
    <definedName name="A_PERIOD_2021_Q3" localSheetId="24">#REF!</definedName>
    <definedName name="A_PERIOD_2021_Q3" localSheetId="18">#REF!</definedName>
    <definedName name="A_PERIOD_2021_Q3" localSheetId="12">#REF!</definedName>
    <definedName name="A_PERIOD_2021_Q3" localSheetId="23">#REF!</definedName>
    <definedName name="A_PERIOD_2021_Q3" localSheetId="19">#REF!</definedName>
    <definedName name="A_PERIOD_2021_Q3" localSheetId="21">#REF!</definedName>
    <definedName name="A_PERIOD_2021_Q3">#REF!</definedName>
    <definedName name="A_PERIOD_2021_Q4" localSheetId="24">#REF!</definedName>
    <definedName name="A_PERIOD_2021_Q4" localSheetId="18">#REF!</definedName>
    <definedName name="A_PERIOD_2021_Q4" localSheetId="12">#REF!</definedName>
    <definedName name="A_PERIOD_2021_Q4" localSheetId="23">#REF!</definedName>
    <definedName name="A_PERIOD_2021_Q4" localSheetId="19">#REF!</definedName>
    <definedName name="A_PERIOD_2021_Q4" localSheetId="21">#REF!</definedName>
    <definedName name="A_PERIOD_2021_Q4">#REF!</definedName>
    <definedName name="A_SECTION_EQTY_200007513_1314" localSheetId="24">#REF!</definedName>
    <definedName name="A_SECTION_EQTY_200007513_1314" localSheetId="18">#REF!</definedName>
    <definedName name="A_SECTION_EQTY_200007513_1314" localSheetId="12">#REF!</definedName>
    <definedName name="A_SECTION_EQTY_200007513_1314" localSheetId="23">#REF!</definedName>
    <definedName name="A_SECTION_EQTY_200007513_1314" localSheetId="19">#REF!</definedName>
    <definedName name="A_SECTION_EQTY_200007513_1314" localSheetId="21">#REF!</definedName>
    <definedName name="A_SECTION_EQTY_200007513_1314">#REF!</definedName>
    <definedName name="A_SECTION_EQTY_200007513_131E" localSheetId="24">#REF!</definedName>
    <definedName name="A_SECTION_EQTY_200007513_131E" localSheetId="18">#REF!</definedName>
    <definedName name="A_SECTION_EQTY_200007513_131E" localSheetId="12">#REF!</definedName>
    <definedName name="A_SECTION_EQTY_200007513_131E" localSheetId="23">#REF!</definedName>
    <definedName name="A_SECTION_EQTY_200007513_131E" localSheetId="19">#REF!</definedName>
    <definedName name="A_SECTION_EQTY_200007513_131E" localSheetId="21">#REF!</definedName>
    <definedName name="A_SECTION_EQTY_200007513_131E">#REF!</definedName>
    <definedName name="A_SECTION_EQTY_200007513_131O" localSheetId="24">#REF!</definedName>
    <definedName name="A_SECTION_EQTY_200007513_131O" localSheetId="18">#REF!</definedName>
    <definedName name="A_SECTION_EQTY_200007513_131O" localSheetId="12">#REF!</definedName>
    <definedName name="A_SECTION_EQTY_200007513_131O" localSheetId="23">#REF!</definedName>
    <definedName name="A_SECTION_EQTY_200007513_131O" localSheetId="19">#REF!</definedName>
    <definedName name="A_SECTION_EQTY_200007513_131O" localSheetId="21">#REF!</definedName>
    <definedName name="A_SECTION_EQTY_200007513_131O">#REF!</definedName>
    <definedName name="A_SECTION_EQTY_200007513_13A" localSheetId="24">#REF!</definedName>
    <definedName name="A_SECTION_EQTY_200007513_13A" localSheetId="18">#REF!</definedName>
    <definedName name="A_SECTION_EQTY_200007513_13A" localSheetId="12">#REF!</definedName>
    <definedName name="A_SECTION_EQTY_200007513_13A" localSheetId="23">#REF!</definedName>
    <definedName name="A_SECTION_EQTY_200007513_13A" localSheetId="19">#REF!</definedName>
    <definedName name="A_SECTION_EQTY_200007513_13A" localSheetId="21">#REF!</definedName>
    <definedName name="A_SECTION_EQTY_200007513_13A">#REF!</definedName>
    <definedName name="A_SECTION_EQTY_200007513_13K" localSheetId="24">#REF!</definedName>
    <definedName name="A_SECTION_EQTY_200007513_13K" localSheetId="18">#REF!</definedName>
    <definedName name="A_SECTION_EQTY_200007513_13K" localSheetId="12">#REF!</definedName>
    <definedName name="A_SECTION_EQTY_200007513_13K" localSheetId="23">#REF!</definedName>
    <definedName name="A_SECTION_EQTY_200007513_13K" localSheetId="19">#REF!</definedName>
    <definedName name="A_SECTION_EQTY_200007513_13K" localSheetId="21">#REF!</definedName>
    <definedName name="A_SECTION_EQTY_200007513_13K">#REF!</definedName>
    <definedName name="A_SECTION_EQTY_200007513_13U" localSheetId="24">#REF!</definedName>
    <definedName name="A_SECTION_EQTY_200007513_13U" localSheetId="18">#REF!</definedName>
    <definedName name="A_SECTION_EQTY_200007513_13U" localSheetId="12">#REF!</definedName>
    <definedName name="A_SECTION_EQTY_200007513_13U" localSheetId="23">#REF!</definedName>
    <definedName name="A_SECTION_EQTY_200007513_13U" localSheetId="19">#REF!</definedName>
    <definedName name="A_SECTION_EQTY_200007513_13U" localSheetId="21">#REF!</definedName>
    <definedName name="A_SECTION_EQTY_200007513_13U">#REF!</definedName>
    <definedName name="A_SECTION_EQTY_200007513_13V" localSheetId="24">#REF!</definedName>
    <definedName name="A_SECTION_EQTY_200007513_13V" localSheetId="18">#REF!</definedName>
    <definedName name="A_SECTION_EQTY_200007513_13V" localSheetId="12">#REF!</definedName>
    <definedName name="A_SECTION_EQTY_200007513_13V" localSheetId="23">#REF!</definedName>
    <definedName name="A_SECTION_EQTY_200007513_13V" localSheetId="19">#REF!</definedName>
    <definedName name="A_SECTION_EQTY_200007513_13V" localSheetId="21">#REF!</definedName>
    <definedName name="A_SECTION_EQTY_200007513_13V">#REF!</definedName>
    <definedName name="A_SECTION_EQTY_200007513_Reference_Data" localSheetId="24">#REF!</definedName>
    <definedName name="A_SECTION_EQTY_200007513_Reference_Data" localSheetId="18">#REF!</definedName>
    <definedName name="A_SECTION_EQTY_200007513_Reference_Data" localSheetId="12">#REF!</definedName>
    <definedName name="A_SECTION_EQTY_200007513_Reference_Data" localSheetId="23">#REF!</definedName>
    <definedName name="A_SECTION_EQTY_200007513_Reference_Data" localSheetId="19">#REF!</definedName>
    <definedName name="A_SECTION_EQTY_200007513_Reference_Data" localSheetId="21">#REF!</definedName>
    <definedName name="A_SECTION_EQTY_200007513_Reference_Data">#REF!</definedName>
    <definedName name="A_SECTION_ISSR_208002861_1314" localSheetId="24">#REF!</definedName>
    <definedName name="A_SECTION_ISSR_208002861_1314" localSheetId="18">#REF!</definedName>
    <definedName name="A_SECTION_ISSR_208002861_1314" localSheetId="12">#REF!</definedName>
    <definedName name="A_SECTION_ISSR_208002861_1314" localSheetId="23">#REF!</definedName>
    <definedName name="A_SECTION_ISSR_208002861_1314" localSheetId="19">#REF!</definedName>
    <definedName name="A_SECTION_ISSR_208002861_1314" localSheetId="21">#REF!</definedName>
    <definedName name="A_SECTION_ISSR_208002861_1314">#REF!</definedName>
    <definedName name="A_SECTION_ISSR_208002861_13168" localSheetId="24">#REF!</definedName>
    <definedName name="A_SECTION_ISSR_208002861_13168" localSheetId="18">#REF!</definedName>
    <definedName name="A_SECTION_ISSR_208002861_13168" localSheetId="12">#REF!</definedName>
    <definedName name="A_SECTION_ISSR_208002861_13168" localSheetId="23">#REF!</definedName>
    <definedName name="A_SECTION_ISSR_208002861_13168" localSheetId="19">#REF!</definedName>
    <definedName name="A_SECTION_ISSR_208002861_13168" localSheetId="21">#REF!</definedName>
    <definedName name="A_SECTION_ISSR_208002861_13168">#REF!</definedName>
    <definedName name="A_SECTION_ISSR_208002861_1316S" localSheetId="24">#REF!</definedName>
    <definedName name="A_SECTION_ISSR_208002861_1316S" localSheetId="18">#REF!</definedName>
    <definedName name="A_SECTION_ISSR_208002861_1316S" localSheetId="12">#REF!</definedName>
    <definedName name="A_SECTION_ISSR_208002861_1316S" localSheetId="23">#REF!</definedName>
    <definedName name="A_SECTION_ISSR_208002861_1316S" localSheetId="19">#REF!</definedName>
    <definedName name="A_SECTION_ISSR_208002861_1316S" localSheetId="21">#REF!</definedName>
    <definedName name="A_SECTION_ISSR_208002861_1316S">#REF!</definedName>
    <definedName name="A_SECTION_ISSR_208002861_1316T" localSheetId="24">#REF!</definedName>
    <definedName name="A_SECTION_ISSR_208002861_1316T" localSheetId="18">#REF!</definedName>
    <definedName name="A_SECTION_ISSR_208002861_1316T" localSheetId="12">#REF!</definedName>
    <definedName name="A_SECTION_ISSR_208002861_1316T" localSheetId="23">#REF!</definedName>
    <definedName name="A_SECTION_ISSR_208002861_1316T" localSheetId="19">#REF!</definedName>
    <definedName name="A_SECTION_ISSR_208002861_1316T" localSheetId="21">#REF!</definedName>
    <definedName name="A_SECTION_ISSR_208002861_1316T">#REF!</definedName>
    <definedName name="A_SECTION_ISSR_208002861_1316U" localSheetId="24">#REF!</definedName>
    <definedName name="A_SECTION_ISSR_208002861_1316U" localSheetId="18">#REF!</definedName>
    <definedName name="A_SECTION_ISSR_208002861_1316U" localSheetId="12">#REF!</definedName>
    <definedName name="A_SECTION_ISSR_208002861_1316U" localSheetId="23">#REF!</definedName>
    <definedName name="A_SECTION_ISSR_208002861_1316U" localSheetId="19">#REF!</definedName>
    <definedName name="A_SECTION_ISSR_208002861_1316U" localSheetId="21">#REF!</definedName>
    <definedName name="A_SECTION_ISSR_208002861_1316U">#REF!</definedName>
    <definedName name="A_SECTION_ISSR_208002861_1319" localSheetId="24">#REF!</definedName>
    <definedName name="A_SECTION_ISSR_208002861_1319" localSheetId="18">#REF!</definedName>
    <definedName name="A_SECTION_ISSR_208002861_1319" localSheetId="12">#REF!</definedName>
    <definedName name="A_SECTION_ISSR_208002861_1319" localSheetId="23">#REF!</definedName>
    <definedName name="A_SECTION_ISSR_208002861_1319" localSheetId="19">#REF!</definedName>
    <definedName name="A_SECTION_ISSR_208002861_1319" localSheetId="21">#REF!</definedName>
    <definedName name="A_SECTION_ISSR_208002861_1319">#REF!</definedName>
    <definedName name="A_SECTION_ISSR_208002861_131E" localSheetId="24">#REF!</definedName>
    <definedName name="A_SECTION_ISSR_208002861_131E" localSheetId="18">#REF!</definedName>
    <definedName name="A_SECTION_ISSR_208002861_131E" localSheetId="12">#REF!</definedName>
    <definedName name="A_SECTION_ISSR_208002861_131E" localSheetId="23">#REF!</definedName>
    <definedName name="A_SECTION_ISSR_208002861_131E" localSheetId="19">#REF!</definedName>
    <definedName name="A_SECTION_ISSR_208002861_131E" localSheetId="21">#REF!</definedName>
    <definedName name="A_SECTION_ISSR_208002861_131E">#REF!</definedName>
    <definedName name="A_SECTION_ISSR_208002861_131J" localSheetId="24">#REF!</definedName>
    <definedName name="A_SECTION_ISSR_208002861_131J" localSheetId="18">#REF!</definedName>
    <definedName name="A_SECTION_ISSR_208002861_131J" localSheetId="12">#REF!</definedName>
    <definedName name="A_SECTION_ISSR_208002861_131J" localSheetId="23">#REF!</definedName>
    <definedName name="A_SECTION_ISSR_208002861_131J" localSheetId="19">#REF!</definedName>
    <definedName name="A_SECTION_ISSR_208002861_131J" localSheetId="21">#REF!</definedName>
    <definedName name="A_SECTION_ISSR_208002861_131J">#REF!</definedName>
    <definedName name="A_SECTION_ISSR_208002861_131O" localSheetId="24">#REF!</definedName>
    <definedName name="A_SECTION_ISSR_208002861_131O" localSheetId="18">#REF!</definedName>
    <definedName name="A_SECTION_ISSR_208002861_131O" localSheetId="12">#REF!</definedName>
    <definedName name="A_SECTION_ISSR_208002861_131O" localSheetId="23">#REF!</definedName>
    <definedName name="A_SECTION_ISSR_208002861_131O" localSheetId="19">#REF!</definedName>
    <definedName name="A_SECTION_ISSR_208002861_131O" localSheetId="21">#REF!</definedName>
    <definedName name="A_SECTION_ISSR_208002861_131O">#REF!</definedName>
    <definedName name="A_SECTION_ISSR_208002861_13U" localSheetId="24">#REF!</definedName>
    <definedName name="A_SECTION_ISSR_208002861_13U" localSheetId="18">#REF!</definedName>
    <definedName name="A_SECTION_ISSR_208002861_13U" localSheetId="12">#REF!</definedName>
    <definedName name="A_SECTION_ISSR_208002861_13U" localSheetId="23">#REF!</definedName>
    <definedName name="A_SECTION_ISSR_208002861_13U" localSheetId="19">#REF!</definedName>
    <definedName name="A_SECTION_ISSR_208002861_13U" localSheetId="21">#REF!</definedName>
    <definedName name="A_SECTION_ISSR_208002861_13U">#REF!</definedName>
    <definedName name="A_SECTION_ISSR_208002861_13V" localSheetId="24">#REF!</definedName>
    <definedName name="A_SECTION_ISSR_208002861_13V" localSheetId="18">#REF!</definedName>
    <definedName name="A_SECTION_ISSR_208002861_13V" localSheetId="12">#REF!</definedName>
    <definedName name="A_SECTION_ISSR_208002861_13V" localSheetId="23">#REF!</definedName>
    <definedName name="A_SECTION_ISSR_208002861_13V" localSheetId="19">#REF!</definedName>
    <definedName name="A_SECTION_ISSR_208002861_13V" localSheetId="21">#REF!</definedName>
    <definedName name="A_SECTION_ISSR_208002861_13V">#REF!</definedName>
    <definedName name="A_SECTION_ISSR_208002861_Reference_Data" localSheetId="24">#REF!</definedName>
    <definedName name="A_SECTION_ISSR_208002861_Reference_Data" localSheetId="18">#REF!</definedName>
    <definedName name="A_SECTION_ISSR_208002861_Reference_Data" localSheetId="12">#REF!</definedName>
    <definedName name="A_SECTION_ISSR_208002861_Reference_Data" localSheetId="23">#REF!</definedName>
    <definedName name="A_SECTION_ISSR_208002861_Reference_Data" localSheetId="19">#REF!</definedName>
    <definedName name="A_SECTION_ISSR_208002861_Reference_Data" localSheetId="21">#REF!</definedName>
    <definedName name="A_SECTION_ISSR_208002861_Reference_Data">#REF!</definedName>
    <definedName name="aa" localSheetId="1" hidden="1">{"risultati",#N/A,FALSE,"Revenues";"ricavi advertising",#N/A,FALSE,"Revenues";"ricavi e-commerce",#N/A,FALSE,"Revenues";"ricavi fee for content",#N/A,FALSE,"Revenues";"costi infrastruttura",#N/A,FALSE,"Costi";"altri costi",#N/A,FALSE,"Costi";"conto economico",#N/A,FALSE,"Conto economico";"Flussi di cassa",#N/A,FALSE,"FCF"}</definedName>
    <definedName name="aa" localSheetId="2" hidden="1">{"risultati",#N/A,FALSE,"Revenues";"ricavi advertising",#N/A,FALSE,"Revenues";"ricavi e-commerce",#N/A,FALSE,"Revenues";"ricavi fee for content",#N/A,FALSE,"Revenues";"costi infrastruttura",#N/A,FALSE,"Costi";"altri costi",#N/A,FALSE,"Costi";"conto economico",#N/A,FALSE,"Conto economico";"Flussi di cassa",#N/A,FALSE,"FCF"}</definedName>
    <definedName name="aa" localSheetId="19" hidden="1">{"risultati",#N/A,FALSE,"Revenues";"ricavi advertising",#N/A,FALSE,"Revenues";"ricavi e-commerce",#N/A,FALSE,"Revenues";"ricavi fee for content",#N/A,FALSE,"Revenues";"costi infrastruttura",#N/A,FALSE,"Costi";"altri costi",#N/A,FALSE,"Costi";"conto economico",#N/A,FALSE,"Conto economico";"Flussi di cassa",#N/A,FALSE,"FCF"}</definedName>
    <definedName name="aa" localSheetId="21" hidden="1">{"risultati",#N/A,FALSE,"Revenues";"ricavi advertising",#N/A,FALSE,"Revenues";"ricavi e-commerce",#N/A,FALSE,"Revenues";"ricavi fee for content",#N/A,FALSE,"Revenues";"costi infrastruttura",#N/A,FALSE,"Costi";"altri costi",#N/A,FALSE,"Costi";"conto economico",#N/A,FALSE,"Conto economico";"Flussi di cassa",#N/A,FALSE,"FCF"}</definedName>
    <definedName name="aa" hidden="1">{"risultati",#N/A,FALSE,"Revenues";"ricavi advertising",#N/A,FALSE,"Revenues";"ricavi e-commerce",#N/A,FALSE,"Revenues";"ricavi fee for content",#N/A,FALSE,"Revenues";"costi infrastruttura",#N/A,FALSE,"Costi";"altri costi",#N/A,FALSE,"Costi";"conto economico",#N/A,FALSE,"Conto economico";"Flussi di cassa",#N/A,FALSE,"FCF"}</definedName>
    <definedName name="aaa" localSheetId="1" hidden="1">{"risultati",#N/A,FALSE,"Revenues";"ricavi advertising",#N/A,FALSE,"Revenues";"ricavi e-commerce",#N/A,FALSE,"Revenues";"ricavi fee for content",#N/A,FALSE,"Revenues";"costi infrastruttura",#N/A,FALSE,"Costi";"altri costi",#N/A,FALSE,"Costi";"conto economico",#N/A,FALSE,"Conto economico";"Flussi di cassa",#N/A,FALSE,"FCF"}</definedName>
    <definedName name="aaa" localSheetId="2" hidden="1">{"risultati",#N/A,FALSE,"Revenues";"ricavi advertising",#N/A,FALSE,"Revenues";"ricavi e-commerce",#N/A,FALSE,"Revenues";"ricavi fee for content",#N/A,FALSE,"Revenues";"costi infrastruttura",#N/A,FALSE,"Costi";"altri costi",#N/A,FALSE,"Costi";"conto economico",#N/A,FALSE,"Conto economico";"Flussi di cassa",#N/A,FALSE,"FCF"}</definedName>
    <definedName name="aaa" localSheetId="19" hidden="1">{"risultati",#N/A,FALSE,"Revenues";"ricavi advertising",#N/A,FALSE,"Revenues";"ricavi e-commerce",#N/A,FALSE,"Revenues";"ricavi fee for content",#N/A,FALSE,"Revenues";"costi infrastruttura",#N/A,FALSE,"Costi";"altri costi",#N/A,FALSE,"Costi";"conto economico",#N/A,FALSE,"Conto economico";"Flussi di cassa",#N/A,FALSE,"FCF"}</definedName>
    <definedName name="aaa" localSheetId="21" hidden="1">{"risultati",#N/A,FALSE,"Revenues";"ricavi advertising",#N/A,FALSE,"Revenues";"ricavi e-commerce",#N/A,FALSE,"Revenues";"ricavi fee for content",#N/A,FALSE,"Revenues";"costi infrastruttura",#N/A,FALSE,"Costi";"altri costi",#N/A,FALSE,"Costi";"conto economico",#N/A,FALSE,"Conto economico";"Flussi di cassa",#N/A,FALSE,"FCF"}</definedName>
    <definedName name="aaa" hidden="1">{"risultati",#N/A,FALSE,"Revenues";"ricavi advertising",#N/A,FALSE,"Revenues";"ricavi e-commerce",#N/A,FALSE,"Revenues";"ricavi fee for content",#N/A,FALSE,"Revenues";"costi infrastruttura",#N/A,FALSE,"Costi";"altri costi",#N/A,FALSE,"Costi";"conto economico",#N/A,FALSE,"Conto economico";"Flussi di cassa",#N/A,FALSE,"FCF"}</definedName>
    <definedName name="AAA_DOCTOPS" hidden="1">"AAA_SET"</definedName>
    <definedName name="AAA_duser" hidden="1">"OFF"</definedName>
    <definedName name="aaaaaaaaaaaaaaaaaaaaaaaaa" localSheetId="1" hidden="1">{"Front Page",#N/A,FALSE,"Front and Back"}</definedName>
    <definedName name="aaaaaaaaaaaaaaaaaaaaaaaaa" localSheetId="2" hidden="1">{"Front Page",#N/A,FALSE,"Front and Back"}</definedName>
    <definedName name="aaaaaaaaaaaaaaaaaaaaaaaaa" localSheetId="19" hidden="1">{"Front Page",#N/A,FALSE,"Front and Back"}</definedName>
    <definedName name="aaaaaaaaaaaaaaaaaaaaaaaaa" localSheetId="21" hidden="1">{"Front Page",#N/A,FALSE,"Front and Back"}</definedName>
    <definedName name="aaaaaaaaaaaaaaaaaaaaaaaaa" hidden="1">{"Front Page",#N/A,FALSE,"Front and Back"}</definedName>
    <definedName name="AAB_Addin5" hidden="1">"AAB_Description for addin 5,Description for addin 5,Description for addin 5,Description for addin 5,Description for addin 5,Description for addin 5"</definedName>
    <definedName name="AAB_GSPPG" hidden="1">"AAB_Goldman Sachs PPG Chart Utilities 1.0g"</definedName>
    <definedName name="aappppppppppppppp" localSheetId="1" hidden="1">{"EUUTIGRP","COMPANIES",TRUE}</definedName>
    <definedName name="aappppppppppppppp" localSheetId="2" hidden="1">{"EUUTIGRP","COMPANIES",TRUE}</definedName>
    <definedName name="aappppppppppppppp" localSheetId="19" hidden="1">{"EUUTIGRP","COMPANIES",TRUE}</definedName>
    <definedName name="aappppppppppppppp" localSheetId="21" hidden="1">{"EUUTIGRP","COMPANIES",TRUE}</definedName>
    <definedName name="aappppppppppppppp" hidden="1">{"EUUTIGRP","COMPANIES",TRUE}</definedName>
    <definedName name="Ab" localSheetId="1" hidden="1">{"Balance Sheet",#N/A,FALSE,"Balance Sheet";"Sum Cash Flow",#N/A,FALSE,"Sum Cash Flow";"Income Statement 1",#N/A,FALSE,"Income Statement 1";"DCF Projections",#N/A,FALSE,"DCF Projections";"DCF1",#N/A,FALSE,"DCF1";"AVP",#N/A,FALSE,"AVP";"CalcWorksheet",#N/A,FALSE,"Calc Wksht New";"PV of Future Prices",#N/A,FALSE,"Fut Share Price - New EPS";"FutureSharePrices",#N/A,FALSE,"Future Share Prices"}</definedName>
    <definedName name="Ab" localSheetId="2" hidden="1">{"Balance Sheet",#N/A,FALSE,"Balance Sheet";"Sum Cash Flow",#N/A,FALSE,"Sum Cash Flow";"Income Statement 1",#N/A,FALSE,"Income Statement 1";"DCF Projections",#N/A,FALSE,"DCF Projections";"DCF1",#N/A,FALSE,"DCF1";"AVP",#N/A,FALSE,"AVP";"CalcWorksheet",#N/A,FALSE,"Calc Wksht New";"PV of Future Prices",#N/A,FALSE,"Fut Share Price - New EPS";"FutureSharePrices",#N/A,FALSE,"Future Share Prices"}</definedName>
    <definedName name="Ab" localSheetId="19" hidden="1">{"Balance Sheet",#N/A,FALSE,"Balance Sheet";"Sum Cash Flow",#N/A,FALSE,"Sum Cash Flow";"Income Statement 1",#N/A,FALSE,"Income Statement 1";"DCF Projections",#N/A,FALSE,"DCF Projections";"DCF1",#N/A,FALSE,"DCF1";"AVP",#N/A,FALSE,"AVP";"CalcWorksheet",#N/A,FALSE,"Calc Wksht New";"PV of Future Prices",#N/A,FALSE,"Fut Share Price - New EPS";"FutureSharePrices",#N/A,FALSE,"Future Share Prices"}</definedName>
    <definedName name="Ab" localSheetId="21" hidden="1">{"Balance Sheet",#N/A,FALSE,"Balance Sheet";"Sum Cash Flow",#N/A,FALSE,"Sum Cash Flow";"Income Statement 1",#N/A,FALSE,"Income Statement 1";"DCF Projections",#N/A,FALSE,"DCF Projections";"DCF1",#N/A,FALSE,"DCF1";"AVP",#N/A,FALSE,"AVP";"CalcWorksheet",#N/A,FALSE,"Calc Wksht New";"PV of Future Prices",#N/A,FALSE,"Fut Share Price - New EPS";"FutureSharePrices",#N/A,FALSE,"Future Share Prices"}</definedName>
    <definedName name="Ab" hidden="1">{"Balance Sheet",#N/A,FALSE,"Balance Sheet";"Sum Cash Flow",#N/A,FALSE,"Sum Cash Flow";"Income Statement 1",#N/A,FALSE,"Income Statement 1";"DCF Projections",#N/A,FALSE,"DCF Projections";"DCF1",#N/A,FALSE,"DCF1";"AVP",#N/A,FALSE,"AVP";"CalcWorksheet",#N/A,FALSE,"Calc Wksht New";"PV of Future Prices",#N/A,FALSE,"Fut Share Price - New EPS";"FutureSharePrices",#N/A,FALSE,"Future Share Prices"}</definedName>
    <definedName name="AbsPerf12m">#REF!</definedName>
    <definedName name="AbsPerf1m">#REF!</definedName>
    <definedName name="AbsPerf3m">#REF!</definedName>
    <definedName name="aclskn" localSheetId="1" hidden="1">{#N/A,#N/A,FALSE,"FY97";#N/A,#N/A,FALSE,"FY98";#N/A,#N/A,FALSE,"FY99";#N/A,#N/A,FALSE,"FY00";#N/A,#N/A,FALSE,"FY01"}</definedName>
    <definedName name="aclskn" localSheetId="2" hidden="1">{#N/A,#N/A,FALSE,"FY97";#N/A,#N/A,FALSE,"FY98";#N/A,#N/A,FALSE,"FY99";#N/A,#N/A,FALSE,"FY00";#N/A,#N/A,FALSE,"FY01"}</definedName>
    <definedName name="aclskn" localSheetId="19" hidden="1">{#N/A,#N/A,FALSE,"FY97";#N/A,#N/A,FALSE,"FY98";#N/A,#N/A,FALSE,"FY99";#N/A,#N/A,FALSE,"FY00";#N/A,#N/A,FALSE,"FY01"}</definedName>
    <definedName name="aclskn" localSheetId="21" hidden="1">{#N/A,#N/A,FALSE,"FY97";#N/A,#N/A,FALSE,"FY98";#N/A,#N/A,FALSE,"FY99";#N/A,#N/A,FALSE,"FY00";#N/A,#N/A,FALSE,"FY01"}</definedName>
    <definedName name="aclskn" hidden="1">{#N/A,#N/A,FALSE,"FY97";#N/A,#N/A,FALSE,"FY98";#N/A,#N/A,FALSE,"FY99";#N/A,#N/A,FALSE,"FY00";#N/A,#N/A,FALSE,"FY01"}</definedName>
    <definedName name="AcqCostPerNewAccount">#REF!</definedName>
    <definedName name="AcquiredDebt">#REF!</definedName>
    <definedName name="Acquisitions">#REF!</definedName>
    <definedName name="ActivatedRD">#REF!</definedName>
    <definedName name="ActivatedRD_CF">#REF!</definedName>
    <definedName name="ActivatedRDAmortisation">#REF!</definedName>
    <definedName name="AdjChangeInWorkingCapital">#REF!</definedName>
    <definedName name="AdjDividendBlended">#REF!</definedName>
    <definedName name="AdjDividendFrontpage">#REF!</definedName>
    <definedName name="AdjDividendPrefs">#REF!</definedName>
    <definedName name="AdjEps">#REF!</definedName>
    <definedName name="AdjEPSExGoodwill">#REF!</definedName>
    <definedName name="AdjFullydilShareAvg">#REF!</definedName>
    <definedName name="AdjFullydilShareYe">#REF!</definedName>
    <definedName name="AdjOutstandingConvertibleNomAvg">#REF!</definedName>
    <definedName name="AdjOutstandingConvertibleNomYe">#REF!</definedName>
    <definedName name="AdjOutstandingPrefShareAvg">#REF!</definedName>
    <definedName name="AdjOutstandingPrefSharesYe">#REF!</definedName>
    <definedName name="AdjOutstandingShareNomAvg">#REF!</definedName>
    <definedName name="AdjOutstandingShareNomYe">#REF!</definedName>
    <definedName name="AdjRoE">#REF!</definedName>
    <definedName name="AdjustedAfterTaxProfit">#REF!</definedName>
    <definedName name="AfterTaxProfit">#REF!</definedName>
    <definedName name="AllTimeHigh">#REF!</definedName>
    <definedName name="AnalystCountry">#REF!</definedName>
    <definedName name="AnalystEmail">#REF!</definedName>
    <definedName name="AnalystName">#REF!</definedName>
    <definedName name="AnalystPhone">#REF!</definedName>
    <definedName name="AnalystTitle">#REF!</definedName>
    <definedName name="AnalystUserName">#REF!</definedName>
    <definedName name="as" localSheetId="1" hidden="1">{#N/A,#N/A,FALSE,"Annual Earnings Model";#N/A,#N/A,FALSE,"Quarterly Earnings Model";#N/A,#N/A,FALSE,"Header";#N/A,#N/A,FALSE,"Notes"}</definedName>
    <definedName name="as" localSheetId="2" hidden="1">{#N/A,#N/A,FALSE,"Annual Earnings Model";#N/A,#N/A,FALSE,"Quarterly Earnings Model";#N/A,#N/A,FALSE,"Header";#N/A,#N/A,FALSE,"Notes"}</definedName>
    <definedName name="as" localSheetId="19" hidden="1">{#N/A,#N/A,FALSE,"Annual Earnings Model";#N/A,#N/A,FALSE,"Quarterly Earnings Model";#N/A,#N/A,FALSE,"Header";#N/A,#N/A,FALSE,"Notes"}</definedName>
    <definedName name="as" localSheetId="21" hidden="1">{#N/A,#N/A,FALSE,"Annual Earnings Model";#N/A,#N/A,FALSE,"Quarterly Earnings Model";#N/A,#N/A,FALSE,"Header";#N/A,#N/A,FALSE,"Notes"}</definedName>
    <definedName name="as" hidden="1">{#N/A,#N/A,FALSE,"Annual Earnings Model";#N/A,#N/A,FALSE,"Quarterly Earnings Model";#N/A,#N/A,FALSE,"Header";#N/A,#N/A,FALSE,"Notes"}</definedName>
    <definedName name="asas" localSheetId="1" hidden="1">{#N/A,#N/A,FALSE,"Annual Earnings Model";#N/A,#N/A,FALSE,"Quarterly Earnings Model";#N/A,#N/A,FALSE,"Header";#N/A,#N/A,FALSE,"Notes"}</definedName>
    <definedName name="asas" localSheetId="2" hidden="1">{#N/A,#N/A,FALSE,"Annual Earnings Model";#N/A,#N/A,FALSE,"Quarterly Earnings Model";#N/A,#N/A,FALSE,"Header";#N/A,#N/A,FALSE,"Notes"}</definedName>
    <definedName name="asas" localSheetId="19" hidden="1">{#N/A,#N/A,FALSE,"Annual Earnings Model";#N/A,#N/A,FALSE,"Quarterly Earnings Model";#N/A,#N/A,FALSE,"Header";#N/A,#N/A,FALSE,"Notes"}</definedName>
    <definedName name="asas" localSheetId="21" hidden="1">{#N/A,#N/A,FALSE,"Annual Earnings Model";#N/A,#N/A,FALSE,"Quarterly Earnings Model";#N/A,#N/A,FALSE,"Header";#N/A,#N/A,FALSE,"Notes"}</definedName>
    <definedName name="asas" hidden="1">{#N/A,#N/A,FALSE,"Annual Earnings Model";#N/A,#N/A,FALSE,"Quarterly Earnings Model";#N/A,#N/A,FALSE,"Header";#N/A,#N/A,FALSE,"Notes"}</definedName>
    <definedName name="AssetDisposals">#REF!</definedName>
    <definedName name="AssetsEmployed">#REF!</definedName>
    <definedName name="AssocCompaniesRAT">#REF!</definedName>
    <definedName name="AssociatedCompanies">#REF!</definedName>
    <definedName name="Avantderniercours" localSheetId="2">#REF!</definedName>
    <definedName name="Avantderniercours">#REF!</definedName>
    <definedName name="b" localSheetId="1" hidden="1">{"page 1",#N/A,FALSE,"A";"page 2",#N/A,FALSE,"A";"page 3",#N/A,FALSE,"A";"page 4",#N/A,FALSE,"A";"page 5",#N/A,FALSE,"A";"page 6",#N/A,FALSE,"A";"page 7",#N/A,FALSE,"A";"page 8",#N/A,FALSE,"A";"page 9",#N/A,FALSE,"A";"page 10",#N/A,FALSE,"A";"page 11",#N/A,FALSE,"A";"page 12",#N/A,FALSE,"A";"page 13",#N/A,FALSE,"A";"page 14",#N/A,FALSE,"A"}</definedName>
    <definedName name="b" localSheetId="2" hidden="1">{"page 1",#N/A,FALSE,"A";"page 2",#N/A,FALSE,"A";"page 3",#N/A,FALSE,"A";"page 4",#N/A,FALSE,"A";"page 5",#N/A,FALSE,"A";"page 6",#N/A,FALSE,"A";"page 7",#N/A,FALSE,"A";"page 8",#N/A,FALSE,"A";"page 9",#N/A,FALSE,"A";"page 10",#N/A,FALSE,"A";"page 11",#N/A,FALSE,"A";"page 12",#N/A,FALSE,"A";"page 13",#N/A,FALSE,"A";"page 14",#N/A,FALSE,"A"}</definedName>
    <definedName name="b" localSheetId="19" hidden="1">{"page 1",#N/A,FALSE,"A";"page 2",#N/A,FALSE,"A";"page 3",#N/A,FALSE,"A";"page 4",#N/A,FALSE,"A";"page 5",#N/A,FALSE,"A";"page 6",#N/A,FALSE,"A";"page 7",#N/A,FALSE,"A";"page 8",#N/A,FALSE,"A";"page 9",#N/A,FALSE,"A";"page 10",#N/A,FALSE,"A";"page 11",#N/A,FALSE,"A";"page 12",#N/A,FALSE,"A";"page 13",#N/A,FALSE,"A";"page 14",#N/A,FALSE,"A"}</definedName>
    <definedName name="b" localSheetId="21" hidden="1">{"page 1",#N/A,FALSE,"A";"page 2",#N/A,FALSE,"A";"page 3",#N/A,FALSE,"A";"page 4",#N/A,FALSE,"A";"page 5",#N/A,FALSE,"A";"page 6",#N/A,FALSE,"A";"page 7",#N/A,FALSE,"A";"page 8",#N/A,FALSE,"A";"page 9",#N/A,FALSE,"A";"page 10",#N/A,FALSE,"A";"page 11",#N/A,FALSE,"A";"page 12",#N/A,FALSE,"A";"page 13",#N/A,FALSE,"A";"page 14",#N/A,FALSE,"A"}</definedName>
    <definedName name="b" hidden="1">{"page 1",#N/A,FALSE,"A";"page 2",#N/A,FALSE,"A";"page 3",#N/A,FALSE,"A";"page 4",#N/A,FALSE,"A";"page 5",#N/A,FALSE,"A";"page 6",#N/A,FALSE,"A";"page 7",#N/A,FALSE,"A";"page 8",#N/A,FALSE,"A";"page 9",#N/A,FALSE,"A";"page 10",#N/A,FALSE,"A";"page 11",#N/A,FALSE,"A";"page 12",#N/A,FALSE,"A";"page 13",#N/A,FALSE,"A";"page 14",#N/A,FALSE,"A"}</definedName>
    <definedName name="bas" localSheetId="2">#REF!</definedName>
    <definedName name="bas">#REF!</definedName>
    <definedName name="BLPH1" localSheetId="24" hidden="1">#REF!</definedName>
    <definedName name="BLPH1" localSheetId="1" hidden="1">#REF!</definedName>
    <definedName name="BLPH1" localSheetId="2" hidden="1">#REF!</definedName>
    <definedName name="BLPH1" localSheetId="18" hidden="1">#REF!</definedName>
    <definedName name="BLPH1" localSheetId="12" hidden="1">#REF!</definedName>
    <definedName name="BLPH1" localSheetId="23" hidden="1">#REF!</definedName>
    <definedName name="BLPH1" localSheetId="19" hidden="1">#REF!</definedName>
    <definedName name="BLPH1" localSheetId="21" hidden="1">#REF!</definedName>
    <definedName name="BLPH1" hidden="1">#REF!</definedName>
    <definedName name="BLPH2" localSheetId="24" hidden="1">#REF!</definedName>
    <definedName name="BLPH2" localSheetId="1" hidden="1">#REF!</definedName>
    <definedName name="BLPH2" localSheetId="2" hidden="1">#REF!</definedName>
    <definedName name="BLPH2" localSheetId="18" hidden="1">#REF!</definedName>
    <definedName name="BLPH2" localSheetId="12" hidden="1">#REF!</definedName>
    <definedName name="BLPH2" localSheetId="23" hidden="1">#REF!</definedName>
    <definedName name="BLPH2" localSheetId="19" hidden="1">#REF!</definedName>
    <definedName name="BLPH2" localSheetId="21" hidden="1">#REF!</definedName>
    <definedName name="BLPH2" hidden="1">#REF!</definedName>
    <definedName name="bn" localSheetId="1" hidden="1">{"EUUTIGRP","COMPANIES",TRUE}</definedName>
    <definedName name="bn" localSheetId="2" hidden="1">{"EUUTIGRP","COMPANIES",TRUE}</definedName>
    <definedName name="bn" localSheetId="19" hidden="1">{"EUUTIGRP","COMPANIES",TRUE}</definedName>
    <definedName name="bn" localSheetId="21" hidden="1">{"EUUTIGRP","COMPANIES",TRUE}</definedName>
    <definedName name="bn" hidden="1">{"EUUTIGRP","COMPANIES",TRUE}</definedName>
    <definedName name="BookCurrencyShort">#REF!</definedName>
    <definedName name="BookValuePerShare">#REF!</definedName>
    <definedName name="CapitalEmployed">#REF!</definedName>
    <definedName name="CapitalExpenditureDepreciationRatio">#REF!</definedName>
    <definedName name="CapitalExpenditureExpansion">#REF!</definedName>
    <definedName name="CapitalExpenditureMaintenance">#REF!</definedName>
    <definedName name="CapitalExpenditureSalesRatio">#REF!</definedName>
    <definedName name="CapitalExpenditureSalesRatioChart">#REF!</definedName>
    <definedName name="CashDebtCover">#REF!</definedName>
    <definedName name="CashEarningPerShare">#REF!</definedName>
    <definedName name="CashEarnings">#REF!</definedName>
    <definedName name="CashFlowBeforeChangeWorkingCapital">#REF!</definedName>
    <definedName name="CashInterestCover">#REF!</definedName>
    <definedName name="CashLiquidAssets">#REF!</definedName>
    <definedName name="CashMinorities">#REF!</definedName>
    <definedName name="CEM_Today">#REF!</definedName>
    <definedName name="CEM_Ye">#REF!</definedName>
    <definedName name="CEO">#REF!</definedName>
    <definedName name="CFO">#REF!</definedName>
    <definedName name="CFormats" localSheetId="2">#REF!</definedName>
    <definedName name="CFormats">#REF!</definedName>
    <definedName name="ChangeGroupCreditors">#REF!</definedName>
    <definedName name="ChangeGroupDebtors">#REF!</definedName>
    <definedName name="ChangeGroupFixedTangibleAssets">#REF!</definedName>
    <definedName name="ChangeGroupIntangibles">#REF!</definedName>
    <definedName name="ChangeGroupInterestBearingFixedAssets">#REF!</definedName>
    <definedName name="ChangeGroupInventories">#REF!</definedName>
    <definedName name="ChangeGroupOtherFinancialAssets">#REF!</definedName>
    <definedName name="ChangeGroupOtherFixedAssets">#REF!</definedName>
    <definedName name="ChangeGroupOtherTradeFinancing">#REF!</definedName>
    <definedName name="ChangeGroupTotal">#REF!</definedName>
    <definedName name="ChangeInWorkingCapital">#REF!</definedName>
    <definedName name="ChangeNetDebt">#REF!</definedName>
    <definedName name="ChangeProvisions">#REF!</definedName>
    <definedName name="ClientAccounts">#REF!</definedName>
    <definedName name="ClientAccountsAvg">#REF!</definedName>
    <definedName name="COB">#REF!</definedName>
    <definedName name="codeDestination" localSheetId="2">#REF!</definedName>
    <definedName name="codeDestination">#REF!</definedName>
    <definedName name="CODELK_Path" localSheetId="2">#REF!</definedName>
    <definedName name="CODELK_Path">#REF!</definedName>
    <definedName name="ColumnHeading" localSheetId="2">#REF!</definedName>
    <definedName name="ColumnHeading">#REF!</definedName>
    <definedName name="CommissionIncomeRevenues">#REF!</definedName>
    <definedName name="CompanyFileName">#REF!</definedName>
    <definedName name="CompanyGroupFactor">#REF!</definedName>
    <definedName name="CompanyHide">#REF!</definedName>
    <definedName name="CompanyId">#REF!</definedName>
    <definedName name="CompanyName">#REF!</definedName>
    <definedName name="CompYield">#REF!</definedName>
    <definedName name="ConvertibleDebt">#REF!</definedName>
    <definedName name="CostIncomeRatioExMarketing">#REF!</definedName>
    <definedName name="CostProductSold">#REF!</definedName>
    <definedName name="CountryName">#REF!</definedName>
    <definedName name="CountryShort">#REF!</definedName>
    <definedName name="Creditors">#REF!</definedName>
    <definedName name="CreditorsSalesRatio">#REF!</definedName>
    <definedName name="CTopics" localSheetId="2">#REF!</definedName>
    <definedName name="CTopics">#REF!</definedName>
    <definedName name="cu107.DPSSymbol" hidden="1">"€"</definedName>
    <definedName name="cu107.EPSSymbol" hidden="1">"€"</definedName>
    <definedName name="cu71.ScalingFactor" hidden="1">1000000</definedName>
    <definedName name="Currency">#REF!</definedName>
    <definedName name="CurrencyRateEUR">#REF!</definedName>
    <definedName name="CurrencyRateUSD">#REF!</definedName>
    <definedName name="CurrentAssets">#REF!</definedName>
    <definedName name="CurrentLiabilities">#REF!</definedName>
    <definedName name="CurrentRatio">#REF!</definedName>
    <definedName name="CurrentRecommendation">#REF!</definedName>
    <definedName name="CurrentRecommendationDate">#REF!</definedName>
    <definedName name="d" localSheetId="1" hidden="1">{"CSC_1",#N/A,FALSE,"CSC Outputs";"CSC_2",#N/A,FALSE,"CSC Outputs"}</definedName>
    <definedName name="d" localSheetId="2" hidden="1">{"CSC_1",#N/A,FALSE,"CSC Outputs";"CSC_2",#N/A,FALSE,"CSC Outputs"}</definedName>
    <definedName name="d" localSheetId="19" hidden="1">{"CSC_1",#N/A,FALSE,"CSC Outputs";"CSC_2",#N/A,FALSE,"CSC Outputs"}</definedName>
    <definedName name="d" localSheetId="21" hidden="1">{"CSC_1",#N/A,FALSE,"CSC Outputs";"CSC_2",#N/A,FALSE,"CSC Outputs"}</definedName>
    <definedName name="d" hidden="1">{"CSC_1",#N/A,FALSE,"CSC Outputs";"CSC_2",#N/A,FALSE,"CSC Outputs"}</definedName>
    <definedName name="Datederniercours" localSheetId="2">#REF!</definedName>
    <definedName name="Datederniercours">#REF!</definedName>
    <definedName name="DateFiveYear">#REF!</definedName>
    <definedName name="DateFiveYearPeer1">#REF!</definedName>
    <definedName name="DateYear">#REF!</definedName>
    <definedName name="DateYearPeer1">#REF!</definedName>
    <definedName name="DateYearPeer2">#REF!</definedName>
    <definedName name="ddddddddddddddddddd" localSheetId="1" hidden="1">{"P and L Detail Page 1",#N/A,FALSE,"Data";"P and L Detail Page 2",#N/A,FALSE,"Data"}</definedName>
    <definedName name="ddddddddddddddddddd" localSheetId="2" hidden="1">{"P and L Detail Page 1",#N/A,FALSE,"Data";"P and L Detail Page 2",#N/A,FALSE,"Data"}</definedName>
    <definedName name="ddddddddddddddddddd" localSheetId="19" hidden="1">{"P and L Detail Page 1",#N/A,FALSE,"Data";"P and L Detail Page 2",#N/A,FALSE,"Data"}</definedName>
    <definedName name="ddddddddddddddddddd" localSheetId="21" hidden="1">{"P and L Detail Page 1",#N/A,FALSE,"Data";"P and L Detail Page 2",#N/A,FALSE,"Data"}</definedName>
    <definedName name="ddddddddddddddddddd" hidden="1">{"P and L Detail Page 1",#N/A,FALSE,"Data";"P and L Detail Page 2",#N/A,FALSE,"Data"}</definedName>
    <definedName name="DebtEquityRatio">#REF!</definedName>
    <definedName name="Debtors">#REF!</definedName>
    <definedName name="DebtorsSalesDays">#REF!</definedName>
    <definedName name="defaultmargin">50</definedName>
    <definedName name="defaultmonth">6</definedName>
    <definedName name="defaultrate">4.75</definedName>
    <definedName name="DeferredTax">#REF!</definedName>
    <definedName name="Depreciation">#REF!</definedName>
    <definedName name="Derniercours" localSheetId="2">#REF!</definedName>
    <definedName name="Derniercours">#REF!</definedName>
    <definedName name="Derniervolume" localSheetId="2">#REF!</definedName>
    <definedName name="Derniervolume">#REF!</definedName>
    <definedName name="Description">#REF!</definedName>
    <definedName name="DetailColumns" localSheetId="2">#REF!</definedName>
    <definedName name="DetailColumns">#REF!</definedName>
    <definedName name="dfgd" localSheetId="1" hidden="1">{"subs",#N/A,FALSE,"database ";"proportional",#N/A,FALSE,"database "}</definedName>
    <definedName name="dfgd" localSheetId="2" hidden="1">{"subs",#N/A,FALSE,"database ";"proportional",#N/A,FALSE,"database "}</definedName>
    <definedName name="dfgd" localSheetId="19" hidden="1">{"subs",#N/A,FALSE,"database ";"proportional",#N/A,FALSE,"database "}</definedName>
    <definedName name="dfgd" localSheetId="21" hidden="1">{"subs",#N/A,FALSE,"database ";"proportional",#N/A,FALSE,"database "}</definedName>
    <definedName name="dfgd" hidden="1">{"subs",#N/A,FALSE,"database ";"proportional",#N/A,FALSE,"database "}</definedName>
    <definedName name="DividendAssocCompanies">#REF!</definedName>
    <definedName name="DividendPaid">#REF!</definedName>
    <definedName name="down" localSheetId="1" hidden="1">{#N/A,#N/A,FALSE,"Umsatz";#N/A,#N/A,FALSE,"Base V.02";#N/A,#N/A,FALSE,"Charts"}</definedName>
    <definedName name="down" localSheetId="2" hidden="1">{#N/A,#N/A,FALSE,"Umsatz";#N/A,#N/A,FALSE,"Base V.02";#N/A,#N/A,FALSE,"Charts"}</definedName>
    <definedName name="down" localSheetId="19" hidden="1">{#N/A,#N/A,FALSE,"Umsatz";#N/A,#N/A,FALSE,"Base V.02";#N/A,#N/A,FALSE,"Charts"}</definedName>
    <definedName name="down" localSheetId="21" hidden="1">{#N/A,#N/A,FALSE,"Umsatz";#N/A,#N/A,FALSE,"Base V.02";#N/A,#N/A,FALSE,"Charts"}</definedName>
    <definedName name="down" hidden="1">{#N/A,#N/A,FALSE,"Umsatz";#N/A,#N/A,FALSE,"Base V.02";#N/A,#N/A,FALSE,"Charts"}</definedName>
    <definedName name="draka" localSheetId="1" hidden="1">{"QIncStmt",#N/A,FALSE,"Quarter Inc St";"QGrthNMrgn",#N/A,FALSE,"Quarter Inc St";"SummIncStmt",#N/A,FALSE,"Income Statement";"BalanceSheet",#N/A,FALSE,"Balance Sheet";"SumCashFlow",#N/A,FALSE,"Sum Cash Flow";"DCFProjections",#N/A,FALSE,"DCF Projections";"CalcWorksheet",#N/A,FALSE,"Calc Wksht New";"DCFPresent Value",#N/A,FALSE,"DCF1";"FutureSharePrices",#N/A,FALSE,"Future Share Prices";"AVP",#N/A,FALSE,"AVP";"PV of Future Prices",#N/A,FALSE,"Fut Share Price - New EPS"}</definedName>
    <definedName name="draka" localSheetId="2" hidden="1">{"QIncStmt",#N/A,FALSE,"Quarter Inc St";"QGrthNMrgn",#N/A,FALSE,"Quarter Inc St";"SummIncStmt",#N/A,FALSE,"Income Statement";"BalanceSheet",#N/A,FALSE,"Balance Sheet";"SumCashFlow",#N/A,FALSE,"Sum Cash Flow";"DCFProjections",#N/A,FALSE,"DCF Projections";"CalcWorksheet",#N/A,FALSE,"Calc Wksht New";"DCFPresent Value",#N/A,FALSE,"DCF1";"FutureSharePrices",#N/A,FALSE,"Future Share Prices";"AVP",#N/A,FALSE,"AVP";"PV of Future Prices",#N/A,FALSE,"Fut Share Price - New EPS"}</definedName>
    <definedName name="draka" localSheetId="19" hidden="1">{"QIncStmt",#N/A,FALSE,"Quarter Inc St";"QGrthNMrgn",#N/A,FALSE,"Quarter Inc St";"SummIncStmt",#N/A,FALSE,"Income Statement";"BalanceSheet",#N/A,FALSE,"Balance Sheet";"SumCashFlow",#N/A,FALSE,"Sum Cash Flow";"DCFProjections",#N/A,FALSE,"DCF Projections";"CalcWorksheet",#N/A,FALSE,"Calc Wksht New";"DCFPresent Value",#N/A,FALSE,"DCF1";"FutureSharePrices",#N/A,FALSE,"Future Share Prices";"AVP",#N/A,FALSE,"AVP";"PV of Future Prices",#N/A,FALSE,"Fut Share Price - New EPS"}</definedName>
    <definedName name="draka" localSheetId="21" hidden="1">{"QIncStmt",#N/A,FALSE,"Quarter Inc St";"QGrthNMrgn",#N/A,FALSE,"Quarter Inc St";"SummIncStmt",#N/A,FALSE,"Income Statement";"BalanceSheet",#N/A,FALSE,"Balance Sheet";"SumCashFlow",#N/A,FALSE,"Sum Cash Flow";"DCFProjections",#N/A,FALSE,"DCF Projections";"CalcWorksheet",#N/A,FALSE,"Calc Wksht New";"DCFPresent Value",#N/A,FALSE,"DCF1";"FutureSharePrices",#N/A,FALSE,"Future Share Prices";"AVP",#N/A,FALSE,"AVP";"PV of Future Prices",#N/A,FALSE,"Fut Share Price - New EPS"}</definedName>
    <definedName name="draka" hidden="1">{"QIncStmt",#N/A,FALSE,"Quarter Inc St";"QGrthNMrgn",#N/A,FALSE,"Quarter Inc St";"SummIncStmt",#N/A,FALSE,"Income Statement";"BalanceSheet",#N/A,FALSE,"Balance Sheet";"SumCashFlow",#N/A,FALSE,"Sum Cash Flow";"DCFProjections",#N/A,FALSE,"DCF Projections";"CalcWorksheet",#N/A,FALSE,"Calc Wksht New";"DCFPresent Value",#N/A,FALSE,"DCF1";"FutureSharePrices",#N/A,FALSE,"Future Share Prices";"AVP",#N/A,FALSE,"AVP";"PV of Future Prices",#N/A,FALSE,"Fut Share Price - New EPS"}</definedName>
    <definedName name="DSDDE_Path" localSheetId="2">#REF!</definedName>
    <definedName name="DSDDE_Path">#REF!</definedName>
    <definedName name="e" localSheetId="1" hidden="1">{"QIncStmt",#N/A,FALSE,"Quarter Inc St";"QGrthNMrgn",#N/A,FALSE,"Quarter Inc St";"SummIncStmt",#N/A,FALSE,"Income Statement";"BalanceSheet",#N/A,FALSE,"Balance Sheet";"SumCashFlow",#N/A,FALSE,"Sum Cash Flow";"DCFProjections",#N/A,FALSE,"DCF Projections";"CalcWorksheet",#N/A,FALSE,"Calc Wksht New";"DCFPresent Value",#N/A,FALSE,"DCF1";"FutureSharePrices",#N/A,FALSE,"Future Share Prices";"AVP",#N/A,FALSE,"AVP";"PV of Future Prices",#N/A,FALSE,"Fut Share Price - New EPS"}</definedName>
    <definedName name="e" localSheetId="2" hidden="1">{"QIncStmt",#N/A,FALSE,"Quarter Inc St";"QGrthNMrgn",#N/A,FALSE,"Quarter Inc St";"SummIncStmt",#N/A,FALSE,"Income Statement";"BalanceSheet",#N/A,FALSE,"Balance Sheet";"SumCashFlow",#N/A,FALSE,"Sum Cash Flow";"DCFProjections",#N/A,FALSE,"DCF Projections";"CalcWorksheet",#N/A,FALSE,"Calc Wksht New";"DCFPresent Value",#N/A,FALSE,"DCF1";"FutureSharePrices",#N/A,FALSE,"Future Share Prices";"AVP",#N/A,FALSE,"AVP";"PV of Future Prices",#N/A,FALSE,"Fut Share Price - New EPS"}</definedName>
    <definedName name="e" localSheetId="19" hidden="1">{"QIncStmt",#N/A,FALSE,"Quarter Inc St";"QGrthNMrgn",#N/A,FALSE,"Quarter Inc St";"SummIncStmt",#N/A,FALSE,"Income Statement";"BalanceSheet",#N/A,FALSE,"Balance Sheet";"SumCashFlow",#N/A,FALSE,"Sum Cash Flow";"DCFProjections",#N/A,FALSE,"DCF Projections";"CalcWorksheet",#N/A,FALSE,"Calc Wksht New";"DCFPresent Value",#N/A,FALSE,"DCF1";"FutureSharePrices",#N/A,FALSE,"Future Share Prices";"AVP",#N/A,FALSE,"AVP";"PV of Future Prices",#N/A,FALSE,"Fut Share Price - New EPS"}</definedName>
    <definedName name="e" localSheetId="21" hidden="1">{"QIncStmt",#N/A,FALSE,"Quarter Inc St";"QGrthNMrgn",#N/A,FALSE,"Quarter Inc St";"SummIncStmt",#N/A,FALSE,"Income Statement";"BalanceSheet",#N/A,FALSE,"Balance Sheet";"SumCashFlow",#N/A,FALSE,"Sum Cash Flow";"DCFProjections",#N/A,FALSE,"DCF Projections";"CalcWorksheet",#N/A,FALSE,"Calc Wksht New";"DCFPresent Value",#N/A,FALSE,"DCF1";"FutureSharePrices",#N/A,FALSE,"Future Share Prices";"AVP",#N/A,FALSE,"AVP";"PV of Future Prices",#N/A,FALSE,"Fut Share Price - New EPS"}</definedName>
    <definedName name="e" hidden="1">{"QIncStmt",#N/A,FALSE,"Quarter Inc St";"QGrthNMrgn",#N/A,FALSE,"Quarter Inc St";"SummIncStmt",#N/A,FALSE,"Income Statement";"BalanceSheet",#N/A,FALSE,"Balance Sheet";"SumCashFlow",#N/A,FALSE,"Sum Cash Flow";"DCFProjections",#N/A,FALSE,"DCF Projections";"CalcWorksheet",#N/A,FALSE,"Calc Wksht New";"DCFPresent Value",#N/A,FALSE,"DCF1";"FutureSharePrices",#N/A,FALSE,"Future Share Prices";"AVP",#N/A,FALSE,"AVP";"PV of Future Prices",#N/A,FALSE,"Fut Share Price - New EPS"}</definedName>
    <definedName name="E_ALL_ABBN.S" localSheetId="2">#REF!</definedName>
    <definedName name="E_ALL_ABBN.S">#REF!</definedName>
    <definedName name="E_ALL_AIR.PA" localSheetId="2">#REF!</definedName>
    <definedName name="E_ALL_AIR.PA" localSheetId="12">#REF!</definedName>
    <definedName name="E_ALL_AIR.PA" localSheetId="23">#REF!</definedName>
    <definedName name="E_ALL_AIR.PA">#REF!</definedName>
    <definedName name="E_ALL_ATCOa.ST">#REF!</definedName>
    <definedName name="E_ALL_AVMD.PA" localSheetId="2">#REF!</definedName>
    <definedName name="E_ALL_AVMD.PA">#REF!</definedName>
    <definedName name="E_ALL_BAES.L" localSheetId="2">#REF!</definedName>
    <definedName name="E_ALL_BAES.L" localSheetId="12">#REF!</definedName>
    <definedName name="E_ALL_BAES.L" localSheetId="23">#REF!</definedName>
    <definedName name="E_ALL_BAES.L">#REF!</definedName>
    <definedName name="E_ALL_COB.L" localSheetId="2">#REF!</definedName>
    <definedName name="E_ALL_COB.L" localSheetId="12">#REF!</definedName>
    <definedName name="E_ALL_COB.L" localSheetId="23">#REF!</definedName>
    <definedName name="E_ALL_COB.L">#REF!</definedName>
    <definedName name="E_ALL_DTGGe.DE">#REF!</definedName>
    <definedName name="E_ALL_EAD.PA" localSheetId="2">#REF!</definedName>
    <definedName name="E_ALL_EAD.PA" localSheetId="12">#REF!</definedName>
    <definedName name="E_ALL_EAD.PA">#REF!</definedName>
    <definedName name="E_ALL_KEYWORDS_TYPE_ScalarContributed_EQTY_200000267">#REF!,#REF!</definedName>
    <definedName name="E_ALL_KEYWORDS_TYPE_ScalarContributed_EQTY_200003162" localSheetId="2">#REF!,#REF!</definedName>
    <definedName name="E_ALL_KEYWORDS_TYPE_ScalarContributed_EQTY_200003162" localSheetId="12">#REF!,#REF!</definedName>
    <definedName name="E_ALL_KEYWORDS_TYPE_ScalarContributed_EQTY_200003162">#REF!,#REF!</definedName>
    <definedName name="E_ALL_KEYWORDS_TYPE_ScalarContributed_EQTY_200003170" localSheetId="2">#REF!,#REF!</definedName>
    <definedName name="E_ALL_KEYWORDS_TYPE_ScalarContributed_EQTY_200003170" localSheetId="12">#REF!,#REF!</definedName>
    <definedName name="E_ALL_KEYWORDS_TYPE_ScalarContributed_EQTY_200003170">#REF!,#REF!</definedName>
    <definedName name="E_ALL_KEYWORDS_TYPE_ScalarContributed_EQTY_200003173" localSheetId="2">#REF!,#REF!</definedName>
    <definedName name="E_ALL_KEYWORDS_TYPE_ScalarContributed_EQTY_200003173" localSheetId="12">#REF!,#REF!</definedName>
    <definedName name="E_ALL_KEYWORDS_TYPE_ScalarContributed_EQTY_200003173">#REF!,#REF!</definedName>
    <definedName name="E_ALL_KEYWORDS_TYPE_ScalarContributed_EQTY_200003183" localSheetId="2">#REF!,#REF!</definedName>
    <definedName name="E_ALL_KEYWORDS_TYPE_ScalarContributed_EQTY_200003183" localSheetId="12">#REF!,#REF!</definedName>
    <definedName name="E_ALL_KEYWORDS_TYPE_ScalarContributed_EQTY_200003183">#REF!,#REF!</definedName>
    <definedName name="E_ALL_KEYWORDS_TYPE_ScalarContributed_EQTY_200003821" localSheetId="2">#REF!,#REF!</definedName>
    <definedName name="E_ALL_KEYWORDS_TYPE_ScalarContributed_EQTY_200003821" localSheetId="12">#REF!,#REF!</definedName>
    <definedName name="E_ALL_KEYWORDS_TYPE_ScalarContributed_EQTY_200003821">#REF!,#REF!</definedName>
    <definedName name="E_ALL_KEYWORDS_TYPE_ScalarContributed_EQTY_200004285" localSheetId="2">#REF!,#REF!</definedName>
    <definedName name="E_ALL_KEYWORDS_TYPE_ScalarContributed_EQTY_200004285">#REF!,#REF!</definedName>
    <definedName name="E_ALL_KEYWORDS_TYPE_ScalarContributed_EQTY_200005121" localSheetId="2">#REF!,#REF!</definedName>
    <definedName name="E_ALL_KEYWORDS_TYPE_ScalarContributed_EQTY_200005121" localSheetId="12">#REF!,#REF!</definedName>
    <definedName name="E_ALL_KEYWORDS_TYPE_ScalarContributed_EQTY_200005121">#REF!,#REF!</definedName>
    <definedName name="E_ALL_KEYWORDS_TYPE_ScalarContributed_EQTY_200007513" localSheetId="2">#REF!,#REF!</definedName>
    <definedName name="E_ALL_KEYWORDS_TYPE_ScalarContributed_EQTY_200007513" localSheetId="12">#REF!,#REF!</definedName>
    <definedName name="E_ALL_KEYWORDS_TYPE_ScalarContributed_EQTY_200007513">#REF!,#REF!</definedName>
    <definedName name="E_ALL_KEYWORDS_TYPE_ScalarContributed_EQTY_200008448">#REF!,#REF!,#REF!</definedName>
    <definedName name="E_ALL_KEYWORDS_TYPE_ScalarContributed_EQTY_200009618" localSheetId="2">#REF!,#REF!</definedName>
    <definedName name="E_ALL_KEYWORDS_TYPE_ScalarContributed_EQTY_200009618" localSheetId="12">#REF!,#REF!</definedName>
    <definedName name="E_ALL_KEYWORDS_TYPE_ScalarContributed_EQTY_200009618">#REF!,#REF!</definedName>
    <definedName name="E_ALL_KEYWORDS_TYPE_ScalarContributed_EQTY_200009619" localSheetId="2">#REF!,#REF!</definedName>
    <definedName name="E_ALL_KEYWORDS_TYPE_ScalarContributed_EQTY_200009619" localSheetId="12">#REF!,#REF!</definedName>
    <definedName name="E_ALL_KEYWORDS_TYPE_ScalarContributed_EQTY_200009619">#REF!,#REF!</definedName>
    <definedName name="E_ALL_KEYWORDS_TYPE_ScalarContributed_EQTY_200009620" localSheetId="2">#REF!,#REF!</definedName>
    <definedName name="E_ALL_KEYWORDS_TYPE_ScalarContributed_EQTY_200009620" localSheetId="12">#REF!,#REF!</definedName>
    <definedName name="E_ALL_KEYWORDS_TYPE_ScalarContributed_EQTY_200009620">#REF!,#REF!</definedName>
    <definedName name="E_ALL_KEYWORDS_TYPE_ScalarContributed_EQTY_200011295" localSheetId="2">#REF!,#REF!</definedName>
    <definedName name="E_ALL_KEYWORDS_TYPE_ScalarContributed_EQTY_200011295">#REF!,#REF!</definedName>
    <definedName name="E_ALL_KEYWORDS_TYPE_ScalarContributed_ISSR_208001092" localSheetId="2">#REF!,#REF!</definedName>
    <definedName name="E_ALL_KEYWORDS_TYPE_ScalarContributed_ISSR_208001092">#REF!,#REF!</definedName>
    <definedName name="E_ALL_KEYWORDS_TYPE_ScalarContributed_ISSR_208001095" localSheetId="2">#REF!,#REF!</definedName>
    <definedName name="E_ALL_KEYWORDS_TYPE_ScalarContributed_ISSR_208001095">#REF!,#REF!</definedName>
    <definedName name="E_ALL_KEYWORDS_TYPE_ScalarContributed_ISSR_208001219" localSheetId="2">#REF!,#REF!,#REF!,#REF!,#REF!,#REF!,#REF!,#REF!</definedName>
    <definedName name="E_ALL_KEYWORDS_TYPE_ScalarContributed_ISSR_208001219">#REF!,#REF!,#REF!,#REF!,#REF!,#REF!,#REF!,#REF!</definedName>
    <definedName name="E_ALL_KEYWORDS_TYPE_ScalarContributed_ISSR_208007415" localSheetId="2">#REF!,#REF!</definedName>
    <definedName name="E_ALL_KEYWORDS_TYPE_ScalarContributed_ISSR_208007415">#REF!,#REF!</definedName>
    <definedName name="E_ALL_KEYWORDS_TYPE_ScalarContributed_ISSR_208008646" localSheetId="2">#REF!,#REF!</definedName>
    <definedName name="E_ALL_KEYWORDS_TYPE_ScalarContributed_ISSR_208008646">#REF!,#REF!</definedName>
    <definedName name="E_ALL_KEYWORDS_TYPE_ScalarReference_EQTY_200007513" localSheetId="24">#REF!</definedName>
    <definedName name="E_ALL_KEYWORDS_TYPE_ScalarReference_EQTY_200007513" localSheetId="18">#REF!</definedName>
    <definedName name="E_ALL_KEYWORDS_TYPE_ScalarReference_EQTY_200007513" localSheetId="12">#REF!</definedName>
    <definedName name="E_ALL_KEYWORDS_TYPE_ScalarReference_EQTY_200007513" localSheetId="23">#REF!</definedName>
    <definedName name="E_ALL_KEYWORDS_TYPE_ScalarReference_EQTY_200007513" localSheetId="19">#REF!</definedName>
    <definedName name="E_ALL_KEYWORDS_TYPE_ScalarReference_EQTY_200007513" localSheetId="21">#REF!</definedName>
    <definedName name="E_ALL_KEYWORDS_TYPE_ScalarReference_EQTY_200007513">#REF!</definedName>
    <definedName name="E_ALL_KEYWORDS_TYPE_ScalarReference_ISSR_208002861" localSheetId="24">#REF!</definedName>
    <definedName name="E_ALL_KEYWORDS_TYPE_ScalarReference_ISSR_208002861" localSheetId="18">#REF!</definedName>
    <definedName name="E_ALL_KEYWORDS_TYPE_ScalarReference_ISSR_208002861" localSheetId="12">#REF!</definedName>
    <definedName name="E_ALL_KEYWORDS_TYPE_ScalarReference_ISSR_208002861" localSheetId="23">#REF!</definedName>
    <definedName name="E_ALL_KEYWORDS_TYPE_ScalarReference_ISSR_208002861" localSheetId="19">#REF!</definedName>
    <definedName name="E_ALL_KEYWORDS_TYPE_ScalarReference_ISSR_208002861" localSheetId="21">#REF!</definedName>
    <definedName name="E_ALL_KEYWORDS_TYPE_ScalarReference_ISSR_208002861">#REF!</definedName>
    <definedName name="E_ALL_KEYWORDS_TYPE_Vector_EQTY_200003162" localSheetId="2">#REF!,#REF!,#REF!,#REF!,#REF!</definedName>
    <definedName name="E_ALL_KEYWORDS_TYPE_Vector_EQTY_200003162" localSheetId="12">#REF!,#REF!,#REF!,#REF!,#REF!</definedName>
    <definedName name="E_ALL_KEYWORDS_TYPE_Vector_EQTY_200003162">#REF!,#REF!,#REF!,#REF!,#REF!</definedName>
    <definedName name="E_ALL_KEYWORDS_TYPE_Vector_EQTY_200003169" localSheetId="2">#REF!,#REF!,#REF!,#REF!,#REF!</definedName>
    <definedName name="E_ALL_KEYWORDS_TYPE_Vector_EQTY_200003169">#REF!,#REF!,#REF!,#REF!,#REF!</definedName>
    <definedName name="E_ALL_KEYWORDS_TYPE_Vector_EQTY_200003170" localSheetId="2">#REF!,#REF!,#REF!,#REF!,#REF!</definedName>
    <definedName name="E_ALL_KEYWORDS_TYPE_Vector_EQTY_200003170" localSheetId="12">#REF!,#REF!,#REF!,#REF!,#REF!</definedName>
    <definedName name="E_ALL_KEYWORDS_TYPE_Vector_EQTY_200003170">#REF!,#REF!,#REF!,#REF!,#REF!</definedName>
    <definedName name="E_ALL_KEYWORDS_TYPE_Vector_EQTY_200003173" localSheetId="2">#REF!,#REF!,#REF!,#REF!,#REF!</definedName>
    <definedName name="E_ALL_KEYWORDS_TYPE_Vector_EQTY_200003173" localSheetId="12">#REF!,#REF!,#REF!,#REF!,#REF!</definedName>
    <definedName name="E_ALL_KEYWORDS_TYPE_Vector_EQTY_200003173">#REF!,#REF!,#REF!,#REF!,#REF!</definedName>
    <definedName name="E_ALL_KEYWORDS_TYPE_Vector_EQTY_200003183" localSheetId="2">#REF!,#REF!,#REF!,#REF!,#REF!</definedName>
    <definedName name="E_ALL_KEYWORDS_TYPE_Vector_EQTY_200003183" localSheetId="12">#REF!,#REF!,#REF!,#REF!,#REF!</definedName>
    <definedName name="E_ALL_KEYWORDS_TYPE_Vector_EQTY_200003183">#REF!,#REF!,#REF!,#REF!,#REF!</definedName>
    <definedName name="E_ALL_KEYWORDS_TYPE_Vector_EQTY_200003821" localSheetId="2">#REF!,#REF!,#REF!,#REF!,#REF!</definedName>
    <definedName name="E_ALL_KEYWORDS_TYPE_Vector_EQTY_200003821" localSheetId="12">#REF!,#REF!,#REF!,#REF!,#REF!</definedName>
    <definedName name="E_ALL_KEYWORDS_TYPE_Vector_EQTY_200003821">#REF!,#REF!,#REF!,#REF!,#REF!</definedName>
    <definedName name="E_ALL_KEYWORDS_TYPE_Vector_EQTY_200004285" localSheetId="2">#REF!,#REF!,#REF!,#REF!,#REF!</definedName>
    <definedName name="E_ALL_KEYWORDS_TYPE_Vector_EQTY_200004285">#REF!,#REF!,#REF!,#REF!,#REF!</definedName>
    <definedName name="E_ALL_KEYWORDS_TYPE_Vector_EQTY_200005121" localSheetId="2">#REF!,#REF!,#REF!,#REF!,#REF!</definedName>
    <definedName name="E_ALL_KEYWORDS_TYPE_Vector_EQTY_200005121" localSheetId="12">#REF!,#REF!,#REF!,#REF!,#REF!</definedName>
    <definedName name="E_ALL_KEYWORDS_TYPE_Vector_EQTY_200005121">#REF!,#REF!,#REF!,#REF!,#REF!</definedName>
    <definedName name="E_ALL_KEYWORDS_TYPE_Vector_EQTY_200007513" localSheetId="2">#REF!,#REF!,#REF!,#REF!,#REF!</definedName>
    <definedName name="E_ALL_KEYWORDS_TYPE_Vector_EQTY_200007513" localSheetId="12">#REF!,#REF!,#REF!,#REF!,#REF!</definedName>
    <definedName name="E_ALL_KEYWORDS_TYPE_Vector_EQTY_200007513">#REF!,#REF!,#REF!,#REF!,#REF!</definedName>
    <definedName name="E_ALL_KEYWORDS_TYPE_Vector_EQTY_200008448" localSheetId="12">#REF!,#REF!,#REF!,#REF!,#REF!</definedName>
    <definedName name="E_ALL_KEYWORDS_TYPE_Vector_EQTY_200009618" localSheetId="2">#REF!,#REF!,#REF!,#REF!,#REF!</definedName>
    <definedName name="E_ALL_KEYWORDS_TYPE_Vector_EQTY_200009618" localSheetId="12">#REF!,#REF!,#REF!,#REF!,#REF!</definedName>
    <definedName name="E_ALL_KEYWORDS_TYPE_Vector_EQTY_200009618">#REF!,#REF!,#REF!,#REF!,#REF!</definedName>
    <definedName name="E_ALL_KEYWORDS_TYPE_Vector_EQTY_200009619" localSheetId="2">#REF!,#REF!,#REF!,#REF!,#REF!</definedName>
    <definedName name="E_ALL_KEYWORDS_TYPE_Vector_EQTY_200009619" localSheetId="12">#REF!,#REF!,#REF!,#REF!,#REF!</definedName>
    <definedName name="E_ALL_KEYWORDS_TYPE_Vector_EQTY_200009619">#REF!,#REF!,#REF!,#REF!,#REF!</definedName>
    <definedName name="E_ALL_KEYWORDS_TYPE_Vector_EQTY_200009620" localSheetId="2">#REF!,#REF!,#REF!,#REF!,#REF!</definedName>
    <definedName name="E_ALL_KEYWORDS_TYPE_Vector_EQTY_200009620" localSheetId="12">#REF!,#REF!,#REF!,#REF!,#REF!</definedName>
    <definedName name="E_ALL_KEYWORDS_TYPE_Vector_EQTY_200009620">#REF!,#REF!,#REF!,#REF!,#REF!</definedName>
    <definedName name="E_ALL_KEYWORDS_TYPE_Vector_EQTY_200011295" localSheetId="2">#REF!,#REF!,#REF!,#REF!,#REF!</definedName>
    <definedName name="E_ALL_KEYWORDS_TYPE_Vector_EQTY_200011295" localSheetId="12">#REF!,#REF!,#REF!,#REF!,#REF!</definedName>
    <definedName name="E_ALL_KEYWORDS_TYPE_Vector_EQTY_200011295">#REF!,#REF!,#REF!,#REF!,#REF!</definedName>
    <definedName name="E_ALL_KEYWORDS_TYPE_Vector_ISSR_208001092" localSheetId="2">#REF!,#REF!,#REF!,#REF!,#REF!,#REF!,#REF!,#REF!,#REF!,#REF!,#REF!,#REF!,#REF!,#REF!,#REF!,#REF!,#REF!,#REF!,#REF!,#REF!,#REF!,#REF!,#REF!,#REF!,#REF!,#REF!</definedName>
    <definedName name="E_ALL_KEYWORDS_TYPE_Vector_ISSR_208001092" localSheetId="12">#REF!,#REF!,#REF!,#REF!,#REF!,#REF!,#REF!,#REF!,#REF!,#REF!,#REF!,#REF!,#REF!,#REF!,#REF!,#REF!,#REF!,#REF!,#REF!,#REF!,#REF!,#REF!,#REF!,#REF!,#REF!,#REF!</definedName>
    <definedName name="E_ALL_KEYWORDS_TYPE_Vector_ISSR_208001092">#REF!,#REF!,#REF!,#REF!,#REF!,#REF!,#REF!,#REF!,#REF!,#REF!,#REF!,#REF!,#REF!,#REF!,#REF!,#REF!,#REF!,#REF!,#REF!,#REF!,#REF!,#REF!,#REF!,#REF!,#REF!,#REF!</definedName>
    <definedName name="E_ALL_KEYWORDS_TYPE_Vector_ISSR_208001095" localSheetId="2">#REF!,#REF!,#REF!,#REF!,#REF!,#REF!,#REF!,#REF!,#REF!,#REF!,#REF!,#REF!,#REF!,#REF!</definedName>
    <definedName name="E_ALL_KEYWORDS_TYPE_Vector_ISSR_208001095">#REF!,#REF!,#REF!,#REF!,#REF!,#REF!,#REF!,#REF!,#REF!,#REF!,#REF!,#REF!,#REF!,#REF!</definedName>
    <definedName name="E_ALL_KEYWORDS_TYPE_Vector_ISSR_208001096" localSheetId="2">#REF!,#REF!,#REF!,#REF!,#REF!,#REF!,#REF!,#REF!,#REF!,#REF!,#REF!,#REF!,#REF!,#REF!,#REF!,#REF!,#REF!,#REF!,#REF!,#REF!,#REF!,#REF!,#REF!,#REF!,#REF!,#REF!</definedName>
    <definedName name="E_ALL_KEYWORDS_TYPE_Vector_ISSR_208001096" localSheetId="12">#REF!,#REF!,#REF!,#REF!,#REF!,#REF!,#REF!,#REF!,#REF!,#REF!,#REF!,#REF!,#REF!,#REF!,#REF!,#REF!,#REF!,#REF!,#REF!,#REF!,#REF!,#REF!,#REF!,#REF!,#REF!,#REF!</definedName>
    <definedName name="E_ALL_KEYWORDS_TYPE_Vector_ISSR_208001096">#REF!,#REF!,#REF!,#REF!,#REF!,#REF!,#REF!,#REF!,#REF!,#REF!,#REF!,#REF!,#REF!,#REF!,#REF!,#REF!,#REF!,#REF!,#REF!,#REF!,#REF!,#REF!,#REF!,#REF!,#REF!,#REF!</definedName>
    <definedName name="E_ALL_KEYWORDS_TYPE_Vector_ISSR_208001098" localSheetId="2">#REF!,#REF!,#REF!,#REF!,#REF!,#REF!,#REF!,#REF!,#REF!,#REF!,#REF!,#REF!,#REF!,#REF!,#REF!,#REF!,#REF!,#REF!,#REF!,#REF!,#REF!,#REF!,#REF!,#REF!,#REF!,#REF!</definedName>
    <definedName name="E_ALL_KEYWORDS_TYPE_Vector_ISSR_208001098" localSheetId="12">#REF!,#REF!,#REF!,#REF!,#REF!,#REF!,#REF!,#REF!,#REF!,#REF!,#REF!,#REF!,#REF!,#REF!,#REF!,#REF!,#REF!,#REF!,#REF!,#REF!,#REF!,#REF!,#REF!,#REF!,#REF!,#REF!</definedName>
    <definedName name="E_ALL_KEYWORDS_TYPE_Vector_ISSR_208001098">#REF!,#REF!,#REF!,#REF!,#REF!,#REF!,#REF!,#REF!,#REF!,#REF!,#REF!,#REF!,#REF!,#REF!,#REF!,#REF!,#REF!,#REF!,#REF!,#REF!,#REF!,#REF!,#REF!,#REF!,#REF!,#REF!</definedName>
    <definedName name="E_ALL_KEYWORDS_TYPE_Vector_ISSR_208001100" localSheetId="2">#REF!,#REF!,#REF!,#REF!,#REF!,#REF!,#REF!,#REF!,#REF!,#REF!,#REF!,#REF!,#REF!,#REF!,#REF!,#REF!,#REF!,#REF!,#REF!,#REF!,#REF!,#REF!,#REF!,#REF!,#REF!,#REF!</definedName>
    <definedName name="E_ALL_KEYWORDS_TYPE_Vector_ISSR_208001100" localSheetId="12">#REF!,#REF!,#REF!,#REF!,#REF!,#REF!,#REF!,#REF!,#REF!,#REF!,#REF!,#REF!,#REF!,#REF!,#REF!,#REF!,#REF!,#REF!,#REF!,#REF!,#REF!,#REF!,#REF!,#REF!,#REF!,#REF!</definedName>
    <definedName name="E_ALL_KEYWORDS_TYPE_Vector_ISSR_208001100">#REF!,#REF!,#REF!,#REF!,#REF!,#REF!,#REF!,#REF!,#REF!,#REF!,#REF!,#REF!,#REF!,#REF!,#REF!,#REF!,#REF!,#REF!,#REF!,#REF!,#REF!,#REF!,#REF!,#REF!,#REF!,#REF!</definedName>
    <definedName name="E_ALL_KEYWORDS_TYPE_Vector_ISSR_208001129" localSheetId="2">#REF!,#REF!,#REF!,#REF!,#REF!,#REF!,#REF!,#REF!,#REF!,#REF!,#REF!,#REF!,#REF!,#REF!,#REF!,#REF!,#REF!,#REF!,#REF!,#REF!,#REF!,#REF!,#REF!,#REF!,#REF!,#REF!</definedName>
    <definedName name="E_ALL_KEYWORDS_TYPE_Vector_ISSR_208001129" localSheetId="12">#REF!,#REF!,#REF!,#REF!,#REF!,#REF!,#REF!,#REF!,#REF!,#REF!,#REF!,#REF!,#REF!,#REF!,#REF!,#REF!,#REF!,#REF!,#REF!,#REF!,#REF!,#REF!,#REF!,#REF!,#REF!,#REF!</definedName>
    <definedName name="E_ALL_KEYWORDS_TYPE_Vector_ISSR_208001129">#REF!,#REF!,#REF!,#REF!,#REF!,#REF!,#REF!,#REF!,#REF!,#REF!,#REF!,#REF!,#REF!,#REF!,#REF!,#REF!,#REF!,#REF!,#REF!,#REF!,#REF!,#REF!,#REF!,#REF!,#REF!,#REF!</definedName>
    <definedName name="E_ALL_KEYWORDS_TYPE_Vector_ISSR_208001219" localSheetId="2">#REF!,#REF!,#REF!,#REF!,#REF!,#REF!,#REF!,#REF!,#REF!,#REF!,#REF!,#REF!,#REF!,#REF!,#REF!,#REF!,#REF!,#REF!,#REF!</definedName>
    <definedName name="E_ALL_KEYWORDS_TYPE_Vector_ISSR_208001219">#REF!,#REF!,#REF!,#REF!,#REF!,#REF!,#REF!,#REF!,#REF!,#REF!,#REF!,#REF!,#REF!,#REF!,#REF!,#REF!,#REF!,#REF!,#REF!</definedName>
    <definedName name="E_ALL_KEYWORDS_TYPE_Vector_ISSR_208001433" localSheetId="2">#REF!,#REF!,#REF!,#REF!,#REF!,#REF!,#REF!,#REF!,#REF!,#REF!,#REF!,#REF!,#REF!,#REF!,#REF!,#REF!,#REF!,#REF!,#REF!,#REF!,#REF!,#REF!,#REF!,#REF!,#REF!,#REF!</definedName>
    <definedName name="E_ALL_KEYWORDS_TYPE_Vector_ISSR_208001433" localSheetId="12">#REF!,#REF!,#REF!,#REF!,#REF!,#REF!,#REF!,#REF!,#REF!,#REF!,#REF!,#REF!,#REF!,#REF!,#REF!,#REF!,#REF!,#REF!,#REF!,#REF!,#REF!,#REF!,#REF!,#REF!,#REF!,#REF!</definedName>
    <definedName name="E_ALL_KEYWORDS_TYPE_Vector_ISSR_208001433">#REF!,#REF!,#REF!,#REF!,#REF!,#REF!,#REF!,#REF!,#REF!,#REF!,#REF!,#REF!,#REF!,#REF!,#REF!,#REF!,#REF!,#REF!,#REF!,#REF!,#REF!,#REF!,#REF!,#REF!,#REF!,#REF!</definedName>
    <definedName name="E_ALL_KEYWORDS_TYPE_Vector_ISSR_208002861" localSheetId="2">#REF!,#REF!,#REF!,#REF!,#REF!,#REF!,#REF!,#REF!,#REF!,#REF!,#REF!,#REF!,#REF!,#REF!,#REF!,#REF!,#REF!,#REF!,#REF!,#REF!,#REF!,#REF!,#REF!,#REF!,#REF!,#REF!</definedName>
    <definedName name="E_ALL_KEYWORDS_TYPE_Vector_ISSR_208002861" localSheetId="12">#REF!,#REF!,#REF!,#REF!,#REF!,#REF!,#REF!,#REF!,#REF!,#REF!,#REF!,#REF!,#REF!,#REF!,#REF!,#REF!,#REF!,#REF!,#REF!,#REF!,#REF!,#REF!,#REF!,#REF!,#REF!,#REF!</definedName>
    <definedName name="E_ALL_KEYWORDS_TYPE_Vector_ISSR_208002861">#REF!,#REF!,#REF!,#REF!,#REF!,#REF!,#REF!,#REF!,#REF!,#REF!,#REF!,#REF!,#REF!,#REF!,#REF!,#REF!,#REF!,#REF!,#REF!,#REF!,#REF!,#REF!,#REF!,#REF!,#REF!,#REF!</definedName>
    <definedName name="E_ALL_KEYWORDS_TYPE_Vector_ISSR_208006659" localSheetId="12">#REF!,#REF!,#REF!,#REF!,#REF!,#REF!,#REF!,#REF!,#REF!,#REF!,#REF!,#REF!,#REF!,#REF!,#REF!,#REF!,#REF!,#REF!,#REF!,#REF!,#REF!,#REF!,#REF!,#REF!,#REF!,#REF!</definedName>
    <definedName name="E_ALL_KEYWORDS_TYPE_Vector_ISSR_208006659">#REF!,#REF!,#REF!,#REF!,#REF!,#REF!,#REF!,#REF!,#REF!,#REF!,#REF!,#REF!,#REF!,#REF!,#REF!,#REF!,#REF!,#REF!,#REF!,#REF!,#REF!,#REF!</definedName>
    <definedName name="E_ALL_KEYWORDS_TYPE_Vector_ISSR_208007413" localSheetId="2">#REF!,#REF!,#REF!,#REF!,#REF!,#REF!,#REF!,#REF!,#REF!,#REF!,#REF!,#REF!,#REF!,#REF!,#REF!,#REF!,#REF!,#REF!,#REF!,#REF!,#REF!,#REF!,#REF!,#REF!,#REF!,#REF!</definedName>
    <definedName name="E_ALL_KEYWORDS_TYPE_Vector_ISSR_208007413" localSheetId="12">#REF!,#REF!,#REF!,#REF!,#REF!,#REF!,#REF!,#REF!,#REF!,#REF!,#REF!,#REF!</definedName>
    <definedName name="E_ALL_KEYWORDS_TYPE_Vector_ISSR_208007413">#REF!,#REF!,#REF!,#REF!,#REF!,#REF!,#REF!,#REF!,#REF!,#REF!,#REF!,#REF!,#REF!,#REF!,#REF!,#REF!,#REF!,#REF!,#REF!,#REF!,#REF!,#REF!,#REF!,#REF!,#REF!,#REF!</definedName>
    <definedName name="E_ALL_KEYWORDS_TYPE_Vector_ISSR_208007414" localSheetId="2">#REF!,#REF!,#REF!,#REF!,#REF!,#REF!,#REF!,#REF!,#REF!</definedName>
    <definedName name="E_ALL_KEYWORDS_TYPE_Vector_ISSR_208007414" localSheetId="12">#REF!,#REF!,#REF!,#REF!,#REF!,#REF!,#REF!,#REF!,#REF!</definedName>
    <definedName name="E_ALL_KEYWORDS_TYPE_Vector_ISSR_208007414">#REF!,#REF!,#REF!,#REF!,#REF!,#REF!,#REF!,#REF!,#REF!</definedName>
    <definedName name="E_ALL_KEYWORDS_TYPE_Vector_ISSR_208007415" localSheetId="2">#REF!,#REF!,#REF!,#REF!,#REF!,#REF!,#REF!,#REF!,#REF!,#REF!,#REF!,#REF!,#REF!,#REF!,#REF!,#REF!,#REF!,#REF!,#REF!,#REF!,#REF!,#REF!,#REF!,#REF!,#REF!,#REF!</definedName>
    <definedName name="E_ALL_KEYWORDS_TYPE_Vector_ISSR_208007415" localSheetId="12">#REF!,#REF!,#REF!,#REF!,#REF!,#REF!,#REF!,#REF!,#REF!,#REF!,#REF!,#REF!,#REF!,#REF!</definedName>
    <definedName name="E_ALL_KEYWORDS_TYPE_Vector_ISSR_208007415">#REF!,#REF!,#REF!,#REF!,#REF!,#REF!,#REF!,#REF!,#REF!,#REF!,#REF!,#REF!,#REF!,#REF!,#REF!,#REF!,#REF!,#REF!,#REF!,#REF!,#REF!,#REF!,#REF!,#REF!,#REF!,#REF!</definedName>
    <definedName name="E_ALL_KEYWORDS_TYPE_Vector_ISSR_208008646" localSheetId="2">#REF!,#REF!,#REF!,#REF!,#REF!,#REF!,#REF!,#REF!,#REF!,#REF!,#REF!,#REF!,#REF!,#REF!</definedName>
    <definedName name="E_ALL_KEYWORDS_TYPE_Vector_ISSR_208008646" localSheetId="12">#REF!,#REF!,#REF!,#REF!,#REF!,#REF!,#REF!,#REF!,#REF!,#REF!,#REF!,#REF!,#REF!,#REF!,#REF!,#REF!,#REF!,#REF!,#REF!,#REF!,#REF!,#REF!,#REF!,#REF!,#REF!,#REF!</definedName>
    <definedName name="E_ALL_KEYWORDS_TYPE_Vector_ISSR_208008646">#REF!,#REF!,#REF!,#REF!,#REF!,#REF!,#REF!,#REF!,#REF!,#REF!,#REF!,#REF!,#REF!,#REF!</definedName>
    <definedName name="E_ALL_MGGT.L" localSheetId="2">#REF!</definedName>
    <definedName name="E_ALL_MGGT.L" localSheetId="12">#REF!</definedName>
    <definedName name="E_ALL_MGGT.L">#REF!</definedName>
    <definedName name="E_ALL_MTXGn.DE" localSheetId="2">#REF!</definedName>
    <definedName name="E_ALL_MTXGn.DE" localSheetId="12">#REF!</definedName>
    <definedName name="E_ALL_MTXGn.DE">#REF!</definedName>
    <definedName name="E_ALL_PERIODS_MTXGn.DE" localSheetId="24">#REF!</definedName>
    <definedName name="E_ALL_PERIODS_MTXGn.DE" localSheetId="18">#REF!</definedName>
    <definedName name="E_ALL_PERIODS_MTXGn.DE" localSheetId="12">#REF!</definedName>
    <definedName name="E_ALL_PERIODS_MTXGn.DE" localSheetId="23">#REF!</definedName>
    <definedName name="E_ALL_PERIODS_MTXGn.DE" localSheetId="19">#REF!</definedName>
    <definedName name="E_ALL_PERIODS_MTXGn.DE" localSheetId="21">#REF!</definedName>
    <definedName name="E_ALL_PERIODS_MTXGn.DE">#REF!</definedName>
    <definedName name="E_ALL_QQ.L" localSheetId="2">#REF!</definedName>
    <definedName name="E_ALL_QQ.L" localSheetId="12">#REF!</definedName>
    <definedName name="E_ALL_QQ.L">#REF!</definedName>
    <definedName name="E_ALL_RR.L" localSheetId="2">#REF!</definedName>
    <definedName name="E_ALL_RR.L" localSheetId="12">#REF!</definedName>
    <definedName name="E_ALL_RR.L">#REF!</definedName>
    <definedName name="E_ALL_SAABb.ST" localSheetId="2">#REF!</definedName>
    <definedName name="E_ALL_SAABb.ST" localSheetId="12">#REF!</definedName>
    <definedName name="E_ALL_SAABb.ST">#REF!</definedName>
    <definedName name="E_ALL_SAF.PA" localSheetId="2">#REF!</definedName>
    <definedName name="E_ALL_SAF.PA" localSheetId="13">#REF!</definedName>
    <definedName name="E_ALL_SAF.PA" localSheetId="12">#REF!</definedName>
    <definedName name="E_ALL_SAF.PA" localSheetId="19">#REF!</definedName>
    <definedName name="E_ALL_SAF.PA">#REF!</definedName>
    <definedName name="E_ALL_SAND.ST">#REF!</definedName>
    <definedName name="E_ALL_SECTION_KEYWORDS_EQTY_200007513_1314" localSheetId="24">#REF!</definedName>
    <definedName name="E_ALL_SECTION_KEYWORDS_EQTY_200007513_1314" localSheetId="18">#REF!</definedName>
    <definedName name="E_ALL_SECTION_KEYWORDS_EQTY_200007513_1314" localSheetId="12">#REF!</definedName>
    <definedName name="E_ALL_SECTION_KEYWORDS_EQTY_200007513_1314" localSheetId="23">#REF!</definedName>
    <definedName name="E_ALL_SECTION_KEYWORDS_EQTY_200007513_1314" localSheetId="19">#REF!</definedName>
    <definedName name="E_ALL_SECTION_KEYWORDS_EQTY_200007513_1314" localSheetId="21">#REF!</definedName>
    <definedName name="E_ALL_SECTION_KEYWORDS_EQTY_200007513_1314">#REF!</definedName>
    <definedName name="E_ALL_SECTION_KEYWORDS_EQTY_200007513_131E" localSheetId="24">#REF!</definedName>
    <definedName name="E_ALL_SECTION_KEYWORDS_EQTY_200007513_131E" localSheetId="18">#REF!</definedName>
    <definedName name="E_ALL_SECTION_KEYWORDS_EQTY_200007513_131E" localSheetId="12">#REF!</definedName>
    <definedName name="E_ALL_SECTION_KEYWORDS_EQTY_200007513_131E" localSheetId="23">#REF!</definedName>
    <definedName name="E_ALL_SECTION_KEYWORDS_EQTY_200007513_131E" localSheetId="19">#REF!</definedName>
    <definedName name="E_ALL_SECTION_KEYWORDS_EQTY_200007513_131E" localSheetId="21">#REF!</definedName>
    <definedName name="E_ALL_SECTION_KEYWORDS_EQTY_200007513_131E">#REF!</definedName>
    <definedName name="E_ALL_SECTION_KEYWORDS_EQTY_200007513_131O" localSheetId="24">#REF!</definedName>
    <definedName name="E_ALL_SECTION_KEYWORDS_EQTY_200007513_131O" localSheetId="18">#REF!</definedName>
    <definedName name="E_ALL_SECTION_KEYWORDS_EQTY_200007513_131O" localSheetId="12">#REF!</definedName>
    <definedName name="E_ALL_SECTION_KEYWORDS_EQTY_200007513_131O" localSheetId="23">#REF!</definedName>
    <definedName name="E_ALL_SECTION_KEYWORDS_EQTY_200007513_131O" localSheetId="19">#REF!</definedName>
    <definedName name="E_ALL_SECTION_KEYWORDS_EQTY_200007513_131O" localSheetId="21">#REF!</definedName>
    <definedName name="E_ALL_SECTION_KEYWORDS_EQTY_200007513_131O">#REF!</definedName>
    <definedName name="E_ALL_SECTION_KEYWORDS_EQTY_200007513_13A" localSheetId="24">#REF!</definedName>
    <definedName name="E_ALL_SECTION_KEYWORDS_EQTY_200007513_13A" localSheetId="18">#REF!</definedName>
    <definedName name="E_ALL_SECTION_KEYWORDS_EQTY_200007513_13A" localSheetId="12">#REF!</definedName>
    <definedName name="E_ALL_SECTION_KEYWORDS_EQTY_200007513_13A" localSheetId="23">#REF!</definedName>
    <definedName name="E_ALL_SECTION_KEYWORDS_EQTY_200007513_13A" localSheetId="19">#REF!</definedName>
    <definedName name="E_ALL_SECTION_KEYWORDS_EQTY_200007513_13A" localSheetId="21">#REF!</definedName>
    <definedName name="E_ALL_SECTION_KEYWORDS_EQTY_200007513_13A">#REF!</definedName>
    <definedName name="E_ALL_SECTION_KEYWORDS_EQTY_200007513_13K" localSheetId="24">#REF!</definedName>
    <definedName name="E_ALL_SECTION_KEYWORDS_EQTY_200007513_13K" localSheetId="18">#REF!</definedName>
    <definedName name="E_ALL_SECTION_KEYWORDS_EQTY_200007513_13K" localSheetId="12">#REF!</definedName>
    <definedName name="E_ALL_SECTION_KEYWORDS_EQTY_200007513_13K" localSheetId="23">#REF!</definedName>
    <definedName name="E_ALL_SECTION_KEYWORDS_EQTY_200007513_13K" localSheetId="19">#REF!</definedName>
    <definedName name="E_ALL_SECTION_KEYWORDS_EQTY_200007513_13K" localSheetId="21">#REF!</definedName>
    <definedName name="E_ALL_SECTION_KEYWORDS_EQTY_200007513_13K">#REF!</definedName>
    <definedName name="E_ALL_SECTION_KEYWORDS_EQTY_200007513_13U" localSheetId="24">#REF!</definedName>
    <definedName name="E_ALL_SECTION_KEYWORDS_EQTY_200007513_13U" localSheetId="18">#REF!</definedName>
    <definedName name="E_ALL_SECTION_KEYWORDS_EQTY_200007513_13U" localSheetId="12">#REF!</definedName>
    <definedName name="E_ALL_SECTION_KEYWORDS_EQTY_200007513_13U" localSheetId="23">#REF!</definedName>
    <definedName name="E_ALL_SECTION_KEYWORDS_EQTY_200007513_13U" localSheetId="19">#REF!</definedName>
    <definedName name="E_ALL_SECTION_KEYWORDS_EQTY_200007513_13U" localSheetId="21">#REF!</definedName>
    <definedName name="E_ALL_SECTION_KEYWORDS_EQTY_200007513_13U">#REF!</definedName>
    <definedName name="E_ALL_SECTION_KEYWORDS_EQTY_200007513_13V" localSheetId="24">#REF!</definedName>
    <definedName name="E_ALL_SECTION_KEYWORDS_EQTY_200007513_13V" localSheetId="18">#REF!</definedName>
    <definedName name="E_ALL_SECTION_KEYWORDS_EQTY_200007513_13V" localSheetId="12">#REF!</definedName>
    <definedName name="E_ALL_SECTION_KEYWORDS_EQTY_200007513_13V" localSheetId="23">#REF!</definedName>
    <definedName name="E_ALL_SECTION_KEYWORDS_EQTY_200007513_13V" localSheetId="19">#REF!</definedName>
    <definedName name="E_ALL_SECTION_KEYWORDS_EQTY_200007513_13V" localSheetId="21">#REF!</definedName>
    <definedName name="E_ALL_SECTION_KEYWORDS_EQTY_200007513_13V">#REF!</definedName>
    <definedName name="E_ALL_SECTION_KEYWORDS_EQTY_200007513_Reference_Data" localSheetId="24">#REF!</definedName>
    <definedName name="E_ALL_SECTION_KEYWORDS_EQTY_200007513_Reference_Data" localSheetId="18">#REF!</definedName>
    <definedName name="E_ALL_SECTION_KEYWORDS_EQTY_200007513_Reference_Data" localSheetId="12">#REF!</definedName>
    <definedName name="E_ALL_SECTION_KEYWORDS_EQTY_200007513_Reference_Data" localSheetId="23">#REF!</definedName>
    <definedName name="E_ALL_SECTION_KEYWORDS_EQTY_200007513_Reference_Data" localSheetId="19">#REF!</definedName>
    <definedName name="E_ALL_SECTION_KEYWORDS_EQTY_200007513_Reference_Data" localSheetId="21">#REF!</definedName>
    <definedName name="E_ALL_SECTION_KEYWORDS_EQTY_200007513_Reference_Data">#REF!</definedName>
    <definedName name="E_ALL_SECTION_KEYWORDS_EQTY_200008448_13A">#REF!</definedName>
    <definedName name="E_ALL_SECTION_KEYWORDS_ISSR_208001092_13V" localSheetId="2">#REF!,#REF!</definedName>
    <definedName name="E_ALL_SECTION_KEYWORDS_ISSR_208001092_13V">#REF!,#REF!</definedName>
    <definedName name="E_ALL_SECTION_KEYWORDS_ISSR_208001095_13V" localSheetId="2">#REF!,#REF!</definedName>
    <definedName name="E_ALL_SECTION_KEYWORDS_ISSR_208001095_13V">#REF!,#REF!</definedName>
    <definedName name="E_ALL_SECTION_KEYWORDS_ISSR_208001098_13173">#REF!,#REF!</definedName>
    <definedName name="E_ALL_SECTION_KEYWORDS_ISSR_208001098_13178">#REF!,#REF!</definedName>
    <definedName name="E_ALL_SECTION_KEYWORDS_ISSR_208001098_136J">#REF!,#REF!</definedName>
    <definedName name="E_ALL_SECTION_KEYWORDS_ISSR_208002861_1314" localSheetId="24">#REF!</definedName>
    <definedName name="E_ALL_SECTION_KEYWORDS_ISSR_208002861_1314" localSheetId="18">#REF!</definedName>
    <definedName name="E_ALL_SECTION_KEYWORDS_ISSR_208002861_1314" localSheetId="12">#REF!</definedName>
    <definedName name="E_ALL_SECTION_KEYWORDS_ISSR_208002861_1314" localSheetId="23">#REF!</definedName>
    <definedName name="E_ALL_SECTION_KEYWORDS_ISSR_208002861_1314" localSheetId="19">#REF!</definedName>
    <definedName name="E_ALL_SECTION_KEYWORDS_ISSR_208002861_1314" localSheetId="21">#REF!</definedName>
    <definedName name="E_ALL_SECTION_KEYWORDS_ISSR_208002861_1314">#REF!</definedName>
    <definedName name="E_ALL_SECTION_KEYWORDS_ISSR_208002861_13168" localSheetId="24">#REF!</definedName>
    <definedName name="E_ALL_SECTION_KEYWORDS_ISSR_208002861_13168" localSheetId="18">#REF!</definedName>
    <definedName name="E_ALL_SECTION_KEYWORDS_ISSR_208002861_13168" localSheetId="12">#REF!</definedName>
    <definedName name="E_ALL_SECTION_KEYWORDS_ISSR_208002861_13168" localSheetId="23">#REF!</definedName>
    <definedName name="E_ALL_SECTION_KEYWORDS_ISSR_208002861_13168" localSheetId="19">#REF!</definedName>
    <definedName name="E_ALL_SECTION_KEYWORDS_ISSR_208002861_13168" localSheetId="21">#REF!</definedName>
    <definedName name="E_ALL_SECTION_KEYWORDS_ISSR_208002861_13168">#REF!</definedName>
    <definedName name="E_ALL_SECTION_KEYWORDS_ISSR_208002861_1316S" localSheetId="24">#REF!</definedName>
    <definedName name="E_ALL_SECTION_KEYWORDS_ISSR_208002861_1316S" localSheetId="18">#REF!</definedName>
    <definedName name="E_ALL_SECTION_KEYWORDS_ISSR_208002861_1316S" localSheetId="12">#REF!</definedName>
    <definedName name="E_ALL_SECTION_KEYWORDS_ISSR_208002861_1316S" localSheetId="23">#REF!</definedName>
    <definedName name="E_ALL_SECTION_KEYWORDS_ISSR_208002861_1316S" localSheetId="19">#REF!</definedName>
    <definedName name="E_ALL_SECTION_KEYWORDS_ISSR_208002861_1316S" localSheetId="21">#REF!</definedName>
    <definedName name="E_ALL_SECTION_KEYWORDS_ISSR_208002861_1316S">#REF!</definedName>
    <definedName name="E_ALL_SECTION_KEYWORDS_ISSR_208002861_1316T" localSheetId="24">#REF!</definedName>
    <definedName name="E_ALL_SECTION_KEYWORDS_ISSR_208002861_1316T" localSheetId="18">#REF!</definedName>
    <definedName name="E_ALL_SECTION_KEYWORDS_ISSR_208002861_1316T" localSheetId="12">#REF!</definedName>
    <definedName name="E_ALL_SECTION_KEYWORDS_ISSR_208002861_1316T" localSheetId="23">#REF!</definedName>
    <definedName name="E_ALL_SECTION_KEYWORDS_ISSR_208002861_1316T" localSheetId="19">#REF!</definedName>
    <definedName name="E_ALL_SECTION_KEYWORDS_ISSR_208002861_1316T" localSheetId="21">#REF!</definedName>
    <definedName name="E_ALL_SECTION_KEYWORDS_ISSR_208002861_1316T">#REF!</definedName>
    <definedName name="E_ALL_SECTION_KEYWORDS_ISSR_208002861_1316U" localSheetId="24">#REF!</definedName>
    <definedName name="E_ALL_SECTION_KEYWORDS_ISSR_208002861_1316U" localSheetId="18">#REF!</definedName>
    <definedName name="E_ALL_SECTION_KEYWORDS_ISSR_208002861_1316U" localSheetId="12">#REF!</definedName>
    <definedName name="E_ALL_SECTION_KEYWORDS_ISSR_208002861_1316U" localSheetId="23">#REF!</definedName>
    <definedName name="E_ALL_SECTION_KEYWORDS_ISSR_208002861_1316U" localSheetId="19">#REF!</definedName>
    <definedName name="E_ALL_SECTION_KEYWORDS_ISSR_208002861_1316U" localSheetId="21">#REF!</definedName>
    <definedName name="E_ALL_SECTION_KEYWORDS_ISSR_208002861_1316U">#REF!</definedName>
    <definedName name="E_ALL_SECTION_KEYWORDS_ISSR_208002861_1319" localSheetId="24">#REF!</definedName>
    <definedName name="E_ALL_SECTION_KEYWORDS_ISSR_208002861_1319" localSheetId="18">#REF!</definedName>
    <definedName name="E_ALL_SECTION_KEYWORDS_ISSR_208002861_1319" localSheetId="12">#REF!</definedName>
    <definedName name="E_ALL_SECTION_KEYWORDS_ISSR_208002861_1319" localSheetId="23">#REF!</definedName>
    <definedName name="E_ALL_SECTION_KEYWORDS_ISSR_208002861_1319" localSheetId="19">#REF!</definedName>
    <definedName name="E_ALL_SECTION_KEYWORDS_ISSR_208002861_1319" localSheetId="21">#REF!</definedName>
    <definedName name="E_ALL_SECTION_KEYWORDS_ISSR_208002861_1319">#REF!</definedName>
    <definedName name="E_ALL_SECTION_KEYWORDS_ISSR_208002861_131E" localSheetId="24">#REF!</definedName>
    <definedName name="E_ALL_SECTION_KEYWORDS_ISSR_208002861_131E" localSheetId="18">#REF!</definedName>
    <definedName name="E_ALL_SECTION_KEYWORDS_ISSR_208002861_131E" localSheetId="12">#REF!</definedName>
    <definedName name="E_ALL_SECTION_KEYWORDS_ISSR_208002861_131E" localSheetId="23">#REF!</definedName>
    <definedName name="E_ALL_SECTION_KEYWORDS_ISSR_208002861_131E" localSheetId="19">#REF!</definedName>
    <definedName name="E_ALL_SECTION_KEYWORDS_ISSR_208002861_131E" localSheetId="21">#REF!</definedName>
    <definedName name="E_ALL_SECTION_KEYWORDS_ISSR_208002861_131E">#REF!</definedName>
    <definedName name="E_ALL_SECTION_KEYWORDS_ISSR_208002861_131J" localSheetId="24">#REF!</definedName>
    <definedName name="E_ALL_SECTION_KEYWORDS_ISSR_208002861_131J" localSheetId="18">#REF!</definedName>
    <definedName name="E_ALL_SECTION_KEYWORDS_ISSR_208002861_131J" localSheetId="12">#REF!</definedName>
    <definedName name="E_ALL_SECTION_KEYWORDS_ISSR_208002861_131J" localSheetId="23">#REF!</definedName>
    <definedName name="E_ALL_SECTION_KEYWORDS_ISSR_208002861_131J" localSheetId="19">#REF!</definedName>
    <definedName name="E_ALL_SECTION_KEYWORDS_ISSR_208002861_131J" localSheetId="21">#REF!</definedName>
    <definedName name="E_ALL_SECTION_KEYWORDS_ISSR_208002861_131J">#REF!</definedName>
    <definedName name="E_ALL_SECTION_KEYWORDS_ISSR_208002861_131O" localSheetId="24">#REF!</definedName>
    <definedName name="E_ALL_SECTION_KEYWORDS_ISSR_208002861_131O" localSheetId="18">#REF!</definedName>
    <definedName name="E_ALL_SECTION_KEYWORDS_ISSR_208002861_131O" localSheetId="12">#REF!</definedName>
    <definedName name="E_ALL_SECTION_KEYWORDS_ISSR_208002861_131O" localSheetId="23">#REF!</definedName>
    <definedName name="E_ALL_SECTION_KEYWORDS_ISSR_208002861_131O" localSheetId="19">#REF!</definedName>
    <definedName name="E_ALL_SECTION_KEYWORDS_ISSR_208002861_131O" localSheetId="21">#REF!</definedName>
    <definedName name="E_ALL_SECTION_KEYWORDS_ISSR_208002861_131O">#REF!</definedName>
    <definedName name="E_ALL_SECTION_KEYWORDS_ISSR_208002861_13U" localSheetId="24">#REF!</definedName>
    <definedName name="E_ALL_SECTION_KEYWORDS_ISSR_208002861_13U" localSheetId="18">#REF!</definedName>
    <definedName name="E_ALL_SECTION_KEYWORDS_ISSR_208002861_13U" localSheetId="12">#REF!</definedName>
    <definedName name="E_ALL_SECTION_KEYWORDS_ISSR_208002861_13U" localSheetId="23">#REF!</definedName>
    <definedName name="E_ALL_SECTION_KEYWORDS_ISSR_208002861_13U" localSheetId="19">#REF!</definedName>
    <definedName name="E_ALL_SECTION_KEYWORDS_ISSR_208002861_13U" localSheetId="21">#REF!</definedName>
    <definedName name="E_ALL_SECTION_KEYWORDS_ISSR_208002861_13U">#REF!</definedName>
    <definedName name="E_ALL_SECTION_KEYWORDS_ISSR_208002861_13V" localSheetId="24">#REF!</definedName>
    <definedName name="E_ALL_SECTION_KEYWORDS_ISSR_208002861_13V" localSheetId="18">#REF!</definedName>
    <definedName name="E_ALL_SECTION_KEYWORDS_ISSR_208002861_13V" localSheetId="12">#REF!</definedName>
    <definedName name="E_ALL_SECTION_KEYWORDS_ISSR_208002861_13V" localSheetId="23">#REF!</definedName>
    <definedName name="E_ALL_SECTION_KEYWORDS_ISSR_208002861_13V" localSheetId="19">#REF!</definedName>
    <definedName name="E_ALL_SECTION_KEYWORDS_ISSR_208002861_13V" localSheetId="21">#REF!</definedName>
    <definedName name="E_ALL_SECTION_KEYWORDS_ISSR_208002861_13V">#REF!</definedName>
    <definedName name="E_ALL_SECTION_KEYWORDS_ISSR_208002861_Reference_Data" localSheetId="24">#REF!</definedName>
    <definedName name="E_ALL_SECTION_KEYWORDS_ISSR_208002861_Reference_Data" localSheetId="18">#REF!</definedName>
    <definedName name="E_ALL_SECTION_KEYWORDS_ISSR_208002861_Reference_Data" localSheetId="12">#REF!</definedName>
    <definedName name="E_ALL_SECTION_KEYWORDS_ISSR_208002861_Reference_Data" localSheetId="23">#REF!</definedName>
    <definedName name="E_ALL_SECTION_KEYWORDS_ISSR_208002861_Reference_Data" localSheetId="19">#REF!</definedName>
    <definedName name="E_ALL_SECTION_KEYWORDS_ISSR_208002861_Reference_Data" localSheetId="21">#REF!</definedName>
    <definedName name="E_ALL_SECTION_KEYWORDS_ISSR_208002861_Reference_Data">#REF!</definedName>
    <definedName name="E_ALL_SECTION_KEYWORDS_ISSR_208006659_13178">#REF!,#REF!</definedName>
    <definedName name="E_ALL_SECTION_KEYWORDS_ISSR_208006659_1319">#REF!,#REF!</definedName>
    <definedName name="E_ALL_SECTION_KEYWORDS_ISSR_208006659_136J">#REF!</definedName>
    <definedName name="E_ALL_SECTION_KEYWORDS_ISSR_208007415_13V" localSheetId="2">#REF!,#REF!</definedName>
    <definedName name="E_ALL_SECTION_KEYWORDS_ISSR_208007415_13V">#REF!,#REF!</definedName>
    <definedName name="E_ALL_SECTION_KEYWORDS_ISSR_208008646_13V" localSheetId="2">#REF!,#REF!</definedName>
    <definedName name="E_ALL_SECTION_KEYWORDS_ISSR_208008646_13V">#REF!,#REF!</definedName>
    <definedName name="E_ALL_SECTIONS_EQTY_200003162" localSheetId="2">#REF!,#REF!,#REF!,#REF!,#REF!,#REF!,#REF!,#REF!</definedName>
    <definedName name="E_ALL_SECTIONS_EQTY_200003162" localSheetId="12">#REF!,#REF!,#REF!,#REF!,#REF!,#REF!,#REF!,#REF!</definedName>
    <definedName name="E_ALL_SECTIONS_EQTY_200003162">#REF!,#REF!,#REF!,#REF!,#REF!,#REF!,#REF!,#REF!</definedName>
    <definedName name="E_ALL_SECTIONS_EQTY_200003170" localSheetId="2">#REF!,#REF!,#REF!,#REF!,#REF!,#REF!,#REF!,#REF!</definedName>
    <definedName name="E_ALL_SECTIONS_EQTY_200003170" localSheetId="12">#REF!,#REF!,#REF!,#REF!,#REF!,#REF!,#REF!,#REF!</definedName>
    <definedName name="E_ALL_SECTIONS_EQTY_200003170">#REF!,#REF!,#REF!,#REF!,#REF!,#REF!,#REF!,#REF!</definedName>
    <definedName name="E_ALL_SECTIONS_EQTY_200003173" localSheetId="2">#REF!,#REF!,#REF!,#REF!,#REF!,#REF!,#REF!,#REF!</definedName>
    <definedName name="E_ALL_SECTIONS_EQTY_200003173" localSheetId="12">#REF!,#REF!,#REF!,#REF!,#REF!,#REF!,#REF!,#REF!</definedName>
    <definedName name="E_ALL_SECTIONS_EQTY_200003173">#REF!,#REF!,#REF!,#REF!,#REF!,#REF!,#REF!,#REF!</definedName>
    <definedName name="E_ALL_SECTIONS_EQTY_200003183" localSheetId="2">#REF!,#REF!,#REF!,#REF!,#REF!,#REF!,#REF!,#REF!</definedName>
    <definedName name="E_ALL_SECTIONS_EQTY_200003183" localSheetId="12">#REF!,#REF!,#REF!,#REF!,#REF!,#REF!,#REF!,#REF!</definedName>
    <definedName name="E_ALL_SECTIONS_EQTY_200003183">#REF!,#REF!,#REF!,#REF!,#REF!,#REF!,#REF!,#REF!</definedName>
    <definedName name="E_ALL_SECTIONS_EQTY_200003821" localSheetId="2">#REF!,#REF!,#REF!,#REF!,#REF!,#REF!,#REF!,#REF!</definedName>
    <definedName name="E_ALL_SECTIONS_EQTY_200003821" localSheetId="12">#REF!,#REF!,#REF!,#REF!,#REF!,#REF!,#REF!,#REF!</definedName>
    <definedName name="E_ALL_SECTIONS_EQTY_200003821">#REF!,#REF!,#REF!,#REF!,#REF!,#REF!,#REF!,#REF!</definedName>
    <definedName name="E_ALL_SECTIONS_EQTY_200004285" localSheetId="2">#REF!,#REF!,#REF!,#REF!,#REF!,#REF!,#REF!,#REF!</definedName>
    <definedName name="E_ALL_SECTIONS_EQTY_200004285">#REF!,#REF!,#REF!,#REF!,#REF!,#REF!,#REF!,#REF!</definedName>
    <definedName name="E_ALL_SECTIONS_EQTY_200005121" localSheetId="2">#REF!,#REF!,#REF!,#REF!,#REF!,#REF!,#REF!,#REF!</definedName>
    <definedName name="E_ALL_SECTIONS_EQTY_200005121" localSheetId="12">#REF!,#REF!,#REF!,#REF!,#REF!,#REF!,#REF!,#REF!</definedName>
    <definedName name="E_ALL_SECTIONS_EQTY_200005121">#REF!,#REF!,#REF!,#REF!,#REF!,#REF!,#REF!,#REF!</definedName>
    <definedName name="E_ALL_SECTIONS_EQTY_200007513" localSheetId="2">#REF!,#REF!,#REF!,#REF!,#REF!,#REF!,#REF!,#REF!</definedName>
    <definedName name="E_ALL_SECTIONS_EQTY_200007513" localSheetId="12">#REF!,#REF!,#REF!,#REF!,#REF!,#REF!,#REF!,#REF!</definedName>
    <definedName name="E_ALL_SECTIONS_EQTY_200007513">#REF!,#REF!,#REF!,#REF!,#REF!,#REF!,#REF!,#REF!</definedName>
    <definedName name="E_ALL_SECTIONS_EQTY_200009618" localSheetId="2">#REF!,#REF!,#REF!,#REF!,#REF!,#REF!,#REF!,#REF!</definedName>
    <definedName name="E_ALL_SECTIONS_EQTY_200009618" localSheetId="12">#REF!,#REF!,#REF!,#REF!,#REF!,#REF!,#REF!,#REF!</definedName>
    <definedName name="E_ALL_SECTIONS_EQTY_200009618">#REF!,#REF!,#REF!,#REF!,#REF!,#REF!,#REF!,#REF!</definedName>
    <definedName name="E_ALL_SECTIONS_EQTY_200009619" localSheetId="2">#REF!,#REF!,#REF!,#REF!,#REF!,#REF!,#REF!,#REF!</definedName>
    <definedName name="E_ALL_SECTIONS_EQTY_200009619" localSheetId="12">#REF!,#REF!,#REF!,#REF!,#REF!,#REF!,#REF!,#REF!</definedName>
    <definedName name="E_ALL_SECTIONS_EQTY_200009619">#REF!,#REF!,#REF!,#REF!,#REF!,#REF!,#REF!,#REF!</definedName>
    <definedName name="E_ALL_SECTIONS_EQTY_200009620" localSheetId="2">#REF!,#REF!,#REF!,#REF!,#REF!,#REF!,#REF!,#REF!</definedName>
    <definedName name="E_ALL_SECTIONS_EQTY_200009620" localSheetId="12">#REF!,#REF!,#REF!,#REF!,#REF!,#REF!,#REF!,#REF!</definedName>
    <definedName name="E_ALL_SECTIONS_EQTY_200009620">#REF!,#REF!,#REF!,#REF!,#REF!,#REF!,#REF!,#REF!</definedName>
    <definedName name="E_ALL_SECTIONS_EQTY_200011295" localSheetId="2">#REF!,#REF!,#REF!,#REF!,#REF!,#REF!,#REF!,#REF!</definedName>
    <definedName name="E_ALL_SECTIONS_EQTY_200011295">#REF!,#REF!,#REF!,#REF!,#REF!,#REF!,#REF!,#REF!</definedName>
    <definedName name="E_ALL_SECTIONS_ISSR_208001092" localSheetId="2">#REF!,#REF!,#REF!,#REF!,#REF!,#REF!,#REF!,#REF!,#REF!,#REF!</definedName>
    <definedName name="E_ALL_SECTIONS_ISSR_208001092" localSheetId="12">#REF!,#REF!,#REF!,#REF!,#REF!,#REF!,#REF!,#REF!,#REF!,#REF!</definedName>
    <definedName name="E_ALL_SECTIONS_ISSR_208001092">#REF!,#REF!,#REF!,#REF!,#REF!,#REF!,#REF!,#REF!,#REF!,#REF!</definedName>
    <definedName name="E_ALL_SECTIONS_ISSR_208001096" localSheetId="2">#REF!,#REF!,#REF!,#REF!,#REF!,#REF!,#REF!,#REF!,#REF!,#REF!</definedName>
    <definedName name="E_ALL_SECTIONS_ISSR_208001096" localSheetId="12">#REF!,#REF!,#REF!,#REF!,#REF!,#REF!,#REF!,#REF!,#REF!,#REF!</definedName>
    <definedName name="E_ALL_SECTIONS_ISSR_208001096">#REF!,#REF!,#REF!,#REF!,#REF!,#REF!,#REF!,#REF!,#REF!,#REF!</definedName>
    <definedName name="E_ALL_SECTIONS_ISSR_208001098" localSheetId="2">#REF!,#REF!,#REF!,#REF!,#REF!,#REF!,#REF!,#REF!,#REF!,#REF!</definedName>
    <definedName name="E_ALL_SECTIONS_ISSR_208001098" localSheetId="12">#REF!,#REF!,#REF!,#REF!,#REF!,#REF!,#REF!,#REF!,#REF!,#REF!</definedName>
    <definedName name="E_ALL_SECTIONS_ISSR_208001098">#REF!,#REF!,#REF!,#REF!,#REF!,#REF!,#REF!,#REF!,#REF!,#REF!</definedName>
    <definedName name="E_ALL_SECTIONS_ISSR_208001100" localSheetId="2">#REF!,#REF!,#REF!,#REF!,#REF!,#REF!,#REF!,#REF!,#REF!,#REF!</definedName>
    <definedName name="E_ALL_SECTIONS_ISSR_208001100" localSheetId="12">#REF!,#REF!,#REF!,#REF!,#REF!,#REF!,#REF!,#REF!,#REF!,#REF!</definedName>
    <definedName name="E_ALL_SECTIONS_ISSR_208001100">#REF!,#REF!,#REF!,#REF!,#REF!,#REF!,#REF!,#REF!,#REF!,#REF!</definedName>
    <definedName name="E_ALL_SECTIONS_ISSR_208001129" localSheetId="2">#REF!,#REF!,#REF!,#REF!,#REF!,#REF!,#REF!,#REF!,#REF!,#REF!</definedName>
    <definedName name="E_ALL_SECTIONS_ISSR_208001129" localSheetId="12">#REF!,#REF!,#REF!,#REF!,#REF!,#REF!,#REF!,#REF!,#REF!,#REF!</definedName>
    <definedName name="E_ALL_SECTIONS_ISSR_208001129">#REF!,#REF!,#REF!,#REF!,#REF!,#REF!,#REF!,#REF!,#REF!,#REF!</definedName>
    <definedName name="E_ALL_SECTIONS_ISSR_208001433" localSheetId="2">#REF!,#REF!,#REF!,#REF!,#REF!,#REF!,#REF!,#REF!,#REF!,#REF!</definedName>
    <definedName name="E_ALL_SECTIONS_ISSR_208001433" localSheetId="12">#REF!,#REF!,#REF!,#REF!,#REF!,#REF!,#REF!,#REF!,#REF!,#REF!</definedName>
    <definedName name="E_ALL_SECTIONS_ISSR_208001433">#REF!,#REF!,#REF!,#REF!,#REF!,#REF!,#REF!,#REF!,#REF!,#REF!</definedName>
    <definedName name="E_ALL_SECTIONS_ISSR_208002861" localSheetId="2">#REF!,#REF!,#REF!,#REF!,#REF!,#REF!,#REF!,#REF!,#REF!,#REF!</definedName>
    <definedName name="E_ALL_SECTIONS_ISSR_208002861" localSheetId="12">#REF!,#REF!,#REF!,#REF!,#REF!,#REF!,#REF!,#REF!,#REF!,#REF!</definedName>
    <definedName name="E_ALL_SECTIONS_ISSR_208002861">#REF!,#REF!,#REF!,#REF!,#REF!,#REF!,#REF!,#REF!,#REF!,#REF!</definedName>
    <definedName name="E_ALL_SECTIONS_ISSR_208007413" localSheetId="2">#REF!,#REF!,#REF!,#REF!,#REF!,#REF!,#REF!,#REF!,#REF!,#REF!</definedName>
    <definedName name="E_ALL_SECTIONS_ISSR_208007413" localSheetId="12">#REF!,#REF!,#REF!,#REF!,#REF!,#REF!,#REF!,#REF!,#REF!,#REF!,#REF!,#REF!</definedName>
    <definedName name="E_ALL_SECTIONS_ISSR_208007413">#REF!,#REF!,#REF!,#REF!,#REF!,#REF!,#REF!,#REF!,#REF!,#REF!</definedName>
    <definedName name="E_ALL_SECTIONS_ISSR_208007414" localSheetId="2">#REF!,#REF!,#REF!,#REF!,#REF!,#REF!,#REF!,#REF!,#REF!</definedName>
    <definedName name="E_ALL_SECTIONS_ISSR_208007414" localSheetId="12">#REF!,#REF!,#REF!,#REF!,#REF!,#REF!,#REF!,#REF!,#REF!</definedName>
    <definedName name="E_ALL_SECTIONS_ISSR_208007414">#REF!,#REF!,#REF!,#REF!,#REF!,#REF!,#REF!,#REF!,#REF!</definedName>
    <definedName name="E_ALL_SECTIONS_ISSR_208007415" localSheetId="2">#REF!,#REF!,#REF!,#REF!,#REF!,#REF!,#REF!,#REF!,#REF!,#REF!</definedName>
    <definedName name="E_ALL_SECTIONS_ISSR_208007415" localSheetId="12">#REF!,#REF!,#REF!,#REF!,#REF!,#REF!,#REF!,#REF!,#REF!,#REF!</definedName>
    <definedName name="E_ALL_SECTIONS_ISSR_208007415">#REF!,#REF!,#REF!,#REF!,#REF!,#REF!,#REF!,#REF!,#REF!,#REF!</definedName>
    <definedName name="E_ALL_SECTIONS_ISSR_208008646" localSheetId="2">#REF!,#REF!,#REF!,#REF!,#REF!,#REF!,#REF!,#REF!,#REF!,#REF!</definedName>
    <definedName name="E_ALL_SECTIONS_ISSR_208008646">#REF!,#REF!,#REF!,#REF!,#REF!,#REF!,#REF!,#REF!,#REF!,#REF!</definedName>
    <definedName name="E_ALL_SIFI.MI" localSheetId="2">#REF!</definedName>
    <definedName name="E_ALL_SIFI.MI" localSheetId="12">#REF!</definedName>
    <definedName name="E_ALL_SIFI.MI">#REF!</definedName>
    <definedName name="E_ALL_SKFb.ST">#REF!</definedName>
    <definedName name="E_ALL_TCFP.PA" localSheetId="2">#REF!</definedName>
    <definedName name="E_ALL_TCFP.PA" localSheetId="12">#REF!</definedName>
    <definedName name="E_ALL_TCFP.PA">#REF!</definedName>
    <definedName name="E_ALL_ULE.L" localSheetId="2">#REF!</definedName>
    <definedName name="E_ALL_ULE.L" localSheetId="12">#REF!</definedName>
    <definedName name="E_ALL_ULE.L" localSheetId="23">#REF!</definedName>
    <definedName name="E_ALL_ULE.L">#REF!</definedName>
    <definedName name="E_ALL_VOLVb.ST">#REF!</definedName>
    <definedName name="E_CURRENCY_EQTY_200003162_PRI" localSheetId="2">#REF!</definedName>
    <definedName name="E_CURRENCY_EQTY_200003162_PRI" localSheetId="12">#REF!</definedName>
    <definedName name="E_CURRENCY_EQTY_200003162_PRI">#REF!</definedName>
    <definedName name="E_CURRENCY_EQTY_200003162_PUB" localSheetId="2">#REF!</definedName>
    <definedName name="E_CURRENCY_EQTY_200003162_PUB" localSheetId="12">#REF!</definedName>
    <definedName name="E_CURRENCY_EQTY_200003162_PUB">#REF!</definedName>
    <definedName name="E_CURRENCY_EQTY_200003162_REP" localSheetId="2">#REF!</definedName>
    <definedName name="E_CURRENCY_EQTY_200003162_REP" localSheetId="12">#REF!</definedName>
    <definedName name="E_CURRENCY_EQTY_200003162_REP">#REF!</definedName>
    <definedName name="E_CURRENCY_EQTY_200003170_PRI" localSheetId="2">#REF!</definedName>
    <definedName name="E_CURRENCY_EQTY_200003170_PRI" localSheetId="12">#REF!</definedName>
    <definedName name="E_CURRENCY_EQTY_200003170_PRI">#REF!</definedName>
    <definedName name="E_CURRENCY_EQTY_200003170_PUB" localSheetId="2">#REF!</definedName>
    <definedName name="E_CURRENCY_EQTY_200003170_PUB" localSheetId="12">#REF!</definedName>
    <definedName name="E_CURRENCY_EQTY_200003170_PUB">#REF!</definedName>
    <definedName name="E_CURRENCY_EQTY_200003170_REP" localSheetId="2">#REF!</definedName>
    <definedName name="E_CURRENCY_EQTY_200003170_REP" localSheetId="12">#REF!</definedName>
    <definedName name="E_CURRENCY_EQTY_200003170_REP">#REF!</definedName>
    <definedName name="E_CURRENCY_EQTY_200003173_PRI" localSheetId="2">#REF!</definedName>
    <definedName name="E_CURRENCY_EQTY_200003173_PRI" localSheetId="12">#REF!</definedName>
    <definedName name="E_CURRENCY_EQTY_200003173_PRI">#REF!</definedName>
    <definedName name="E_CURRENCY_EQTY_200003173_PUB" localSheetId="2">#REF!</definedName>
    <definedName name="E_CURRENCY_EQTY_200003173_PUB" localSheetId="12">#REF!</definedName>
    <definedName name="E_CURRENCY_EQTY_200003173_PUB">#REF!</definedName>
    <definedName name="E_CURRENCY_EQTY_200003173_REP" localSheetId="2">#REF!</definedName>
    <definedName name="E_CURRENCY_EQTY_200003173_REP" localSheetId="12">#REF!</definedName>
    <definedName name="E_CURRENCY_EQTY_200003173_REP">#REF!</definedName>
    <definedName name="E_CURRENCY_EQTY_200003183_PRI" localSheetId="2">#REF!</definedName>
    <definedName name="E_CURRENCY_EQTY_200003183_PRI" localSheetId="12">#REF!</definedName>
    <definedName name="E_CURRENCY_EQTY_200003183_PRI">#REF!</definedName>
    <definedName name="E_CURRENCY_EQTY_200003183_PUB" localSheetId="2">#REF!</definedName>
    <definedName name="E_CURRENCY_EQTY_200003183_PUB" localSheetId="12">#REF!</definedName>
    <definedName name="E_CURRENCY_EQTY_200003183_PUB">#REF!</definedName>
    <definedName name="E_CURRENCY_EQTY_200003183_REP" localSheetId="2">#REF!</definedName>
    <definedName name="E_CURRENCY_EQTY_200003183_REP" localSheetId="12">#REF!</definedName>
    <definedName name="E_CURRENCY_EQTY_200003183_REP">#REF!</definedName>
    <definedName name="E_CURRENCY_EQTY_200003821_PRI" localSheetId="2">#REF!</definedName>
    <definedName name="E_CURRENCY_EQTY_200003821_PRI" localSheetId="12">#REF!</definedName>
    <definedName name="E_CURRENCY_EQTY_200003821_PRI">#REF!</definedName>
    <definedName name="E_CURRENCY_EQTY_200003821_PUB" localSheetId="2">#REF!</definedName>
    <definedName name="E_CURRENCY_EQTY_200003821_PUB" localSheetId="12">#REF!</definedName>
    <definedName name="E_CURRENCY_EQTY_200003821_PUB">#REF!</definedName>
    <definedName name="E_CURRENCY_EQTY_200003821_REP" localSheetId="2">#REF!</definedName>
    <definedName name="E_CURRENCY_EQTY_200003821_REP" localSheetId="12">#REF!</definedName>
    <definedName name="E_CURRENCY_EQTY_200003821_REP">#REF!</definedName>
    <definedName name="E_CURRENCY_EQTY_200004285_PRI" localSheetId="2">#REF!</definedName>
    <definedName name="E_CURRENCY_EQTY_200004285_PRI">#REF!</definedName>
    <definedName name="E_CURRENCY_EQTY_200004285_PUB" localSheetId="2">#REF!</definedName>
    <definedName name="E_CURRENCY_EQTY_200004285_PUB">#REF!</definedName>
    <definedName name="E_CURRENCY_EQTY_200004285_REP" localSheetId="2">#REF!</definedName>
    <definedName name="E_CURRENCY_EQTY_200004285_REP">#REF!</definedName>
    <definedName name="E_CURRENCY_EQTY_200005121_PRI" localSheetId="2">#REF!</definedName>
    <definedName name="E_CURRENCY_EQTY_200005121_PRI">#REF!</definedName>
    <definedName name="E_CURRENCY_EQTY_200005121_PUB" localSheetId="2">#REF!</definedName>
    <definedName name="E_CURRENCY_EQTY_200005121_PUB">#REF!</definedName>
    <definedName name="E_CURRENCY_EQTY_200005121_REP" localSheetId="2">#REF!</definedName>
    <definedName name="E_CURRENCY_EQTY_200005121_REP">#REF!</definedName>
    <definedName name="E_CURRENCY_EQTY_200007513_PRI" localSheetId="2">#REF!</definedName>
    <definedName name="E_CURRENCY_EQTY_200007513_PRI" localSheetId="12">#REF!</definedName>
    <definedName name="E_CURRENCY_EQTY_200007513_PRI">#REF!</definedName>
    <definedName name="E_CURRENCY_EQTY_200007513_PUB" localSheetId="2">#REF!</definedName>
    <definedName name="E_CURRENCY_EQTY_200007513_PUB" localSheetId="12">#REF!</definedName>
    <definedName name="E_CURRENCY_EQTY_200007513_PUB">#REF!</definedName>
    <definedName name="E_CURRENCY_EQTY_200007513_REP" localSheetId="2">#REF!</definedName>
    <definedName name="E_CURRENCY_EQTY_200007513_REP" localSheetId="12">#REF!</definedName>
    <definedName name="E_CURRENCY_EQTY_200007513_REP">#REF!</definedName>
    <definedName name="E_CURRENCY_EQTY_200009618_PRI" localSheetId="2">#REF!</definedName>
    <definedName name="E_CURRENCY_EQTY_200009618_PRI" localSheetId="12">#REF!</definedName>
    <definedName name="E_CURRENCY_EQTY_200009618_PRI">#REF!</definedName>
    <definedName name="E_CURRENCY_EQTY_200009618_PUB" localSheetId="2">#REF!</definedName>
    <definedName name="E_CURRENCY_EQTY_200009618_PUB" localSheetId="12">#REF!</definedName>
    <definedName name="E_CURRENCY_EQTY_200009618_PUB">#REF!</definedName>
    <definedName name="E_CURRENCY_EQTY_200009618_REP" localSheetId="2">#REF!</definedName>
    <definedName name="E_CURRENCY_EQTY_200009618_REP" localSheetId="12">#REF!</definedName>
    <definedName name="E_CURRENCY_EQTY_200009618_REP">#REF!</definedName>
    <definedName name="E_CURRENCY_EQTY_200009619_PRI" localSheetId="2">#REF!</definedName>
    <definedName name="E_CURRENCY_EQTY_200009619_PRI" localSheetId="12">#REF!</definedName>
    <definedName name="E_CURRENCY_EQTY_200009619_PRI">#REF!</definedName>
    <definedName name="E_CURRENCY_EQTY_200009619_PUB" localSheetId="2">#REF!</definedName>
    <definedName name="E_CURRENCY_EQTY_200009619_PUB" localSheetId="12">#REF!</definedName>
    <definedName name="E_CURRENCY_EQTY_200009619_PUB">#REF!</definedName>
    <definedName name="E_CURRENCY_EQTY_200009619_REP" localSheetId="2">#REF!</definedName>
    <definedName name="E_CURRENCY_EQTY_200009619_REP" localSheetId="12">#REF!</definedName>
    <definedName name="E_CURRENCY_EQTY_200009619_REP">#REF!</definedName>
    <definedName name="E_CURRENCY_EQTY_200009620_PRI" localSheetId="2">#REF!</definedName>
    <definedName name="E_CURRENCY_EQTY_200009620_PRI" localSheetId="12">#REF!</definedName>
    <definedName name="E_CURRENCY_EQTY_200009620_PRI">#REF!</definedName>
    <definedName name="E_CURRENCY_EQTY_200009620_PUB" localSheetId="2">#REF!</definedName>
    <definedName name="E_CURRENCY_EQTY_200009620_PUB" localSheetId="12">#REF!</definedName>
    <definedName name="E_CURRENCY_EQTY_200009620_PUB">#REF!</definedName>
    <definedName name="E_CURRENCY_EQTY_200009620_REP" localSheetId="2">#REF!</definedName>
    <definedName name="E_CURRENCY_EQTY_200009620_REP" localSheetId="12">#REF!</definedName>
    <definedName name="E_CURRENCY_EQTY_200009620_REP">#REF!</definedName>
    <definedName name="E_CURRENCY_EQTY_200011295_PRI" localSheetId="2">#REF!</definedName>
    <definedName name="E_CURRENCY_EQTY_200011295_PRI">#REF!</definedName>
    <definedName name="E_CURRENCY_EQTY_200011295_PUB" localSheetId="2">#REF!</definedName>
    <definedName name="E_CURRENCY_EQTY_200011295_PUB">#REF!</definedName>
    <definedName name="E_CURRENCY_EQTY_200011295_REP" localSheetId="2">#REF!</definedName>
    <definedName name="E_CURRENCY_EQTY_200011295_REP">#REF!</definedName>
    <definedName name="E_CURRENCY_ISSR_208001092_REP" localSheetId="2">#REF!</definedName>
    <definedName name="E_CURRENCY_ISSR_208001092_REP" localSheetId="12">#REF!</definedName>
    <definedName name="E_CURRENCY_ISSR_208001092_REP">#REF!</definedName>
    <definedName name="E_CURRENCY_ISSR_208001096_REP" localSheetId="2">#REF!</definedName>
    <definedName name="E_CURRENCY_ISSR_208001096_REP" localSheetId="12">#REF!</definedName>
    <definedName name="E_CURRENCY_ISSR_208001096_REP">#REF!</definedName>
    <definedName name="E_CURRENCY_ISSR_208001098_REP" localSheetId="2">#REF!</definedName>
    <definedName name="E_CURRENCY_ISSR_208001098_REP" localSheetId="12">#REF!</definedName>
    <definedName name="E_CURRENCY_ISSR_208001098_REP">#REF!</definedName>
    <definedName name="E_CURRENCY_ISSR_208001100_REP" localSheetId="2">#REF!</definedName>
    <definedName name="E_CURRENCY_ISSR_208001100_REP" localSheetId="12">#REF!</definedName>
    <definedName name="E_CURRENCY_ISSR_208001100_REP">#REF!</definedName>
    <definedName name="E_CURRENCY_ISSR_208001129_REP" localSheetId="2">#REF!</definedName>
    <definedName name="E_CURRENCY_ISSR_208001129_REP" localSheetId="12">#REF!</definedName>
    <definedName name="E_CURRENCY_ISSR_208001129_REP">#REF!</definedName>
    <definedName name="E_CURRENCY_ISSR_208001219_REP" localSheetId="2">#REF!</definedName>
    <definedName name="E_CURRENCY_ISSR_208001219_REP">#REF!</definedName>
    <definedName name="E_CURRENCY_ISSR_208001433_REP" localSheetId="2">#REF!</definedName>
    <definedName name="E_CURRENCY_ISSR_208001433_REP">#REF!</definedName>
    <definedName name="E_CURRENCY_ISSR_208002861_REP" localSheetId="2">#REF!</definedName>
    <definedName name="E_CURRENCY_ISSR_208002861_REP" localSheetId="12">#REF!</definedName>
    <definedName name="E_CURRENCY_ISSR_208002861_REP">#REF!</definedName>
    <definedName name="E_CURRENCY_ISSR_208007413_REP" localSheetId="2">#REF!</definedName>
    <definedName name="E_CURRENCY_ISSR_208007413_REP" localSheetId="12">#REF!</definedName>
    <definedName name="E_CURRENCY_ISSR_208007413_REP">#REF!</definedName>
    <definedName name="E_CURRENCY_ISSR_208007414_REP" localSheetId="2">#REF!</definedName>
    <definedName name="E_CURRENCY_ISSR_208007414_REP" localSheetId="12">#REF!</definedName>
    <definedName name="E_CURRENCY_ISSR_208007414_REP">#REF!</definedName>
    <definedName name="E_CURRENCY_ISSR_208007415_REP" localSheetId="2">#REF!</definedName>
    <definedName name="E_CURRENCY_ISSR_208007415_REP" localSheetId="12">#REF!</definedName>
    <definedName name="E_CURRENCY_ISSR_208007415_REP">#REF!</definedName>
    <definedName name="E_CURRENCY_ISSR_208008646_REP" localSheetId="2">#REF!</definedName>
    <definedName name="E_CURRENCY_ISSR_208008646_REP">#REF!</definedName>
    <definedName name="E_ENTITY_DATA_EQTY_200007513" localSheetId="24">#REF!</definedName>
    <definedName name="E_ENTITY_DATA_EQTY_200007513" localSheetId="18">#REF!</definedName>
    <definedName name="E_ENTITY_DATA_EQTY_200007513" localSheetId="12">#REF!</definedName>
    <definedName name="E_ENTITY_DATA_EQTY_200007513" localSheetId="23">#REF!</definedName>
    <definedName name="E_ENTITY_DATA_EQTY_200007513" localSheetId="19">#REF!</definedName>
    <definedName name="E_ENTITY_DATA_EQTY_200007513" localSheetId="21">#REF!</definedName>
    <definedName name="E_ENTITY_DATA_EQTY_200007513">#REF!</definedName>
    <definedName name="E_ENTITY_DATA_ISSR_208002861" localSheetId="24">#REF!</definedName>
    <definedName name="E_ENTITY_DATA_ISSR_208002861" localSheetId="18">#REF!</definedName>
    <definedName name="E_ENTITY_DATA_ISSR_208002861" localSheetId="12">#REF!</definedName>
    <definedName name="E_ENTITY_DATA_ISSR_208002861" localSheetId="23">#REF!</definedName>
    <definedName name="E_ENTITY_DATA_ISSR_208002861" localSheetId="19">#REF!</definedName>
    <definedName name="E_ENTITY_DATA_ISSR_208002861" localSheetId="21">#REF!</definedName>
    <definedName name="E_ENTITY_DATA_ISSR_208002861">#REF!</definedName>
    <definedName name="E_KEYWORD_EQTY_200007513_BETA_ANALYST" localSheetId="24">#REF!</definedName>
    <definedName name="E_KEYWORD_EQTY_200007513_BETA_ANALYST" localSheetId="18">#REF!</definedName>
    <definedName name="E_KEYWORD_EQTY_200007513_BETA_ANALYST" localSheetId="12">#REF!</definedName>
    <definedName name="E_KEYWORD_EQTY_200007513_BETA_ANALYST" localSheetId="23">#REF!</definedName>
    <definedName name="E_KEYWORD_EQTY_200007513_BETA_ANALYST" localSheetId="19">#REF!</definedName>
    <definedName name="E_KEYWORD_EQTY_200007513_BETA_ANALYST" localSheetId="21">#REF!</definedName>
    <definedName name="E_KEYWORD_EQTY_200007513_BETA_ANALYST">#REF!</definedName>
    <definedName name="E_KEYWORD_EQTY_200007513_BVPS" localSheetId="24">#REF!</definedName>
    <definedName name="E_KEYWORD_EQTY_200007513_BVPS" localSheetId="18">#REF!</definedName>
    <definedName name="E_KEYWORD_EQTY_200007513_BVPS" localSheetId="12">#REF!</definedName>
    <definedName name="E_KEYWORD_EQTY_200007513_BVPS" localSheetId="23">#REF!</definedName>
    <definedName name="E_KEYWORD_EQTY_200007513_BVPS" localSheetId="19">#REF!</definedName>
    <definedName name="E_KEYWORD_EQTY_200007513_BVPS" localSheetId="21">#REF!</definedName>
    <definedName name="E_KEYWORD_EQTY_200007513_BVPS">#REF!</definedName>
    <definedName name="E_KEYWORD_EQTY_200007513_BVPS_PUB" localSheetId="24">#REF!</definedName>
    <definedName name="E_KEYWORD_EQTY_200007513_BVPS_PUB" localSheetId="18">#REF!</definedName>
    <definedName name="E_KEYWORD_EQTY_200007513_BVPS_PUB" localSheetId="12">#REF!</definedName>
    <definedName name="E_KEYWORD_EQTY_200007513_BVPS_PUB" localSheetId="23">#REF!</definedName>
    <definedName name="E_KEYWORD_EQTY_200007513_BVPS_PUB" localSheetId="19">#REF!</definedName>
    <definedName name="E_KEYWORD_EQTY_200007513_BVPS_PUB" localSheetId="21">#REF!</definedName>
    <definedName name="E_KEYWORD_EQTY_200007513_BVPS_PUB">#REF!</definedName>
    <definedName name="E_KEYWORD_EQTY_200007513_CF_NI_PRE_PREF" localSheetId="24">#REF!</definedName>
    <definedName name="E_KEYWORD_EQTY_200007513_CF_NI_PRE_PREF" localSheetId="18">#REF!</definedName>
    <definedName name="E_KEYWORD_EQTY_200007513_CF_NI_PRE_PREF" localSheetId="12">#REF!</definedName>
    <definedName name="E_KEYWORD_EQTY_200007513_CF_NI_PRE_PREF" localSheetId="23">#REF!</definedName>
    <definedName name="E_KEYWORD_EQTY_200007513_CF_NI_PRE_PREF" localSheetId="19">#REF!</definedName>
    <definedName name="E_KEYWORD_EQTY_200007513_CF_NI_PRE_PREF" localSheetId="21">#REF!</definedName>
    <definedName name="E_KEYWORD_EQTY_200007513_CF_NI_PRE_PREF">#REF!</definedName>
    <definedName name="E_KEYWORD_EQTY_200007513_COMMON_DIV_PAID" localSheetId="24">#REF!</definedName>
    <definedName name="E_KEYWORD_EQTY_200007513_COMMON_DIV_PAID" localSheetId="18">#REF!</definedName>
    <definedName name="E_KEYWORD_EQTY_200007513_COMMON_DIV_PAID" localSheetId="12">#REF!</definedName>
    <definedName name="E_KEYWORD_EQTY_200007513_COMMON_DIV_PAID" localSheetId="23">#REF!</definedName>
    <definedName name="E_KEYWORD_EQTY_200007513_COMMON_DIV_PAID" localSheetId="19">#REF!</definedName>
    <definedName name="E_KEYWORD_EQTY_200007513_COMMON_DIV_PAID" localSheetId="21">#REF!</definedName>
    <definedName name="E_KEYWORD_EQTY_200007513_COMMON_DIV_PAID">#REF!</definedName>
    <definedName name="E_KEYWORD_EQTY_200007513_CURRENCY_ISO" localSheetId="24">#REF!</definedName>
    <definedName name="E_KEYWORD_EQTY_200007513_CURRENCY_ISO" localSheetId="18">#REF!</definedName>
    <definedName name="E_KEYWORD_EQTY_200007513_CURRENCY_ISO" localSheetId="12">#REF!</definedName>
    <definedName name="E_KEYWORD_EQTY_200007513_CURRENCY_ISO" localSheetId="23">#REF!</definedName>
    <definedName name="E_KEYWORD_EQTY_200007513_CURRENCY_ISO" localSheetId="19">#REF!</definedName>
    <definedName name="E_KEYWORD_EQTY_200007513_CURRENCY_ISO" localSheetId="21">#REF!</definedName>
    <definedName name="E_KEYWORD_EQTY_200007513_CURRENCY_ISO">#REF!</definedName>
    <definedName name="E_KEYWORD_EQTY_200007513_DILUTE_SHARES" localSheetId="24">#REF!</definedName>
    <definedName name="E_KEYWORD_EQTY_200007513_DILUTE_SHARES" localSheetId="18">#REF!</definedName>
    <definedName name="E_KEYWORD_EQTY_200007513_DILUTE_SHARES" localSheetId="12">#REF!</definedName>
    <definedName name="E_KEYWORD_EQTY_200007513_DILUTE_SHARES" localSheetId="23">#REF!</definedName>
    <definedName name="E_KEYWORD_EQTY_200007513_DILUTE_SHARES" localSheetId="19">#REF!</definedName>
    <definedName name="E_KEYWORD_EQTY_200007513_DILUTE_SHARES" localSheetId="21">#REF!</definedName>
    <definedName name="E_KEYWORD_EQTY_200007513_DILUTE_SHARES">#REF!</definedName>
    <definedName name="E_KEYWORD_EQTY_200007513_DPS" localSheetId="24">#REF!</definedName>
    <definedName name="E_KEYWORD_EQTY_200007513_DPS" localSheetId="18">#REF!</definedName>
    <definedName name="E_KEYWORD_EQTY_200007513_DPS" localSheetId="12">#REF!</definedName>
    <definedName name="E_KEYWORD_EQTY_200007513_DPS" localSheetId="23">#REF!</definedName>
    <definedName name="E_KEYWORD_EQTY_200007513_DPS" localSheetId="19">#REF!</definedName>
    <definedName name="E_KEYWORD_EQTY_200007513_DPS" localSheetId="21">#REF!</definedName>
    <definedName name="E_KEYWORD_EQTY_200007513_DPS">#REF!</definedName>
    <definedName name="E_KEYWORD_EQTY_200007513_DPS_PUB" localSheetId="24">#REF!</definedName>
    <definedName name="E_KEYWORD_EQTY_200007513_DPS_PUB" localSheetId="18">#REF!</definedName>
    <definedName name="E_KEYWORD_EQTY_200007513_DPS_PUB" localSheetId="12">#REF!</definedName>
    <definedName name="E_KEYWORD_EQTY_200007513_DPS_PUB" localSheetId="23">#REF!</definedName>
    <definedName name="E_KEYWORD_EQTY_200007513_DPS_PUB" localSheetId="19">#REF!</definedName>
    <definedName name="E_KEYWORD_EQTY_200007513_DPS_PUB" localSheetId="21">#REF!</definedName>
    <definedName name="E_KEYWORD_EQTY_200007513_DPS_PUB">#REF!</definedName>
    <definedName name="E_KEYWORD_EQTY_200007513_EBIT_PUB" localSheetId="24">#REF!</definedName>
    <definedName name="E_KEYWORD_EQTY_200007513_EBIT_PUB" localSheetId="18">#REF!</definedName>
    <definedName name="E_KEYWORD_EQTY_200007513_EBIT_PUB" localSheetId="12">#REF!</definedName>
    <definedName name="E_KEYWORD_EQTY_200007513_EBIT_PUB" localSheetId="23">#REF!</definedName>
    <definedName name="E_KEYWORD_EQTY_200007513_EBIT_PUB" localSheetId="19">#REF!</definedName>
    <definedName name="E_KEYWORD_EQTY_200007513_EBIT_PUB" localSheetId="21">#REF!</definedName>
    <definedName name="E_KEYWORD_EQTY_200007513_EBIT_PUB">#REF!</definedName>
    <definedName name="E_KEYWORD_EQTY_200007513_EBITDA_PUB" localSheetId="24">#REF!</definedName>
    <definedName name="E_KEYWORD_EQTY_200007513_EBITDA_PUB" localSheetId="18">#REF!</definedName>
    <definedName name="E_KEYWORD_EQTY_200007513_EBITDA_PUB" localSheetId="12">#REF!</definedName>
    <definedName name="E_KEYWORD_EQTY_200007513_EBITDA_PUB" localSheetId="23">#REF!</definedName>
    <definedName name="E_KEYWORD_EQTY_200007513_EBITDA_PUB" localSheetId="19">#REF!</definedName>
    <definedName name="E_KEYWORD_EQTY_200007513_EBITDA_PUB" localSheetId="21">#REF!</definedName>
    <definedName name="E_KEYWORD_EQTY_200007513_EBITDA_PUB">#REF!</definedName>
    <definedName name="E_KEYWORD_EQTY_200007513_EPS" localSheetId="24">#REF!</definedName>
    <definedName name="E_KEYWORD_EQTY_200007513_EPS" localSheetId="18">#REF!</definedName>
    <definedName name="E_KEYWORD_EQTY_200007513_EPS" localSheetId="12">#REF!</definedName>
    <definedName name="E_KEYWORD_EQTY_200007513_EPS" localSheetId="23">#REF!</definedName>
    <definedName name="E_KEYWORD_EQTY_200007513_EPS" localSheetId="19">#REF!</definedName>
    <definedName name="E_KEYWORD_EQTY_200007513_EPS" localSheetId="21">#REF!</definedName>
    <definedName name="E_KEYWORD_EQTY_200007513_EPS">#REF!</definedName>
    <definedName name="E_KEYWORD_EQTY_200007513_EPS_FUL_DIL" localSheetId="24">#REF!</definedName>
    <definedName name="E_KEYWORD_EQTY_200007513_EPS_FUL_DIL" localSheetId="18">#REF!</definedName>
    <definedName name="E_KEYWORD_EQTY_200007513_EPS_FUL_DIL" localSheetId="12">#REF!</definedName>
    <definedName name="E_KEYWORD_EQTY_200007513_EPS_FUL_DIL" localSheetId="23">#REF!</definedName>
    <definedName name="E_KEYWORD_EQTY_200007513_EPS_FUL_DIL" localSheetId="19">#REF!</definedName>
    <definedName name="E_KEYWORD_EQTY_200007513_EPS_FUL_DIL" localSheetId="21">#REF!</definedName>
    <definedName name="E_KEYWORD_EQTY_200007513_EPS_FUL_DIL">#REF!</definedName>
    <definedName name="E_KEYWORD_EQTY_200007513_EPS_POST_BASIC" localSheetId="24">#REF!</definedName>
    <definedName name="E_KEYWORD_EQTY_200007513_EPS_POST_BASIC" localSheetId="18">#REF!</definedName>
    <definedName name="E_KEYWORD_EQTY_200007513_EPS_POST_BASIC" localSheetId="12">#REF!</definedName>
    <definedName name="E_KEYWORD_EQTY_200007513_EPS_POST_BASIC" localSheetId="23">#REF!</definedName>
    <definedName name="E_KEYWORD_EQTY_200007513_EPS_POST_BASIC" localSheetId="19">#REF!</definedName>
    <definedName name="E_KEYWORD_EQTY_200007513_EPS_POST_BASIC" localSheetId="21">#REF!</definedName>
    <definedName name="E_KEYWORD_EQTY_200007513_EPS_POST_BASIC">#REF!</definedName>
    <definedName name="E_KEYWORD_EQTY_200007513_EPS_PUB" localSheetId="24">#REF!</definedName>
    <definedName name="E_KEYWORD_EQTY_200007513_EPS_PUB" localSheetId="18">#REF!</definedName>
    <definedName name="E_KEYWORD_EQTY_200007513_EPS_PUB" localSheetId="12">#REF!</definedName>
    <definedName name="E_KEYWORD_EQTY_200007513_EPS_PUB" localSheetId="23">#REF!</definedName>
    <definedName name="E_KEYWORD_EQTY_200007513_EPS_PUB" localSheetId="19">#REF!</definedName>
    <definedName name="E_KEYWORD_EQTY_200007513_EPS_PUB" localSheetId="21">#REF!</definedName>
    <definedName name="E_KEYWORD_EQTY_200007513_EPS_PUB">#REF!</definedName>
    <definedName name="E_KEYWORD_EQTY_200007513_EQ_PUB" localSheetId="24">#REF!</definedName>
    <definedName name="E_KEYWORD_EQTY_200007513_EQ_PUB" localSheetId="18">#REF!</definedName>
    <definedName name="E_KEYWORD_EQTY_200007513_EQ_PUB" localSheetId="12">#REF!</definedName>
    <definedName name="E_KEYWORD_EQTY_200007513_EQ_PUB" localSheetId="23">#REF!</definedName>
    <definedName name="E_KEYWORD_EQTY_200007513_EQ_PUB" localSheetId="19">#REF!</definedName>
    <definedName name="E_KEYWORD_EQTY_200007513_EQ_PUB" localSheetId="21">#REF!</definedName>
    <definedName name="E_KEYWORD_EQTY_200007513_EQ_PUB">#REF!</definedName>
    <definedName name="E_KEYWORD_EQTY_200007513_EURO_CONVICTION" localSheetId="24">#REF!</definedName>
    <definedName name="E_KEYWORD_EQTY_200007513_EURO_CONVICTION" localSheetId="18">#REF!</definedName>
    <definedName name="E_KEYWORD_EQTY_200007513_EURO_CONVICTION" localSheetId="12">#REF!</definedName>
    <definedName name="E_KEYWORD_EQTY_200007513_EURO_CONVICTION" localSheetId="23">#REF!</definedName>
    <definedName name="E_KEYWORD_EQTY_200007513_EURO_CONVICTION" localSheetId="19">#REF!</definedName>
    <definedName name="E_KEYWORD_EQTY_200007513_EURO_CONVICTION" localSheetId="21">#REF!</definedName>
    <definedName name="E_KEYWORD_EQTY_200007513_EURO_CONVICTION">#REF!</definedName>
    <definedName name="E_KEYWORD_EQTY_200007513_EURO_LIST" localSheetId="24">#REF!</definedName>
    <definedName name="E_KEYWORD_EQTY_200007513_EURO_LIST" localSheetId="18">#REF!</definedName>
    <definedName name="E_KEYWORD_EQTY_200007513_EURO_LIST" localSheetId="12">#REF!</definedName>
    <definedName name="E_KEYWORD_EQTY_200007513_EURO_LIST" localSheetId="23">#REF!</definedName>
    <definedName name="E_KEYWORD_EQTY_200007513_EURO_LIST" localSheetId="19">#REF!</definedName>
    <definedName name="E_KEYWORD_EQTY_200007513_EURO_LIST" localSheetId="21">#REF!</definedName>
    <definedName name="E_KEYWORD_EQTY_200007513_EURO_LIST">#REF!</definedName>
    <definedName name="E_KEYWORD_EQTY_200007513_EV_ADJ_PUB" localSheetId="24">#REF!</definedName>
    <definedName name="E_KEYWORD_EQTY_200007513_EV_ADJ_PUB" localSheetId="18">#REF!</definedName>
    <definedName name="E_KEYWORD_EQTY_200007513_EV_ADJ_PUB" localSheetId="12">#REF!</definedName>
    <definedName name="E_KEYWORD_EQTY_200007513_EV_ADJ_PUB" localSheetId="23">#REF!</definedName>
    <definedName name="E_KEYWORD_EQTY_200007513_EV_ADJ_PUB" localSheetId="19">#REF!</definedName>
    <definedName name="E_KEYWORD_EQTY_200007513_EV_ADJ_PUB" localSheetId="21">#REF!</definedName>
    <definedName name="E_KEYWORD_EQTY_200007513_EV_ADJ_PUB">#REF!</definedName>
    <definedName name="E_KEYWORD_EQTY_200007513_FREE_FLOAT" localSheetId="24">#REF!</definedName>
    <definedName name="E_KEYWORD_EQTY_200007513_FREE_FLOAT" localSheetId="18">#REF!</definedName>
    <definedName name="E_KEYWORD_EQTY_200007513_FREE_FLOAT" localSheetId="12">#REF!</definedName>
    <definedName name="E_KEYWORD_EQTY_200007513_FREE_FLOAT" localSheetId="23">#REF!</definedName>
    <definedName name="E_KEYWORD_EQTY_200007513_FREE_FLOAT" localSheetId="19">#REF!</definedName>
    <definedName name="E_KEYWORD_EQTY_200007513_FREE_FLOAT" localSheetId="21">#REF!</definedName>
    <definedName name="E_KEYWORD_EQTY_200007513_FREE_FLOAT">#REF!</definedName>
    <definedName name="E_KEYWORD_EQTY_200007513_FULLY_DIL_EPS" localSheetId="24">#REF!</definedName>
    <definedName name="E_KEYWORD_EQTY_200007513_FULLY_DIL_EPS" localSheetId="18">#REF!</definedName>
    <definedName name="E_KEYWORD_EQTY_200007513_FULLY_DIL_EPS" localSheetId="12">#REF!</definedName>
    <definedName name="E_KEYWORD_EQTY_200007513_FULLY_DIL_EPS" localSheetId="23">#REF!</definedName>
    <definedName name="E_KEYWORD_EQTY_200007513_FULLY_DIL_EPS" localSheetId="19">#REF!</definedName>
    <definedName name="E_KEYWORD_EQTY_200007513_FULLY_DIL_EPS" localSheetId="21">#REF!</definedName>
    <definedName name="E_KEYWORD_EQTY_200007513_FULLY_DIL_EPS">#REF!</definedName>
    <definedName name="E_KEYWORD_EQTY_200007513_INC_MINORITY" localSheetId="24">#REF!</definedName>
    <definedName name="E_KEYWORD_EQTY_200007513_INC_MINORITY" localSheetId="18">#REF!</definedName>
    <definedName name="E_KEYWORD_EQTY_200007513_INC_MINORITY" localSheetId="12">#REF!</definedName>
    <definedName name="E_KEYWORD_EQTY_200007513_INC_MINORITY" localSheetId="23">#REF!</definedName>
    <definedName name="E_KEYWORD_EQTY_200007513_INC_MINORITY" localSheetId="19">#REF!</definedName>
    <definedName name="E_KEYWORD_EQTY_200007513_INC_MINORITY" localSheetId="21">#REF!</definedName>
    <definedName name="E_KEYWORD_EQTY_200007513_INC_MINORITY">#REF!</definedName>
    <definedName name="E_KEYWORD_EQTY_200007513_Interim_Type" localSheetId="24">#REF!</definedName>
    <definedName name="E_KEYWORD_EQTY_200007513_Interim_Type" localSheetId="18">#REF!</definedName>
    <definedName name="E_KEYWORD_EQTY_200007513_Interim_Type" localSheetId="12">#REF!</definedName>
    <definedName name="E_KEYWORD_EQTY_200007513_Interim_Type" localSheetId="23">#REF!</definedName>
    <definedName name="E_KEYWORD_EQTY_200007513_Interim_Type" localSheetId="19">#REF!</definedName>
    <definedName name="E_KEYWORD_EQTY_200007513_Interim_Type" localSheetId="21">#REF!</definedName>
    <definedName name="E_KEYWORD_EQTY_200007513_Interim_Type">#REF!</definedName>
    <definedName name="E_KEYWORD_EQTY_200007513_LEGAL_RATING" localSheetId="24">#REF!</definedName>
    <definedName name="E_KEYWORD_EQTY_200007513_LEGAL_RATING" localSheetId="18">#REF!</definedName>
    <definedName name="E_KEYWORD_EQTY_200007513_LEGAL_RATING" localSheetId="12">#REF!</definedName>
    <definedName name="E_KEYWORD_EQTY_200007513_LEGAL_RATING" localSheetId="23">#REF!</definedName>
    <definedName name="E_KEYWORD_EQTY_200007513_LEGAL_RATING" localSheetId="19">#REF!</definedName>
    <definedName name="E_KEYWORD_EQTY_200007513_LEGAL_RATING" localSheetId="21">#REF!</definedName>
    <definedName name="E_KEYWORD_EQTY_200007513_LEGAL_RATING">#REF!</definedName>
    <definedName name="E_KEYWORD_EQTY_200007513_MARGIN_TAX_RATE" localSheetId="24">#REF!</definedName>
    <definedName name="E_KEYWORD_EQTY_200007513_MARGIN_TAX_RATE" localSheetId="18">#REF!</definedName>
    <definedName name="E_KEYWORD_EQTY_200007513_MARGIN_TAX_RATE" localSheetId="12">#REF!</definedName>
    <definedName name="E_KEYWORD_EQTY_200007513_MARGIN_TAX_RATE" localSheetId="23">#REF!</definedName>
    <definedName name="E_KEYWORD_EQTY_200007513_MARGIN_TAX_RATE" localSheetId="19">#REF!</definedName>
    <definedName name="E_KEYWORD_EQTY_200007513_MARGIN_TAX_RATE" localSheetId="21">#REF!</definedName>
    <definedName name="E_KEYWORD_EQTY_200007513_MARGIN_TAX_RATE">#REF!</definedName>
    <definedName name="E_KEYWORD_EQTY_200007513_MKT_EQ_RISK_PREM" localSheetId="24">#REF!</definedName>
    <definedName name="E_KEYWORD_EQTY_200007513_MKT_EQ_RISK_PREM" localSheetId="18">#REF!</definedName>
    <definedName name="E_KEYWORD_EQTY_200007513_MKT_EQ_RISK_PREM" localSheetId="12">#REF!</definedName>
    <definedName name="E_KEYWORD_EQTY_200007513_MKT_EQ_RISK_PREM" localSheetId="23">#REF!</definedName>
    <definedName name="E_KEYWORD_EQTY_200007513_MKT_EQ_RISK_PREM" localSheetId="19">#REF!</definedName>
    <definedName name="E_KEYWORD_EQTY_200007513_MKT_EQ_RISK_PREM" localSheetId="21">#REF!</definedName>
    <definedName name="E_KEYWORD_EQTY_200007513_MKT_EQ_RISK_PREM">#REF!</definedName>
    <definedName name="E_KEYWORD_EQTY_200007513_NET_DEBT_PUB" localSheetId="24">#REF!</definedName>
    <definedName name="E_KEYWORD_EQTY_200007513_NET_DEBT_PUB" localSheetId="18">#REF!</definedName>
    <definedName name="E_KEYWORD_EQTY_200007513_NET_DEBT_PUB" localSheetId="12">#REF!</definedName>
    <definedName name="E_KEYWORD_EQTY_200007513_NET_DEBT_PUB" localSheetId="23">#REF!</definedName>
    <definedName name="E_KEYWORD_EQTY_200007513_NET_DEBT_PUB" localSheetId="19">#REF!</definedName>
    <definedName name="E_KEYWORD_EQTY_200007513_NET_DEBT_PUB" localSheetId="21">#REF!</definedName>
    <definedName name="E_KEYWORD_EQTY_200007513_NET_DEBT_PUB">#REF!</definedName>
    <definedName name="E_KEYWORD_EQTY_200007513_NET_EARNING" localSheetId="24">#REF!</definedName>
    <definedName name="E_KEYWORD_EQTY_200007513_NET_EARNING" localSheetId="18">#REF!</definedName>
    <definedName name="E_KEYWORD_EQTY_200007513_NET_EARNING" localSheetId="12">#REF!</definedName>
    <definedName name="E_KEYWORD_EQTY_200007513_NET_EARNING" localSheetId="23">#REF!</definedName>
    <definedName name="E_KEYWORD_EQTY_200007513_NET_EARNING" localSheetId="19">#REF!</definedName>
    <definedName name="E_KEYWORD_EQTY_200007513_NET_EARNING" localSheetId="21">#REF!</definedName>
    <definedName name="E_KEYWORD_EQTY_200007513_NET_EARNING">#REF!</definedName>
    <definedName name="E_KEYWORD_EQTY_200007513_NET_INC" localSheetId="24">#REF!</definedName>
    <definedName name="E_KEYWORD_EQTY_200007513_NET_INC" localSheetId="18">#REF!</definedName>
    <definedName name="E_KEYWORD_EQTY_200007513_NET_INC" localSheetId="12">#REF!</definedName>
    <definedName name="E_KEYWORD_EQTY_200007513_NET_INC" localSheetId="23">#REF!</definedName>
    <definedName name="E_KEYWORD_EQTY_200007513_NET_INC" localSheetId="19">#REF!</definedName>
    <definedName name="E_KEYWORD_EQTY_200007513_NET_INC" localSheetId="21">#REF!</definedName>
    <definedName name="E_KEYWORD_EQTY_200007513_NET_INC">#REF!</definedName>
    <definedName name="E_KEYWORD_EQTY_200007513_NI_PRE_PREF" localSheetId="24">#REF!</definedName>
    <definedName name="E_KEYWORD_EQTY_200007513_NI_PRE_PREF" localSheetId="18">#REF!</definedName>
    <definedName name="E_KEYWORD_EQTY_200007513_NI_PRE_PREF" localSheetId="12">#REF!</definedName>
    <definedName name="E_KEYWORD_EQTY_200007513_NI_PRE_PREF" localSheetId="23">#REF!</definedName>
    <definedName name="E_KEYWORD_EQTY_200007513_NI_PRE_PREF" localSheetId="19">#REF!</definedName>
    <definedName name="E_KEYWORD_EQTY_200007513_NI_PRE_PREF" localSheetId="21">#REF!</definedName>
    <definedName name="E_KEYWORD_EQTY_200007513_NI_PRE_PREF">#REF!</definedName>
    <definedName name="E_KEYWORD_EQTY_200007513_NI_PUB" localSheetId="24">#REF!</definedName>
    <definedName name="E_KEYWORD_EQTY_200007513_NI_PUB" localSheetId="18">#REF!</definedName>
    <definedName name="E_KEYWORD_EQTY_200007513_NI_PUB" localSheetId="12">#REF!</definedName>
    <definedName name="E_KEYWORD_EQTY_200007513_NI_PUB" localSheetId="23">#REF!</definedName>
    <definedName name="E_KEYWORD_EQTY_200007513_NI_PUB" localSheetId="19">#REF!</definedName>
    <definedName name="E_KEYWORD_EQTY_200007513_NI_PUB" localSheetId="21">#REF!</definedName>
    <definedName name="E_KEYWORD_EQTY_200007513_NI_PUB">#REF!</definedName>
    <definedName name="E_KEYWORD_EQTY_200007513_NON_OP_ADD" localSheetId="24">#REF!</definedName>
    <definedName name="E_KEYWORD_EQTY_200007513_NON_OP_ADD" localSheetId="18">#REF!</definedName>
    <definedName name="E_KEYWORD_EQTY_200007513_NON_OP_ADD" localSheetId="12">#REF!</definedName>
    <definedName name="E_KEYWORD_EQTY_200007513_NON_OP_ADD" localSheetId="23">#REF!</definedName>
    <definedName name="E_KEYWORD_EQTY_200007513_NON_OP_ADD" localSheetId="19">#REF!</definedName>
    <definedName name="E_KEYWORD_EQTY_200007513_NON_OP_ADD" localSheetId="21">#REF!</definedName>
    <definedName name="E_KEYWORD_EQTY_200007513_NON_OP_ADD">#REF!</definedName>
    <definedName name="E_KEYWORD_EQTY_200007513_NUM_SH" localSheetId="24">#REF!</definedName>
    <definedName name="E_KEYWORD_EQTY_200007513_NUM_SH" localSheetId="18">#REF!</definedName>
    <definedName name="E_KEYWORD_EQTY_200007513_NUM_SH" localSheetId="12">#REF!</definedName>
    <definedName name="E_KEYWORD_EQTY_200007513_NUM_SH" localSheetId="23">#REF!</definedName>
    <definedName name="E_KEYWORD_EQTY_200007513_NUM_SH" localSheetId="19">#REF!</definedName>
    <definedName name="E_KEYWORD_EQTY_200007513_NUM_SH" localSheetId="21">#REF!</definedName>
    <definedName name="E_KEYWORD_EQTY_200007513_NUM_SH">#REF!</definedName>
    <definedName name="E_KEYWORD_EQTY_200007513_ORG_EPS" localSheetId="24">#REF!</definedName>
    <definedName name="E_KEYWORD_EQTY_200007513_ORG_EPS" localSheetId="18">#REF!</definedName>
    <definedName name="E_KEYWORD_EQTY_200007513_ORG_EPS" localSheetId="12">#REF!</definedName>
    <definedName name="E_KEYWORD_EQTY_200007513_ORG_EPS" localSheetId="23">#REF!</definedName>
    <definedName name="E_KEYWORD_EQTY_200007513_ORG_EPS" localSheetId="19">#REF!</definedName>
    <definedName name="E_KEYWORD_EQTY_200007513_ORG_EPS" localSheetId="21">#REF!</definedName>
    <definedName name="E_KEYWORD_EQTY_200007513_ORG_EPS">#REF!</definedName>
    <definedName name="E_KEYWORD_EQTY_200007513_ORG_NI" localSheetId="24">#REF!</definedName>
    <definedName name="E_KEYWORD_EQTY_200007513_ORG_NI" localSheetId="18">#REF!</definedName>
    <definedName name="E_KEYWORD_EQTY_200007513_ORG_NI" localSheetId="12">#REF!</definedName>
    <definedName name="E_KEYWORD_EQTY_200007513_ORG_NI" localSheetId="23">#REF!</definedName>
    <definedName name="E_KEYWORD_EQTY_200007513_ORG_NI" localSheetId="19">#REF!</definedName>
    <definedName name="E_KEYWORD_EQTY_200007513_ORG_NI" localSheetId="21">#REF!</definedName>
    <definedName name="E_KEYWORD_EQTY_200007513_ORG_NI">#REF!</definedName>
    <definedName name="E_KEYWORD_EQTY_200007513_PREF_DIV" localSheetId="24">#REF!</definedName>
    <definedName name="E_KEYWORD_EQTY_200007513_PREF_DIV" localSheetId="18">#REF!</definedName>
    <definedName name="E_KEYWORD_EQTY_200007513_PREF_DIV" localSheetId="12">#REF!</definedName>
    <definedName name="E_KEYWORD_EQTY_200007513_PREF_DIV" localSheetId="23">#REF!</definedName>
    <definedName name="E_KEYWORD_EQTY_200007513_PREF_DIV" localSheetId="19">#REF!</definedName>
    <definedName name="E_KEYWORD_EQTY_200007513_PREF_DIV" localSheetId="21">#REF!</definedName>
    <definedName name="E_KEYWORD_EQTY_200007513_PREF_DIV">#REF!</definedName>
    <definedName name="E_KEYWORD_EQTY_200007513_PRICE_CURRENCY_ISO" localSheetId="24">#REF!</definedName>
    <definedName name="E_KEYWORD_EQTY_200007513_PRICE_CURRENCY_ISO" localSheetId="18">#REF!</definedName>
    <definedName name="E_KEYWORD_EQTY_200007513_PRICE_CURRENCY_ISO" localSheetId="12">#REF!</definedName>
    <definedName name="E_KEYWORD_EQTY_200007513_PRICE_CURRENCY_ISO" localSheetId="23">#REF!</definedName>
    <definedName name="E_KEYWORD_EQTY_200007513_PRICE_CURRENCY_ISO" localSheetId="19">#REF!</definedName>
    <definedName name="E_KEYWORD_EQTY_200007513_PRICE_CURRENCY_ISO" localSheetId="21">#REF!</definedName>
    <definedName name="E_KEYWORD_EQTY_200007513_PRICE_CURRENCY_ISO">#REF!</definedName>
    <definedName name="E_KEYWORD_EQTY_200007513_PROV_INC_TAX" localSheetId="24">#REF!</definedName>
    <definedName name="E_KEYWORD_EQTY_200007513_PROV_INC_TAX" localSheetId="18">#REF!</definedName>
    <definedName name="E_KEYWORD_EQTY_200007513_PROV_INC_TAX" localSheetId="12">#REF!</definedName>
    <definedName name="E_KEYWORD_EQTY_200007513_PROV_INC_TAX" localSheetId="23">#REF!</definedName>
    <definedName name="E_KEYWORD_EQTY_200007513_PROV_INC_TAX" localSheetId="19">#REF!</definedName>
    <definedName name="E_KEYWORD_EQTY_200007513_PROV_INC_TAX" localSheetId="21">#REF!</definedName>
    <definedName name="E_KEYWORD_EQTY_200007513_PROV_INC_TAX">#REF!</definedName>
    <definedName name="E_KEYWORD_EQTY_200007513_PTP_PUB" localSheetId="24">#REF!</definedName>
    <definedName name="E_KEYWORD_EQTY_200007513_PTP_PUB" localSheetId="18">#REF!</definedName>
    <definedName name="E_KEYWORD_EQTY_200007513_PTP_PUB" localSheetId="12">#REF!</definedName>
    <definedName name="E_KEYWORD_EQTY_200007513_PTP_PUB" localSheetId="23">#REF!</definedName>
    <definedName name="E_KEYWORD_EQTY_200007513_PTP_PUB" localSheetId="19">#REF!</definedName>
    <definedName name="E_KEYWORD_EQTY_200007513_PTP_PUB" localSheetId="21">#REF!</definedName>
    <definedName name="E_KEYWORD_EQTY_200007513_PTP_PUB">#REF!</definedName>
    <definedName name="E_KEYWORD_EQTY_200007513_PUB_CURRENCY_ISO" localSheetId="24">#REF!</definedName>
    <definedName name="E_KEYWORD_EQTY_200007513_PUB_CURRENCY_ISO" localSheetId="18">#REF!</definedName>
    <definedName name="E_KEYWORD_EQTY_200007513_PUB_CURRENCY_ISO" localSheetId="12">#REF!</definedName>
    <definedName name="E_KEYWORD_EQTY_200007513_PUB_CURRENCY_ISO" localSheetId="23">#REF!</definedName>
    <definedName name="E_KEYWORD_EQTY_200007513_PUB_CURRENCY_ISO" localSheetId="19">#REF!</definedName>
    <definedName name="E_KEYWORD_EQTY_200007513_PUB_CURRENCY_ISO" localSheetId="21">#REF!</definedName>
    <definedName name="E_KEYWORD_EQTY_200007513_PUB_CURRENCY_ISO">#REF!</definedName>
    <definedName name="E_KEYWORD_EQTY_200007513_REVS_PUB" localSheetId="24">#REF!</definedName>
    <definedName name="E_KEYWORD_EQTY_200007513_REVS_PUB" localSheetId="18">#REF!</definedName>
    <definedName name="E_KEYWORD_EQTY_200007513_REVS_PUB" localSheetId="12">#REF!</definedName>
    <definedName name="E_KEYWORD_EQTY_200007513_REVS_PUB" localSheetId="23">#REF!</definedName>
    <definedName name="E_KEYWORD_EQTY_200007513_REVS_PUB" localSheetId="19">#REF!</definedName>
    <definedName name="E_KEYWORD_EQTY_200007513_REVS_PUB" localSheetId="21">#REF!</definedName>
    <definedName name="E_KEYWORD_EQTY_200007513_REVS_PUB">#REF!</definedName>
    <definedName name="E_KEYWORD_EQTY_200007513_RISK_FR_RATE" localSheetId="24">#REF!</definedName>
    <definedName name="E_KEYWORD_EQTY_200007513_RISK_FR_RATE" localSheetId="18">#REF!</definedName>
    <definedName name="E_KEYWORD_EQTY_200007513_RISK_FR_RATE" localSheetId="12">#REF!</definedName>
    <definedName name="E_KEYWORD_EQTY_200007513_RISK_FR_RATE" localSheetId="23">#REF!</definedName>
    <definedName name="E_KEYWORD_EQTY_200007513_RISK_FR_RATE" localSheetId="19">#REF!</definedName>
    <definedName name="E_KEYWORD_EQTY_200007513_RISK_FR_RATE" localSheetId="21">#REF!</definedName>
    <definedName name="E_KEYWORD_EQTY_200007513_RISK_FR_RATE">#REF!</definedName>
    <definedName name="E_KEYWORD_EQTY_200007513_Security_Name" localSheetId="24">#REF!</definedName>
    <definedName name="E_KEYWORD_EQTY_200007513_Security_Name" localSheetId="18">#REF!</definedName>
    <definedName name="E_KEYWORD_EQTY_200007513_Security_Name" localSheetId="12">#REF!</definedName>
    <definedName name="E_KEYWORD_EQTY_200007513_Security_Name" localSheetId="23">#REF!</definedName>
    <definedName name="E_KEYWORD_EQTY_200007513_Security_Name" localSheetId="19">#REF!</definedName>
    <definedName name="E_KEYWORD_EQTY_200007513_Security_Name" localSheetId="21">#REF!</definedName>
    <definedName name="E_KEYWORD_EQTY_200007513_Security_Name">#REF!</definedName>
    <definedName name="E_KEYWORD_EQTY_200007513_SH" localSheetId="24">#REF!</definedName>
    <definedName name="E_KEYWORD_EQTY_200007513_SH" localSheetId="18">#REF!</definedName>
    <definedName name="E_KEYWORD_EQTY_200007513_SH" localSheetId="12">#REF!</definedName>
    <definedName name="E_KEYWORD_EQTY_200007513_SH" localSheetId="23">#REF!</definedName>
    <definedName name="E_KEYWORD_EQTY_200007513_SH" localSheetId="19">#REF!</definedName>
    <definedName name="E_KEYWORD_EQTY_200007513_SH" localSheetId="21">#REF!</definedName>
    <definedName name="E_KEYWORD_EQTY_200007513_SH">#REF!</definedName>
    <definedName name="E_KEYWORD_EQTY_200007513_TARGET_PRICE" localSheetId="24">#REF!</definedName>
    <definedName name="E_KEYWORD_EQTY_200007513_TARGET_PRICE" localSheetId="18">#REF!</definedName>
    <definedName name="E_KEYWORD_EQTY_200007513_TARGET_PRICE" localSheetId="12">#REF!</definedName>
    <definedName name="E_KEYWORD_EQTY_200007513_TARGET_PRICE" localSheetId="23">#REF!</definedName>
    <definedName name="E_KEYWORD_EQTY_200007513_TARGET_PRICE" localSheetId="19">#REF!</definedName>
    <definedName name="E_KEYWORD_EQTY_200007513_TARGET_PRICE" localSheetId="21">#REF!</definedName>
    <definedName name="E_KEYWORD_EQTY_200007513_TARGET_PRICE">#REF!</definedName>
    <definedName name="E_KEYWORD_EQTY_200007513_TAX_EXC" localSheetId="24">#REF!</definedName>
    <definedName name="E_KEYWORD_EQTY_200007513_TAX_EXC" localSheetId="18">#REF!</definedName>
    <definedName name="E_KEYWORD_EQTY_200007513_TAX_EXC" localSheetId="12">#REF!</definedName>
    <definedName name="E_KEYWORD_EQTY_200007513_TAX_EXC" localSheetId="23">#REF!</definedName>
    <definedName name="E_KEYWORD_EQTY_200007513_TAX_EXC" localSheetId="19">#REF!</definedName>
    <definedName name="E_KEYWORD_EQTY_200007513_TAX_EXC" localSheetId="21">#REF!</definedName>
    <definedName name="E_KEYWORD_EQTY_200007513_TAX_EXC">#REF!</definedName>
    <definedName name="E_KEYWORD_EQTY_200007513_Ticker" localSheetId="24">#REF!</definedName>
    <definedName name="E_KEYWORD_EQTY_200007513_Ticker" localSheetId="18">#REF!</definedName>
    <definedName name="E_KEYWORD_EQTY_200007513_Ticker" localSheetId="12">#REF!</definedName>
    <definedName name="E_KEYWORD_EQTY_200007513_Ticker" localSheetId="23">#REF!</definedName>
    <definedName name="E_KEYWORD_EQTY_200007513_Ticker" localSheetId="19">#REF!</definedName>
    <definedName name="E_KEYWORD_EQTY_200007513_Ticker" localSheetId="21">#REF!</definedName>
    <definedName name="E_KEYWORD_EQTY_200007513_Ticker">#REF!</definedName>
    <definedName name="E_KEYWORD_EQTY_200007513_TP_PERIOD" localSheetId="24">#REF!</definedName>
    <definedName name="E_KEYWORD_EQTY_200007513_TP_PERIOD" localSheetId="18">#REF!</definedName>
    <definedName name="E_KEYWORD_EQTY_200007513_TP_PERIOD" localSheetId="12">#REF!</definedName>
    <definedName name="E_KEYWORD_EQTY_200007513_TP_PERIOD" localSheetId="23">#REF!</definedName>
    <definedName name="E_KEYWORD_EQTY_200007513_TP_PERIOD" localSheetId="19">#REF!</definedName>
    <definedName name="E_KEYWORD_EQTY_200007513_TP_PERIOD" localSheetId="21">#REF!</definedName>
    <definedName name="E_KEYWORD_EQTY_200007513_TP_PERIOD">#REF!</definedName>
    <definedName name="E_KEYWORD_ISSR_208002861_ACC_AMORT" localSheetId="24">#REF!</definedName>
    <definedName name="E_KEYWORD_ISSR_208002861_ACC_AMORT" localSheetId="18">#REF!</definedName>
    <definedName name="E_KEYWORD_ISSR_208002861_ACC_AMORT" localSheetId="12">#REF!</definedName>
    <definedName name="E_KEYWORD_ISSR_208002861_ACC_AMORT" localSheetId="23">#REF!</definedName>
    <definedName name="E_KEYWORD_ISSR_208002861_ACC_AMORT" localSheetId="19">#REF!</definedName>
    <definedName name="E_KEYWORD_ISSR_208002861_ACC_AMORT" localSheetId="21">#REF!</definedName>
    <definedName name="E_KEYWORD_ISSR_208002861_ACC_AMORT">#REF!</definedName>
    <definedName name="E_KEYWORD_ISSR_208002861_ACC_DDA" localSheetId="24">#REF!</definedName>
    <definedName name="E_KEYWORD_ISSR_208002861_ACC_DDA" localSheetId="18">#REF!</definedName>
    <definedName name="E_KEYWORD_ISSR_208002861_ACC_DDA" localSheetId="12">#REF!</definedName>
    <definedName name="E_KEYWORD_ISSR_208002861_ACC_DDA" localSheetId="23">#REF!</definedName>
    <definedName name="E_KEYWORD_ISSR_208002861_ACC_DDA" localSheetId="19">#REF!</definedName>
    <definedName name="E_KEYWORD_ISSR_208002861_ACC_DDA" localSheetId="21">#REF!</definedName>
    <definedName name="E_KEYWORD_ISSR_208002861_ACC_DDA">#REF!</definedName>
    <definedName name="E_KEYWORD_ISSR_208002861_ACC_END_DATE" localSheetId="24">#REF!</definedName>
    <definedName name="E_KEYWORD_ISSR_208002861_ACC_END_DATE" localSheetId="18">#REF!</definedName>
    <definedName name="E_KEYWORD_ISSR_208002861_ACC_END_DATE" localSheetId="12">#REF!</definedName>
    <definedName name="E_KEYWORD_ISSR_208002861_ACC_END_DATE" localSheetId="23">#REF!</definedName>
    <definedName name="E_KEYWORD_ISSR_208002861_ACC_END_DATE" localSheetId="19">#REF!</definedName>
    <definedName name="E_KEYWORD_ISSR_208002861_ACC_END_DATE" localSheetId="21">#REF!</definedName>
    <definedName name="E_KEYWORD_ISSR_208002861_ACC_END_DATE">#REF!</definedName>
    <definedName name="E_KEYWORD_ISSR_208002861_ACC_PAY_GQ" localSheetId="24">#REF!</definedName>
    <definedName name="E_KEYWORD_ISSR_208002861_ACC_PAY_GQ" localSheetId="18">#REF!</definedName>
    <definedName name="E_KEYWORD_ISSR_208002861_ACC_PAY_GQ" localSheetId="12">#REF!</definedName>
    <definedName name="E_KEYWORD_ISSR_208002861_ACC_PAY_GQ" localSheetId="23">#REF!</definedName>
    <definedName name="E_KEYWORD_ISSR_208002861_ACC_PAY_GQ" localSheetId="19">#REF!</definedName>
    <definedName name="E_KEYWORD_ISSR_208002861_ACC_PAY_GQ" localSheetId="21">#REF!</definedName>
    <definedName name="E_KEYWORD_ISSR_208002861_ACC_PAY_GQ">#REF!</definedName>
    <definedName name="E_KEYWORD_ISSR_208002861_ACQ" localSheetId="24">#REF!</definedName>
    <definedName name="E_KEYWORD_ISSR_208002861_ACQ" localSheetId="18">#REF!</definedName>
    <definedName name="E_KEYWORD_ISSR_208002861_ACQ" localSheetId="12">#REF!</definedName>
    <definedName name="E_KEYWORD_ISSR_208002861_ACQ" localSheetId="23">#REF!</definedName>
    <definedName name="E_KEYWORD_ISSR_208002861_ACQ" localSheetId="19">#REF!</definedName>
    <definedName name="E_KEYWORD_ISSR_208002861_ACQ" localSheetId="21">#REF!</definedName>
    <definedName name="E_KEYWORD_ISSR_208002861_ACQ">#REF!</definedName>
    <definedName name="E_KEYWORD_ISSR_208002861_ADJ_UNF_PENS_GOOD" localSheetId="24">#REF!</definedName>
    <definedName name="E_KEYWORD_ISSR_208002861_ADJ_UNF_PENS_GOOD" localSheetId="18">#REF!</definedName>
    <definedName name="E_KEYWORD_ISSR_208002861_ADJ_UNF_PENS_GOOD" localSheetId="12">#REF!</definedName>
    <definedName name="E_KEYWORD_ISSR_208002861_ADJ_UNF_PENS_GOOD" localSheetId="23">#REF!</definedName>
    <definedName name="E_KEYWORD_ISSR_208002861_ADJ_UNF_PENS_GOOD" localSheetId="19">#REF!</definedName>
    <definedName name="E_KEYWORD_ISSR_208002861_ADJ_UNF_PENS_GOOD" localSheetId="21">#REF!</definedName>
    <definedName name="E_KEYWORD_ISSR_208002861_ADJ_UNF_PENS_GOOD">#REF!</definedName>
    <definedName name="E_KEYWORD_ISSR_208002861_ASSOC_JV_ADDBK" localSheetId="24">#REF!</definedName>
    <definedName name="E_KEYWORD_ISSR_208002861_ASSOC_JV_ADDBK" localSheetId="18">#REF!</definedName>
    <definedName name="E_KEYWORD_ISSR_208002861_ASSOC_JV_ADDBK" localSheetId="12">#REF!</definedName>
    <definedName name="E_KEYWORD_ISSR_208002861_ASSOC_JV_ADDBK" localSheetId="23">#REF!</definedName>
    <definedName name="E_KEYWORD_ISSR_208002861_ASSOC_JV_ADDBK" localSheetId="19">#REF!</definedName>
    <definedName name="E_KEYWORD_ISSR_208002861_ASSOC_JV_ADDBK" localSheetId="21">#REF!</definedName>
    <definedName name="E_KEYWORD_ISSR_208002861_ASSOC_JV_ADDBK">#REF!</definedName>
    <definedName name="E_KEYWORD_ISSR_208002861_ASSOCIATE" localSheetId="24">#REF!</definedName>
    <definedName name="E_KEYWORD_ISSR_208002861_ASSOCIATE" localSheetId="18">#REF!</definedName>
    <definedName name="E_KEYWORD_ISSR_208002861_ASSOCIATE" localSheetId="12">#REF!</definedName>
    <definedName name="E_KEYWORD_ISSR_208002861_ASSOCIATE" localSheetId="23">#REF!</definedName>
    <definedName name="E_KEYWORD_ISSR_208002861_ASSOCIATE" localSheetId="19">#REF!</definedName>
    <definedName name="E_KEYWORD_ISSR_208002861_ASSOCIATE" localSheetId="21">#REF!</definedName>
    <definedName name="E_KEYWORD_ISSR_208002861_ASSOCIATE">#REF!</definedName>
    <definedName name="E_KEYWORD_ISSR_208002861_ASSOCIATE_OP" localSheetId="24">#REF!</definedName>
    <definedName name="E_KEYWORD_ISSR_208002861_ASSOCIATE_OP" localSheetId="18">#REF!</definedName>
    <definedName name="E_KEYWORD_ISSR_208002861_ASSOCIATE_OP" localSheetId="12">#REF!</definedName>
    <definedName name="E_KEYWORD_ISSR_208002861_ASSOCIATE_OP" localSheetId="23">#REF!</definedName>
    <definedName name="E_KEYWORD_ISSR_208002861_ASSOCIATE_OP" localSheetId="19">#REF!</definedName>
    <definedName name="E_KEYWORD_ISSR_208002861_ASSOCIATE_OP" localSheetId="21">#REF!</definedName>
    <definedName name="E_KEYWORD_ISSR_208002861_ASSOCIATE_OP">#REF!</definedName>
    <definedName name="E_KEYWORD_ISSR_208002861_BAL_MINO_INT" localSheetId="24">#REF!</definedName>
    <definedName name="E_KEYWORD_ISSR_208002861_BAL_MINO_INT" localSheetId="18">#REF!</definedName>
    <definedName name="E_KEYWORD_ISSR_208002861_BAL_MINO_INT" localSheetId="12">#REF!</definedName>
    <definedName name="E_KEYWORD_ISSR_208002861_BAL_MINO_INT" localSheetId="23">#REF!</definedName>
    <definedName name="E_KEYWORD_ISSR_208002861_BAL_MINO_INT" localSheetId="19">#REF!</definedName>
    <definedName name="E_KEYWORD_ISSR_208002861_BAL_MINO_INT" localSheetId="21">#REF!</definedName>
    <definedName name="E_KEYWORD_ISSR_208002861_BAL_MINO_INT">#REF!</definedName>
    <definedName name="E_KEYWORD_ISSR_208002861_CAP_LEASES" localSheetId="24">#REF!</definedName>
    <definedName name="E_KEYWORD_ISSR_208002861_CAP_LEASES" localSheetId="18">#REF!</definedName>
    <definedName name="E_KEYWORD_ISSR_208002861_CAP_LEASES" localSheetId="12">#REF!</definedName>
    <definedName name="E_KEYWORD_ISSR_208002861_CAP_LEASES" localSheetId="23">#REF!</definedName>
    <definedName name="E_KEYWORD_ISSR_208002861_CAP_LEASES" localSheetId="19">#REF!</definedName>
    <definedName name="E_KEYWORD_ISSR_208002861_CAP_LEASES" localSheetId="21">#REF!</definedName>
    <definedName name="E_KEYWORD_ISSR_208002861_CAP_LEASES">#REF!</definedName>
    <definedName name="E_KEYWORD_ISSR_208002861_CAPEX" localSheetId="24">#REF!</definedName>
    <definedName name="E_KEYWORD_ISSR_208002861_CAPEX" localSheetId="18">#REF!</definedName>
    <definedName name="E_KEYWORD_ISSR_208002861_CAPEX" localSheetId="12">#REF!</definedName>
    <definedName name="E_KEYWORD_ISSR_208002861_CAPEX" localSheetId="23">#REF!</definedName>
    <definedName name="E_KEYWORD_ISSR_208002861_CAPEX" localSheetId="19">#REF!</definedName>
    <definedName name="E_KEYWORD_ISSR_208002861_CAPEX" localSheetId="21">#REF!</definedName>
    <definedName name="E_KEYWORD_ISSR_208002861_CAPEX">#REF!</definedName>
    <definedName name="E_KEYWORD_ISSR_208002861_CAPEX_EXPANSION" localSheetId="24">#REF!</definedName>
    <definedName name="E_KEYWORD_ISSR_208002861_CAPEX_EXPANSION" localSheetId="18">#REF!</definedName>
    <definedName name="E_KEYWORD_ISSR_208002861_CAPEX_EXPANSION" localSheetId="12">#REF!</definedName>
    <definedName name="E_KEYWORD_ISSR_208002861_CAPEX_EXPANSION" localSheetId="23">#REF!</definedName>
    <definedName name="E_KEYWORD_ISSR_208002861_CAPEX_EXPANSION" localSheetId="19">#REF!</definedName>
    <definedName name="E_KEYWORD_ISSR_208002861_CAPEX_EXPANSION" localSheetId="21">#REF!</definedName>
    <definedName name="E_KEYWORD_ISSR_208002861_CAPEX_EXPANSION">#REF!</definedName>
    <definedName name="E_KEYWORD_ISSR_208002861_CAPEX_MAINTENANCE" localSheetId="24">#REF!</definedName>
    <definedName name="E_KEYWORD_ISSR_208002861_CAPEX_MAINTENANCE" localSheetId="18">#REF!</definedName>
    <definedName name="E_KEYWORD_ISSR_208002861_CAPEX_MAINTENANCE" localSheetId="12">#REF!</definedName>
    <definedName name="E_KEYWORD_ISSR_208002861_CAPEX_MAINTENANCE" localSheetId="23">#REF!</definedName>
    <definedName name="E_KEYWORD_ISSR_208002861_CAPEX_MAINTENANCE" localSheetId="19">#REF!</definedName>
    <definedName name="E_KEYWORD_ISSR_208002861_CAPEX_MAINTENANCE" localSheetId="21">#REF!</definedName>
    <definedName name="E_KEYWORD_ISSR_208002861_CAPEX_MAINTENANCE">#REF!</definedName>
    <definedName name="E_KEYWORD_ISSR_208002861_CASH_EQ" localSheetId="24">#REF!</definedName>
    <definedName name="E_KEYWORD_ISSR_208002861_CASH_EQ" localSheetId="18">#REF!</definedName>
    <definedName name="E_KEYWORD_ISSR_208002861_CASH_EQ" localSheetId="12">#REF!</definedName>
    <definedName name="E_KEYWORD_ISSR_208002861_CASH_EQ" localSheetId="23">#REF!</definedName>
    <definedName name="E_KEYWORD_ISSR_208002861_CASH_EQ" localSheetId="19">#REF!</definedName>
    <definedName name="E_KEYWORD_ISSR_208002861_CASH_EQ" localSheetId="21">#REF!</definedName>
    <definedName name="E_KEYWORD_ISSR_208002861_CASH_EQ">#REF!</definedName>
    <definedName name="E_KEYWORD_ISSR_208002861_CASH_INT_EXP" localSheetId="24">#REF!</definedName>
    <definedName name="E_KEYWORD_ISSR_208002861_CASH_INT_EXP" localSheetId="18">#REF!</definedName>
    <definedName name="E_KEYWORD_ISSR_208002861_CASH_INT_EXP" localSheetId="12">#REF!</definedName>
    <definedName name="E_KEYWORD_ISSR_208002861_CASH_INT_EXP" localSheetId="23">#REF!</definedName>
    <definedName name="E_KEYWORD_ISSR_208002861_CASH_INT_EXP" localSheetId="19">#REF!</definedName>
    <definedName name="E_KEYWORD_ISSR_208002861_CASH_INT_EXP" localSheetId="21">#REF!</definedName>
    <definedName name="E_KEYWORD_ISSR_208002861_CASH_INT_EXP">#REF!</definedName>
    <definedName name="E_KEYWORD_ISSR_208002861_CASH_INT_INC_EXP" localSheetId="24">#REF!</definedName>
    <definedName name="E_KEYWORD_ISSR_208002861_CASH_INT_INC_EXP" localSheetId="18">#REF!</definedName>
    <definedName name="E_KEYWORD_ISSR_208002861_CASH_INT_INC_EXP" localSheetId="12">#REF!</definedName>
    <definedName name="E_KEYWORD_ISSR_208002861_CASH_INT_INC_EXP" localSheetId="23">#REF!</definedName>
    <definedName name="E_KEYWORD_ISSR_208002861_CASH_INT_INC_EXP" localSheetId="19">#REF!</definedName>
    <definedName name="E_KEYWORD_ISSR_208002861_CASH_INT_INC_EXP" localSheetId="21">#REF!</definedName>
    <definedName name="E_KEYWORD_ISSR_208002861_CASH_INT_INC_EXP">#REF!</definedName>
    <definedName name="E_KEYWORD_ISSR_208002861_CASH_TAX_EXP" localSheetId="24">#REF!</definedName>
    <definedName name="E_KEYWORD_ISSR_208002861_CASH_TAX_EXP" localSheetId="18">#REF!</definedName>
    <definedName name="E_KEYWORD_ISSR_208002861_CASH_TAX_EXP" localSheetId="12">#REF!</definedName>
    <definedName name="E_KEYWORD_ISSR_208002861_CASH_TAX_EXP" localSheetId="23">#REF!</definedName>
    <definedName name="E_KEYWORD_ISSR_208002861_CASH_TAX_EXP" localSheetId="19">#REF!</definedName>
    <definedName name="E_KEYWORD_ISSR_208002861_CASH_TAX_EXP" localSheetId="21">#REF!</definedName>
    <definedName name="E_KEYWORD_ISSR_208002861_CASH_TAX_EXP">#REF!</definedName>
    <definedName name="E_KEYWORD_ISSR_208002861_CASH_TAX_PD" localSheetId="24">#REF!</definedName>
    <definedName name="E_KEYWORD_ISSR_208002861_CASH_TAX_PD" localSheetId="18">#REF!</definedName>
    <definedName name="E_KEYWORD_ISSR_208002861_CASH_TAX_PD" localSheetId="12">#REF!</definedName>
    <definedName name="E_KEYWORD_ISSR_208002861_CASH_TAX_PD" localSheetId="23">#REF!</definedName>
    <definedName name="E_KEYWORD_ISSR_208002861_CASH_TAX_PD" localSheetId="19">#REF!</definedName>
    <definedName name="E_KEYWORD_ISSR_208002861_CASH_TAX_PD" localSheetId="21">#REF!</definedName>
    <definedName name="E_KEYWORD_ISSR_208002861_CASH_TAX_PD">#REF!</definedName>
    <definedName name="E_KEYWORD_ISSR_208002861_CF_FIN" localSheetId="24">#REF!</definedName>
    <definedName name="E_KEYWORD_ISSR_208002861_CF_FIN" localSheetId="18">#REF!</definedName>
    <definedName name="E_KEYWORD_ISSR_208002861_CF_FIN" localSheetId="12">#REF!</definedName>
    <definedName name="E_KEYWORD_ISSR_208002861_CF_FIN" localSheetId="23">#REF!</definedName>
    <definedName name="E_KEYWORD_ISSR_208002861_CF_FIN" localSheetId="19">#REF!</definedName>
    <definedName name="E_KEYWORD_ISSR_208002861_CF_FIN" localSheetId="21">#REF!</definedName>
    <definedName name="E_KEYWORD_ISSR_208002861_CF_FIN">#REF!</definedName>
    <definedName name="E_KEYWORD_ISSR_208002861_CF_INC_MINORITY" localSheetId="24">#REF!</definedName>
    <definedName name="E_KEYWORD_ISSR_208002861_CF_INC_MINORITY" localSheetId="18">#REF!</definedName>
    <definedName name="E_KEYWORD_ISSR_208002861_CF_INC_MINORITY" localSheetId="12">#REF!</definedName>
    <definedName name="E_KEYWORD_ISSR_208002861_CF_INC_MINORITY" localSheetId="23">#REF!</definedName>
    <definedName name="E_KEYWORD_ISSR_208002861_CF_INC_MINORITY" localSheetId="19">#REF!</definedName>
    <definedName name="E_KEYWORD_ISSR_208002861_CF_INC_MINORITY" localSheetId="21">#REF!</definedName>
    <definedName name="E_KEYWORD_ISSR_208002861_CF_INC_MINORITY">#REF!</definedName>
    <definedName name="E_KEYWORD_ISSR_208002861_CF_INV" localSheetId="24">#REF!</definedName>
    <definedName name="E_KEYWORD_ISSR_208002861_CF_INV" localSheetId="18">#REF!</definedName>
    <definedName name="E_KEYWORD_ISSR_208002861_CF_INV" localSheetId="12">#REF!</definedName>
    <definedName name="E_KEYWORD_ISSR_208002861_CF_INV" localSheetId="23">#REF!</definedName>
    <definedName name="E_KEYWORD_ISSR_208002861_CF_INV" localSheetId="19">#REF!</definedName>
    <definedName name="E_KEYWORD_ISSR_208002861_CF_INV" localSheetId="21">#REF!</definedName>
    <definedName name="E_KEYWORD_ISSR_208002861_CF_INV">#REF!</definedName>
    <definedName name="E_KEYWORD_ISSR_208002861_CF_OPS" localSheetId="24">#REF!</definedName>
    <definedName name="E_KEYWORD_ISSR_208002861_CF_OPS" localSheetId="18">#REF!</definedName>
    <definedName name="E_KEYWORD_ISSR_208002861_CF_OPS" localSheetId="12">#REF!</definedName>
    <definedName name="E_KEYWORD_ISSR_208002861_CF_OPS" localSheetId="23">#REF!</definedName>
    <definedName name="E_KEYWORD_ISSR_208002861_CF_OPS" localSheetId="19">#REF!</definedName>
    <definedName name="E_KEYWORD_ISSR_208002861_CF_OPS" localSheetId="21">#REF!</definedName>
    <definedName name="E_KEYWORD_ISSR_208002861_CF_OPS">#REF!</definedName>
    <definedName name="E_KEYWORD_ISSR_208002861_CHG_LT_DEBT" localSheetId="24">#REF!</definedName>
    <definedName name="E_KEYWORD_ISSR_208002861_CHG_LT_DEBT" localSheetId="18">#REF!</definedName>
    <definedName name="E_KEYWORD_ISSR_208002861_CHG_LT_DEBT" localSheetId="12">#REF!</definedName>
    <definedName name="E_KEYWORD_ISSR_208002861_CHG_LT_DEBT" localSheetId="23">#REF!</definedName>
    <definedName name="E_KEYWORD_ISSR_208002861_CHG_LT_DEBT" localSheetId="19">#REF!</definedName>
    <definedName name="E_KEYWORD_ISSR_208002861_CHG_LT_DEBT" localSheetId="21">#REF!</definedName>
    <definedName name="E_KEYWORD_ISSR_208002861_CHG_LT_DEBT">#REF!</definedName>
    <definedName name="E_KEYWORD_ISSR_208002861_CO_BOR_MARGIN" localSheetId="24">#REF!</definedName>
    <definedName name="E_KEYWORD_ISSR_208002861_CO_BOR_MARGIN" localSheetId="18">#REF!</definedName>
    <definedName name="E_KEYWORD_ISSR_208002861_CO_BOR_MARGIN" localSheetId="12">#REF!</definedName>
    <definedName name="E_KEYWORD_ISSR_208002861_CO_BOR_MARGIN" localSheetId="23">#REF!</definedName>
    <definedName name="E_KEYWORD_ISSR_208002861_CO_BOR_MARGIN" localSheetId="19">#REF!</definedName>
    <definedName name="E_KEYWORD_ISSR_208002861_CO_BOR_MARGIN" localSheetId="21">#REF!</definedName>
    <definedName name="E_KEYWORD_ISSR_208002861_CO_BOR_MARGIN">#REF!</definedName>
    <definedName name="E_KEYWORD_ISSR_208002861_COST_GD_SD" localSheetId="24">#REF!</definedName>
    <definedName name="E_KEYWORD_ISSR_208002861_COST_GD_SD" localSheetId="18">#REF!</definedName>
    <definedName name="E_KEYWORD_ISSR_208002861_COST_GD_SD" localSheetId="12">#REF!</definedName>
    <definedName name="E_KEYWORD_ISSR_208002861_COST_GD_SD" localSheetId="23">#REF!</definedName>
    <definedName name="E_KEYWORD_ISSR_208002861_COST_GD_SD" localSheetId="19">#REF!</definedName>
    <definedName name="E_KEYWORD_ISSR_208002861_COST_GD_SD" localSheetId="21">#REF!</definedName>
    <definedName name="E_KEYWORD_ISSR_208002861_COST_GD_SD">#REF!</definedName>
    <definedName name="E_KEYWORD_ISSR_208002861_CUR_ASS" localSheetId="24">#REF!</definedName>
    <definedName name="E_KEYWORD_ISSR_208002861_CUR_ASS" localSheetId="18">#REF!</definedName>
    <definedName name="E_KEYWORD_ISSR_208002861_CUR_ASS" localSheetId="12">#REF!</definedName>
    <definedName name="E_KEYWORD_ISSR_208002861_CUR_ASS" localSheetId="23">#REF!</definedName>
    <definedName name="E_KEYWORD_ISSR_208002861_CUR_ASS" localSheetId="19">#REF!</definedName>
    <definedName name="E_KEYWORD_ISSR_208002861_CUR_ASS" localSheetId="21">#REF!</definedName>
    <definedName name="E_KEYWORD_ISSR_208002861_CUR_ASS">#REF!</definedName>
    <definedName name="E_KEYWORD_ISSR_208002861_CURRENCY_ISO" localSheetId="24">#REF!</definedName>
    <definedName name="E_KEYWORD_ISSR_208002861_CURRENCY_ISO" localSheetId="18">#REF!</definedName>
    <definedName name="E_KEYWORD_ISSR_208002861_CURRENCY_ISO" localSheetId="12">#REF!</definedName>
    <definedName name="E_KEYWORD_ISSR_208002861_CURRENCY_ISO" localSheetId="23">#REF!</definedName>
    <definedName name="E_KEYWORD_ISSR_208002861_CURRENCY_ISO" localSheetId="19">#REF!</definedName>
    <definedName name="E_KEYWORD_ISSR_208002861_CURRENCY_ISO" localSheetId="21">#REF!</definedName>
    <definedName name="E_KEYWORD_ISSR_208002861_CURRENCY_ISO">#REF!</definedName>
    <definedName name="E_KEYWORD_ISSR_208002861_DEBTORS" localSheetId="24">#REF!</definedName>
    <definedName name="E_KEYWORD_ISSR_208002861_DEBTORS" localSheetId="18">#REF!</definedName>
    <definedName name="E_KEYWORD_ISSR_208002861_DEBTORS" localSheetId="12">#REF!</definedName>
    <definedName name="E_KEYWORD_ISSR_208002861_DEBTORS" localSheetId="23">#REF!</definedName>
    <definedName name="E_KEYWORD_ISSR_208002861_DEBTORS" localSheetId="19">#REF!</definedName>
    <definedName name="E_KEYWORD_ISSR_208002861_DEBTORS" localSheetId="21">#REF!</definedName>
    <definedName name="E_KEYWORD_ISSR_208002861_DEBTORS">#REF!</definedName>
    <definedName name="E_KEYWORD_ISSR_208002861_DEF_INC_TAX" localSheetId="24">#REF!</definedName>
    <definedName name="E_KEYWORD_ISSR_208002861_DEF_INC_TAX" localSheetId="18">#REF!</definedName>
    <definedName name="E_KEYWORD_ISSR_208002861_DEF_INC_TAX" localSheetId="12">#REF!</definedName>
    <definedName name="E_KEYWORD_ISSR_208002861_DEF_INC_TAX" localSheetId="23">#REF!</definedName>
    <definedName name="E_KEYWORD_ISSR_208002861_DEF_INC_TAX" localSheetId="19">#REF!</definedName>
    <definedName name="E_KEYWORD_ISSR_208002861_DEF_INC_TAX" localSheetId="21">#REF!</definedName>
    <definedName name="E_KEYWORD_ISSR_208002861_DEF_INC_TAX">#REF!</definedName>
    <definedName name="E_KEYWORD_ISSR_208002861_DEPR_AMORT" localSheetId="24">#REF!</definedName>
    <definedName name="E_KEYWORD_ISSR_208002861_DEPR_AMORT" localSheetId="18">#REF!</definedName>
    <definedName name="E_KEYWORD_ISSR_208002861_DEPR_AMORT" localSheetId="12">#REF!</definedName>
    <definedName name="E_KEYWORD_ISSR_208002861_DEPR_AMORT" localSheetId="23">#REF!</definedName>
    <definedName name="E_KEYWORD_ISSR_208002861_DEPR_AMORT" localSheetId="19">#REF!</definedName>
    <definedName name="E_KEYWORD_ISSR_208002861_DEPR_AMORT" localSheetId="21">#REF!</definedName>
    <definedName name="E_KEYWORD_ISSR_208002861_DEPR_AMORT">#REF!</definedName>
    <definedName name="E_KEYWORD_ISSR_208002861_DEPREC" localSheetId="24">#REF!</definedName>
    <definedName name="E_KEYWORD_ISSR_208002861_DEPREC" localSheetId="18">#REF!</definedName>
    <definedName name="E_KEYWORD_ISSR_208002861_DEPREC" localSheetId="12">#REF!</definedName>
    <definedName name="E_KEYWORD_ISSR_208002861_DEPREC" localSheetId="23">#REF!</definedName>
    <definedName name="E_KEYWORD_ISSR_208002861_DEPREC" localSheetId="19">#REF!</definedName>
    <definedName name="E_KEYWORD_ISSR_208002861_DEPREC" localSheetId="21">#REF!</definedName>
    <definedName name="E_KEYWORD_ISSR_208002861_DEPREC">#REF!</definedName>
    <definedName name="E_KEYWORD_ISSR_208002861_DIV_PAID" localSheetId="24">#REF!</definedName>
    <definedName name="E_KEYWORD_ISSR_208002861_DIV_PAID" localSheetId="18">#REF!</definedName>
    <definedName name="E_KEYWORD_ISSR_208002861_DIV_PAID" localSheetId="12">#REF!</definedName>
    <definedName name="E_KEYWORD_ISSR_208002861_DIV_PAID" localSheetId="23">#REF!</definedName>
    <definedName name="E_KEYWORD_ISSR_208002861_DIV_PAID" localSheetId="19">#REF!</definedName>
    <definedName name="E_KEYWORD_ISSR_208002861_DIV_PAID" localSheetId="21">#REF!</definedName>
    <definedName name="E_KEYWORD_ISSR_208002861_DIV_PAID">#REF!</definedName>
    <definedName name="E_KEYWORD_ISSR_208002861_DIVDS_ASSOC_JV" localSheetId="24">#REF!</definedName>
    <definedName name="E_KEYWORD_ISSR_208002861_DIVDS_ASSOC_JV" localSheetId="18">#REF!</definedName>
    <definedName name="E_KEYWORD_ISSR_208002861_DIVDS_ASSOC_JV" localSheetId="12">#REF!</definedName>
    <definedName name="E_KEYWORD_ISSR_208002861_DIVDS_ASSOC_JV" localSheetId="23">#REF!</definedName>
    <definedName name="E_KEYWORD_ISSR_208002861_DIVDS_ASSOC_JV" localSheetId="19">#REF!</definedName>
    <definedName name="E_KEYWORD_ISSR_208002861_DIVDS_ASSOC_JV" localSheetId="21">#REF!</definedName>
    <definedName name="E_KEYWORD_ISSR_208002861_DIVDS_ASSOC_JV">#REF!</definedName>
    <definedName name="E_KEYWORD_ISSR_208002861_DIVDS_PD_MINORITIES" localSheetId="24">#REF!</definedName>
    <definedName name="E_KEYWORD_ISSR_208002861_DIVDS_PD_MINORITIES" localSheetId="18">#REF!</definedName>
    <definedName name="E_KEYWORD_ISSR_208002861_DIVDS_PD_MINORITIES" localSheetId="12">#REF!</definedName>
    <definedName name="E_KEYWORD_ISSR_208002861_DIVDS_PD_MINORITIES" localSheetId="23">#REF!</definedName>
    <definedName name="E_KEYWORD_ISSR_208002861_DIVDS_PD_MINORITIES" localSheetId="19">#REF!</definedName>
    <definedName name="E_KEYWORD_ISSR_208002861_DIVDS_PD_MINORITIES" localSheetId="21">#REF!</definedName>
    <definedName name="E_KEYWORD_ISSR_208002861_DIVDS_PD_MINORITIES">#REF!</definedName>
    <definedName name="E_KEYWORD_ISSR_208002861_DIVEST" localSheetId="24">#REF!</definedName>
    <definedName name="E_KEYWORD_ISSR_208002861_DIVEST" localSheetId="18">#REF!</definedName>
    <definedName name="E_KEYWORD_ISSR_208002861_DIVEST" localSheetId="12">#REF!</definedName>
    <definedName name="E_KEYWORD_ISSR_208002861_DIVEST" localSheetId="23">#REF!</definedName>
    <definedName name="E_KEYWORD_ISSR_208002861_DIVEST" localSheetId="19">#REF!</definedName>
    <definedName name="E_KEYWORD_ISSR_208002861_DIVEST" localSheetId="21">#REF!</definedName>
    <definedName name="E_KEYWORD_ISSR_208002861_DIVEST">#REF!</definedName>
    <definedName name="E_KEYWORD_ISSR_208002861_EBIT" localSheetId="24">#REF!</definedName>
    <definedName name="E_KEYWORD_ISSR_208002861_EBIT" localSheetId="18">#REF!</definedName>
    <definedName name="E_KEYWORD_ISSR_208002861_EBIT" localSheetId="12">#REF!</definedName>
    <definedName name="E_KEYWORD_ISSR_208002861_EBIT" localSheetId="23">#REF!</definedName>
    <definedName name="E_KEYWORD_ISSR_208002861_EBIT" localSheetId="19">#REF!</definedName>
    <definedName name="E_KEYWORD_ISSR_208002861_EBIT" localSheetId="21">#REF!</definedName>
    <definedName name="E_KEYWORD_ISSR_208002861_EBIT">#REF!</definedName>
    <definedName name="E_KEYWORD_ISSR_208002861_EBITDA_CALC" localSheetId="24">#REF!</definedName>
    <definedName name="E_KEYWORD_ISSR_208002861_EBITDA_CALC" localSheetId="18">#REF!</definedName>
    <definedName name="E_KEYWORD_ISSR_208002861_EBITDA_CALC" localSheetId="12">#REF!</definedName>
    <definedName name="E_KEYWORD_ISSR_208002861_EBITDA_CALC" localSheetId="23">#REF!</definedName>
    <definedName name="E_KEYWORD_ISSR_208002861_EBITDA_CALC" localSheetId="19">#REF!</definedName>
    <definedName name="E_KEYWORD_ISSR_208002861_EBITDA_CALC" localSheetId="21">#REF!</definedName>
    <definedName name="E_KEYWORD_ISSR_208002861_EBITDA_CALC">#REF!</definedName>
    <definedName name="E_KEYWORD_ISSR_208002861_EMPLOYEES" localSheetId="24">#REF!</definedName>
    <definedName name="E_KEYWORD_ISSR_208002861_EMPLOYEES" localSheetId="18">#REF!</definedName>
    <definedName name="E_KEYWORD_ISSR_208002861_EMPLOYEES" localSheetId="12">#REF!</definedName>
    <definedName name="E_KEYWORD_ISSR_208002861_EMPLOYEES" localSheetId="23">#REF!</definedName>
    <definedName name="E_KEYWORD_ISSR_208002861_EMPLOYEES" localSheetId="19">#REF!</definedName>
    <definedName name="E_KEYWORD_ISSR_208002861_EMPLOYEES" localSheetId="21">#REF!</definedName>
    <definedName name="E_KEYWORD_ISSR_208002861_EMPLOYEES">#REF!</definedName>
    <definedName name="E_KEYWORD_ISSR_208002861_EQ" localSheetId="24">#REF!</definedName>
    <definedName name="E_KEYWORD_ISSR_208002861_EQ" localSheetId="18">#REF!</definedName>
    <definedName name="E_KEYWORD_ISSR_208002861_EQ" localSheetId="12">#REF!</definedName>
    <definedName name="E_KEYWORD_ISSR_208002861_EQ" localSheetId="23">#REF!</definedName>
    <definedName name="E_KEYWORD_ISSR_208002861_EQ" localSheetId="19">#REF!</definedName>
    <definedName name="E_KEYWORD_ISSR_208002861_EQ" localSheetId="21">#REF!</definedName>
    <definedName name="E_KEYWORD_ISSR_208002861_EQ">#REF!</definedName>
    <definedName name="E_KEYWORD_ISSR_208002861_EXP_ALUMINIUM" localSheetId="24">#REF!</definedName>
    <definedName name="E_KEYWORD_ISSR_208002861_EXP_ALUMINIUM" localSheetId="18">#REF!</definedName>
    <definedName name="E_KEYWORD_ISSR_208002861_EXP_ALUMINIUM" localSheetId="12">#REF!</definedName>
    <definedName name="E_KEYWORD_ISSR_208002861_EXP_ALUMINIUM" localSheetId="23">#REF!</definedName>
    <definedName name="E_KEYWORD_ISSR_208002861_EXP_ALUMINIUM" localSheetId="19">#REF!</definedName>
    <definedName name="E_KEYWORD_ISSR_208002861_EXP_ALUMINIUM" localSheetId="21">#REF!</definedName>
    <definedName name="E_KEYWORD_ISSR_208002861_EXP_ALUMINIUM">#REF!</definedName>
    <definedName name="E_KEYWORD_ISSR_208002861_EXP_COPPER" localSheetId="24">#REF!</definedName>
    <definedName name="E_KEYWORD_ISSR_208002861_EXP_COPPER" localSheetId="18">#REF!</definedName>
    <definedName name="E_KEYWORD_ISSR_208002861_EXP_COPPER" localSheetId="12">#REF!</definedName>
    <definedName name="E_KEYWORD_ISSR_208002861_EXP_COPPER" localSheetId="23">#REF!</definedName>
    <definedName name="E_KEYWORD_ISSR_208002861_EXP_COPPER" localSheetId="19">#REF!</definedName>
    <definedName name="E_KEYWORD_ISSR_208002861_EXP_COPPER" localSheetId="21">#REF!</definedName>
    <definedName name="E_KEYWORD_ISSR_208002861_EXP_COPPER">#REF!</definedName>
    <definedName name="E_KEYWORD_ISSR_208002861_EXP_GLASS" localSheetId="24">#REF!</definedName>
    <definedName name="E_KEYWORD_ISSR_208002861_EXP_GLASS" localSheetId="18">#REF!</definedName>
    <definedName name="E_KEYWORD_ISSR_208002861_EXP_GLASS" localSheetId="12">#REF!</definedName>
    <definedName name="E_KEYWORD_ISSR_208002861_EXP_GLASS" localSheetId="23">#REF!</definedName>
    <definedName name="E_KEYWORD_ISSR_208002861_EXP_GLASS" localSheetId="19">#REF!</definedName>
    <definedName name="E_KEYWORD_ISSR_208002861_EXP_GLASS" localSheetId="21">#REF!</definedName>
    <definedName name="E_KEYWORD_ISSR_208002861_EXP_GLASS">#REF!</definedName>
    <definedName name="E_KEYWORD_ISSR_208002861_EXP_GOLD" localSheetId="24">#REF!</definedName>
    <definedName name="E_KEYWORD_ISSR_208002861_EXP_GOLD" localSheetId="18">#REF!</definedName>
    <definedName name="E_KEYWORD_ISSR_208002861_EXP_GOLD" localSheetId="12">#REF!</definedName>
    <definedName name="E_KEYWORD_ISSR_208002861_EXP_GOLD" localSheetId="23">#REF!</definedName>
    <definedName name="E_KEYWORD_ISSR_208002861_EXP_GOLD" localSheetId="19">#REF!</definedName>
    <definedName name="E_KEYWORD_ISSR_208002861_EXP_GOLD" localSheetId="21">#REF!</definedName>
    <definedName name="E_KEYWORD_ISSR_208002861_EXP_GOLD">#REF!</definedName>
    <definedName name="E_KEYWORD_ISSR_208002861_EXP_NAT_GAS" localSheetId="24">#REF!</definedName>
    <definedName name="E_KEYWORD_ISSR_208002861_EXP_NAT_GAS" localSheetId="18">#REF!</definedName>
    <definedName name="E_KEYWORD_ISSR_208002861_EXP_NAT_GAS" localSheetId="12">#REF!</definedName>
    <definedName name="E_KEYWORD_ISSR_208002861_EXP_NAT_GAS" localSheetId="23">#REF!</definedName>
    <definedName name="E_KEYWORD_ISSR_208002861_EXP_NAT_GAS" localSheetId="19">#REF!</definedName>
    <definedName name="E_KEYWORD_ISSR_208002861_EXP_NAT_GAS" localSheetId="21">#REF!</definedName>
    <definedName name="E_KEYWORD_ISSR_208002861_EXP_NAT_GAS">#REF!</definedName>
    <definedName name="E_KEYWORD_ISSR_208002861_EXP_NICKEL" localSheetId="24">#REF!</definedName>
    <definedName name="E_KEYWORD_ISSR_208002861_EXP_NICKEL" localSheetId="18">#REF!</definedName>
    <definedName name="E_KEYWORD_ISSR_208002861_EXP_NICKEL" localSheetId="12">#REF!</definedName>
    <definedName name="E_KEYWORD_ISSR_208002861_EXP_NICKEL" localSheetId="23">#REF!</definedName>
    <definedName name="E_KEYWORD_ISSR_208002861_EXP_NICKEL" localSheetId="19">#REF!</definedName>
    <definedName name="E_KEYWORD_ISSR_208002861_EXP_NICKEL" localSheetId="21">#REF!</definedName>
    <definedName name="E_KEYWORD_ISSR_208002861_EXP_NICKEL">#REF!</definedName>
    <definedName name="E_KEYWORD_ISSR_208002861_EXP_OIL_DERIV_NGLS_PLASTICS" localSheetId="24">#REF!</definedName>
    <definedName name="E_KEYWORD_ISSR_208002861_EXP_OIL_DERIV_NGLS_PLASTICS" localSheetId="18">#REF!</definedName>
    <definedName name="E_KEYWORD_ISSR_208002861_EXP_OIL_DERIV_NGLS_PLASTICS" localSheetId="12">#REF!</definedName>
    <definedName name="E_KEYWORD_ISSR_208002861_EXP_OIL_DERIV_NGLS_PLASTICS" localSheetId="23">#REF!</definedName>
    <definedName name="E_KEYWORD_ISSR_208002861_EXP_OIL_DERIV_NGLS_PLASTICS" localSheetId="19">#REF!</definedName>
    <definedName name="E_KEYWORD_ISSR_208002861_EXP_OIL_DERIV_NGLS_PLASTICS" localSheetId="21">#REF!</definedName>
    <definedName name="E_KEYWORD_ISSR_208002861_EXP_OIL_DERIV_NGLS_PLASTICS">#REF!</definedName>
    <definedName name="E_KEYWORD_ISSR_208002861_EXP_OIL_PETRO_FUEL" localSheetId="24">#REF!</definedName>
    <definedName name="E_KEYWORD_ISSR_208002861_EXP_OIL_PETRO_FUEL" localSheetId="18">#REF!</definedName>
    <definedName name="E_KEYWORD_ISSR_208002861_EXP_OIL_PETRO_FUEL" localSheetId="12">#REF!</definedName>
    <definedName name="E_KEYWORD_ISSR_208002861_EXP_OIL_PETRO_FUEL" localSheetId="23">#REF!</definedName>
    <definedName name="E_KEYWORD_ISSR_208002861_EXP_OIL_PETRO_FUEL" localSheetId="19">#REF!</definedName>
    <definedName name="E_KEYWORD_ISSR_208002861_EXP_OIL_PETRO_FUEL" localSheetId="21">#REF!</definedName>
    <definedName name="E_KEYWORD_ISSR_208002861_EXP_OIL_PETRO_FUEL">#REF!</definedName>
    <definedName name="E_KEYWORD_ISSR_208002861_EXP_OTH_COMMODITY" localSheetId="24">#REF!</definedName>
    <definedName name="E_KEYWORD_ISSR_208002861_EXP_OTH_COMMODITY" localSheetId="18">#REF!</definedName>
    <definedName name="E_KEYWORD_ISSR_208002861_EXP_OTH_COMMODITY" localSheetId="12">#REF!</definedName>
    <definedName name="E_KEYWORD_ISSR_208002861_EXP_OTH_COMMODITY" localSheetId="23">#REF!</definedName>
    <definedName name="E_KEYWORD_ISSR_208002861_EXP_OTH_COMMODITY" localSheetId="19">#REF!</definedName>
    <definedName name="E_KEYWORD_ISSR_208002861_EXP_OTH_COMMODITY" localSheetId="21">#REF!</definedName>
    <definedName name="E_KEYWORD_ISSR_208002861_EXP_OTH_COMMODITY">#REF!</definedName>
    <definedName name="E_KEYWORD_ISSR_208002861_EXP_OTH_COST" localSheetId="24">#REF!</definedName>
    <definedName name="E_KEYWORD_ISSR_208002861_EXP_OTH_COST" localSheetId="18">#REF!</definedName>
    <definedName name="E_KEYWORD_ISSR_208002861_EXP_OTH_COST" localSheetId="12">#REF!</definedName>
    <definedName name="E_KEYWORD_ISSR_208002861_EXP_OTH_COST" localSheetId="23">#REF!</definedName>
    <definedName name="E_KEYWORD_ISSR_208002861_EXP_OTH_COST" localSheetId="19">#REF!</definedName>
    <definedName name="E_KEYWORD_ISSR_208002861_EXP_OTH_COST" localSheetId="21">#REF!</definedName>
    <definedName name="E_KEYWORD_ISSR_208002861_EXP_OTH_COST">#REF!</definedName>
    <definedName name="E_KEYWORD_ISSR_208002861_EXP_PALLADIUM" localSheetId="24">#REF!</definedName>
    <definedName name="E_KEYWORD_ISSR_208002861_EXP_PALLADIUM" localSheetId="18">#REF!</definedName>
    <definedName name="E_KEYWORD_ISSR_208002861_EXP_PALLADIUM" localSheetId="12">#REF!</definedName>
    <definedName name="E_KEYWORD_ISSR_208002861_EXP_PALLADIUM" localSheetId="23">#REF!</definedName>
    <definedName name="E_KEYWORD_ISSR_208002861_EXP_PALLADIUM" localSheetId="19">#REF!</definedName>
    <definedName name="E_KEYWORD_ISSR_208002861_EXP_PALLADIUM" localSheetId="21">#REF!</definedName>
    <definedName name="E_KEYWORD_ISSR_208002861_EXP_PALLADIUM">#REF!</definedName>
    <definedName name="E_KEYWORD_ISSR_208002861_EXP_PLATINUM" localSheetId="24">#REF!</definedName>
    <definedName name="E_KEYWORD_ISSR_208002861_EXP_PLATINUM" localSheetId="18">#REF!</definedName>
    <definedName name="E_KEYWORD_ISSR_208002861_EXP_PLATINUM" localSheetId="12">#REF!</definedName>
    <definedName name="E_KEYWORD_ISSR_208002861_EXP_PLATINUM" localSheetId="23">#REF!</definedName>
    <definedName name="E_KEYWORD_ISSR_208002861_EXP_PLATINUM" localSheetId="19">#REF!</definedName>
    <definedName name="E_KEYWORD_ISSR_208002861_EXP_PLATINUM" localSheetId="21">#REF!</definedName>
    <definedName name="E_KEYWORD_ISSR_208002861_EXP_PLATINUM">#REF!</definedName>
    <definedName name="E_KEYWORD_ISSR_208002861_EXP_RUBBER" localSheetId="24">#REF!</definedName>
    <definedName name="E_KEYWORD_ISSR_208002861_EXP_RUBBER" localSheetId="18">#REF!</definedName>
    <definedName name="E_KEYWORD_ISSR_208002861_EXP_RUBBER" localSheetId="12">#REF!</definedName>
    <definedName name="E_KEYWORD_ISSR_208002861_EXP_RUBBER" localSheetId="23">#REF!</definedName>
    <definedName name="E_KEYWORD_ISSR_208002861_EXP_RUBBER" localSheetId="19">#REF!</definedName>
    <definedName name="E_KEYWORD_ISSR_208002861_EXP_RUBBER" localSheetId="21">#REF!</definedName>
    <definedName name="E_KEYWORD_ISSR_208002861_EXP_RUBBER">#REF!</definedName>
    <definedName name="E_KEYWORD_ISSR_208002861_EXP_SILVER" localSheetId="24">#REF!</definedName>
    <definedName name="E_KEYWORD_ISSR_208002861_EXP_SILVER" localSheetId="18">#REF!</definedName>
    <definedName name="E_KEYWORD_ISSR_208002861_EXP_SILVER" localSheetId="12">#REF!</definedName>
    <definedName name="E_KEYWORD_ISSR_208002861_EXP_SILVER" localSheetId="23">#REF!</definedName>
    <definedName name="E_KEYWORD_ISSR_208002861_EXP_SILVER" localSheetId="19">#REF!</definedName>
    <definedName name="E_KEYWORD_ISSR_208002861_EXP_SILVER" localSheetId="21">#REF!</definedName>
    <definedName name="E_KEYWORD_ISSR_208002861_EXP_SILVER">#REF!</definedName>
    <definedName name="E_KEYWORD_ISSR_208002861_EXP_STEEL" localSheetId="24">#REF!</definedName>
    <definedName name="E_KEYWORD_ISSR_208002861_EXP_STEEL" localSheetId="18">#REF!</definedName>
    <definedName name="E_KEYWORD_ISSR_208002861_EXP_STEEL" localSheetId="12">#REF!</definedName>
    <definedName name="E_KEYWORD_ISSR_208002861_EXP_STEEL" localSheetId="23">#REF!</definedName>
    <definedName name="E_KEYWORD_ISSR_208002861_EXP_STEEL" localSheetId="19">#REF!</definedName>
    <definedName name="E_KEYWORD_ISSR_208002861_EXP_STEEL" localSheetId="21">#REF!</definedName>
    <definedName name="E_KEYWORD_ISSR_208002861_EXP_STEEL">#REF!</definedName>
    <definedName name="E_KEYWORD_ISSR_208002861_EXP_WATER" localSheetId="24">#REF!</definedName>
    <definedName name="E_KEYWORD_ISSR_208002861_EXP_WATER" localSheetId="18">#REF!</definedName>
    <definedName name="E_KEYWORD_ISSR_208002861_EXP_WATER" localSheetId="12">#REF!</definedName>
    <definedName name="E_KEYWORD_ISSR_208002861_EXP_WATER" localSheetId="23">#REF!</definedName>
    <definedName name="E_KEYWORD_ISSR_208002861_EXP_WATER" localSheetId="19">#REF!</definedName>
    <definedName name="E_KEYWORD_ISSR_208002861_EXP_WATER" localSheetId="21">#REF!</definedName>
    <definedName name="E_KEYWORD_ISSR_208002861_EXP_WATER">#REF!</definedName>
    <definedName name="E_KEYWORD_ISSR_208002861_EXP_ZINC" localSheetId="24">#REF!</definedName>
    <definedName name="E_KEYWORD_ISSR_208002861_EXP_ZINC" localSheetId="18">#REF!</definedName>
    <definedName name="E_KEYWORD_ISSR_208002861_EXP_ZINC" localSheetId="12">#REF!</definedName>
    <definedName name="E_KEYWORD_ISSR_208002861_EXP_ZINC" localSheetId="23">#REF!</definedName>
    <definedName name="E_KEYWORD_ISSR_208002861_EXP_ZINC" localSheetId="19">#REF!</definedName>
    <definedName name="E_KEYWORD_ISSR_208002861_EXP_ZINC" localSheetId="21">#REF!</definedName>
    <definedName name="E_KEYWORD_ISSR_208002861_EXP_ZINC">#REF!</definedName>
    <definedName name="E_KEYWORD_ISSR_208002861_FIX_ASS_INV" localSheetId="24">#REF!</definedName>
    <definedName name="E_KEYWORD_ISSR_208002861_FIX_ASS_INV" localSheetId="18">#REF!</definedName>
    <definedName name="E_KEYWORD_ISSR_208002861_FIX_ASS_INV" localSheetId="12">#REF!</definedName>
    <definedName name="E_KEYWORD_ISSR_208002861_FIX_ASS_INV" localSheetId="23">#REF!</definedName>
    <definedName name="E_KEYWORD_ISSR_208002861_FIX_ASS_INV" localSheetId="19">#REF!</definedName>
    <definedName name="E_KEYWORD_ISSR_208002861_FIX_ASS_INV" localSheetId="21">#REF!</definedName>
    <definedName name="E_KEYWORD_ISSR_208002861_FIX_ASS_INV">#REF!</definedName>
    <definedName name="E_KEYWORD_ISSR_208002861_GCI_INFL" localSheetId="24">#REF!</definedName>
    <definedName name="E_KEYWORD_ISSR_208002861_GCI_INFL" localSheetId="18">#REF!</definedName>
    <definedName name="E_KEYWORD_ISSR_208002861_GCI_INFL" localSheetId="12">#REF!</definedName>
    <definedName name="E_KEYWORD_ISSR_208002861_GCI_INFL" localSheetId="23">#REF!</definedName>
    <definedName name="E_KEYWORD_ISSR_208002861_GCI_INFL" localSheetId="19">#REF!</definedName>
    <definedName name="E_KEYWORD_ISSR_208002861_GCI_INFL" localSheetId="21">#REF!</definedName>
    <definedName name="E_KEYWORD_ISSR_208002861_GCI_INFL">#REF!</definedName>
    <definedName name="E_KEYWORD_ISSR_208002861_GOODWILL_AMORT" localSheetId="24">#REF!</definedName>
    <definedName name="E_KEYWORD_ISSR_208002861_GOODWILL_AMORT" localSheetId="18">#REF!</definedName>
    <definedName name="E_KEYWORD_ISSR_208002861_GOODWILL_AMORT" localSheetId="12">#REF!</definedName>
    <definedName name="E_KEYWORD_ISSR_208002861_GOODWILL_AMORT" localSheetId="23">#REF!</definedName>
    <definedName name="E_KEYWORD_ISSR_208002861_GOODWILL_AMORT" localSheetId="19">#REF!</definedName>
    <definedName name="E_KEYWORD_ISSR_208002861_GOODWILL_AMORT" localSheetId="21">#REF!</definedName>
    <definedName name="E_KEYWORD_ISSR_208002861_GOODWILL_AMORT">#REF!</definedName>
    <definedName name="E_KEYWORD_ISSR_208002861_GR_FIX_ASS" localSheetId="24">#REF!</definedName>
    <definedName name="E_KEYWORD_ISSR_208002861_GR_FIX_ASS" localSheetId="18">#REF!</definedName>
    <definedName name="E_KEYWORD_ISSR_208002861_GR_FIX_ASS" localSheetId="12">#REF!</definedName>
    <definedName name="E_KEYWORD_ISSR_208002861_GR_FIX_ASS" localSheetId="23">#REF!</definedName>
    <definedName name="E_KEYWORD_ISSR_208002861_GR_FIX_ASS" localSheetId="19">#REF!</definedName>
    <definedName name="E_KEYWORD_ISSR_208002861_GR_FIX_ASS" localSheetId="21">#REF!</definedName>
    <definedName name="E_KEYWORD_ISSR_208002861_GR_FIX_ASS">#REF!</definedName>
    <definedName name="E_KEYWORD_ISSR_208002861_GR_INTANG" localSheetId="24">#REF!</definedName>
    <definedName name="E_KEYWORD_ISSR_208002861_GR_INTANG" localSheetId="18">#REF!</definedName>
    <definedName name="E_KEYWORD_ISSR_208002861_GR_INTANG" localSheetId="12">#REF!</definedName>
    <definedName name="E_KEYWORD_ISSR_208002861_GR_INTANG" localSheetId="23">#REF!</definedName>
    <definedName name="E_KEYWORD_ISSR_208002861_GR_INTANG" localSheetId="19">#REF!</definedName>
    <definedName name="E_KEYWORD_ISSR_208002861_GR_INTANG" localSheetId="21">#REF!</definedName>
    <definedName name="E_KEYWORD_ISSR_208002861_GR_INTANG">#REF!</definedName>
    <definedName name="E_KEYWORD_ISSR_208002861_GW_AMORT" localSheetId="24">#REF!</definedName>
    <definedName name="E_KEYWORD_ISSR_208002861_GW_AMORT" localSheetId="18">#REF!</definedName>
    <definedName name="E_KEYWORD_ISSR_208002861_GW_AMORT" localSheetId="12">#REF!</definedName>
    <definedName name="E_KEYWORD_ISSR_208002861_GW_AMORT" localSheetId="23">#REF!</definedName>
    <definedName name="E_KEYWORD_ISSR_208002861_GW_AMORT" localSheetId="19">#REF!</definedName>
    <definedName name="E_KEYWORD_ISSR_208002861_GW_AMORT" localSheetId="21">#REF!</definedName>
    <definedName name="E_KEYWORD_ISSR_208002861_GW_AMORT">#REF!</definedName>
    <definedName name="E_KEYWORD_ISSR_208002861_IND_SALES_BRAZIL" localSheetId="24">#REF!</definedName>
    <definedName name="E_KEYWORD_ISSR_208002861_IND_SALES_BRAZIL" localSheetId="18">#REF!</definedName>
    <definedName name="E_KEYWORD_ISSR_208002861_IND_SALES_BRAZIL" localSheetId="12">#REF!</definedName>
    <definedName name="E_KEYWORD_ISSR_208002861_IND_SALES_BRAZIL" localSheetId="23">#REF!</definedName>
    <definedName name="E_KEYWORD_ISSR_208002861_IND_SALES_BRAZIL" localSheetId="19">#REF!</definedName>
    <definedName name="E_KEYWORD_ISSR_208002861_IND_SALES_BRAZIL" localSheetId="21">#REF!</definedName>
    <definedName name="E_KEYWORD_ISSR_208002861_IND_SALES_BRAZIL">#REF!</definedName>
    <definedName name="E_KEYWORD_ISSR_208002861_IND_SALES_CEE" localSheetId="24">#REF!</definedName>
    <definedName name="E_KEYWORD_ISSR_208002861_IND_SALES_CEE" localSheetId="18">#REF!</definedName>
    <definedName name="E_KEYWORD_ISSR_208002861_IND_SALES_CEE" localSheetId="12">#REF!</definedName>
    <definedName name="E_KEYWORD_ISSR_208002861_IND_SALES_CEE" localSheetId="23">#REF!</definedName>
    <definedName name="E_KEYWORD_ISSR_208002861_IND_SALES_CEE" localSheetId="19">#REF!</definedName>
    <definedName name="E_KEYWORD_ISSR_208002861_IND_SALES_CEE" localSheetId="21">#REF!</definedName>
    <definedName name="E_KEYWORD_ISSR_208002861_IND_SALES_CEE">#REF!</definedName>
    <definedName name="E_KEYWORD_ISSR_208002861_IND_SALES_CHINA" localSheetId="24">#REF!</definedName>
    <definedName name="E_KEYWORD_ISSR_208002861_IND_SALES_CHINA" localSheetId="18">#REF!</definedName>
    <definedName name="E_KEYWORD_ISSR_208002861_IND_SALES_CHINA" localSheetId="12">#REF!</definedName>
    <definedName name="E_KEYWORD_ISSR_208002861_IND_SALES_CHINA" localSheetId="23">#REF!</definedName>
    <definedName name="E_KEYWORD_ISSR_208002861_IND_SALES_CHINA" localSheetId="19">#REF!</definedName>
    <definedName name="E_KEYWORD_ISSR_208002861_IND_SALES_CHINA" localSheetId="21">#REF!</definedName>
    <definedName name="E_KEYWORD_ISSR_208002861_IND_SALES_CHINA">#REF!</definedName>
    <definedName name="E_KEYWORD_ISSR_208002861_IND_SALES_CONS" localSheetId="24">#REF!</definedName>
    <definedName name="E_KEYWORD_ISSR_208002861_IND_SALES_CONS" localSheetId="18">#REF!</definedName>
    <definedName name="E_KEYWORD_ISSR_208002861_IND_SALES_CONS" localSheetId="12">#REF!</definedName>
    <definedName name="E_KEYWORD_ISSR_208002861_IND_SALES_CONS" localSheetId="23">#REF!</definedName>
    <definedName name="E_KEYWORD_ISSR_208002861_IND_SALES_CONS" localSheetId="19">#REF!</definedName>
    <definedName name="E_KEYWORD_ISSR_208002861_IND_SALES_CONS" localSheetId="21">#REF!</definedName>
    <definedName name="E_KEYWORD_ISSR_208002861_IND_SALES_CONS">#REF!</definedName>
    <definedName name="E_KEYWORD_ISSR_208002861_IND_SALES_EU_EX_UK" localSheetId="24">#REF!</definedName>
    <definedName name="E_KEYWORD_ISSR_208002861_IND_SALES_EU_EX_UK" localSheetId="18">#REF!</definedName>
    <definedName name="E_KEYWORD_ISSR_208002861_IND_SALES_EU_EX_UK" localSheetId="12">#REF!</definedName>
    <definedName name="E_KEYWORD_ISSR_208002861_IND_SALES_EU_EX_UK" localSheetId="23">#REF!</definedName>
    <definedName name="E_KEYWORD_ISSR_208002861_IND_SALES_EU_EX_UK" localSheetId="19">#REF!</definedName>
    <definedName name="E_KEYWORD_ISSR_208002861_IND_SALES_EU_EX_UK" localSheetId="21">#REF!</definedName>
    <definedName name="E_KEYWORD_ISSR_208002861_IND_SALES_EU_EX_UK">#REF!</definedName>
    <definedName name="E_KEYWORD_ISSR_208002861_IND_SALES_FINAN" localSheetId="24">#REF!</definedName>
    <definedName name="E_KEYWORD_ISSR_208002861_IND_SALES_FINAN" localSheetId="18">#REF!</definedName>
    <definedName name="E_KEYWORD_ISSR_208002861_IND_SALES_FINAN" localSheetId="12">#REF!</definedName>
    <definedName name="E_KEYWORD_ISSR_208002861_IND_SALES_FINAN" localSheetId="23">#REF!</definedName>
    <definedName name="E_KEYWORD_ISSR_208002861_IND_SALES_FINAN" localSheetId="19">#REF!</definedName>
    <definedName name="E_KEYWORD_ISSR_208002861_IND_SALES_FINAN" localSheetId="21">#REF!</definedName>
    <definedName name="E_KEYWORD_ISSR_208002861_IND_SALES_FINAN">#REF!</definedName>
    <definedName name="E_KEYWORD_ISSR_208002861_IND_SALES_FRA" localSheetId="24">#REF!</definedName>
    <definedName name="E_KEYWORD_ISSR_208002861_IND_SALES_FRA" localSheetId="18">#REF!</definedName>
    <definedName name="E_KEYWORD_ISSR_208002861_IND_SALES_FRA" localSheetId="12">#REF!</definedName>
    <definedName name="E_KEYWORD_ISSR_208002861_IND_SALES_FRA" localSheetId="23">#REF!</definedName>
    <definedName name="E_KEYWORD_ISSR_208002861_IND_SALES_FRA" localSheetId="19">#REF!</definedName>
    <definedName name="E_KEYWORD_ISSR_208002861_IND_SALES_FRA" localSheetId="21">#REF!</definedName>
    <definedName name="E_KEYWORD_ISSR_208002861_IND_SALES_FRA">#REF!</definedName>
    <definedName name="E_KEYWORD_ISSR_208002861_IND_SALES_GER" localSheetId="24">#REF!</definedName>
    <definedName name="E_KEYWORD_ISSR_208002861_IND_SALES_GER" localSheetId="18">#REF!</definedName>
    <definedName name="E_KEYWORD_ISSR_208002861_IND_SALES_GER" localSheetId="12">#REF!</definedName>
    <definedName name="E_KEYWORD_ISSR_208002861_IND_SALES_GER" localSheetId="23">#REF!</definedName>
    <definedName name="E_KEYWORD_ISSR_208002861_IND_SALES_GER" localSheetId="19">#REF!</definedName>
    <definedName name="E_KEYWORD_ISSR_208002861_IND_SALES_GER" localSheetId="21">#REF!</definedName>
    <definedName name="E_KEYWORD_ISSR_208002861_IND_SALES_GER">#REF!</definedName>
    <definedName name="E_KEYWORD_ISSR_208002861_IND_SALES_GOV" localSheetId="24">#REF!</definedName>
    <definedName name="E_KEYWORD_ISSR_208002861_IND_SALES_GOV" localSheetId="18">#REF!</definedName>
    <definedName name="E_KEYWORD_ISSR_208002861_IND_SALES_GOV" localSheetId="12">#REF!</definedName>
    <definedName name="E_KEYWORD_ISSR_208002861_IND_SALES_GOV" localSheetId="23">#REF!</definedName>
    <definedName name="E_KEYWORD_ISSR_208002861_IND_SALES_GOV" localSheetId="19">#REF!</definedName>
    <definedName name="E_KEYWORD_ISSR_208002861_IND_SALES_GOV" localSheetId="21">#REF!</definedName>
    <definedName name="E_KEYWORD_ISSR_208002861_IND_SALES_GOV">#REF!</definedName>
    <definedName name="E_KEYWORD_ISSR_208002861_IND_SALES_IND" localSheetId="24">#REF!</definedName>
    <definedName name="E_KEYWORD_ISSR_208002861_IND_SALES_IND" localSheetId="18">#REF!</definedName>
    <definedName name="E_KEYWORD_ISSR_208002861_IND_SALES_IND" localSheetId="12">#REF!</definedName>
    <definedName name="E_KEYWORD_ISSR_208002861_IND_SALES_IND" localSheetId="23">#REF!</definedName>
    <definedName name="E_KEYWORD_ISSR_208002861_IND_SALES_IND" localSheetId="19">#REF!</definedName>
    <definedName name="E_KEYWORD_ISSR_208002861_IND_SALES_IND" localSheetId="21">#REF!</definedName>
    <definedName name="E_KEYWORD_ISSR_208002861_IND_SALES_IND">#REF!</definedName>
    <definedName name="E_KEYWORD_ISSR_208002861_IND_SALES_INDIA" localSheetId="24">#REF!</definedName>
    <definedName name="E_KEYWORD_ISSR_208002861_IND_SALES_INDIA" localSheetId="18">#REF!</definedName>
    <definedName name="E_KEYWORD_ISSR_208002861_IND_SALES_INDIA" localSheetId="12">#REF!</definedName>
    <definedName name="E_KEYWORD_ISSR_208002861_IND_SALES_INDIA" localSheetId="23">#REF!</definedName>
    <definedName name="E_KEYWORD_ISSR_208002861_IND_SALES_INDIA" localSheetId="19">#REF!</definedName>
    <definedName name="E_KEYWORD_ISSR_208002861_IND_SALES_INDIA" localSheetId="21">#REF!</definedName>
    <definedName name="E_KEYWORD_ISSR_208002861_IND_SALES_INDIA">#REF!</definedName>
    <definedName name="E_KEYWORD_ISSR_208002861_IND_SALES_ITA" localSheetId="24">#REF!</definedName>
    <definedName name="E_KEYWORD_ISSR_208002861_IND_SALES_ITA" localSheetId="18">#REF!</definedName>
    <definedName name="E_KEYWORD_ISSR_208002861_IND_SALES_ITA" localSheetId="12">#REF!</definedName>
    <definedName name="E_KEYWORD_ISSR_208002861_IND_SALES_ITA" localSheetId="23">#REF!</definedName>
    <definedName name="E_KEYWORD_ISSR_208002861_IND_SALES_ITA" localSheetId="19">#REF!</definedName>
    <definedName name="E_KEYWORD_ISSR_208002861_IND_SALES_ITA" localSheetId="21">#REF!</definedName>
    <definedName name="E_KEYWORD_ISSR_208002861_IND_SALES_ITA">#REF!</definedName>
    <definedName name="E_KEYWORD_ISSR_208002861_IND_SALES_JAPAN" localSheetId="24">#REF!</definedName>
    <definedName name="E_KEYWORD_ISSR_208002861_IND_SALES_JAPAN" localSheetId="18">#REF!</definedName>
    <definedName name="E_KEYWORD_ISSR_208002861_IND_SALES_JAPAN" localSheetId="12">#REF!</definedName>
    <definedName name="E_KEYWORD_ISSR_208002861_IND_SALES_JAPAN" localSheetId="23">#REF!</definedName>
    <definedName name="E_KEYWORD_ISSR_208002861_IND_SALES_JAPAN" localSheetId="19">#REF!</definedName>
    <definedName name="E_KEYWORD_ISSR_208002861_IND_SALES_JAPAN" localSheetId="21">#REF!</definedName>
    <definedName name="E_KEYWORD_ISSR_208002861_IND_SALES_JAPAN">#REF!</definedName>
    <definedName name="E_KEYWORD_ISSR_208002861_IND_SALES_ME" localSheetId="24">#REF!</definedName>
    <definedName name="E_KEYWORD_ISSR_208002861_IND_SALES_ME" localSheetId="18">#REF!</definedName>
    <definedName name="E_KEYWORD_ISSR_208002861_IND_SALES_ME" localSheetId="12">#REF!</definedName>
    <definedName name="E_KEYWORD_ISSR_208002861_IND_SALES_ME" localSheetId="23">#REF!</definedName>
    <definedName name="E_KEYWORD_ISSR_208002861_IND_SALES_ME" localSheetId="19">#REF!</definedName>
    <definedName name="E_KEYWORD_ISSR_208002861_IND_SALES_ME" localSheetId="21">#REF!</definedName>
    <definedName name="E_KEYWORD_ISSR_208002861_IND_SALES_ME">#REF!</definedName>
    <definedName name="E_KEYWORD_ISSR_208002861_IND_SALES_NIGERIA" localSheetId="24">#REF!</definedName>
    <definedName name="E_KEYWORD_ISSR_208002861_IND_SALES_NIGERIA" localSheetId="18">#REF!</definedName>
    <definedName name="E_KEYWORD_ISSR_208002861_IND_SALES_NIGERIA" localSheetId="12">#REF!</definedName>
    <definedName name="E_KEYWORD_ISSR_208002861_IND_SALES_NIGERIA" localSheetId="23">#REF!</definedName>
    <definedName name="E_KEYWORD_ISSR_208002861_IND_SALES_NIGERIA" localSheetId="19">#REF!</definedName>
    <definedName name="E_KEYWORD_ISSR_208002861_IND_SALES_NIGERIA" localSheetId="21">#REF!</definedName>
    <definedName name="E_KEYWORD_ISSR_208002861_IND_SALES_NIGERIA">#REF!</definedName>
    <definedName name="E_KEYWORD_ISSR_208002861_IND_SALES_OTH_AEJ" localSheetId="24">#REF!</definedName>
    <definedName name="E_KEYWORD_ISSR_208002861_IND_SALES_OTH_AEJ" localSheetId="18">#REF!</definedName>
    <definedName name="E_KEYWORD_ISSR_208002861_IND_SALES_OTH_AEJ" localSheetId="12">#REF!</definedName>
    <definedName name="E_KEYWORD_ISSR_208002861_IND_SALES_OTH_AEJ" localSheetId="23">#REF!</definedName>
    <definedName name="E_KEYWORD_ISSR_208002861_IND_SALES_OTH_AEJ" localSheetId="19">#REF!</definedName>
    <definedName name="E_KEYWORD_ISSR_208002861_IND_SALES_OTH_AEJ" localSheetId="21">#REF!</definedName>
    <definedName name="E_KEYWORD_ISSR_208002861_IND_SALES_OTH_AEJ">#REF!</definedName>
    <definedName name="E_KEYWORD_ISSR_208002861_IND_SALES_OTH_AFRICA" localSheetId="24">#REF!</definedName>
    <definedName name="E_KEYWORD_ISSR_208002861_IND_SALES_OTH_AFRICA" localSheetId="18">#REF!</definedName>
    <definedName name="E_KEYWORD_ISSR_208002861_IND_SALES_OTH_AFRICA" localSheetId="12">#REF!</definedName>
    <definedName name="E_KEYWORD_ISSR_208002861_IND_SALES_OTH_AFRICA" localSheetId="23">#REF!</definedName>
    <definedName name="E_KEYWORD_ISSR_208002861_IND_SALES_OTH_AFRICA" localSheetId="19">#REF!</definedName>
    <definedName name="E_KEYWORD_ISSR_208002861_IND_SALES_OTH_AFRICA" localSheetId="21">#REF!</definedName>
    <definedName name="E_KEYWORD_ISSR_208002861_IND_SALES_OTH_AFRICA">#REF!</definedName>
    <definedName name="E_KEYWORD_ISSR_208002861_IND_SALES_OTH_AM" localSheetId="24">#REF!</definedName>
    <definedName name="E_KEYWORD_ISSR_208002861_IND_SALES_OTH_AM" localSheetId="18">#REF!</definedName>
    <definedName name="E_KEYWORD_ISSR_208002861_IND_SALES_OTH_AM" localSheetId="12">#REF!</definedName>
    <definedName name="E_KEYWORD_ISSR_208002861_IND_SALES_OTH_AM" localSheetId="23">#REF!</definedName>
    <definedName name="E_KEYWORD_ISSR_208002861_IND_SALES_OTH_AM" localSheetId="19">#REF!</definedName>
    <definedName name="E_KEYWORD_ISSR_208002861_IND_SALES_OTH_AM" localSheetId="21">#REF!</definedName>
    <definedName name="E_KEYWORD_ISSR_208002861_IND_SALES_OTH_AM">#REF!</definedName>
    <definedName name="E_KEYWORD_ISSR_208002861_IND_SALES_OTH_EMEA" localSheetId="24">#REF!</definedName>
    <definedName name="E_KEYWORD_ISSR_208002861_IND_SALES_OTH_EMEA" localSheetId="18">#REF!</definedName>
    <definedName name="E_KEYWORD_ISSR_208002861_IND_SALES_OTH_EMEA" localSheetId="12">#REF!</definedName>
    <definedName name="E_KEYWORD_ISSR_208002861_IND_SALES_OTH_EMEA" localSheetId="23">#REF!</definedName>
    <definedName name="E_KEYWORD_ISSR_208002861_IND_SALES_OTH_EMEA" localSheetId="19">#REF!</definedName>
    <definedName name="E_KEYWORD_ISSR_208002861_IND_SALES_OTH_EMEA" localSheetId="21">#REF!</definedName>
    <definedName name="E_KEYWORD_ISSR_208002861_IND_SALES_OTH_EMEA">#REF!</definedName>
    <definedName name="E_KEYWORD_ISSR_208002861_IND_SALES_OTH_EU_EX_UK" localSheetId="24">#REF!</definedName>
    <definedName name="E_KEYWORD_ISSR_208002861_IND_SALES_OTH_EU_EX_UK" localSheetId="18">#REF!</definedName>
    <definedName name="E_KEYWORD_ISSR_208002861_IND_SALES_OTH_EU_EX_UK" localSheetId="12">#REF!</definedName>
    <definedName name="E_KEYWORD_ISSR_208002861_IND_SALES_OTH_EU_EX_UK" localSheetId="23">#REF!</definedName>
    <definedName name="E_KEYWORD_ISSR_208002861_IND_SALES_OTH_EU_EX_UK" localSheetId="19">#REF!</definedName>
    <definedName name="E_KEYWORD_ISSR_208002861_IND_SALES_OTH_EU_EX_UK" localSheetId="21">#REF!</definedName>
    <definedName name="E_KEYWORD_ISSR_208002861_IND_SALES_OTH_EU_EX_UK">#REF!</definedName>
    <definedName name="E_KEYWORD_ISSR_208002861_IND_SALES_OTHER" localSheetId="24">#REF!</definedName>
    <definedName name="E_KEYWORD_ISSR_208002861_IND_SALES_OTHER" localSheetId="18">#REF!</definedName>
    <definedName name="E_KEYWORD_ISSR_208002861_IND_SALES_OTHER" localSheetId="12">#REF!</definedName>
    <definedName name="E_KEYWORD_ISSR_208002861_IND_SALES_OTHER" localSheetId="23">#REF!</definedName>
    <definedName name="E_KEYWORD_ISSR_208002861_IND_SALES_OTHER" localSheetId="19">#REF!</definedName>
    <definedName name="E_KEYWORD_ISSR_208002861_IND_SALES_OTHER" localSheetId="21">#REF!</definedName>
    <definedName name="E_KEYWORD_ISSR_208002861_IND_SALES_OTHER">#REF!</definedName>
    <definedName name="E_KEYWORD_ISSR_208002861_IND_SALES_RUSSIA" localSheetId="24">#REF!</definedName>
    <definedName name="E_KEYWORD_ISSR_208002861_IND_SALES_RUSSIA" localSheetId="18">#REF!</definedName>
    <definedName name="E_KEYWORD_ISSR_208002861_IND_SALES_RUSSIA" localSheetId="12">#REF!</definedName>
    <definedName name="E_KEYWORD_ISSR_208002861_IND_SALES_RUSSIA" localSheetId="23">#REF!</definedName>
    <definedName name="E_KEYWORD_ISSR_208002861_IND_SALES_RUSSIA" localSheetId="19">#REF!</definedName>
    <definedName name="E_KEYWORD_ISSR_208002861_IND_SALES_RUSSIA" localSheetId="21">#REF!</definedName>
    <definedName name="E_KEYWORD_ISSR_208002861_IND_SALES_RUSSIA">#REF!</definedName>
    <definedName name="E_KEYWORD_ISSR_208002861_IND_SALES_SO_AFRICA" localSheetId="24">#REF!</definedName>
    <definedName name="E_KEYWORD_ISSR_208002861_IND_SALES_SO_AFRICA" localSheetId="18">#REF!</definedName>
    <definedName name="E_KEYWORD_ISSR_208002861_IND_SALES_SO_AFRICA" localSheetId="12">#REF!</definedName>
    <definedName name="E_KEYWORD_ISSR_208002861_IND_SALES_SO_AFRICA" localSheetId="23">#REF!</definedName>
    <definedName name="E_KEYWORD_ISSR_208002861_IND_SALES_SO_AFRICA" localSheetId="19">#REF!</definedName>
    <definedName name="E_KEYWORD_ISSR_208002861_IND_SALES_SO_AFRICA" localSheetId="21">#REF!</definedName>
    <definedName name="E_KEYWORD_ISSR_208002861_IND_SALES_SO_AFRICA">#REF!</definedName>
    <definedName name="E_KEYWORD_ISSR_208002861_IND_SALES_SPA" localSheetId="24">#REF!</definedName>
    <definedName name="E_KEYWORD_ISSR_208002861_IND_SALES_SPA" localSheetId="18">#REF!</definedName>
    <definedName name="E_KEYWORD_ISSR_208002861_IND_SALES_SPA" localSheetId="12">#REF!</definedName>
    <definedName name="E_KEYWORD_ISSR_208002861_IND_SALES_SPA" localSheetId="23">#REF!</definedName>
    <definedName name="E_KEYWORD_ISSR_208002861_IND_SALES_SPA" localSheetId="19">#REF!</definedName>
    <definedName name="E_KEYWORD_ISSR_208002861_IND_SALES_SPA" localSheetId="21">#REF!</definedName>
    <definedName name="E_KEYWORD_ISSR_208002861_IND_SALES_SPA">#REF!</definedName>
    <definedName name="E_KEYWORD_ISSR_208002861_IND_SALES_TOT_AFRICA" localSheetId="24">#REF!</definedName>
    <definedName name="E_KEYWORD_ISSR_208002861_IND_SALES_TOT_AFRICA" localSheetId="18">#REF!</definedName>
    <definedName name="E_KEYWORD_ISSR_208002861_IND_SALES_TOT_AFRICA" localSheetId="12">#REF!</definedName>
    <definedName name="E_KEYWORD_ISSR_208002861_IND_SALES_TOT_AFRICA" localSheetId="23">#REF!</definedName>
    <definedName name="E_KEYWORD_ISSR_208002861_IND_SALES_TOT_AFRICA" localSheetId="19">#REF!</definedName>
    <definedName name="E_KEYWORD_ISSR_208002861_IND_SALES_TOT_AFRICA" localSheetId="21">#REF!</definedName>
    <definedName name="E_KEYWORD_ISSR_208002861_IND_SALES_TOT_AFRICA">#REF!</definedName>
    <definedName name="E_KEYWORD_ISSR_208002861_IND_SALES_TOT_AM" localSheetId="24">#REF!</definedName>
    <definedName name="E_KEYWORD_ISSR_208002861_IND_SALES_TOT_AM" localSheetId="18">#REF!</definedName>
    <definedName name="E_KEYWORD_ISSR_208002861_IND_SALES_TOT_AM" localSheetId="12">#REF!</definedName>
    <definedName name="E_KEYWORD_ISSR_208002861_IND_SALES_TOT_AM" localSheetId="23">#REF!</definedName>
    <definedName name="E_KEYWORD_ISSR_208002861_IND_SALES_TOT_AM" localSheetId="19">#REF!</definedName>
    <definedName name="E_KEYWORD_ISSR_208002861_IND_SALES_TOT_AM" localSheetId="21">#REF!</definedName>
    <definedName name="E_KEYWORD_ISSR_208002861_IND_SALES_TOT_AM">#REF!</definedName>
    <definedName name="E_KEYWORD_ISSR_208002861_IND_SALES_TOT_ASIA" localSheetId="24">#REF!</definedName>
    <definedName name="E_KEYWORD_ISSR_208002861_IND_SALES_TOT_ASIA" localSheetId="18">#REF!</definedName>
    <definedName name="E_KEYWORD_ISSR_208002861_IND_SALES_TOT_ASIA" localSheetId="12">#REF!</definedName>
    <definedName name="E_KEYWORD_ISSR_208002861_IND_SALES_TOT_ASIA" localSheetId="23">#REF!</definedName>
    <definedName name="E_KEYWORD_ISSR_208002861_IND_SALES_TOT_ASIA" localSheetId="19">#REF!</definedName>
    <definedName name="E_KEYWORD_ISSR_208002861_IND_SALES_TOT_ASIA" localSheetId="21">#REF!</definedName>
    <definedName name="E_KEYWORD_ISSR_208002861_IND_SALES_TOT_ASIA">#REF!</definedName>
    <definedName name="E_KEYWORD_ISSR_208002861_IND_SALES_TOT_EMEA" localSheetId="24">#REF!</definedName>
    <definedName name="E_KEYWORD_ISSR_208002861_IND_SALES_TOT_EMEA" localSheetId="18">#REF!</definedName>
    <definedName name="E_KEYWORD_ISSR_208002861_IND_SALES_TOT_EMEA" localSheetId="12">#REF!</definedName>
    <definedName name="E_KEYWORD_ISSR_208002861_IND_SALES_TOT_EMEA" localSheetId="23">#REF!</definedName>
    <definedName name="E_KEYWORD_ISSR_208002861_IND_SALES_TOT_EMEA" localSheetId="19">#REF!</definedName>
    <definedName name="E_KEYWORD_ISSR_208002861_IND_SALES_TOT_EMEA" localSheetId="21">#REF!</definedName>
    <definedName name="E_KEYWORD_ISSR_208002861_IND_SALES_TOT_EMEA">#REF!</definedName>
    <definedName name="E_KEYWORD_ISSR_208002861_IND_SALES_UK" localSheetId="24">#REF!</definedName>
    <definedName name="E_KEYWORD_ISSR_208002861_IND_SALES_UK" localSheetId="18">#REF!</definedName>
    <definedName name="E_KEYWORD_ISSR_208002861_IND_SALES_UK" localSheetId="12">#REF!</definedName>
    <definedName name="E_KEYWORD_ISSR_208002861_IND_SALES_UK" localSheetId="23">#REF!</definedName>
    <definedName name="E_KEYWORD_ISSR_208002861_IND_SALES_UK" localSheetId="19">#REF!</definedName>
    <definedName name="E_KEYWORD_ISSR_208002861_IND_SALES_UK" localSheetId="21">#REF!</definedName>
    <definedName name="E_KEYWORD_ISSR_208002861_IND_SALES_UK">#REF!</definedName>
    <definedName name="E_KEYWORD_ISSR_208002861_IND_SALES_US" localSheetId="24">#REF!</definedName>
    <definedName name="E_KEYWORD_ISSR_208002861_IND_SALES_US" localSheetId="18">#REF!</definedName>
    <definedName name="E_KEYWORD_ISSR_208002861_IND_SALES_US" localSheetId="12">#REF!</definedName>
    <definedName name="E_KEYWORD_ISSR_208002861_IND_SALES_US" localSheetId="23">#REF!</definedName>
    <definedName name="E_KEYWORD_ISSR_208002861_IND_SALES_US" localSheetId="19">#REF!</definedName>
    <definedName name="E_KEYWORD_ISSR_208002861_IND_SALES_US" localSheetId="21">#REF!</definedName>
    <definedName name="E_KEYWORD_ISSR_208002861_IND_SALES_US">#REF!</definedName>
    <definedName name="E_KEYWORD_ISSR_208002861_INT_EXP_IND" localSheetId="24">#REF!</definedName>
    <definedName name="E_KEYWORD_ISSR_208002861_INT_EXP_IND" localSheetId="18">#REF!</definedName>
    <definedName name="E_KEYWORD_ISSR_208002861_INT_EXP_IND" localSheetId="12">#REF!</definedName>
    <definedName name="E_KEYWORD_ISSR_208002861_INT_EXP_IND" localSheetId="23">#REF!</definedName>
    <definedName name="E_KEYWORD_ISSR_208002861_INT_EXP_IND" localSheetId="19">#REF!</definedName>
    <definedName name="E_KEYWORD_ISSR_208002861_INT_EXP_IND" localSheetId="21">#REF!</definedName>
    <definedName name="E_KEYWORD_ISSR_208002861_INT_EXP_IND">#REF!</definedName>
    <definedName name="E_KEYWORD_ISSR_208002861_INT_INC_IND" localSheetId="24">#REF!</definedName>
    <definedName name="E_KEYWORD_ISSR_208002861_INT_INC_IND" localSheetId="18">#REF!</definedName>
    <definedName name="E_KEYWORD_ISSR_208002861_INT_INC_IND" localSheetId="12">#REF!</definedName>
    <definedName name="E_KEYWORD_ISSR_208002861_INT_INC_IND" localSheetId="23">#REF!</definedName>
    <definedName name="E_KEYWORD_ISSR_208002861_INT_INC_IND" localSheetId="19">#REF!</definedName>
    <definedName name="E_KEYWORD_ISSR_208002861_INT_INC_IND" localSheetId="21">#REF!</definedName>
    <definedName name="E_KEYWORD_ISSR_208002861_INT_INC_IND">#REF!</definedName>
    <definedName name="E_KEYWORD_ISSR_208002861_INV_SECUR" localSheetId="24">#REF!</definedName>
    <definedName name="E_KEYWORD_ISSR_208002861_INV_SECUR" localSheetId="18">#REF!</definedName>
    <definedName name="E_KEYWORD_ISSR_208002861_INV_SECUR" localSheetId="12">#REF!</definedName>
    <definedName name="E_KEYWORD_ISSR_208002861_INV_SECUR" localSheetId="23">#REF!</definedName>
    <definedName name="E_KEYWORD_ISSR_208002861_INV_SECUR" localSheetId="19">#REF!</definedName>
    <definedName name="E_KEYWORD_ISSR_208002861_INV_SECUR" localSheetId="21">#REF!</definedName>
    <definedName name="E_KEYWORD_ISSR_208002861_INV_SECUR">#REF!</definedName>
    <definedName name="E_KEYWORD_ISSR_208002861_Issuer_Name" localSheetId="24">#REF!</definedName>
    <definedName name="E_KEYWORD_ISSR_208002861_Issuer_Name" localSheetId="18">#REF!</definedName>
    <definedName name="E_KEYWORD_ISSR_208002861_Issuer_Name" localSheetId="12">#REF!</definedName>
    <definedName name="E_KEYWORD_ISSR_208002861_Issuer_Name" localSheetId="23">#REF!</definedName>
    <definedName name="E_KEYWORD_ISSR_208002861_Issuer_Name" localSheetId="19">#REF!</definedName>
    <definedName name="E_KEYWORD_ISSR_208002861_Issuer_Name" localSheetId="21">#REF!</definedName>
    <definedName name="E_KEYWORD_ISSR_208002861_Issuer_Name">#REF!</definedName>
    <definedName name="E_KEYWORD_ISSR_208002861_LEASE_DEEM_DEPR" localSheetId="24">#REF!</definedName>
    <definedName name="E_KEYWORD_ISSR_208002861_LEASE_DEEM_DEPR" localSheetId="18">#REF!</definedName>
    <definedName name="E_KEYWORD_ISSR_208002861_LEASE_DEEM_DEPR" localSheetId="12">#REF!</definedName>
    <definedName name="E_KEYWORD_ISSR_208002861_LEASE_DEEM_DEPR" localSheetId="23">#REF!</definedName>
    <definedName name="E_KEYWORD_ISSR_208002861_LEASE_DEEM_DEPR" localSheetId="19">#REF!</definedName>
    <definedName name="E_KEYWORD_ISSR_208002861_LEASE_DEEM_DEPR" localSheetId="21">#REF!</definedName>
    <definedName name="E_KEYWORD_ISSR_208002861_LEASE_DEEM_DEPR">#REF!</definedName>
    <definedName name="E_KEYWORD_ISSR_208002861_LEASE_DEEM_INT" localSheetId="24">#REF!</definedName>
    <definedName name="E_KEYWORD_ISSR_208002861_LEASE_DEEM_INT" localSheetId="18">#REF!</definedName>
    <definedName name="E_KEYWORD_ISSR_208002861_LEASE_DEEM_INT" localSheetId="12">#REF!</definedName>
    <definedName name="E_KEYWORD_ISSR_208002861_LEASE_DEEM_INT" localSheetId="23">#REF!</definedName>
    <definedName name="E_KEYWORD_ISSR_208002861_LEASE_DEEM_INT" localSheetId="19">#REF!</definedName>
    <definedName name="E_KEYWORD_ISSR_208002861_LEASE_DEEM_INT" localSheetId="21">#REF!</definedName>
    <definedName name="E_KEYWORD_ISSR_208002861_LEASE_DEEM_INT">#REF!</definedName>
    <definedName name="E_KEYWORD_ISSR_208002861_LEASE_PAY" localSheetId="24">#REF!</definedName>
    <definedName name="E_KEYWORD_ISSR_208002861_LEASE_PAY" localSheetId="18">#REF!</definedName>
    <definedName name="E_KEYWORD_ISSR_208002861_LEASE_PAY" localSheetId="12">#REF!</definedName>
    <definedName name="E_KEYWORD_ISSR_208002861_LEASE_PAY" localSheetId="23">#REF!</definedName>
    <definedName name="E_KEYWORD_ISSR_208002861_LEASE_PAY" localSheetId="19">#REF!</definedName>
    <definedName name="E_KEYWORD_ISSR_208002861_LEASE_PAY" localSheetId="21">#REF!</definedName>
    <definedName name="E_KEYWORD_ISSR_208002861_LEASE_PAY">#REF!</definedName>
    <definedName name="E_KEYWORD_ISSR_208002861_LT_DEBT" localSheetId="24">#REF!</definedName>
    <definedName name="E_KEYWORD_ISSR_208002861_LT_DEBT" localSheetId="18">#REF!</definedName>
    <definedName name="E_KEYWORD_ISSR_208002861_LT_DEBT" localSheetId="12">#REF!</definedName>
    <definedName name="E_KEYWORD_ISSR_208002861_LT_DEBT" localSheetId="23">#REF!</definedName>
    <definedName name="E_KEYWORD_ISSR_208002861_LT_DEBT" localSheetId="19">#REF!</definedName>
    <definedName name="E_KEYWORD_ISSR_208002861_LT_DEBT" localSheetId="21">#REF!</definedName>
    <definedName name="E_KEYWORD_ISSR_208002861_LT_DEBT">#REF!</definedName>
    <definedName name="E_KEYWORD_ISSR_208002861_MINORITIES" localSheetId="24">#REF!</definedName>
    <definedName name="E_KEYWORD_ISSR_208002861_MINORITIES" localSheetId="18">#REF!</definedName>
    <definedName name="E_KEYWORD_ISSR_208002861_MINORITIES" localSheetId="12">#REF!</definedName>
    <definedName name="E_KEYWORD_ISSR_208002861_MINORITIES" localSheetId="23">#REF!</definedName>
    <definedName name="E_KEYWORD_ISSR_208002861_MINORITIES" localSheetId="19">#REF!</definedName>
    <definedName name="E_KEYWORD_ISSR_208002861_MINORITIES" localSheetId="21">#REF!</definedName>
    <definedName name="E_KEYWORD_ISSR_208002861_MINORITIES">#REF!</definedName>
    <definedName name="E_KEYWORD_ISSR_208002861_MV_ASSOCIATES" localSheetId="24">#REF!</definedName>
    <definedName name="E_KEYWORD_ISSR_208002861_MV_ASSOCIATES" localSheetId="18">#REF!</definedName>
    <definedName name="E_KEYWORD_ISSR_208002861_MV_ASSOCIATES" localSheetId="12">#REF!</definedName>
    <definedName name="E_KEYWORD_ISSR_208002861_MV_ASSOCIATES" localSheetId="23">#REF!</definedName>
    <definedName name="E_KEYWORD_ISSR_208002861_MV_ASSOCIATES" localSheetId="19">#REF!</definedName>
    <definedName name="E_KEYWORD_ISSR_208002861_MV_ASSOCIATES" localSheetId="21">#REF!</definedName>
    <definedName name="E_KEYWORD_ISSR_208002861_MV_ASSOCIATES">#REF!</definedName>
    <definedName name="E_KEYWORD_ISSR_208002861_NET_DEBT" localSheetId="24">#REF!</definedName>
    <definedName name="E_KEYWORD_ISSR_208002861_NET_DEBT" localSheetId="18">#REF!</definedName>
    <definedName name="E_KEYWORD_ISSR_208002861_NET_DEBT" localSheetId="12">#REF!</definedName>
    <definedName name="E_KEYWORD_ISSR_208002861_NET_DEBT" localSheetId="23">#REF!</definedName>
    <definedName name="E_KEYWORD_ISSR_208002861_NET_DEBT" localSheetId="19">#REF!</definedName>
    <definedName name="E_KEYWORD_ISSR_208002861_NET_DEBT" localSheetId="21">#REF!</definedName>
    <definedName name="E_KEYWORD_ISSR_208002861_NET_DEBT">#REF!</definedName>
    <definedName name="E_KEYWORD_ISSR_208002861_NET_DEBT_ADJ" localSheetId="24">#REF!</definedName>
    <definedName name="E_KEYWORD_ISSR_208002861_NET_DEBT_ADJ" localSheetId="18">#REF!</definedName>
    <definedName name="E_KEYWORD_ISSR_208002861_NET_DEBT_ADJ" localSheetId="12">#REF!</definedName>
    <definedName name="E_KEYWORD_ISSR_208002861_NET_DEBT_ADJ" localSheetId="23">#REF!</definedName>
    <definedName name="E_KEYWORD_ISSR_208002861_NET_DEBT_ADJ" localSheetId="19">#REF!</definedName>
    <definedName name="E_KEYWORD_ISSR_208002861_NET_DEBT_ADJ" localSheetId="21">#REF!</definedName>
    <definedName name="E_KEYWORD_ISSR_208002861_NET_DEBT_ADJ">#REF!</definedName>
    <definedName name="E_KEYWORD_ISSR_208002861_NET_FIX_ASS" localSheetId="24">#REF!</definedName>
    <definedName name="E_KEYWORD_ISSR_208002861_NET_FIX_ASS" localSheetId="18">#REF!</definedName>
    <definedName name="E_KEYWORD_ISSR_208002861_NET_FIX_ASS" localSheetId="12">#REF!</definedName>
    <definedName name="E_KEYWORD_ISSR_208002861_NET_FIX_ASS" localSheetId="23">#REF!</definedName>
    <definedName name="E_KEYWORD_ISSR_208002861_NET_FIX_ASS" localSheetId="19">#REF!</definedName>
    <definedName name="E_KEYWORD_ISSR_208002861_NET_FIX_ASS" localSheetId="21">#REF!</definedName>
    <definedName name="E_KEYWORD_ISSR_208002861_NET_FIX_ASS">#REF!</definedName>
    <definedName name="E_KEYWORD_ISSR_208002861_NET_INT_CH" localSheetId="24">#REF!</definedName>
    <definedName name="E_KEYWORD_ISSR_208002861_NET_INT_CH" localSheetId="18">#REF!</definedName>
    <definedName name="E_KEYWORD_ISSR_208002861_NET_INT_CH" localSheetId="12">#REF!</definedName>
    <definedName name="E_KEYWORD_ISSR_208002861_NET_INT_CH" localSheetId="23">#REF!</definedName>
    <definedName name="E_KEYWORD_ISSR_208002861_NET_INT_CH" localSheetId="19">#REF!</definedName>
    <definedName name="E_KEYWORD_ISSR_208002861_NET_INT_CH" localSheetId="21">#REF!</definedName>
    <definedName name="E_KEYWORD_ISSR_208002861_NET_INT_CH">#REF!</definedName>
    <definedName name="E_KEYWORD_ISSR_208002861_NET_INT_EXP" localSheetId="24">#REF!</definedName>
    <definedName name="E_KEYWORD_ISSR_208002861_NET_INT_EXP" localSheetId="18">#REF!</definedName>
    <definedName name="E_KEYWORD_ISSR_208002861_NET_INT_EXP" localSheetId="12">#REF!</definedName>
    <definedName name="E_KEYWORD_ISSR_208002861_NET_INT_EXP" localSheetId="23">#REF!</definedName>
    <definedName name="E_KEYWORD_ISSR_208002861_NET_INT_EXP" localSheetId="19">#REF!</definedName>
    <definedName name="E_KEYWORD_ISSR_208002861_NET_INT_EXP" localSheetId="21">#REF!</definedName>
    <definedName name="E_KEYWORD_ISSR_208002861_NET_INT_EXP">#REF!</definedName>
    <definedName name="E_KEYWORD_ISSR_208002861_NET_INTANG" localSheetId="24">#REF!</definedName>
    <definedName name="E_KEYWORD_ISSR_208002861_NET_INTANG" localSheetId="18">#REF!</definedName>
    <definedName name="E_KEYWORD_ISSR_208002861_NET_INTANG" localSheetId="12">#REF!</definedName>
    <definedName name="E_KEYWORD_ISSR_208002861_NET_INTANG" localSheetId="23">#REF!</definedName>
    <definedName name="E_KEYWORD_ISSR_208002861_NET_INTANG" localSheetId="19">#REF!</definedName>
    <definedName name="E_KEYWORD_ISSR_208002861_NET_INTANG" localSheetId="21">#REF!</definedName>
    <definedName name="E_KEYWORD_ISSR_208002861_NET_INTANG">#REF!</definedName>
    <definedName name="E_KEYWORD_ISSR_208002861_NONPPE_CAPEX" localSheetId="24">#REF!</definedName>
    <definedName name="E_KEYWORD_ISSR_208002861_NONPPE_CAPEX" localSheetId="18">#REF!</definedName>
    <definedName name="E_KEYWORD_ISSR_208002861_NONPPE_CAPEX" localSheetId="12">#REF!</definedName>
    <definedName name="E_KEYWORD_ISSR_208002861_NONPPE_CAPEX" localSheetId="23">#REF!</definedName>
    <definedName name="E_KEYWORD_ISSR_208002861_NONPPE_CAPEX" localSheetId="19">#REF!</definedName>
    <definedName name="E_KEYWORD_ISSR_208002861_NONPPE_CAPEX" localSheetId="21">#REF!</definedName>
    <definedName name="E_KEYWORD_ISSR_208002861_NONPPE_CAPEX">#REF!</definedName>
    <definedName name="E_KEYWORD_ISSR_208002861_OP_COST" localSheetId="24">#REF!</definedName>
    <definedName name="E_KEYWORD_ISSR_208002861_OP_COST" localSheetId="18">#REF!</definedName>
    <definedName name="E_KEYWORD_ISSR_208002861_OP_COST" localSheetId="12">#REF!</definedName>
    <definedName name="E_KEYWORD_ISSR_208002861_OP_COST" localSheetId="23">#REF!</definedName>
    <definedName name="E_KEYWORD_ISSR_208002861_OP_COST" localSheetId="19">#REF!</definedName>
    <definedName name="E_KEYWORD_ISSR_208002861_OP_COST" localSheetId="21">#REF!</definedName>
    <definedName name="E_KEYWORD_ISSR_208002861_OP_COST">#REF!</definedName>
    <definedName name="E_KEYWORD_ISSR_208002861_ORD_SH_FUND" localSheetId="24">#REF!</definedName>
    <definedName name="E_KEYWORD_ISSR_208002861_ORD_SH_FUND" localSheetId="18">#REF!</definedName>
    <definedName name="E_KEYWORD_ISSR_208002861_ORD_SH_FUND" localSheetId="12">#REF!</definedName>
    <definedName name="E_KEYWORD_ISSR_208002861_ORD_SH_FUND" localSheetId="23">#REF!</definedName>
    <definedName name="E_KEYWORD_ISSR_208002861_ORD_SH_FUND" localSheetId="19">#REF!</definedName>
    <definedName name="E_KEYWORD_ISSR_208002861_ORD_SH_FUND" localSheetId="21">#REF!</definedName>
    <definedName name="E_KEYWORD_ISSR_208002861_ORD_SH_FUND">#REF!</definedName>
    <definedName name="E_KEYWORD_ISSR_208002861_ORG_REV" localSheetId="24">#REF!</definedName>
    <definedName name="E_KEYWORD_ISSR_208002861_ORG_REV" localSheetId="18">#REF!</definedName>
    <definedName name="E_KEYWORD_ISSR_208002861_ORG_REV" localSheetId="12">#REF!</definedName>
    <definedName name="E_KEYWORD_ISSR_208002861_ORG_REV" localSheetId="23">#REF!</definedName>
    <definedName name="E_KEYWORD_ISSR_208002861_ORG_REV" localSheetId="19">#REF!</definedName>
    <definedName name="E_KEYWORD_ISSR_208002861_ORG_REV" localSheetId="21">#REF!</definedName>
    <definedName name="E_KEYWORD_ISSR_208002861_ORG_REV">#REF!</definedName>
    <definedName name="E_KEYWORD_ISSR_208002861_ORG_REV_GRTH" localSheetId="24">#REF!</definedName>
    <definedName name="E_KEYWORD_ISSR_208002861_ORG_REV_GRTH" localSheetId="18">#REF!</definedName>
    <definedName name="E_KEYWORD_ISSR_208002861_ORG_REV_GRTH" localSheetId="12">#REF!</definedName>
    <definedName name="E_KEYWORD_ISSR_208002861_ORG_REV_GRTH" localSheetId="23">#REF!</definedName>
    <definedName name="E_KEYWORD_ISSR_208002861_ORG_REV_GRTH" localSheetId="19">#REF!</definedName>
    <definedName name="E_KEYWORD_ISSR_208002861_ORG_REV_GRTH" localSheetId="21">#REF!</definedName>
    <definedName name="E_KEYWORD_ISSR_208002861_ORG_REV_GRTH">#REF!</definedName>
    <definedName name="E_KEYWORD_ISSR_208002861_OTH_COST_INC" localSheetId="24">#REF!</definedName>
    <definedName name="E_KEYWORD_ISSR_208002861_OTH_COST_INC" localSheetId="18">#REF!</definedName>
    <definedName name="E_KEYWORD_ISSR_208002861_OTH_COST_INC" localSheetId="12">#REF!</definedName>
    <definedName name="E_KEYWORD_ISSR_208002861_OTH_COST_INC" localSheetId="23">#REF!</definedName>
    <definedName name="E_KEYWORD_ISSR_208002861_OTH_COST_INC" localSheetId="19">#REF!</definedName>
    <definedName name="E_KEYWORD_ISSR_208002861_OTH_COST_INC" localSheetId="21">#REF!</definedName>
    <definedName name="E_KEYWORD_ISSR_208002861_OTH_COST_INC">#REF!</definedName>
    <definedName name="E_KEYWORD_ISSR_208002861_OTH_CUR_ASS" localSheetId="24">#REF!</definedName>
    <definedName name="E_KEYWORD_ISSR_208002861_OTH_CUR_ASS" localSheetId="18">#REF!</definedName>
    <definedName name="E_KEYWORD_ISSR_208002861_OTH_CUR_ASS" localSheetId="12">#REF!</definedName>
    <definedName name="E_KEYWORD_ISSR_208002861_OTH_CUR_ASS" localSheetId="23">#REF!</definedName>
    <definedName name="E_KEYWORD_ISSR_208002861_OTH_CUR_ASS" localSheetId="19">#REF!</definedName>
    <definedName name="E_KEYWORD_ISSR_208002861_OTH_CUR_ASS" localSheetId="21">#REF!</definedName>
    <definedName name="E_KEYWORD_ISSR_208002861_OTH_CUR_ASS">#REF!</definedName>
    <definedName name="E_KEYWORD_ISSR_208002861_OTH_CUR_LIABS" localSheetId="24">#REF!</definedName>
    <definedName name="E_KEYWORD_ISSR_208002861_OTH_CUR_LIABS" localSheetId="18">#REF!</definedName>
    <definedName name="E_KEYWORD_ISSR_208002861_OTH_CUR_LIABS" localSheetId="12">#REF!</definedName>
    <definedName name="E_KEYWORD_ISSR_208002861_OTH_CUR_LIABS" localSheetId="23">#REF!</definedName>
    <definedName name="E_KEYWORD_ISSR_208002861_OTH_CUR_LIABS" localSheetId="19">#REF!</definedName>
    <definedName name="E_KEYWORD_ISSR_208002861_OTH_CUR_LIABS" localSheetId="21">#REF!</definedName>
    <definedName name="E_KEYWORD_ISSR_208002861_OTH_CUR_LIABS">#REF!</definedName>
    <definedName name="E_KEYWORD_ISSR_208002861_OTH_DACF_ADJ" localSheetId="24">#REF!</definedName>
    <definedName name="E_KEYWORD_ISSR_208002861_OTH_DACF_ADJ" localSheetId="18">#REF!</definedName>
    <definedName name="E_KEYWORD_ISSR_208002861_OTH_DACF_ADJ" localSheetId="12">#REF!</definedName>
    <definedName name="E_KEYWORD_ISSR_208002861_OTH_DACF_ADJ" localSheetId="23">#REF!</definedName>
    <definedName name="E_KEYWORD_ISSR_208002861_OTH_DACF_ADJ" localSheetId="19">#REF!</definedName>
    <definedName name="E_KEYWORD_ISSR_208002861_OTH_DACF_ADJ" localSheetId="21">#REF!</definedName>
    <definedName name="E_KEYWORD_ISSR_208002861_OTH_DACF_ADJ">#REF!</definedName>
    <definedName name="E_KEYWORD_ISSR_208002861_OTH_FIN_CF" localSheetId="24">#REF!</definedName>
    <definedName name="E_KEYWORD_ISSR_208002861_OTH_FIN_CF" localSheetId="18">#REF!</definedName>
    <definedName name="E_KEYWORD_ISSR_208002861_OTH_FIN_CF" localSheetId="12">#REF!</definedName>
    <definedName name="E_KEYWORD_ISSR_208002861_OTH_FIN_CF" localSheetId="23">#REF!</definedName>
    <definedName name="E_KEYWORD_ISSR_208002861_OTH_FIN_CF" localSheetId="19">#REF!</definedName>
    <definedName name="E_KEYWORD_ISSR_208002861_OTH_FIN_CF" localSheetId="21">#REF!</definedName>
    <definedName name="E_KEYWORD_ISSR_208002861_OTH_FIN_CF">#REF!</definedName>
    <definedName name="E_KEYWORD_ISSR_208002861_OTH_GCI_ADJ" localSheetId="24">#REF!</definedName>
    <definedName name="E_KEYWORD_ISSR_208002861_OTH_GCI_ADJ" localSheetId="18">#REF!</definedName>
    <definedName name="E_KEYWORD_ISSR_208002861_OTH_GCI_ADJ" localSheetId="12">#REF!</definedName>
    <definedName name="E_KEYWORD_ISSR_208002861_OTH_GCI_ADJ" localSheetId="23">#REF!</definedName>
    <definedName name="E_KEYWORD_ISSR_208002861_OTH_GCI_ADJ" localSheetId="19">#REF!</definedName>
    <definedName name="E_KEYWORD_ISSR_208002861_OTH_GCI_ADJ" localSheetId="21">#REF!</definedName>
    <definedName name="E_KEYWORD_ISSR_208002861_OTH_GCI_ADJ">#REF!</definedName>
    <definedName name="E_KEYWORD_ISSR_208002861_OTH_INT_AMORT" localSheetId="24">#REF!</definedName>
    <definedName name="E_KEYWORD_ISSR_208002861_OTH_INT_AMORT" localSheetId="18">#REF!</definedName>
    <definedName name="E_KEYWORD_ISSR_208002861_OTH_INT_AMORT" localSheetId="12">#REF!</definedName>
    <definedName name="E_KEYWORD_ISSR_208002861_OTH_INT_AMORT" localSheetId="23">#REF!</definedName>
    <definedName name="E_KEYWORD_ISSR_208002861_OTH_INT_AMORT" localSheetId="19">#REF!</definedName>
    <definedName name="E_KEYWORD_ISSR_208002861_OTH_INT_AMORT" localSheetId="21">#REF!</definedName>
    <definedName name="E_KEYWORD_ISSR_208002861_OTH_INT_AMORT">#REF!</definedName>
    <definedName name="E_KEYWORD_ISSR_208002861_OTH_INV_CF" localSheetId="24">#REF!</definedName>
    <definedName name="E_KEYWORD_ISSR_208002861_OTH_INV_CF" localSheetId="18">#REF!</definedName>
    <definedName name="E_KEYWORD_ISSR_208002861_OTH_INV_CF" localSheetId="12">#REF!</definedName>
    <definedName name="E_KEYWORD_ISSR_208002861_OTH_INV_CF" localSheetId="23">#REF!</definedName>
    <definedName name="E_KEYWORD_ISSR_208002861_OTH_INV_CF" localSheetId="19">#REF!</definedName>
    <definedName name="E_KEYWORD_ISSR_208002861_OTH_INV_CF" localSheetId="21">#REF!</definedName>
    <definedName name="E_KEYWORD_ISSR_208002861_OTH_INV_CF">#REF!</definedName>
    <definedName name="E_KEYWORD_ISSR_208002861_OTH_ITEM_NCF" localSheetId="24">#REF!</definedName>
    <definedName name="E_KEYWORD_ISSR_208002861_OTH_ITEM_NCF" localSheetId="18">#REF!</definedName>
    <definedName name="E_KEYWORD_ISSR_208002861_OTH_ITEM_NCF" localSheetId="12">#REF!</definedName>
    <definedName name="E_KEYWORD_ISSR_208002861_OTH_ITEM_NCF" localSheetId="23">#REF!</definedName>
    <definedName name="E_KEYWORD_ISSR_208002861_OTH_ITEM_NCF" localSheetId="19">#REF!</definedName>
    <definedName name="E_KEYWORD_ISSR_208002861_OTH_ITEM_NCF" localSheetId="21">#REF!</definedName>
    <definedName name="E_KEYWORD_ISSR_208002861_OTH_ITEM_NCF">#REF!</definedName>
    <definedName name="E_KEYWORD_ISSR_208002861_OTH_LT_ASS" localSheetId="24">#REF!</definedName>
    <definedName name="E_KEYWORD_ISSR_208002861_OTH_LT_ASS" localSheetId="18">#REF!</definedName>
    <definedName name="E_KEYWORD_ISSR_208002861_OTH_LT_ASS" localSheetId="12">#REF!</definedName>
    <definedName name="E_KEYWORD_ISSR_208002861_OTH_LT_ASS" localSheetId="23">#REF!</definedName>
    <definedName name="E_KEYWORD_ISSR_208002861_OTH_LT_ASS" localSheetId="19">#REF!</definedName>
    <definedName name="E_KEYWORD_ISSR_208002861_OTH_LT_ASS" localSheetId="21">#REF!</definedName>
    <definedName name="E_KEYWORD_ISSR_208002861_OTH_LT_ASS">#REF!</definedName>
    <definedName name="E_KEYWORD_ISSR_208002861_OTH_LT_CRED_GQ" localSheetId="24">#REF!</definedName>
    <definedName name="E_KEYWORD_ISSR_208002861_OTH_LT_CRED_GQ" localSheetId="18">#REF!</definedName>
    <definedName name="E_KEYWORD_ISSR_208002861_OTH_LT_CRED_GQ" localSheetId="12">#REF!</definedName>
    <definedName name="E_KEYWORD_ISSR_208002861_OTH_LT_CRED_GQ" localSheetId="23">#REF!</definedName>
    <definedName name="E_KEYWORD_ISSR_208002861_OTH_LT_CRED_GQ" localSheetId="19">#REF!</definedName>
    <definedName name="E_KEYWORD_ISSR_208002861_OTH_LT_CRED_GQ" localSheetId="21">#REF!</definedName>
    <definedName name="E_KEYWORD_ISSR_208002861_OTH_LT_CRED_GQ">#REF!</definedName>
    <definedName name="E_KEYWORD_ISSR_208002861_OTH_NONCASH_ADJ" localSheetId="24">#REF!</definedName>
    <definedName name="E_KEYWORD_ISSR_208002861_OTH_NONCASH_ADJ" localSheetId="18">#REF!</definedName>
    <definedName name="E_KEYWORD_ISSR_208002861_OTH_NONCASH_ADJ" localSheetId="12">#REF!</definedName>
    <definedName name="E_KEYWORD_ISSR_208002861_OTH_NONCASH_ADJ" localSheetId="23">#REF!</definedName>
    <definedName name="E_KEYWORD_ISSR_208002861_OTH_NONCASH_ADJ" localSheetId="19">#REF!</definedName>
    <definedName name="E_KEYWORD_ISSR_208002861_OTH_NONCASH_ADJ" localSheetId="21">#REF!</definedName>
    <definedName name="E_KEYWORD_ISSR_208002861_OTH_NONCASH_ADJ">#REF!</definedName>
    <definedName name="E_KEYWORD_ISSR_208002861_OTH_OP_CF" localSheetId="24">#REF!</definedName>
    <definedName name="E_KEYWORD_ISSR_208002861_OTH_OP_CF" localSheetId="18">#REF!</definedName>
    <definedName name="E_KEYWORD_ISSR_208002861_OTH_OP_CF" localSheetId="12">#REF!</definedName>
    <definedName name="E_KEYWORD_ISSR_208002861_OTH_OP_CF" localSheetId="23">#REF!</definedName>
    <definedName name="E_KEYWORD_ISSR_208002861_OTH_OP_CF" localSheetId="19">#REF!</definedName>
    <definedName name="E_KEYWORD_ISSR_208002861_OTH_OP_CF" localSheetId="21">#REF!</definedName>
    <definedName name="E_KEYWORD_ISSR_208002861_OTH_OP_CF">#REF!</definedName>
    <definedName name="E_KEYWORD_ISSR_208002861_OTH_OP_INC_EXP" localSheetId="24">#REF!</definedName>
    <definedName name="E_KEYWORD_ISSR_208002861_OTH_OP_INC_EXP" localSheetId="18">#REF!</definedName>
    <definedName name="E_KEYWORD_ISSR_208002861_OTH_OP_INC_EXP" localSheetId="12">#REF!</definedName>
    <definedName name="E_KEYWORD_ISSR_208002861_OTH_OP_INC_EXP" localSheetId="23">#REF!</definedName>
    <definedName name="E_KEYWORD_ISSR_208002861_OTH_OP_INC_EXP" localSheetId="19">#REF!</definedName>
    <definedName name="E_KEYWORD_ISSR_208002861_OTH_OP_INC_EXP" localSheetId="21">#REF!</definedName>
    <definedName name="E_KEYWORD_ISSR_208002861_OTH_OP_INC_EXP">#REF!</definedName>
    <definedName name="E_KEYWORD_ISSR_208002861_PERIOD_MILESTONE" localSheetId="24">#REF!</definedName>
    <definedName name="E_KEYWORD_ISSR_208002861_PERIOD_MILESTONE" localSheetId="18">#REF!</definedName>
    <definedName name="E_KEYWORD_ISSR_208002861_PERIOD_MILESTONE" localSheetId="12">#REF!</definedName>
    <definedName name="E_KEYWORD_ISSR_208002861_PERIOD_MILESTONE" localSheetId="23">#REF!</definedName>
    <definedName name="E_KEYWORD_ISSR_208002861_PERIOD_MILESTONE" localSheetId="19">#REF!</definedName>
    <definedName name="E_KEYWORD_ISSR_208002861_PERIOD_MILESTONE" localSheetId="21">#REF!</definedName>
    <definedName name="E_KEYWORD_ISSR_208002861_PERIOD_MILESTONE">#REF!</definedName>
    <definedName name="E_KEYWORD_ISSR_208002861_PL_SALE_ASSETS" localSheetId="24">#REF!</definedName>
    <definedName name="E_KEYWORD_ISSR_208002861_PL_SALE_ASSETS" localSheetId="18">#REF!</definedName>
    <definedName name="E_KEYWORD_ISSR_208002861_PL_SALE_ASSETS" localSheetId="12">#REF!</definedName>
    <definedName name="E_KEYWORD_ISSR_208002861_PL_SALE_ASSETS" localSheetId="23">#REF!</definedName>
    <definedName name="E_KEYWORD_ISSR_208002861_PL_SALE_ASSETS" localSheetId="19">#REF!</definedName>
    <definedName name="E_KEYWORD_ISSR_208002861_PL_SALE_ASSETS" localSheetId="21">#REF!</definedName>
    <definedName name="E_KEYWORD_ISSR_208002861_PL_SALE_ASSETS">#REF!</definedName>
    <definedName name="E_KEYWORD_ISSR_208002861_PREF_SH" localSheetId="24">#REF!</definedName>
    <definedName name="E_KEYWORD_ISSR_208002861_PREF_SH" localSheetId="18">#REF!</definedName>
    <definedName name="E_KEYWORD_ISSR_208002861_PREF_SH" localSheetId="12">#REF!</definedName>
    <definedName name="E_KEYWORD_ISSR_208002861_PREF_SH" localSheetId="23">#REF!</definedName>
    <definedName name="E_KEYWORD_ISSR_208002861_PREF_SH" localSheetId="19">#REF!</definedName>
    <definedName name="E_KEYWORD_ISSR_208002861_PREF_SH" localSheetId="21">#REF!</definedName>
    <definedName name="E_KEYWORD_ISSR_208002861_PREF_SH">#REF!</definedName>
    <definedName name="E_KEYWORD_ISSR_208002861_PROFIT_ON_DISP" localSheetId="24">#REF!</definedName>
    <definedName name="E_KEYWORD_ISSR_208002861_PROFIT_ON_DISP" localSheetId="18">#REF!</definedName>
    <definedName name="E_KEYWORD_ISSR_208002861_PROFIT_ON_DISP" localSheetId="12">#REF!</definedName>
    <definedName name="E_KEYWORD_ISSR_208002861_PROFIT_ON_DISP" localSheetId="23">#REF!</definedName>
    <definedName name="E_KEYWORD_ISSR_208002861_PROFIT_ON_DISP" localSheetId="19">#REF!</definedName>
    <definedName name="E_KEYWORD_ISSR_208002861_PROFIT_ON_DISP" localSheetId="21">#REF!</definedName>
    <definedName name="E_KEYWORD_ISSR_208002861_PROFIT_ON_DISP">#REF!</definedName>
    <definedName name="E_KEYWORD_ISSR_208002861_PT_PROF" localSheetId="24">#REF!</definedName>
    <definedName name="E_KEYWORD_ISSR_208002861_PT_PROF" localSheetId="18">#REF!</definedName>
    <definedName name="E_KEYWORD_ISSR_208002861_PT_PROF" localSheetId="12">#REF!</definedName>
    <definedName name="E_KEYWORD_ISSR_208002861_PT_PROF" localSheetId="23">#REF!</definedName>
    <definedName name="E_KEYWORD_ISSR_208002861_PT_PROF" localSheetId="19">#REF!</definedName>
    <definedName name="E_KEYWORD_ISSR_208002861_PT_PROF" localSheetId="21">#REF!</definedName>
    <definedName name="E_KEYWORD_ISSR_208002861_PT_PROF">#REF!</definedName>
    <definedName name="E_KEYWORD_ISSR_208002861_RD_EXP" localSheetId="24">#REF!</definedName>
    <definedName name="E_KEYWORD_ISSR_208002861_RD_EXP" localSheetId="18">#REF!</definedName>
    <definedName name="E_KEYWORD_ISSR_208002861_RD_EXP" localSheetId="12">#REF!</definedName>
    <definedName name="E_KEYWORD_ISSR_208002861_RD_EXP" localSheetId="23">#REF!</definedName>
    <definedName name="E_KEYWORD_ISSR_208002861_RD_EXP" localSheetId="19">#REF!</definedName>
    <definedName name="E_KEYWORD_ISSR_208002861_RD_EXP" localSheetId="21">#REF!</definedName>
    <definedName name="E_KEYWORD_ISSR_208002861_RD_EXP">#REF!</definedName>
    <definedName name="E_KEYWORD_ISSR_208002861_SALES" localSheetId="24">#REF!</definedName>
    <definedName name="E_KEYWORD_ISSR_208002861_SALES" localSheetId="18">#REF!</definedName>
    <definedName name="E_KEYWORD_ISSR_208002861_SALES" localSheetId="12">#REF!</definedName>
    <definedName name="E_KEYWORD_ISSR_208002861_SALES" localSheetId="23">#REF!</definedName>
    <definedName name="E_KEYWORD_ISSR_208002861_SALES" localSheetId="19">#REF!</definedName>
    <definedName name="E_KEYWORD_ISSR_208002861_SALES" localSheetId="21">#REF!</definedName>
    <definedName name="E_KEYWORD_ISSR_208002861_SALES">#REF!</definedName>
    <definedName name="E_KEYWORD_ISSR_208002861_SALES_BRAZIL" localSheetId="24">#REF!</definedName>
    <definedName name="E_KEYWORD_ISSR_208002861_SALES_BRAZIL" localSheetId="18">#REF!</definedName>
    <definedName name="E_KEYWORD_ISSR_208002861_SALES_BRAZIL" localSheetId="12">#REF!</definedName>
    <definedName name="E_KEYWORD_ISSR_208002861_SALES_BRAZIL" localSheetId="23">#REF!</definedName>
    <definedName name="E_KEYWORD_ISSR_208002861_SALES_BRAZIL" localSheetId="19">#REF!</definedName>
    <definedName name="E_KEYWORD_ISSR_208002861_SALES_BRAZIL" localSheetId="21">#REF!</definedName>
    <definedName name="E_KEYWORD_ISSR_208002861_SALES_BRAZIL">#REF!</definedName>
    <definedName name="E_KEYWORD_ISSR_208002861_SALES_CEE" localSheetId="24">#REF!</definedName>
    <definedName name="E_KEYWORD_ISSR_208002861_SALES_CEE" localSheetId="18">#REF!</definedName>
    <definedName name="E_KEYWORD_ISSR_208002861_SALES_CEE" localSheetId="12">#REF!</definedName>
    <definedName name="E_KEYWORD_ISSR_208002861_SALES_CEE" localSheetId="23">#REF!</definedName>
    <definedName name="E_KEYWORD_ISSR_208002861_SALES_CEE" localSheetId="19">#REF!</definedName>
    <definedName name="E_KEYWORD_ISSR_208002861_SALES_CEE" localSheetId="21">#REF!</definedName>
    <definedName name="E_KEYWORD_ISSR_208002861_SALES_CEE">#REF!</definedName>
    <definedName name="E_KEYWORD_ISSR_208002861_SALES_CHINA" localSheetId="24">#REF!</definedName>
    <definedName name="E_KEYWORD_ISSR_208002861_SALES_CHINA" localSheetId="18">#REF!</definedName>
    <definedName name="E_KEYWORD_ISSR_208002861_SALES_CHINA" localSheetId="12">#REF!</definedName>
    <definedName name="E_KEYWORD_ISSR_208002861_SALES_CHINA" localSheetId="23">#REF!</definedName>
    <definedName name="E_KEYWORD_ISSR_208002861_SALES_CHINA" localSheetId="19">#REF!</definedName>
    <definedName name="E_KEYWORD_ISSR_208002861_SALES_CHINA" localSheetId="21">#REF!</definedName>
    <definedName name="E_KEYWORD_ISSR_208002861_SALES_CHINA">#REF!</definedName>
    <definedName name="E_KEYWORD_ISSR_208002861_SALES_CONS" localSheetId="24">#REF!</definedName>
    <definedName name="E_KEYWORD_ISSR_208002861_SALES_CONS" localSheetId="18">#REF!</definedName>
    <definedName name="E_KEYWORD_ISSR_208002861_SALES_CONS" localSheetId="12">#REF!</definedName>
    <definedName name="E_KEYWORD_ISSR_208002861_SALES_CONS" localSheetId="23">#REF!</definedName>
    <definedName name="E_KEYWORD_ISSR_208002861_SALES_CONS" localSheetId="19">#REF!</definedName>
    <definedName name="E_KEYWORD_ISSR_208002861_SALES_CONS" localSheetId="21">#REF!</definedName>
    <definedName name="E_KEYWORD_ISSR_208002861_SALES_CONS">#REF!</definedName>
    <definedName name="E_KEYWORD_ISSR_208002861_SALES_EU_EX_UK" localSheetId="24">#REF!</definedName>
    <definedName name="E_KEYWORD_ISSR_208002861_SALES_EU_EX_UK" localSheetId="18">#REF!</definedName>
    <definedName name="E_KEYWORD_ISSR_208002861_SALES_EU_EX_UK" localSheetId="12">#REF!</definedName>
    <definedName name="E_KEYWORD_ISSR_208002861_SALES_EU_EX_UK" localSheetId="23">#REF!</definedName>
    <definedName name="E_KEYWORD_ISSR_208002861_SALES_EU_EX_UK" localSheetId="19">#REF!</definedName>
    <definedName name="E_KEYWORD_ISSR_208002861_SALES_EU_EX_UK" localSheetId="21">#REF!</definedName>
    <definedName name="E_KEYWORD_ISSR_208002861_SALES_EU_EX_UK">#REF!</definedName>
    <definedName name="E_KEYWORD_ISSR_208002861_SALES_FINAN" localSheetId="24">#REF!</definedName>
    <definedName name="E_KEYWORD_ISSR_208002861_SALES_FINAN" localSheetId="18">#REF!</definedName>
    <definedName name="E_KEYWORD_ISSR_208002861_SALES_FINAN" localSheetId="12">#REF!</definedName>
    <definedName name="E_KEYWORD_ISSR_208002861_SALES_FINAN" localSheetId="23">#REF!</definedName>
    <definedName name="E_KEYWORD_ISSR_208002861_SALES_FINAN" localSheetId="19">#REF!</definedName>
    <definedName name="E_KEYWORD_ISSR_208002861_SALES_FINAN" localSheetId="21">#REF!</definedName>
    <definedName name="E_KEYWORD_ISSR_208002861_SALES_FINAN">#REF!</definedName>
    <definedName name="E_KEYWORD_ISSR_208002861_SALES_FRA" localSheetId="24">#REF!</definedName>
    <definedName name="E_KEYWORD_ISSR_208002861_SALES_FRA" localSheetId="18">#REF!</definedName>
    <definedName name="E_KEYWORD_ISSR_208002861_SALES_FRA" localSheetId="12">#REF!</definedName>
    <definedName name="E_KEYWORD_ISSR_208002861_SALES_FRA" localSheetId="23">#REF!</definedName>
    <definedName name="E_KEYWORD_ISSR_208002861_SALES_FRA" localSheetId="19">#REF!</definedName>
    <definedName name="E_KEYWORD_ISSR_208002861_SALES_FRA" localSheetId="21">#REF!</definedName>
    <definedName name="E_KEYWORD_ISSR_208002861_SALES_FRA">#REF!</definedName>
    <definedName name="E_KEYWORD_ISSR_208002861_SALES_FX_AED" localSheetId="24">#REF!</definedName>
    <definedName name="E_KEYWORD_ISSR_208002861_SALES_FX_AED" localSheetId="18">#REF!</definedName>
    <definedName name="E_KEYWORD_ISSR_208002861_SALES_FX_AED" localSheetId="12">#REF!</definedName>
    <definedName name="E_KEYWORD_ISSR_208002861_SALES_FX_AED" localSheetId="23">#REF!</definedName>
    <definedName name="E_KEYWORD_ISSR_208002861_SALES_FX_AED" localSheetId="19">#REF!</definedName>
    <definedName name="E_KEYWORD_ISSR_208002861_SALES_FX_AED" localSheetId="21">#REF!</definedName>
    <definedName name="E_KEYWORD_ISSR_208002861_SALES_FX_AED">#REF!</definedName>
    <definedName name="E_KEYWORD_ISSR_208002861_SALES_FX_BRL" localSheetId="24">#REF!</definedName>
    <definedName name="E_KEYWORD_ISSR_208002861_SALES_FX_BRL" localSheetId="18">#REF!</definedName>
    <definedName name="E_KEYWORD_ISSR_208002861_SALES_FX_BRL" localSheetId="12">#REF!</definedName>
    <definedName name="E_KEYWORD_ISSR_208002861_SALES_FX_BRL" localSheetId="23">#REF!</definedName>
    <definedName name="E_KEYWORD_ISSR_208002861_SALES_FX_BRL" localSheetId="19">#REF!</definedName>
    <definedName name="E_KEYWORD_ISSR_208002861_SALES_FX_BRL" localSheetId="21">#REF!</definedName>
    <definedName name="E_KEYWORD_ISSR_208002861_SALES_FX_BRL">#REF!</definedName>
    <definedName name="E_KEYWORD_ISSR_208002861_SALES_FX_CHF" localSheetId="24">#REF!</definedName>
    <definedName name="E_KEYWORD_ISSR_208002861_SALES_FX_CHF" localSheetId="18">#REF!</definedName>
    <definedName name="E_KEYWORD_ISSR_208002861_SALES_FX_CHF" localSheetId="12">#REF!</definedName>
    <definedName name="E_KEYWORD_ISSR_208002861_SALES_FX_CHF" localSheetId="23">#REF!</definedName>
    <definedName name="E_KEYWORD_ISSR_208002861_SALES_FX_CHF" localSheetId="19">#REF!</definedName>
    <definedName name="E_KEYWORD_ISSR_208002861_SALES_FX_CHF" localSheetId="21">#REF!</definedName>
    <definedName name="E_KEYWORD_ISSR_208002861_SALES_FX_CHF">#REF!</definedName>
    <definedName name="E_KEYWORD_ISSR_208002861_SALES_FX_CNY" localSheetId="24">#REF!</definedName>
    <definedName name="E_KEYWORD_ISSR_208002861_SALES_FX_CNY" localSheetId="18">#REF!</definedName>
    <definedName name="E_KEYWORD_ISSR_208002861_SALES_FX_CNY" localSheetId="12">#REF!</definedName>
    <definedName name="E_KEYWORD_ISSR_208002861_SALES_FX_CNY" localSheetId="23">#REF!</definedName>
    <definedName name="E_KEYWORD_ISSR_208002861_SALES_FX_CNY" localSheetId="19">#REF!</definedName>
    <definedName name="E_KEYWORD_ISSR_208002861_SALES_FX_CNY" localSheetId="21">#REF!</definedName>
    <definedName name="E_KEYWORD_ISSR_208002861_SALES_FX_CNY">#REF!</definedName>
    <definedName name="E_KEYWORD_ISSR_208002861_SALES_FX_EUR" localSheetId="24">#REF!</definedName>
    <definedName name="E_KEYWORD_ISSR_208002861_SALES_FX_EUR" localSheetId="18">#REF!</definedName>
    <definedName name="E_KEYWORD_ISSR_208002861_SALES_FX_EUR" localSheetId="12">#REF!</definedName>
    <definedName name="E_KEYWORD_ISSR_208002861_SALES_FX_EUR" localSheetId="23">#REF!</definedName>
    <definedName name="E_KEYWORD_ISSR_208002861_SALES_FX_EUR" localSheetId="19">#REF!</definedName>
    <definedName name="E_KEYWORD_ISSR_208002861_SALES_FX_EUR" localSheetId="21">#REF!</definedName>
    <definedName name="E_KEYWORD_ISSR_208002861_SALES_FX_EUR">#REF!</definedName>
    <definedName name="E_KEYWORD_ISSR_208002861_SALES_FX_GPB" localSheetId="24">#REF!</definedName>
    <definedName name="E_KEYWORD_ISSR_208002861_SALES_FX_GPB" localSheetId="18">#REF!</definedName>
    <definedName name="E_KEYWORD_ISSR_208002861_SALES_FX_GPB" localSheetId="12">#REF!</definedName>
    <definedName name="E_KEYWORD_ISSR_208002861_SALES_FX_GPB" localSheetId="23">#REF!</definedName>
    <definedName name="E_KEYWORD_ISSR_208002861_SALES_FX_GPB" localSheetId="19">#REF!</definedName>
    <definedName name="E_KEYWORD_ISSR_208002861_SALES_FX_GPB" localSheetId="21">#REF!</definedName>
    <definedName name="E_KEYWORD_ISSR_208002861_SALES_FX_GPB">#REF!</definedName>
    <definedName name="E_KEYWORD_ISSR_208002861_SALES_FX_INR" localSheetId="24">#REF!</definedName>
    <definedName name="E_KEYWORD_ISSR_208002861_SALES_FX_INR" localSheetId="18">#REF!</definedName>
    <definedName name="E_KEYWORD_ISSR_208002861_SALES_FX_INR" localSheetId="12">#REF!</definedName>
    <definedName name="E_KEYWORD_ISSR_208002861_SALES_FX_INR" localSheetId="23">#REF!</definedName>
    <definedName name="E_KEYWORD_ISSR_208002861_SALES_FX_INR" localSheetId="19">#REF!</definedName>
    <definedName name="E_KEYWORD_ISSR_208002861_SALES_FX_INR" localSheetId="21">#REF!</definedName>
    <definedName name="E_KEYWORD_ISSR_208002861_SALES_FX_INR">#REF!</definedName>
    <definedName name="E_KEYWORD_ISSR_208002861_SALES_FX_NGN" localSheetId="24">#REF!</definedName>
    <definedName name="E_KEYWORD_ISSR_208002861_SALES_FX_NGN" localSheetId="18">#REF!</definedName>
    <definedName name="E_KEYWORD_ISSR_208002861_SALES_FX_NGN" localSheetId="12">#REF!</definedName>
    <definedName name="E_KEYWORD_ISSR_208002861_SALES_FX_NGN" localSheetId="23">#REF!</definedName>
    <definedName name="E_KEYWORD_ISSR_208002861_SALES_FX_NGN" localSheetId="19">#REF!</definedName>
    <definedName name="E_KEYWORD_ISSR_208002861_SALES_FX_NGN" localSheetId="21">#REF!</definedName>
    <definedName name="E_KEYWORD_ISSR_208002861_SALES_FX_NGN">#REF!</definedName>
    <definedName name="E_KEYWORD_ISSR_208002861_SALES_FX_OTH" localSheetId="24">#REF!</definedName>
    <definedName name="E_KEYWORD_ISSR_208002861_SALES_FX_OTH" localSheetId="18">#REF!</definedName>
    <definedName name="E_KEYWORD_ISSR_208002861_SALES_FX_OTH" localSheetId="12">#REF!</definedName>
    <definedName name="E_KEYWORD_ISSR_208002861_SALES_FX_OTH" localSheetId="23">#REF!</definedName>
    <definedName name="E_KEYWORD_ISSR_208002861_SALES_FX_OTH" localSheetId="19">#REF!</definedName>
    <definedName name="E_KEYWORD_ISSR_208002861_SALES_FX_OTH" localSheetId="21">#REF!</definedName>
    <definedName name="E_KEYWORD_ISSR_208002861_SALES_FX_OTH">#REF!</definedName>
    <definedName name="E_KEYWORD_ISSR_208002861_SALES_FX_RUB" localSheetId="24">#REF!</definedName>
    <definedName name="E_KEYWORD_ISSR_208002861_SALES_FX_RUB" localSheetId="18">#REF!</definedName>
    <definedName name="E_KEYWORD_ISSR_208002861_SALES_FX_RUB" localSheetId="12">#REF!</definedName>
    <definedName name="E_KEYWORD_ISSR_208002861_SALES_FX_RUB" localSheetId="23">#REF!</definedName>
    <definedName name="E_KEYWORD_ISSR_208002861_SALES_FX_RUB" localSheetId="19">#REF!</definedName>
    <definedName name="E_KEYWORD_ISSR_208002861_SALES_FX_RUB" localSheetId="21">#REF!</definedName>
    <definedName name="E_KEYWORD_ISSR_208002861_SALES_FX_RUB">#REF!</definedName>
    <definedName name="E_KEYWORD_ISSR_208002861_SALES_FX_TRY" localSheetId="24">#REF!</definedName>
    <definedName name="E_KEYWORD_ISSR_208002861_SALES_FX_TRY" localSheetId="18">#REF!</definedName>
    <definedName name="E_KEYWORD_ISSR_208002861_SALES_FX_TRY" localSheetId="12">#REF!</definedName>
    <definedName name="E_KEYWORD_ISSR_208002861_SALES_FX_TRY" localSheetId="23">#REF!</definedName>
    <definedName name="E_KEYWORD_ISSR_208002861_SALES_FX_TRY" localSheetId="19">#REF!</definedName>
    <definedName name="E_KEYWORD_ISSR_208002861_SALES_FX_TRY" localSheetId="21">#REF!</definedName>
    <definedName name="E_KEYWORD_ISSR_208002861_SALES_FX_TRY">#REF!</definedName>
    <definedName name="E_KEYWORD_ISSR_208002861_SALES_FX_USD" localSheetId="24">#REF!</definedName>
    <definedName name="E_KEYWORD_ISSR_208002861_SALES_FX_USD" localSheetId="18">#REF!</definedName>
    <definedName name="E_KEYWORD_ISSR_208002861_SALES_FX_USD" localSheetId="12">#REF!</definedName>
    <definedName name="E_KEYWORD_ISSR_208002861_SALES_FX_USD" localSheetId="23">#REF!</definedName>
    <definedName name="E_KEYWORD_ISSR_208002861_SALES_FX_USD" localSheetId="19">#REF!</definedName>
    <definedName name="E_KEYWORD_ISSR_208002861_SALES_FX_USD" localSheetId="21">#REF!</definedName>
    <definedName name="E_KEYWORD_ISSR_208002861_SALES_FX_USD">#REF!</definedName>
    <definedName name="E_KEYWORD_ISSR_208002861_SALES_FX_YEN" localSheetId="24">#REF!</definedName>
    <definedName name="E_KEYWORD_ISSR_208002861_SALES_FX_YEN" localSheetId="18">#REF!</definedName>
    <definedName name="E_KEYWORD_ISSR_208002861_SALES_FX_YEN" localSheetId="12">#REF!</definedName>
    <definedName name="E_KEYWORD_ISSR_208002861_SALES_FX_YEN" localSheetId="23">#REF!</definedName>
    <definedName name="E_KEYWORD_ISSR_208002861_SALES_FX_YEN" localSheetId="19">#REF!</definedName>
    <definedName name="E_KEYWORD_ISSR_208002861_SALES_FX_YEN" localSheetId="21">#REF!</definedName>
    <definedName name="E_KEYWORD_ISSR_208002861_SALES_FX_YEN">#REF!</definedName>
    <definedName name="E_KEYWORD_ISSR_208002861_SALES_FX_ZAR" localSheetId="24">#REF!</definedName>
    <definedName name="E_KEYWORD_ISSR_208002861_SALES_FX_ZAR" localSheetId="18">#REF!</definedName>
    <definedName name="E_KEYWORD_ISSR_208002861_SALES_FX_ZAR" localSheetId="12">#REF!</definedName>
    <definedName name="E_KEYWORD_ISSR_208002861_SALES_FX_ZAR" localSheetId="23">#REF!</definedName>
    <definedName name="E_KEYWORD_ISSR_208002861_SALES_FX_ZAR" localSheetId="19">#REF!</definedName>
    <definedName name="E_KEYWORD_ISSR_208002861_SALES_FX_ZAR" localSheetId="21">#REF!</definedName>
    <definedName name="E_KEYWORD_ISSR_208002861_SALES_FX_ZAR">#REF!</definedName>
    <definedName name="E_KEYWORD_ISSR_208002861_SALES_GER" localSheetId="24">#REF!</definedName>
    <definedName name="E_KEYWORD_ISSR_208002861_SALES_GER" localSheetId="18">#REF!</definedName>
    <definedName name="E_KEYWORD_ISSR_208002861_SALES_GER" localSheetId="12">#REF!</definedName>
    <definedName name="E_KEYWORD_ISSR_208002861_SALES_GER" localSheetId="23">#REF!</definedName>
    <definedName name="E_KEYWORD_ISSR_208002861_SALES_GER" localSheetId="19">#REF!</definedName>
    <definedName name="E_KEYWORD_ISSR_208002861_SALES_GER" localSheetId="21">#REF!</definedName>
    <definedName name="E_KEYWORD_ISSR_208002861_SALES_GER">#REF!</definedName>
    <definedName name="E_KEYWORD_ISSR_208002861_SALES_GOV" localSheetId="24">#REF!</definedName>
    <definedName name="E_KEYWORD_ISSR_208002861_SALES_GOV" localSheetId="18">#REF!</definedName>
    <definedName name="E_KEYWORD_ISSR_208002861_SALES_GOV" localSheetId="12">#REF!</definedName>
    <definedName name="E_KEYWORD_ISSR_208002861_SALES_GOV" localSheetId="23">#REF!</definedName>
    <definedName name="E_KEYWORD_ISSR_208002861_SALES_GOV" localSheetId="19">#REF!</definedName>
    <definedName name="E_KEYWORD_ISSR_208002861_SALES_GOV" localSheetId="21">#REF!</definedName>
    <definedName name="E_KEYWORD_ISSR_208002861_SALES_GOV">#REF!</definedName>
    <definedName name="E_KEYWORD_ISSR_208002861_SALES_IND" localSheetId="24">#REF!</definedName>
    <definedName name="E_KEYWORD_ISSR_208002861_SALES_IND" localSheetId="18">#REF!</definedName>
    <definedName name="E_KEYWORD_ISSR_208002861_SALES_IND" localSheetId="12">#REF!</definedName>
    <definedName name="E_KEYWORD_ISSR_208002861_SALES_IND" localSheetId="23">#REF!</definedName>
    <definedName name="E_KEYWORD_ISSR_208002861_SALES_IND" localSheetId="19">#REF!</definedName>
    <definedName name="E_KEYWORD_ISSR_208002861_SALES_IND" localSheetId="21">#REF!</definedName>
    <definedName name="E_KEYWORD_ISSR_208002861_SALES_IND">#REF!</definedName>
    <definedName name="E_KEYWORD_ISSR_208002861_SALES_INDIA" localSheetId="24">#REF!</definedName>
    <definedName name="E_KEYWORD_ISSR_208002861_SALES_INDIA" localSheetId="18">#REF!</definedName>
    <definedName name="E_KEYWORD_ISSR_208002861_SALES_INDIA" localSheetId="12">#REF!</definedName>
    <definedName name="E_KEYWORD_ISSR_208002861_SALES_INDIA" localSheetId="23">#REF!</definedName>
    <definedName name="E_KEYWORD_ISSR_208002861_SALES_INDIA" localSheetId="19">#REF!</definedName>
    <definedName name="E_KEYWORD_ISSR_208002861_SALES_INDIA" localSheetId="21">#REF!</definedName>
    <definedName name="E_KEYWORD_ISSR_208002861_SALES_INDIA">#REF!</definedName>
    <definedName name="E_KEYWORD_ISSR_208002861_SALES_ITA" localSheetId="24">#REF!</definedName>
    <definedName name="E_KEYWORD_ISSR_208002861_SALES_ITA" localSheetId="18">#REF!</definedName>
    <definedName name="E_KEYWORD_ISSR_208002861_SALES_ITA" localSheetId="12">#REF!</definedName>
    <definedName name="E_KEYWORD_ISSR_208002861_SALES_ITA" localSheetId="23">#REF!</definedName>
    <definedName name="E_KEYWORD_ISSR_208002861_SALES_ITA" localSheetId="19">#REF!</definedName>
    <definedName name="E_KEYWORD_ISSR_208002861_SALES_ITA" localSheetId="21">#REF!</definedName>
    <definedName name="E_KEYWORD_ISSR_208002861_SALES_ITA">#REF!</definedName>
    <definedName name="E_KEYWORD_ISSR_208002861_SALES_JAPAN" localSheetId="24">#REF!</definedName>
    <definedName name="E_KEYWORD_ISSR_208002861_SALES_JAPAN" localSheetId="18">#REF!</definedName>
    <definedName name="E_KEYWORD_ISSR_208002861_SALES_JAPAN" localSheetId="12">#REF!</definedName>
    <definedName name="E_KEYWORD_ISSR_208002861_SALES_JAPAN" localSheetId="23">#REF!</definedName>
    <definedName name="E_KEYWORD_ISSR_208002861_SALES_JAPAN" localSheetId="19">#REF!</definedName>
    <definedName name="E_KEYWORD_ISSR_208002861_SALES_JAPAN" localSheetId="21">#REF!</definedName>
    <definedName name="E_KEYWORD_ISSR_208002861_SALES_JAPAN">#REF!</definedName>
    <definedName name="E_KEYWORD_ISSR_208002861_SALES_ME" localSheetId="24">#REF!</definedName>
    <definedName name="E_KEYWORD_ISSR_208002861_SALES_ME" localSheetId="18">#REF!</definedName>
    <definedName name="E_KEYWORD_ISSR_208002861_SALES_ME" localSheetId="12">#REF!</definedName>
    <definedName name="E_KEYWORD_ISSR_208002861_SALES_ME" localSheetId="23">#REF!</definedName>
    <definedName name="E_KEYWORD_ISSR_208002861_SALES_ME" localSheetId="19">#REF!</definedName>
    <definedName name="E_KEYWORD_ISSR_208002861_SALES_ME" localSheetId="21">#REF!</definedName>
    <definedName name="E_KEYWORD_ISSR_208002861_SALES_ME">#REF!</definedName>
    <definedName name="E_KEYWORD_ISSR_208002861_SALES_NIGERIA" localSheetId="24">#REF!</definedName>
    <definedName name="E_KEYWORD_ISSR_208002861_SALES_NIGERIA" localSheetId="18">#REF!</definedName>
    <definedName name="E_KEYWORD_ISSR_208002861_SALES_NIGERIA" localSheetId="12">#REF!</definedName>
    <definedName name="E_KEYWORD_ISSR_208002861_SALES_NIGERIA" localSheetId="23">#REF!</definedName>
    <definedName name="E_KEYWORD_ISSR_208002861_SALES_NIGERIA" localSheetId="19">#REF!</definedName>
    <definedName name="E_KEYWORD_ISSR_208002861_SALES_NIGERIA" localSheetId="21">#REF!</definedName>
    <definedName name="E_KEYWORD_ISSR_208002861_SALES_NIGERIA">#REF!</definedName>
    <definedName name="E_KEYWORD_ISSR_208002861_SALES_OTH_AEJ" localSheetId="24">#REF!</definedName>
    <definedName name="E_KEYWORD_ISSR_208002861_SALES_OTH_AEJ" localSheetId="18">#REF!</definedName>
    <definedName name="E_KEYWORD_ISSR_208002861_SALES_OTH_AEJ" localSheetId="12">#REF!</definedName>
    <definedName name="E_KEYWORD_ISSR_208002861_SALES_OTH_AEJ" localSheetId="23">#REF!</definedName>
    <definedName name="E_KEYWORD_ISSR_208002861_SALES_OTH_AEJ" localSheetId="19">#REF!</definedName>
    <definedName name="E_KEYWORD_ISSR_208002861_SALES_OTH_AEJ" localSheetId="21">#REF!</definedName>
    <definedName name="E_KEYWORD_ISSR_208002861_SALES_OTH_AEJ">#REF!</definedName>
    <definedName name="E_KEYWORD_ISSR_208002861_SALES_OTH_AFRICA" localSheetId="24">#REF!</definedName>
    <definedName name="E_KEYWORD_ISSR_208002861_SALES_OTH_AFRICA" localSheetId="18">#REF!</definedName>
    <definedName name="E_KEYWORD_ISSR_208002861_SALES_OTH_AFRICA" localSheetId="12">#REF!</definedName>
    <definedName name="E_KEYWORD_ISSR_208002861_SALES_OTH_AFRICA" localSheetId="23">#REF!</definedName>
    <definedName name="E_KEYWORD_ISSR_208002861_SALES_OTH_AFRICA" localSheetId="19">#REF!</definedName>
    <definedName name="E_KEYWORD_ISSR_208002861_SALES_OTH_AFRICA" localSheetId="21">#REF!</definedName>
    <definedName name="E_KEYWORD_ISSR_208002861_SALES_OTH_AFRICA">#REF!</definedName>
    <definedName name="E_KEYWORD_ISSR_208002861_SALES_OTH_AM" localSheetId="24">#REF!</definedName>
    <definedName name="E_KEYWORD_ISSR_208002861_SALES_OTH_AM" localSheetId="18">#REF!</definedName>
    <definedName name="E_KEYWORD_ISSR_208002861_SALES_OTH_AM" localSheetId="12">#REF!</definedName>
    <definedName name="E_KEYWORD_ISSR_208002861_SALES_OTH_AM" localSheetId="23">#REF!</definedName>
    <definedName name="E_KEYWORD_ISSR_208002861_SALES_OTH_AM" localSheetId="19">#REF!</definedName>
    <definedName name="E_KEYWORD_ISSR_208002861_SALES_OTH_AM" localSheetId="21">#REF!</definedName>
    <definedName name="E_KEYWORD_ISSR_208002861_SALES_OTH_AM">#REF!</definedName>
    <definedName name="E_KEYWORD_ISSR_208002861_SALES_OTH_COMMODITY" localSheetId="24">#REF!</definedName>
    <definedName name="E_KEYWORD_ISSR_208002861_SALES_OTH_COMMODITY" localSheetId="18">#REF!</definedName>
    <definedName name="E_KEYWORD_ISSR_208002861_SALES_OTH_COMMODITY" localSheetId="12">#REF!</definedName>
    <definedName name="E_KEYWORD_ISSR_208002861_SALES_OTH_COMMODITY" localSheetId="23">#REF!</definedName>
    <definedName name="E_KEYWORD_ISSR_208002861_SALES_OTH_COMMODITY" localSheetId="19">#REF!</definedName>
    <definedName name="E_KEYWORD_ISSR_208002861_SALES_OTH_COMMODITY" localSheetId="21">#REF!</definedName>
    <definedName name="E_KEYWORD_ISSR_208002861_SALES_OTH_COMMODITY">#REF!</definedName>
    <definedName name="E_KEYWORD_ISSR_208002861_SALES_OTH_EMEA" localSheetId="24">#REF!</definedName>
    <definedName name="E_KEYWORD_ISSR_208002861_SALES_OTH_EMEA" localSheetId="18">#REF!</definedName>
    <definedName name="E_KEYWORD_ISSR_208002861_SALES_OTH_EMEA" localSheetId="12">#REF!</definedName>
    <definedName name="E_KEYWORD_ISSR_208002861_SALES_OTH_EMEA" localSheetId="23">#REF!</definedName>
    <definedName name="E_KEYWORD_ISSR_208002861_SALES_OTH_EMEA" localSheetId="19">#REF!</definedName>
    <definedName name="E_KEYWORD_ISSR_208002861_SALES_OTH_EMEA" localSheetId="21">#REF!</definedName>
    <definedName name="E_KEYWORD_ISSR_208002861_SALES_OTH_EMEA">#REF!</definedName>
    <definedName name="E_KEYWORD_ISSR_208002861_SALES_OTH_EU_EX_UK" localSheetId="24">#REF!</definedName>
    <definedName name="E_KEYWORD_ISSR_208002861_SALES_OTH_EU_EX_UK" localSheetId="18">#REF!</definedName>
    <definedName name="E_KEYWORD_ISSR_208002861_SALES_OTH_EU_EX_UK" localSheetId="12">#REF!</definedName>
    <definedName name="E_KEYWORD_ISSR_208002861_SALES_OTH_EU_EX_UK" localSheetId="23">#REF!</definedName>
    <definedName name="E_KEYWORD_ISSR_208002861_SALES_OTH_EU_EX_UK" localSheetId="19">#REF!</definedName>
    <definedName name="E_KEYWORD_ISSR_208002861_SALES_OTH_EU_EX_UK" localSheetId="21">#REF!</definedName>
    <definedName name="E_KEYWORD_ISSR_208002861_SALES_OTH_EU_EX_UK">#REF!</definedName>
    <definedName name="E_KEYWORD_ISSR_208002861_SALES_OTH_SALES_SOURCES" localSheetId="24">#REF!</definedName>
    <definedName name="E_KEYWORD_ISSR_208002861_SALES_OTH_SALES_SOURCES" localSheetId="18">#REF!</definedName>
    <definedName name="E_KEYWORD_ISSR_208002861_SALES_OTH_SALES_SOURCES" localSheetId="12">#REF!</definedName>
    <definedName name="E_KEYWORD_ISSR_208002861_SALES_OTH_SALES_SOURCES" localSheetId="23">#REF!</definedName>
    <definedName name="E_KEYWORD_ISSR_208002861_SALES_OTH_SALES_SOURCES" localSheetId="19">#REF!</definedName>
    <definedName name="E_KEYWORD_ISSR_208002861_SALES_OTH_SALES_SOURCES" localSheetId="21">#REF!</definedName>
    <definedName name="E_KEYWORD_ISSR_208002861_SALES_OTH_SALES_SOURCES">#REF!</definedName>
    <definedName name="E_KEYWORD_ISSR_208002861_SALES_OTHER" localSheetId="24">#REF!</definedName>
    <definedName name="E_KEYWORD_ISSR_208002861_SALES_OTHER" localSheetId="18">#REF!</definedName>
    <definedName name="E_KEYWORD_ISSR_208002861_SALES_OTHER" localSheetId="12">#REF!</definedName>
    <definedName name="E_KEYWORD_ISSR_208002861_SALES_OTHER" localSheetId="23">#REF!</definedName>
    <definedName name="E_KEYWORD_ISSR_208002861_SALES_OTHER" localSheetId="19">#REF!</definedName>
    <definedName name="E_KEYWORD_ISSR_208002861_SALES_OTHER" localSheetId="21">#REF!</definedName>
    <definedName name="E_KEYWORD_ISSR_208002861_SALES_OTHER">#REF!</definedName>
    <definedName name="E_KEYWORD_ISSR_208002861_SALES_RUSSIA" localSheetId="24">#REF!</definedName>
    <definedName name="E_KEYWORD_ISSR_208002861_SALES_RUSSIA" localSheetId="18">#REF!</definedName>
    <definedName name="E_KEYWORD_ISSR_208002861_SALES_RUSSIA" localSheetId="12">#REF!</definedName>
    <definedName name="E_KEYWORD_ISSR_208002861_SALES_RUSSIA" localSheetId="23">#REF!</definedName>
    <definedName name="E_KEYWORD_ISSR_208002861_SALES_RUSSIA" localSheetId="19">#REF!</definedName>
    <definedName name="E_KEYWORD_ISSR_208002861_SALES_RUSSIA" localSheetId="21">#REF!</definedName>
    <definedName name="E_KEYWORD_ISSR_208002861_SALES_RUSSIA">#REF!</definedName>
    <definedName name="E_KEYWORD_ISSR_208002861_SALES_SO_AFRICA" localSheetId="24">#REF!</definedName>
    <definedName name="E_KEYWORD_ISSR_208002861_SALES_SO_AFRICA" localSheetId="18">#REF!</definedName>
    <definedName name="E_KEYWORD_ISSR_208002861_SALES_SO_AFRICA" localSheetId="12">#REF!</definedName>
    <definedName name="E_KEYWORD_ISSR_208002861_SALES_SO_AFRICA" localSheetId="23">#REF!</definedName>
    <definedName name="E_KEYWORD_ISSR_208002861_SALES_SO_AFRICA" localSheetId="19">#REF!</definedName>
    <definedName name="E_KEYWORD_ISSR_208002861_SALES_SO_AFRICA" localSheetId="21">#REF!</definedName>
    <definedName name="E_KEYWORD_ISSR_208002861_SALES_SO_AFRICA">#REF!</definedName>
    <definedName name="E_KEYWORD_ISSR_208002861_SALES_SPA" localSheetId="24">#REF!</definedName>
    <definedName name="E_KEYWORD_ISSR_208002861_SALES_SPA" localSheetId="18">#REF!</definedName>
    <definedName name="E_KEYWORD_ISSR_208002861_SALES_SPA" localSheetId="12">#REF!</definedName>
    <definedName name="E_KEYWORD_ISSR_208002861_SALES_SPA" localSheetId="23">#REF!</definedName>
    <definedName name="E_KEYWORD_ISSR_208002861_SALES_SPA" localSheetId="19">#REF!</definedName>
    <definedName name="E_KEYWORD_ISSR_208002861_SALES_SPA" localSheetId="21">#REF!</definedName>
    <definedName name="E_KEYWORD_ISSR_208002861_SALES_SPA">#REF!</definedName>
    <definedName name="E_KEYWORD_ISSR_208002861_SALES_TOT_AFRICA" localSheetId="24">#REF!</definedName>
    <definedName name="E_KEYWORD_ISSR_208002861_SALES_TOT_AFRICA" localSheetId="18">#REF!</definedName>
    <definedName name="E_KEYWORD_ISSR_208002861_SALES_TOT_AFRICA" localSheetId="12">#REF!</definedName>
    <definedName name="E_KEYWORD_ISSR_208002861_SALES_TOT_AFRICA" localSheetId="23">#REF!</definedName>
    <definedName name="E_KEYWORD_ISSR_208002861_SALES_TOT_AFRICA" localSheetId="19">#REF!</definedName>
    <definedName name="E_KEYWORD_ISSR_208002861_SALES_TOT_AFRICA" localSheetId="21">#REF!</definedName>
    <definedName name="E_KEYWORD_ISSR_208002861_SALES_TOT_AFRICA">#REF!</definedName>
    <definedName name="E_KEYWORD_ISSR_208002861_SALES_TOT_AM" localSheetId="24">#REF!</definedName>
    <definedName name="E_KEYWORD_ISSR_208002861_SALES_TOT_AM" localSheetId="18">#REF!</definedName>
    <definedName name="E_KEYWORD_ISSR_208002861_SALES_TOT_AM" localSheetId="12">#REF!</definedName>
    <definedName name="E_KEYWORD_ISSR_208002861_SALES_TOT_AM" localSheetId="23">#REF!</definedName>
    <definedName name="E_KEYWORD_ISSR_208002861_SALES_TOT_AM" localSheetId="19">#REF!</definedName>
    <definedName name="E_KEYWORD_ISSR_208002861_SALES_TOT_AM" localSheetId="21">#REF!</definedName>
    <definedName name="E_KEYWORD_ISSR_208002861_SALES_TOT_AM">#REF!</definedName>
    <definedName name="E_KEYWORD_ISSR_208002861_SALES_TOT_ASIA" localSheetId="24">#REF!</definedName>
    <definedName name="E_KEYWORD_ISSR_208002861_SALES_TOT_ASIA" localSheetId="18">#REF!</definedName>
    <definedName name="E_KEYWORD_ISSR_208002861_SALES_TOT_ASIA" localSheetId="12">#REF!</definedName>
    <definedName name="E_KEYWORD_ISSR_208002861_SALES_TOT_ASIA" localSheetId="23">#REF!</definedName>
    <definedName name="E_KEYWORD_ISSR_208002861_SALES_TOT_ASIA" localSheetId="19">#REF!</definedName>
    <definedName name="E_KEYWORD_ISSR_208002861_SALES_TOT_ASIA" localSheetId="21">#REF!</definedName>
    <definedName name="E_KEYWORD_ISSR_208002861_SALES_TOT_ASIA">#REF!</definedName>
    <definedName name="E_KEYWORD_ISSR_208002861_SALES_TOT_EMEA" localSheetId="24">#REF!</definedName>
    <definedName name="E_KEYWORD_ISSR_208002861_SALES_TOT_EMEA" localSheetId="18">#REF!</definedName>
    <definedName name="E_KEYWORD_ISSR_208002861_SALES_TOT_EMEA" localSheetId="12">#REF!</definedName>
    <definedName name="E_KEYWORD_ISSR_208002861_SALES_TOT_EMEA" localSheetId="23">#REF!</definedName>
    <definedName name="E_KEYWORD_ISSR_208002861_SALES_TOT_EMEA" localSheetId="19">#REF!</definedName>
    <definedName name="E_KEYWORD_ISSR_208002861_SALES_TOT_EMEA" localSheetId="21">#REF!</definedName>
    <definedName name="E_KEYWORD_ISSR_208002861_SALES_TOT_EMEA">#REF!</definedName>
    <definedName name="E_KEYWORD_ISSR_208002861_SALES_UK" localSheetId="24">#REF!</definedName>
    <definedName name="E_KEYWORD_ISSR_208002861_SALES_UK" localSheetId="18">#REF!</definedName>
    <definedName name="E_KEYWORD_ISSR_208002861_SALES_UK" localSheetId="12">#REF!</definedName>
    <definedName name="E_KEYWORD_ISSR_208002861_SALES_UK" localSheetId="23">#REF!</definedName>
    <definedName name="E_KEYWORD_ISSR_208002861_SALES_UK" localSheetId="19">#REF!</definedName>
    <definedName name="E_KEYWORD_ISSR_208002861_SALES_UK" localSheetId="21">#REF!</definedName>
    <definedName name="E_KEYWORD_ISSR_208002861_SALES_UK">#REF!</definedName>
    <definedName name="E_KEYWORD_ISSR_208002861_SALES_US" localSheetId="24">#REF!</definedName>
    <definedName name="E_KEYWORD_ISSR_208002861_SALES_US" localSheetId="18">#REF!</definedName>
    <definedName name="E_KEYWORD_ISSR_208002861_SALES_US" localSheetId="12">#REF!</definedName>
    <definedName name="E_KEYWORD_ISSR_208002861_SALES_US" localSheetId="23">#REF!</definedName>
    <definedName name="E_KEYWORD_ISSR_208002861_SALES_US" localSheetId="19">#REF!</definedName>
    <definedName name="E_KEYWORD_ISSR_208002861_SALES_US" localSheetId="21">#REF!</definedName>
    <definedName name="E_KEYWORD_ISSR_208002861_SALES_US">#REF!</definedName>
    <definedName name="E_KEYWORD_ISSR_208002861_SEL_GL_AD" localSheetId="24">#REF!</definedName>
    <definedName name="E_KEYWORD_ISSR_208002861_SEL_GL_AD" localSheetId="18">#REF!</definedName>
    <definedName name="E_KEYWORD_ISSR_208002861_SEL_GL_AD" localSheetId="12">#REF!</definedName>
    <definedName name="E_KEYWORD_ISSR_208002861_SEL_GL_AD" localSheetId="23">#REF!</definedName>
    <definedName name="E_KEYWORD_ISSR_208002861_SEL_GL_AD" localSheetId="19">#REF!</definedName>
    <definedName name="E_KEYWORD_ISSR_208002861_SEL_GL_AD" localSheetId="21">#REF!</definedName>
    <definedName name="E_KEYWORD_ISSR_208002861_SEL_GL_AD">#REF!</definedName>
    <definedName name="E_KEYWORD_ISSR_208002861_SH_REPUR" localSheetId="24">#REF!</definedName>
    <definedName name="E_KEYWORD_ISSR_208002861_SH_REPUR" localSheetId="18">#REF!</definedName>
    <definedName name="E_KEYWORD_ISSR_208002861_SH_REPUR" localSheetId="12">#REF!</definedName>
    <definedName name="E_KEYWORD_ISSR_208002861_SH_REPUR" localSheetId="23">#REF!</definedName>
    <definedName name="E_KEYWORD_ISSR_208002861_SH_REPUR" localSheetId="19">#REF!</definedName>
    <definedName name="E_KEYWORD_ISSR_208002861_SH_REPUR" localSheetId="21">#REF!</definedName>
    <definedName name="E_KEYWORD_ISSR_208002861_SH_REPUR">#REF!</definedName>
    <definedName name="E_KEYWORD_ISSR_208002861_SHORT_T_DEBT" localSheetId="24">#REF!</definedName>
    <definedName name="E_KEYWORD_ISSR_208002861_SHORT_T_DEBT" localSheetId="18">#REF!</definedName>
    <definedName name="E_KEYWORD_ISSR_208002861_SHORT_T_DEBT" localSheetId="12">#REF!</definedName>
    <definedName name="E_KEYWORD_ISSR_208002861_SHORT_T_DEBT" localSheetId="23">#REF!</definedName>
    <definedName name="E_KEYWORD_ISSR_208002861_SHORT_T_DEBT" localSheetId="19">#REF!</definedName>
    <definedName name="E_KEYWORD_ISSR_208002861_SHORT_T_DEBT" localSheetId="21">#REF!</definedName>
    <definedName name="E_KEYWORD_ISSR_208002861_SHORT_T_DEBT">#REF!</definedName>
    <definedName name="E_KEYWORD_ISSR_208002861_SHORT_TERM_LIABS" localSheetId="24">#REF!</definedName>
    <definedName name="E_KEYWORD_ISSR_208002861_SHORT_TERM_LIABS" localSheetId="18">#REF!</definedName>
    <definedName name="E_KEYWORD_ISSR_208002861_SHORT_TERM_LIABS" localSheetId="12">#REF!</definedName>
    <definedName name="E_KEYWORD_ISSR_208002861_SHORT_TERM_LIABS" localSheetId="23">#REF!</definedName>
    <definedName name="E_KEYWORD_ISSR_208002861_SHORT_TERM_LIABS" localSheetId="19">#REF!</definedName>
    <definedName name="E_KEYWORD_ISSR_208002861_SHORT_TERM_LIABS" localSheetId="21">#REF!</definedName>
    <definedName name="E_KEYWORD_ISSR_208002861_SHORT_TERM_LIABS">#REF!</definedName>
    <definedName name="E_KEYWORD_ISSR_208002861_STOCKS" localSheetId="24">#REF!</definedName>
    <definedName name="E_KEYWORD_ISSR_208002861_STOCKS" localSheetId="18">#REF!</definedName>
    <definedName name="E_KEYWORD_ISSR_208002861_STOCKS" localSheetId="12">#REF!</definedName>
    <definedName name="E_KEYWORD_ISSR_208002861_STOCKS" localSheetId="23">#REF!</definedName>
    <definedName name="E_KEYWORD_ISSR_208002861_STOCKS" localSheetId="19">#REF!</definedName>
    <definedName name="E_KEYWORD_ISSR_208002861_STOCKS" localSheetId="21">#REF!</definedName>
    <definedName name="E_KEYWORD_ISSR_208002861_STOCKS">#REF!</definedName>
    <definedName name="E_KEYWORD_ISSR_208002861_TOT_ASSET" localSheetId="24">#REF!</definedName>
    <definedName name="E_KEYWORD_ISSR_208002861_TOT_ASSET" localSheetId="18">#REF!</definedName>
    <definedName name="E_KEYWORD_ISSR_208002861_TOT_ASSET" localSheetId="12">#REF!</definedName>
    <definedName name="E_KEYWORD_ISSR_208002861_TOT_ASSET" localSheetId="23">#REF!</definedName>
    <definedName name="E_KEYWORD_ISSR_208002861_TOT_ASSET" localSheetId="19">#REF!</definedName>
    <definedName name="E_KEYWORD_ISSR_208002861_TOT_ASSET" localSheetId="21">#REF!</definedName>
    <definedName name="E_KEYWORD_ISSR_208002861_TOT_ASSET">#REF!</definedName>
    <definedName name="E_KEYWORD_ISSR_208002861_TOT_CF" localSheetId="24">#REF!</definedName>
    <definedName name="E_KEYWORD_ISSR_208002861_TOT_CF" localSheetId="18">#REF!</definedName>
    <definedName name="E_KEYWORD_ISSR_208002861_TOT_CF" localSheetId="12">#REF!</definedName>
    <definedName name="E_KEYWORD_ISSR_208002861_TOT_CF" localSheetId="23">#REF!</definedName>
    <definedName name="E_KEYWORD_ISSR_208002861_TOT_CF" localSheetId="19">#REF!</definedName>
    <definedName name="E_KEYWORD_ISSR_208002861_TOT_CF" localSheetId="21">#REF!</definedName>
    <definedName name="E_KEYWORD_ISSR_208002861_TOT_CF">#REF!</definedName>
    <definedName name="E_KEYWORD_ISSR_208002861_TOT_LIAB" localSheetId="24">#REF!</definedName>
    <definedName name="E_KEYWORD_ISSR_208002861_TOT_LIAB" localSheetId="18">#REF!</definedName>
    <definedName name="E_KEYWORD_ISSR_208002861_TOT_LIAB" localSheetId="12">#REF!</definedName>
    <definedName name="E_KEYWORD_ISSR_208002861_TOT_LIAB" localSheetId="23">#REF!</definedName>
    <definedName name="E_KEYWORD_ISSR_208002861_TOT_LIAB" localSheetId="19">#REF!</definedName>
    <definedName name="E_KEYWORD_ISSR_208002861_TOT_LIAB" localSheetId="21">#REF!</definedName>
    <definedName name="E_KEYWORD_ISSR_208002861_TOT_LIAB">#REF!</definedName>
    <definedName name="E_KEYWORD_ISSR_208002861_TOT_LIAB_EQ" localSheetId="24">#REF!</definedName>
    <definedName name="E_KEYWORD_ISSR_208002861_TOT_LIAB_EQ" localSheetId="18">#REF!</definedName>
    <definedName name="E_KEYWORD_ISSR_208002861_TOT_LIAB_EQ" localSheetId="12">#REF!</definedName>
    <definedName name="E_KEYWORD_ISSR_208002861_TOT_LIAB_EQ" localSheetId="23">#REF!</definedName>
    <definedName name="E_KEYWORD_ISSR_208002861_TOT_LIAB_EQ" localSheetId="19">#REF!</definedName>
    <definedName name="E_KEYWORD_ISSR_208002861_TOT_LIAB_EQ" localSheetId="21">#REF!</definedName>
    <definedName name="E_KEYWORD_ISSR_208002861_TOT_LIAB_EQ">#REF!</definedName>
    <definedName name="E_KEYWORD_ISSR_208002861_TOT_LT_LIAB" localSheetId="24">#REF!</definedName>
    <definedName name="E_KEYWORD_ISSR_208002861_TOT_LT_LIAB" localSheetId="18">#REF!</definedName>
    <definedName name="E_KEYWORD_ISSR_208002861_TOT_LT_LIAB" localSheetId="12">#REF!</definedName>
    <definedName name="E_KEYWORD_ISSR_208002861_TOT_LT_LIAB" localSheetId="23">#REF!</definedName>
    <definedName name="E_KEYWORD_ISSR_208002861_TOT_LT_LIAB" localSheetId="19">#REF!</definedName>
    <definedName name="E_KEYWORD_ISSR_208002861_TOT_LT_LIAB" localSheetId="21">#REF!</definedName>
    <definedName name="E_KEYWORD_ISSR_208002861_TOT_LT_LIAB">#REF!</definedName>
    <definedName name="E_KEYWORD_ISSR_208002861_TOT_OPS_EXP" localSheetId="24">#REF!</definedName>
    <definedName name="E_KEYWORD_ISSR_208002861_TOT_OPS_EXP" localSheetId="18">#REF!</definedName>
    <definedName name="E_KEYWORD_ISSR_208002861_TOT_OPS_EXP" localSheetId="12">#REF!</definedName>
    <definedName name="E_KEYWORD_ISSR_208002861_TOT_OPS_EXP" localSheetId="23">#REF!</definedName>
    <definedName name="E_KEYWORD_ISSR_208002861_TOT_OPS_EXP" localSheetId="19">#REF!</definedName>
    <definedName name="E_KEYWORD_ISSR_208002861_TOT_OPS_EXP" localSheetId="21">#REF!</definedName>
    <definedName name="E_KEYWORD_ISSR_208002861_TOT_OPS_EXP">#REF!</definedName>
    <definedName name="E_KEYWORD_ISSR_208002861_TOT_OPS_EXP_DDA" localSheetId="24">#REF!</definedName>
    <definedName name="E_KEYWORD_ISSR_208002861_TOT_OPS_EXP_DDA" localSheetId="18">#REF!</definedName>
    <definedName name="E_KEYWORD_ISSR_208002861_TOT_OPS_EXP_DDA" localSheetId="12">#REF!</definedName>
    <definedName name="E_KEYWORD_ISSR_208002861_TOT_OPS_EXP_DDA" localSheetId="23">#REF!</definedName>
    <definedName name="E_KEYWORD_ISSR_208002861_TOT_OPS_EXP_DDA" localSheetId="19">#REF!</definedName>
    <definedName name="E_KEYWORD_ISSR_208002861_TOT_OPS_EXP_DDA" localSheetId="21">#REF!</definedName>
    <definedName name="E_KEYWORD_ISSR_208002861_TOT_OPS_EXP_DDA">#REF!</definedName>
    <definedName name="E_KEYWORD_ISSR_208002861_UNF_PENS" localSheetId="24">#REF!</definedName>
    <definedName name="E_KEYWORD_ISSR_208002861_UNF_PENS" localSheetId="18">#REF!</definedName>
    <definedName name="E_KEYWORD_ISSR_208002861_UNF_PENS" localSheetId="12">#REF!</definedName>
    <definedName name="E_KEYWORD_ISSR_208002861_UNF_PENS" localSheetId="23">#REF!</definedName>
    <definedName name="E_KEYWORD_ISSR_208002861_UNF_PENS" localSheetId="19">#REF!</definedName>
    <definedName name="E_KEYWORD_ISSR_208002861_UNF_PENS" localSheetId="21">#REF!</definedName>
    <definedName name="E_KEYWORD_ISSR_208002861_UNF_PENS">#REF!</definedName>
    <definedName name="E_KEYWORD_ISSR_208002861_UNF_PENS_LIAB_OTH" localSheetId="24">#REF!</definedName>
    <definedName name="E_KEYWORD_ISSR_208002861_UNF_PENS_LIAB_OTH" localSheetId="18">#REF!</definedName>
    <definedName name="E_KEYWORD_ISSR_208002861_UNF_PENS_LIAB_OTH" localSheetId="12">#REF!</definedName>
    <definedName name="E_KEYWORD_ISSR_208002861_UNF_PENS_LIAB_OTH" localSheetId="23">#REF!</definedName>
    <definedName name="E_KEYWORD_ISSR_208002861_UNF_PENS_LIAB_OTH" localSheetId="19">#REF!</definedName>
    <definedName name="E_KEYWORD_ISSR_208002861_UNF_PENS_LIAB_OTH" localSheetId="21">#REF!</definedName>
    <definedName name="E_KEYWORD_ISSR_208002861_UNF_PENS_LIAB_OTH">#REF!</definedName>
    <definedName name="E_KEYWORD_ISSR_208002861_UNF_PENS_OFF" localSheetId="24">#REF!</definedName>
    <definedName name="E_KEYWORD_ISSR_208002861_UNF_PENS_OFF" localSheetId="18">#REF!</definedName>
    <definedName name="E_KEYWORD_ISSR_208002861_UNF_PENS_OFF" localSheetId="12">#REF!</definedName>
    <definedName name="E_KEYWORD_ISSR_208002861_UNF_PENS_OFF" localSheetId="23">#REF!</definedName>
    <definedName name="E_KEYWORD_ISSR_208002861_UNF_PENS_OFF" localSheetId="19">#REF!</definedName>
    <definedName name="E_KEYWORD_ISSR_208002861_UNF_PENS_OFF" localSheetId="21">#REF!</definedName>
    <definedName name="E_KEYWORD_ISSR_208002861_UNF_PENS_OFF">#REF!</definedName>
    <definedName name="E_KEYWORD_ISSR_208002861_WORK_CAP" localSheetId="24">#REF!</definedName>
    <definedName name="E_KEYWORD_ISSR_208002861_WORK_CAP" localSheetId="18">#REF!</definedName>
    <definedName name="E_KEYWORD_ISSR_208002861_WORK_CAP" localSheetId="12">#REF!</definedName>
    <definedName name="E_KEYWORD_ISSR_208002861_WORK_CAP" localSheetId="23">#REF!</definedName>
    <definedName name="E_KEYWORD_ISSR_208002861_WORK_CAP" localSheetId="19">#REF!</definedName>
    <definedName name="E_KEYWORD_ISSR_208002861_WORK_CAP" localSheetId="21">#REF!</definedName>
    <definedName name="E_KEYWORD_ISSR_208002861_WORK_CAP">#REF!</definedName>
    <definedName name="E_LIVEDATA_EQTY_200007513" localSheetId="24">#REF!</definedName>
    <definedName name="E_LIVEDATA_EQTY_200007513" localSheetId="18">#REF!</definedName>
    <definedName name="E_LIVEDATA_EQTY_200007513" localSheetId="12">#REF!</definedName>
    <definedName name="E_LIVEDATA_EQTY_200007513" localSheetId="23">#REF!</definedName>
    <definedName name="E_LIVEDATA_EQTY_200007513" localSheetId="19">#REF!</definedName>
    <definedName name="E_LIVEDATA_EQTY_200007513" localSheetId="21">#REF!</definedName>
    <definedName name="E_LIVEDATA_EQTY_200007513">#REF!</definedName>
    <definedName name="E_LIVEDATA_ISSR_208002861" localSheetId="24">#REF!</definedName>
    <definedName name="E_LIVEDATA_ISSR_208002861" localSheetId="18">#REF!</definedName>
    <definedName name="E_LIVEDATA_ISSR_208002861" localSheetId="12">#REF!</definedName>
    <definedName name="E_LIVEDATA_ISSR_208002861" localSheetId="23">#REF!</definedName>
    <definedName name="E_LIVEDATA_ISSR_208002861" localSheetId="19">#REF!</definedName>
    <definedName name="E_LIVEDATA_ISSR_208002861" localSheetId="21">#REF!</definedName>
    <definedName name="E_LIVEDATA_ISSR_208002861">#REF!</definedName>
    <definedName name="E_PERIOD_2002" localSheetId="12">#REF!</definedName>
    <definedName name="E_PERIOD_2003" localSheetId="12">#REF!</definedName>
    <definedName name="E_PERIOD_2004" localSheetId="12">#REF!</definedName>
    <definedName name="E_PERIOD_2005" localSheetId="12">#REF!</definedName>
    <definedName name="E_PERIOD_2006_Q1" localSheetId="24">#REF!</definedName>
    <definedName name="E_PERIOD_2006_Q1" localSheetId="18">#REF!</definedName>
    <definedName name="E_PERIOD_2006_Q1" localSheetId="12">#REF!</definedName>
    <definedName name="E_PERIOD_2006_Q1" localSheetId="23">#REF!</definedName>
    <definedName name="E_PERIOD_2006_Q1" localSheetId="19">#REF!</definedName>
    <definedName name="E_PERIOD_2006_Q1" localSheetId="21">#REF!</definedName>
    <definedName name="E_PERIOD_2006_Q1">#REF!</definedName>
    <definedName name="E_PERIOD_2006_Q2" localSheetId="24">#REF!</definedName>
    <definedName name="E_PERIOD_2006_Q2" localSheetId="18">#REF!</definedName>
    <definedName name="E_PERIOD_2006_Q2" localSheetId="12">#REF!</definedName>
    <definedName name="E_PERIOD_2006_Q2" localSheetId="23">#REF!</definedName>
    <definedName name="E_PERIOD_2006_Q2" localSheetId="19">#REF!</definedName>
    <definedName name="E_PERIOD_2006_Q2" localSheetId="21">#REF!</definedName>
    <definedName name="E_PERIOD_2006_Q2">#REF!</definedName>
    <definedName name="E_PERIOD_2006_Q3" localSheetId="24">#REF!</definedName>
    <definedName name="E_PERIOD_2006_Q3" localSheetId="18">#REF!</definedName>
    <definedName name="E_PERIOD_2006_Q3" localSheetId="12">#REF!</definedName>
    <definedName name="E_PERIOD_2006_Q3" localSheetId="23">#REF!</definedName>
    <definedName name="E_PERIOD_2006_Q3" localSheetId="19">#REF!</definedName>
    <definedName name="E_PERIOD_2006_Q3" localSheetId="21">#REF!</definedName>
    <definedName name="E_PERIOD_2006_Q3">#REF!</definedName>
    <definedName name="E_PERIOD_2006_Q4" localSheetId="24">#REF!</definedName>
    <definedName name="E_PERIOD_2006_Q4" localSheetId="18">#REF!</definedName>
    <definedName name="E_PERIOD_2006_Q4" localSheetId="12">#REF!</definedName>
    <definedName name="E_PERIOD_2006_Q4" localSheetId="23">#REF!</definedName>
    <definedName name="E_PERIOD_2006_Q4" localSheetId="19">#REF!</definedName>
    <definedName name="E_PERIOD_2006_Q4" localSheetId="21">#REF!</definedName>
    <definedName name="E_PERIOD_2006_Q4">#REF!</definedName>
    <definedName name="E_PERIOD_2007_Q1" localSheetId="24">#REF!</definedName>
    <definedName name="E_PERIOD_2007_Q1" localSheetId="18">#REF!</definedName>
    <definedName name="E_PERIOD_2007_Q1" localSheetId="12">#REF!</definedName>
    <definedName name="E_PERIOD_2007_Q1" localSheetId="23">#REF!</definedName>
    <definedName name="E_PERIOD_2007_Q1" localSheetId="19">#REF!</definedName>
    <definedName name="E_PERIOD_2007_Q1" localSheetId="21">#REF!</definedName>
    <definedName name="E_PERIOD_2007_Q1">#REF!</definedName>
    <definedName name="E_PERIOD_2007_Q2" localSheetId="24">#REF!</definedName>
    <definedName name="E_PERIOD_2007_Q2" localSheetId="18">#REF!</definedName>
    <definedName name="E_PERIOD_2007_Q2" localSheetId="12">#REF!</definedName>
    <definedName name="E_PERIOD_2007_Q2" localSheetId="23">#REF!</definedName>
    <definedName name="E_PERIOD_2007_Q2" localSheetId="19">#REF!</definedName>
    <definedName name="E_PERIOD_2007_Q2" localSheetId="21">#REF!</definedName>
    <definedName name="E_PERIOD_2007_Q2">#REF!</definedName>
    <definedName name="E_PERIOD_2007_Q3" localSheetId="24">#REF!</definedName>
    <definedName name="E_PERIOD_2007_Q3" localSheetId="18">#REF!</definedName>
    <definedName name="E_PERIOD_2007_Q3" localSheetId="12">#REF!</definedName>
    <definedName name="E_PERIOD_2007_Q3" localSheetId="23">#REF!</definedName>
    <definedName name="E_PERIOD_2007_Q3" localSheetId="19">#REF!</definedName>
    <definedName name="E_PERIOD_2007_Q3" localSheetId="21">#REF!</definedName>
    <definedName name="E_PERIOD_2007_Q3">#REF!</definedName>
    <definedName name="E_PERIOD_2007_Q4" localSheetId="24">#REF!</definedName>
    <definedName name="E_PERIOD_2007_Q4" localSheetId="18">#REF!</definedName>
    <definedName name="E_PERIOD_2007_Q4" localSheetId="12">#REF!</definedName>
    <definedName name="E_PERIOD_2007_Q4" localSheetId="23">#REF!</definedName>
    <definedName name="E_PERIOD_2007_Q4" localSheetId="19">#REF!</definedName>
    <definedName name="E_PERIOD_2007_Q4" localSheetId="21">#REF!</definedName>
    <definedName name="E_PERIOD_2007_Q4">#REF!</definedName>
    <definedName name="E_PERIOD_2008_Q1" localSheetId="24">#REF!</definedName>
    <definedName name="E_PERIOD_2008_Q1" localSheetId="18">#REF!</definedName>
    <definedName name="E_PERIOD_2008_Q1" localSheetId="12">#REF!</definedName>
    <definedName name="E_PERIOD_2008_Q1" localSheetId="23">#REF!</definedName>
    <definedName name="E_PERIOD_2008_Q1" localSheetId="19">#REF!</definedName>
    <definedName name="E_PERIOD_2008_Q1" localSheetId="21">#REF!</definedName>
    <definedName name="E_PERIOD_2008_Q1">#REF!</definedName>
    <definedName name="E_PERIOD_2008_Q2" localSheetId="24">#REF!</definedName>
    <definedName name="E_PERIOD_2008_Q2" localSheetId="18">#REF!</definedName>
    <definedName name="E_PERIOD_2008_Q2" localSheetId="12">#REF!</definedName>
    <definedName name="E_PERIOD_2008_Q2" localSheetId="23">#REF!</definedName>
    <definedName name="E_PERIOD_2008_Q2" localSheetId="19">#REF!</definedName>
    <definedName name="E_PERIOD_2008_Q2" localSheetId="21">#REF!</definedName>
    <definedName name="E_PERIOD_2008_Q2">#REF!</definedName>
    <definedName name="E_PERIOD_2008_Q3" localSheetId="24">#REF!</definedName>
    <definedName name="E_PERIOD_2008_Q3" localSheetId="18">#REF!</definedName>
    <definedName name="E_PERIOD_2008_Q3" localSheetId="12">#REF!</definedName>
    <definedName name="E_PERIOD_2008_Q3" localSheetId="23">#REF!</definedName>
    <definedName name="E_PERIOD_2008_Q3" localSheetId="19">#REF!</definedName>
    <definedName name="E_PERIOD_2008_Q3" localSheetId="21">#REF!</definedName>
    <definedName name="E_PERIOD_2008_Q3">#REF!</definedName>
    <definedName name="E_PERIOD_2008_Q4" localSheetId="24">#REF!</definedName>
    <definedName name="E_PERIOD_2008_Q4" localSheetId="18">#REF!</definedName>
    <definedName name="E_PERIOD_2008_Q4" localSheetId="12">#REF!</definedName>
    <definedName name="E_PERIOD_2008_Q4" localSheetId="23">#REF!</definedName>
    <definedName name="E_PERIOD_2008_Q4" localSheetId="19">#REF!</definedName>
    <definedName name="E_PERIOD_2008_Q4" localSheetId="21">#REF!</definedName>
    <definedName name="E_PERIOD_2008_Q4">#REF!</definedName>
    <definedName name="E_PERIOD_2009_Q1" localSheetId="24">#REF!</definedName>
    <definedName name="E_PERIOD_2009_Q1" localSheetId="18">#REF!</definedName>
    <definedName name="E_PERIOD_2009_Q1" localSheetId="12">#REF!</definedName>
    <definedName name="E_PERIOD_2009_Q1" localSheetId="23">#REF!</definedName>
    <definedName name="E_PERIOD_2009_Q1" localSheetId="19">#REF!</definedName>
    <definedName name="E_PERIOD_2009_Q1" localSheetId="21">#REF!</definedName>
    <definedName name="E_PERIOD_2009_Q1">#REF!</definedName>
    <definedName name="E_PERIOD_2009_Q2" localSheetId="24">#REF!</definedName>
    <definedName name="E_PERIOD_2009_Q2" localSheetId="18">#REF!</definedName>
    <definedName name="E_PERIOD_2009_Q2" localSheetId="12">#REF!</definedName>
    <definedName name="E_PERIOD_2009_Q2" localSheetId="23">#REF!</definedName>
    <definedName name="E_PERIOD_2009_Q2" localSheetId="19">#REF!</definedName>
    <definedName name="E_PERIOD_2009_Q2" localSheetId="21">#REF!</definedName>
    <definedName name="E_PERIOD_2009_Q2">#REF!</definedName>
    <definedName name="E_PERIOD_2009_Q3" localSheetId="24">#REF!</definedName>
    <definedName name="E_PERIOD_2009_Q3" localSheetId="18">#REF!</definedName>
    <definedName name="E_PERIOD_2009_Q3" localSheetId="12">#REF!</definedName>
    <definedName name="E_PERIOD_2009_Q3" localSheetId="23">#REF!</definedName>
    <definedName name="E_PERIOD_2009_Q3" localSheetId="19">#REF!</definedName>
    <definedName name="E_PERIOD_2009_Q3" localSheetId="21">#REF!</definedName>
    <definedName name="E_PERIOD_2009_Q3">#REF!</definedName>
    <definedName name="E_PERIOD_2009_Q4" localSheetId="24">#REF!</definedName>
    <definedName name="E_PERIOD_2009_Q4" localSheetId="18">#REF!</definedName>
    <definedName name="E_PERIOD_2009_Q4" localSheetId="12">#REF!</definedName>
    <definedName name="E_PERIOD_2009_Q4" localSheetId="23">#REF!</definedName>
    <definedName name="E_PERIOD_2009_Q4" localSheetId="19">#REF!</definedName>
    <definedName name="E_PERIOD_2009_Q4" localSheetId="21">#REF!</definedName>
    <definedName name="E_PERIOD_2009_Q4">#REF!</definedName>
    <definedName name="E_PERIOD_2010_Q1" localSheetId="24">#REF!</definedName>
    <definedName name="E_PERIOD_2010_Q1" localSheetId="18">#REF!</definedName>
    <definedName name="E_PERIOD_2010_Q1" localSheetId="12">#REF!</definedName>
    <definedName name="E_PERIOD_2010_Q1" localSheetId="23">#REF!</definedName>
    <definedName name="E_PERIOD_2010_Q1" localSheetId="19">#REF!</definedName>
    <definedName name="E_PERIOD_2010_Q1" localSheetId="21">#REF!</definedName>
    <definedName name="E_PERIOD_2010_Q1">#REF!</definedName>
    <definedName name="E_PERIOD_2010_Q2" localSheetId="24">#REF!</definedName>
    <definedName name="E_PERIOD_2010_Q2" localSheetId="18">#REF!</definedName>
    <definedName name="E_PERIOD_2010_Q2" localSheetId="12">#REF!</definedName>
    <definedName name="E_PERIOD_2010_Q2" localSheetId="23">#REF!</definedName>
    <definedName name="E_PERIOD_2010_Q2" localSheetId="19">#REF!</definedName>
    <definedName name="E_PERIOD_2010_Q2" localSheetId="21">#REF!</definedName>
    <definedName name="E_PERIOD_2010_Q2">#REF!</definedName>
    <definedName name="E_PERIOD_2010_Q3" localSheetId="24">#REF!</definedName>
    <definedName name="E_PERIOD_2010_Q3" localSheetId="18">#REF!</definedName>
    <definedName name="E_PERIOD_2010_Q3" localSheetId="12">#REF!</definedName>
    <definedName name="E_PERIOD_2010_Q3" localSheetId="23">#REF!</definedName>
    <definedName name="E_PERIOD_2010_Q3" localSheetId="19">#REF!</definedName>
    <definedName name="E_PERIOD_2010_Q3" localSheetId="21">#REF!</definedName>
    <definedName name="E_PERIOD_2010_Q3">#REF!</definedName>
    <definedName name="E_PERIOD_2010_Q4" localSheetId="24">#REF!</definedName>
    <definedName name="E_PERIOD_2010_Q4" localSheetId="18">#REF!</definedName>
    <definedName name="E_PERIOD_2010_Q4" localSheetId="12">#REF!</definedName>
    <definedName name="E_PERIOD_2010_Q4" localSheetId="23">#REF!</definedName>
    <definedName name="E_PERIOD_2010_Q4" localSheetId="19">#REF!</definedName>
    <definedName name="E_PERIOD_2010_Q4" localSheetId="21">#REF!</definedName>
    <definedName name="E_PERIOD_2010_Q4">#REF!</definedName>
    <definedName name="E_PERIOD_2011_Q1" localSheetId="24">#REF!</definedName>
    <definedName name="E_PERIOD_2011_Q1" localSheetId="18">#REF!</definedName>
    <definedName name="E_PERIOD_2011_Q1" localSheetId="12">#REF!</definedName>
    <definedName name="E_PERIOD_2011_Q1" localSheetId="23">#REF!</definedName>
    <definedName name="E_PERIOD_2011_Q1" localSheetId="19">#REF!</definedName>
    <definedName name="E_PERIOD_2011_Q1" localSheetId="21">#REF!</definedName>
    <definedName name="E_PERIOD_2011_Q1">#REF!</definedName>
    <definedName name="E_PERIOD_2011_Q2" localSheetId="24">#REF!</definedName>
    <definedName name="E_PERIOD_2011_Q2" localSheetId="18">#REF!</definedName>
    <definedName name="E_PERIOD_2011_Q2" localSheetId="12">#REF!</definedName>
    <definedName name="E_PERIOD_2011_Q2" localSheetId="23">#REF!</definedName>
    <definedName name="E_PERIOD_2011_Q2" localSheetId="19">#REF!</definedName>
    <definedName name="E_PERIOD_2011_Q2" localSheetId="21">#REF!</definedName>
    <definedName name="E_PERIOD_2011_Q2">#REF!</definedName>
    <definedName name="E_PERIOD_2011_Q3" localSheetId="24">#REF!</definedName>
    <definedName name="E_PERIOD_2011_Q3" localSheetId="18">#REF!</definedName>
    <definedName name="E_PERIOD_2011_Q3" localSheetId="12">#REF!</definedName>
    <definedName name="E_PERIOD_2011_Q3" localSheetId="23">#REF!</definedName>
    <definedName name="E_PERIOD_2011_Q3" localSheetId="19">#REF!</definedName>
    <definedName name="E_PERIOD_2011_Q3" localSheetId="21">#REF!</definedName>
    <definedName name="E_PERIOD_2011_Q3">#REF!</definedName>
    <definedName name="E_PERIOD_2011_Q4" localSheetId="24">#REF!</definedName>
    <definedName name="E_PERIOD_2011_Q4" localSheetId="18">#REF!</definedName>
    <definedName name="E_PERIOD_2011_Q4" localSheetId="12">#REF!</definedName>
    <definedName name="E_PERIOD_2011_Q4" localSheetId="23">#REF!</definedName>
    <definedName name="E_PERIOD_2011_Q4" localSheetId="19">#REF!</definedName>
    <definedName name="E_PERIOD_2011_Q4" localSheetId="21">#REF!</definedName>
    <definedName name="E_PERIOD_2011_Q4">#REF!</definedName>
    <definedName name="E_PERIOD_2012_Q1" localSheetId="24">#REF!</definedName>
    <definedName name="E_PERIOD_2012_Q1" localSheetId="18">#REF!</definedName>
    <definedName name="E_PERIOD_2012_Q1" localSheetId="12">#REF!</definedName>
    <definedName name="E_PERIOD_2012_Q1" localSheetId="23">#REF!</definedName>
    <definedName name="E_PERIOD_2012_Q1" localSheetId="19">#REF!</definedName>
    <definedName name="E_PERIOD_2012_Q1" localSheetId="21">#REF!</definedName>
    <definedName name="E_PERIOD_2012_Q1">#REF!</definedName>
    <definedName name="E_PERIOD_2012_Q2" localSheetId="24">#REF!</definedName>
    <definedName name="E_PERIOD_2012_Q2" localSheetId="18">#REF!</definedName>
    <definedName name="E_PERIOD_2012_Q2" localSheetId="12">#REF!</definedName>
    <definedName name="E_PERIOD_2012_Q2" localSheetId="23">#REF!</definedName>
    <definedName name="E_PERIOD_2012_Q2" localSheetId="19">#REF!</definedName>
    <definedName name="E_PERIOD_2012_Q2" localSheetId="21">#REF!</definedName>
    <definedName name="E_PERIOD_2012_Q2">#REF!</definedName>
    <definedName name="E_PERIOD_2012_Q3" localSheetId="24">#REF!</definedName>
    <definedName name="E_PERIOD_2012_Q3" localSheetId="18">#REF!</definedName>
    <definedName name="E_PERIOD_2012_Q3" localSheetId="12">#REF!</definedName>
    <definedName name="E_PERIOD_2012_Q3" localSheetId="23">#REF!</definedName>
    <definedName name="E_PERIOD_2012_Q3" localSheetId="19">#REF!</definedName>
    <definedName name="E_PERIOD_2012_Q3" localSheetId="21">#REF!</definedName>
    <definedName name="E_PERIOD_2012_Q3">#REF!</definedName>
    <definedName name="E_PERIOD_2012_Q4" localSheetId="24">#REF!</definedName>
    <definedName name="E_PERIOD_2012_Q4" localSheetId="18">#REF!</definedName>
    <definedName name="E_PERIOD_2012_Q4" localSheetId="12">#REF!</definedName>
    <definedName name="E_PERIOD_2012_Q4" localSheetId="23">#REF!</definedName>
    <definedName name="E_PERIOD_2012_Q4" localSheetId="19">#REF!</definedName>
    <definedName name="E_PERIOD_2012_Q4" localSheetId="21">#REF!</definedName>
    <definedName name="E_PERIOD_2012_Q4">#REF!</definedName>
    <definedName name="E_PERIOD_2020_H1" localSheetId="12">#REF!</definedName>
    <definedName name="E_PERIOD_2020_H1" localSheetId="19">#REF!</definedName>
    <definedName name="E_PERIOD_2020_H1" localSheetId="21">#REF!</definedName>
    <definedName name="E_PERIOD_2020_H1">#REF!</definedName>
    <definedName name="E_PERIOD_2020_H2" localSheetId="12">#REF!</definedName>
    <definedName name="E_PERIOD_2020_H2" localSheetId="19">#REF!</definedName>
    <definedName name="E_PERIOD_2020_H2" localSheetId="21">#REF!</definedName>
    <definedName name="E_PERIOD_2020_H2">#REF!</definedName>
    <definedName name="E_PERIOD_2021_Q1" localSheetId="24">#REF!</definedName>
    <definedName name="E_PERIOD_2021_Q1" localSheetId="18">#REF!</definedName>
    <definedName name="E_PERIOD_2021_Q1" localSheetId="12">#REF!</definedName>
    <definedName name="E_PERIOD_2021_Q1" localSheetId="23">#REF!</definedName>
    <definedName name="E_PERIOD_2021_Q1" localSheetId="19">#REF!</definedName>
    <definedName name="E_PERIOD_2021_Q1" localSheetId="21">#REF!</definedName>
    <definedName name="E_PERIOD_2021_Q1">#REF!</definedName>
    <definedName name="E_PERIOD_2021_Q2" localSheetId="24">#REF!</definedName>
    <definedName name="E_PERIOD_2021_Q2" localSheetId="18">#REF!</definedName>
    <definedName name="E_PERIOD_2021_Q2" localSheetId="12">#REF!</definedName>
    <definedName name="E_PERIOD_2021_Q2" localSheetId="23">#REF!</definedName>
    <definedName name="E_PERIOD_2021_Q2" localSheetId="19">#REF!</definedName>
    <definedName name="E_PERIOD_2021_Q2" localSheetId="21">#REF!</definedName>
    <definedName name="E_PERIOD_2021_Q2">#REF!</definedName>
    <definedName name="E_PERIOD_2021_Q3" localSheetId="24">#REF!</definedName>
    <definedName name="E_PERIOD_2021_Q3" localSheetId="18">#REF!</definedName>
    <definedName name="E_PERIOD_2021_Q3" localSheetId="12">#REF!</definedName>
    <definedName name="E_PERIOD_2021_Q3" localSheetId="23">#REF!</definedName>
    <definedName name="E_PERIOD_2021_Q3" localSheetId="19">#REF!</definedName>
    <definedName name="E_PERIOD_2021_Q3" localSheetId="21">#REF!</definedName>
    <definedName name="E_PERIOD_2021_Q3">#REF!</definedName>
    <definedName name="E_PERIOD_2021_Q4" localSheetId="24">#REF!</definedName>
    <definedName name="E_PERIOD_2021_Q4" localSheetId="18">#REF!</definedName>
    <definedName name="E_PERIOD_2021_Q4" localSheetId="12">#REF!</definedName>
    <definedName name="E_PERIOD_2021_Q4" localSheetId="23">#REF!</definedName>
    <definedName name="E_PERIOD_2021_Q4" localSheetId="19">#REF!</definedName>
    <definedName name="E_PERIOD_2021_Q4" localSheetId="21">#REF!</definedName>
    <definedName name="E_PERIOD_2021_Q4">#REF!</definedName>
    <definedName name="E_SECTION_EQTY_200007513_1314" localSheetId="24">#REF!</definedName>
    <definedName name="E_SECTION_EQTY_200007513_1314" localSheetId="18">#REF!</definedName>
    <definedName name="E_SECTION_EQTY_200007513_1314" localSheetId="12">#REF!</definedName>
    <definedName name="E_SECTION_EQTY_200007513_1314" localSheetId="23">#REF!</definedName>
    <definedName name="E_SECTION_EQTY_200007513_1314" localSheetId="19">#REF!</definedName>
    <definedName name="E_SECTION_EQTY_200007513_1314" localSheetId="21">#REF!</definedName>
    <definedName name="E_SECTION_EQTY_200007513_1314">#REF!</definedName>
    <definedName name="E_SECTION_EQTY_200007513_131E" localSheetId="24">#REF!</definedName>
    <definedName name="E_SECTION_EQTY_200007513_131E" localSheetId="18">#REF!</definedName>
    <definedName name="E_SECTION_EQTY_200007513_131E" localSheetId="12">#REF!</definedName>
    <definedName name="E_SECTION_EQTY_200007513_131E" localSheetId="23">#REF!</definedName>
    <definedName name="E_SECTION_EQTY_200007513_131E" localSheetId="19">#REF!</definedName>
    <definedName name="E_SECTION_EQTY_200007513_131E" localSheetId="21">#REF!</definedName>
    <definedName name="E_SECTION_EQTY_200007513_131E">#REF!</definedName>
    <definedName name="E_SECTION_EQTY_200007513_131O" localSheetId="24">#REF!</definedName>
    <definedName name="E_SECTION_EQTY_200007513_131O" localSheetId="18">#REF!</definedName>
    <definedName name="E_SECTION_EQTY_200007513_131O" localSheetId="12">#REF!</definedName>
    <definedName name="E_SECTION_EQTY_200007513_131O" localSheetId="23">#REF!</definedName>
    <definedName name="E_SECTION_EQTY_200007513_131O" localSheetId="19">#REF!</definedName>
    <definedName name="E_SECTION_EQTY_200007513_131O" localSheetId="21">#REF!</definedName>
    <definedName name="E_SECTION_EQTY_200007513_131O">#REF!</definedName>
    <definedName name="E_SECTION_EQTY_200007513_13A" localSheetId="24">#REF!</definedName>
    <definedName name="E_SECTION_EQTY_200007513_13A" localSheetId="18">#REF!</definedName>
    <definedName name="E_SECTION_EQTY_200007513_13A" localSheetId="12">#REF!</definedName>
    <definedName name="E_SECTION_EQTY_200007513_13A" localSheetId="23">#REF!</definedName>
    <definedName name="E_SECTION_EQTY_200007513_13A" localSheetId="19">#REF!</definedName>
    <definedName name="E_SECTION_EQTY_200007513_13A" localSheetId="21">#REF!</definedName>
    <definedName name="E_SECTION_EQTY_200007513_13A">#REF!</definedName>
    <definedName name="E_SECTION_EQTY_200007513_13K" localSheetId="24">#REF!</definedName>
    <definedName name="E_SECTION_EQTY_200007513_13K" localSheetId="18">#REF!</definedName>
    <definedName name="E_SECTION_EQTY_200007513_13K" localSheetId="12">#REF!</definedName>
    <definedName name="E_SECTION_EQTY_200007513_13K" localSheetId="23">#REF!</definedName>
    <definedName name="E_SECTION_EQTY_200007513_13K" localSheetId="19">#REF!</definedName>
    <definedName name="E_SECTION_EQTY_200007513_13K" localSheetId="21">#REF!</definedName>
    <definedName name="E_SECTION_EQTY_200007513_13K">#REF!</definedName>
    <definedName name="E_SECTION_EQTY_200007513_13U" localSheetId="24">#REF!</definedName>
    <definedName name="E_SECTION_EQTY_200007513_13U" localSheetId="18">#REF!</definedName>
    <definedName name="E_SECTION_EQTY_200007513_13U" localSheetId="12">#REF!</definedName>
    <definedName name="E_SECTION_EQTY_200007513_13U" localSheetId="23">#REF!</definedName>
    <definedName name="E_SECTION_EQTY_200007513_13U" localSheetId="19">#REF!</definedName>
    <definedName name="E_SECTION_EQTY_200007513_13U" localSheetId="21">#REF!</definedName>
    <definedName name="E_SECTION_EQTY_200007513_13U">#REF!</definedName>
    <definedName name="E_SECTION_EQTY_200007513_13V" localSheetId="24">#REF!</definedName>
    <definedName name="E_SECTION_EQTY_200007513_13V" localSheetId="18">#REF!</definedName>
    <definedName name="E_SECTION_EQTY_200007513_13V" localSheetId="12">#REF!</definedName>
    <definedName name="E_SECTION_EQTY_200007513_13V" localSheetId="23">#REF!</definedName>
    <definedName name="E_SECTION_EQTY_200007513_13V" localSheetId="19">#REF!</definedName>
    <definedName name="E_SECTION_EQTY_200007513_13V" localSheetId="21">#REF!</definedName>
    <definedName name="E_SECTION_EQTY_200007513_13V">#REF!</definedName>
    <definedName name="E_SECTION_EQTY_200007513_Reference_Data" localSheetId="24">#REF!</definedName>
    <definedName name="E_SECTION_EQTY_200007513_Reference_Data" localSheetId="18">#REF!</definedName>
    <definedName name="E_SECTION_EQTY_200007513_Reference_Data" localSheetId="12">#REF!</definedName>
    <definedName name="E_SECTION_EQTY_200007513_Reference_Data" localSheetId="23">#REF!</definedName>
    <definedName name="E_SECTION_EQTY_200007513_Reference_Data" localSheetId="19">#REF!</definedName>
    <definedName name="E_SECTION_EQTY_200007513_Reference_Data" localSheetId="21">#REF!</definedName>
    <definedName name="E_SECTION_EQTY_200007513_Reference_Data">#REF!</definedName>
    <definedName name="E_SECTION_ISSR_208002861_1314" localSheetId="24">#REF!</definedName>
    <definedName name="E_SECTION_ISSR_208002861_1314" localSheetId="18">#REF!</definedName>
    <definedName name="E_SECTION_ISSR_208002861_1314" localSheetId="12">#REF!</definedName>
    <definedName name="E_SECTION_ISSR_208002861_1314" localSheetId="23">#REF!</definedName>
    <definedName name="E_SECTION_ISSR_208002861_1314" localSheetId="19">#REF!</definedName>
    <definedName name="E_SECTION_ISSR_208002861_1314" localSheetId="21">#REF!</definedName>
    <definedName name="E_SECTION_ISSR_208002861_1314">#REF!</definedName>
    <definedName name="E_SECTION_ISSR_208002861_13168" localSheetId="24">#REF!</definedName>
    <definedName name="E_SECTION_ISSR_208002861_13168" localSheetId="18">#REF!</definedName>
    <definedName name="E_SECTION_ISSR_208002861_13168" localSheetId="12">#REF!</definedName>
    <definedName name="E_SECTION_ISSR_208002861_13168" localSheetId="23">#REF!</definedName>
    <definedName name="E_SECTION_ISSR_208002861_13168" localSheetId="19">#REF!</definedName>
    <definedName name="E_SECTION_ISSR_208002861_13168" localSheetId="21">#REF!</definedName>
    <definedName name="E_SECTION_ISSR_208002861_13168">#REF!</definedName>
    <definedName name="E_SECTION_ISSR_208002861_1316S" localSheetId="24">#REF!</definedName>
    <definedName name="E_SECTION_ISSR_208002861_1316S" localSheetId="18">#REF!</definedName>
    <definedName name="E_SECTION_ISSR_208002861_1316S" localSheetId="12">#REF!</definedName>
    <definedName name="E_SECTION_ISSR_208002861_1316S" localSheetId="23">#REF!</definedName>
    <definedName name="E_SECTION_ISSR_208002861_1316S" localSheetId="19">#REF!</definedName>
    <definedName name="E_SECTION_ISSR_208002861_1316S" localSheetId="21">#REF!</definedName>
    <definedName name="E_SECTION_ISSR_208002861_1316S">#REF!</definedName>
    <definedName name="E_SECTION_ISSR_208002861_1316T" localSheetId="24">#REF!</definedName>
    <definedName name="E_SECTION_ISSR_208002861_1316T" localSheetId="18">#REF!</definedName>
    <definedName name="E_SECTION_ISSR_208002861_1316T" localSheetId="12">#REF!</definedName>
    <definedName name="E_SECTION_ISSR_208002861_1316T" localSheetId="23">#REF!</definedName>
    <definedName name="E_SECTION_ISSR_208002861_1316T" localSheetId="19">#REF!</definedName>
    <definedName name="E_SECTION_ISSR_208002861_1316T" localSheetId="21">#REF!</definedName>
    <definedName name="E_SECTION_ISSR_208002861_1316T">#REF!</definedName>
    <definedName name="E_SECTION_ISSR_208002861_1316U" localSheetId="24">#REF!</definedName>
    <definedName name="E_SECTION_ISSR_208002861_1316U" localSheetId="18">#REF!</definedName>
    <definedName name="E_SECTION_ISSR_208002861_1316U" localSheetId="12">#REF!</definedName>
    <definedName name="E_SECTION_ISSR_208002861_1316U" localSheetId="23">#REF!</definedName>
    <definedName name="E_SECTION_ISSR_208002861_1316U" localSheetId="19">#REF!</definedName>
    <definedName name="E_SECTION_ISSR_208002861_1316U" localSheetId="21">#REF!</definedName>
    <definedName name="E_SECTION_ISSR_208002861_1316U">#REF!</definedName>
    <definedName name="E_SECTION_ISSR_208002861_1319" localSheetId="24">#REF!</definedName>
    <definedName name="E_SECTION_ISSR_208002861_1319" localSheetId="18">#REF!</definedName>
    <definedName name="E_SECTION_ISSR_208002861_1319" localSheetId="12">#REF!</definedName>
    <definedName name="E_SECTION_ISSR_208002861_1319" localSheetId="23">#REF!</definedName>
    <definedName name="E_SECTION_ISSR_208002861_1319" localSheetId="19">#REF!</definedName>
    <definedName name="E_SECTION_ISSR_208002861_1319" localSheetId="21">#REF!</definedName>
    <definedName name="E_SECTION_ISSR_208002861_1319">#REF!</definedName>
    <definedName name="E_SECTION_ISSR_208002861_131E" localSheetId="24">#REF!</definedName>
    <definedName name="E_SECTION_ISSR_208002861_131E" localSheetId="18">#REF!</definedName>
    <definedName name="E_SECTION_ISSR_208002861_131E" localSheetId="12">#REF!</definedName>
    <definedName name="E_SECTION_ISSR_208002861_131E" localSheetId="23">#REF!</definedName>
    <definedName name="E_SECTION_ISSR_208002861_131E" localSheetId="19">#REF!</definedName>
    <definedName name="E_SECTION_ISSR_208002861_131E" localSheetId="21">#REF!</definedName>
    <definedName name="E_SECTION_ISSR_208002861_131E">#REF!</definedName>
    <definedName name="E_SECTION_ISSR_208002861_131J" localSheetId="24">#REF!</definedName>
    <definedName name="E_SECTION_ISSR_208002861_131J" localSheetId="18">#REF!</definedName>
    <definedName name="E_SECTION_ISSR_208002861_131J" localSheetId="12">#REF!</definedName>
    <definedName name="E_SECTION_ISSR_208002861_131J" localSheetId="23">#REF!</definedName>
    <definedName name="E_SECTION_ISSR_208002861_131J" localSheetId="19">#REF!</definedName>
    <definedName name="E_SECTION_ISSR_208002861_131J" localSheetId="21">#REF!</definedName>
    <definedName name="E_SECTION_ISSR_208002861_131J">#REF!</definedName>
    <definedName name="E_SECTION_ISSR_208002861_131O" localSheetId="24">#REF!</definedName>
    <definedName name="E_SECTION_ISSR_208002861_131O" localSheetId="18">#REF!</definedName>
    <definedName name="E_SECTION_ISSR_208002861_131O" localSheetId="12">#REF!</definedName>
    <definedName name="E_SECTION_ISSR_208002861_131O" localSheetId="23">#REF!</definedName>
    <definedName name="E_SECTION_ISSR_208002861_131O" localSheetId="19">#REF!</definedName>
    <definedName name="E_SECTION_ISSR_208002861_131O" localSheetId="21">#REF!</definedName>
    <definedName name="E_SECTION_ISSR_208002861_131O">#REF!</definedName>
    <definedName name="E_SECTION_ISSR_208002861_13U" localSheetId="24">#REF!</definedName>
    <definedName name="E_SECTION_ISSR_208002861_13U" localSheetId="18">#REF!</definedName>
    <definedName name="E_SECTION_ISSR_208002861_13U" localSheetId="12">#REF!</definedName>
    <definedName name="E_SECTION_ISSR_208002861_13U" localSheetId="23">#REF!</definedName>
    <definedName name="E_SECTION_ISSR_208002861_13U" localSheetId="19">#REF!</definedName>
    <definedName name="E_SECTION_ISSR_208002861_13U" localSheetId="21">#REF!</definedName>
    <definedName name="E_SECTION_ISSR_208002861_13U">#REF!</definedName>
    <definedName name="E_SECTION_ISSR_208002861_13V" localSheetId="24">#REF!</definedName>
    <definedName name="E_SECTION_ISSR_208002861_13V" localSheetId="18">#REF!</definedName>
    <definedName name="E_SECTION_ISSR_208002861_13V" localSheetId="12">#REF!</definedName>
    <definedName name="E_SECTION_ISSR_208002861_13V" localSheetId="23">#REF!</definedName>
    <definedName name="E_SECTION_ISSR_208002861_13V" localSheetId="19">#REF!</definedName>
    <definedName name="E_SECTION_ISSR_208002861_13V" localSheetId="21">#REF!</definedName>
    <definedName name="E_SECTION_ISSR_208002861_13V">#REF!</definedName>
    <definedName name="E_SECTION_ISSR_208002861_Reference_Data" localSheetId="24">#REF!</definedName>
    <definedName name="E_SECTION_ISSR_208002861_Reference_Data" localSheetId="18">#REF!</definedName>
    <definedName name="E_SECTION_ISSR_208002861_Reference_Data" localSheetId="12">#REF!</definedName>
    <definedName name="E_SECTION_ISSR_208002861_Reference_Data" localSheetId="23">#REF!</definedName>
    <definedName name="E_SECTION_ISSR_208002861_Reference_Data" localSheetId="19">#REF!</definedName>
    <definedName name="E_SECTION_ISSR_208002861_Reference_Data" localSheetId="21">#REF!</definedName>
    <definedName name="E_SECTION_ISSR_208002861_Reference_Data">#REF!</definedName>
    <definedName name="EBDIT">#REF!</definedName>
    <definedName name="EBIT">#REF!</definedName>
    <definedName name="EBITChart">#REF!</definedName>
    <definedName name="ebitda08">#REF!</definedName>
    <definedName name="ebitda09">#REF!</definedName>
    <definedName name="ebitda10">#REF!</definedName>
    <definedName name="EBITDAMargin">#REF!</definedName>
    <definedName name="EBITDAMarginChart">#REF!</definedName>
    <definedName name="EBITMax">#REF!</definedName>
    <definedName name="EmployeesAvg">#REF!</definedName>
    <definedName name="EmployeesYe">#REF!</definedName>
    <definedName name="enr" localSheetId="1" hidden="1">{"FTSE100","COMPANIES",TRUE}</definedName>
    <definedName name="enr" localSheetId="2" hidden="1">{"FTSE100","COMPANIES",TRUE}</definedName>
    <definedName name="enr" localSheetId="19" hidden="1">{"FTSE100","COMPANIES",TRUE}</definedName>
    <definedName name="enr" localSheetId="21" hidden="1">{"FTSE100","COMPANIES",TRUE}</definedName>
    <definedName name="enr" hidden="1">{"FTSE100","COMPANIES",TRUE}</definedName>
    <definedName name="EquityR">#REF!</definedName>
    <definedName name="EquityRatio">#REF!</definedName>
    <definedName name="EquityRatioChart">#REF!</definedName>
    <definedName name="EquityRatioMax">#REF!</definedName>
    <definedName name="esnrc100c1_values" localSheetId="1" hidden="1">{"FTSE100","COMPANIES",TRUE}</definedName>
    <definedName name="esnrc100c1_values" localSheetId="2" hidden="1">{"FTSE100","COMPANIES",TRUE}</definedName>
    <definedName name="esnrc100c1_values" localSheetId="19" hidden="1">{"FTSE100","COMPANIES",TRUE}</definedName>
    <definedName name="esnrc100c1_values" localSheetId="21" hidden="1">{"FTSE100","COMPANIES",TRUE}</definedName>
    <definedName name="esnrc100c1_values" hidden="1">{"FTSE100","COMPANIES",TRUE}</definedName>
    <definedName name="esnrc33c1_values" localSheetId="1" hidden="1">{"EUMOT","COMPANIES",TRUE}</definedName>
    <definedName name="esnrc33c1_values" localSheetId="2" hidden="1">{"EUMOT","COMPANIES",TRUE}</definedName>
    <definedName name="esnrc33c1_values" localSheetId="19" hidden="1">{"EUMOT","COMPANIES",TRUE}</definedName>
    <definedName name="esnrc33c1_values" localSheetId="21" hidden="1">{"EUMOT","COMPANIES",TRUE}</definedName>
    <definedName name="esnrc33c1_values" hidden="1">{"EUMOT","COMPANIES",TRUE}</definedName>
    <definedName name="esnrc56c1_values" localSheetId="1" hidden="1">{"ASCONGRP","COMPANIES",TRUE}</definedName>
    <definedName name="esnrc56c1_values" localSheetId="2" hidden="1">{"ASCONGRP","COMPANIES",TRUE}</definedName>
    <definedName name="esnrc56c1_values" localSheetId="19" hidden="1">{"ASCONGRP","COMPANIES",TRUE}</definedName>
    <definedName name="esnrc56c1_values" localSheetId="21" hidden="1">{"ASCONGRP","COMPANIES",TRUE}</definedName>
    <definedName name="esnrc56c1_values" hidden="1">{"ASCONGRP","COMPANIES",TRUE}</definedName>
    <definedName name="esnrc63c1_values" localSheetId="1" hidden="1">{"EUUTIGRP","COMPANIES",TRUE}</definedName>
    <definedName name="esnrc63c1_values" localSheetId="2" hidden="1">{"EUUTIGRP","COMPANIES",TRUE}</definedName>
    <definedName name="esnrc63c1_values" localSheetId="19" hidden="1">{"EUUTIGRP","COMPANIES",TRUE}</definedName>
    <definedName name="esnrc63c1_values" localSheetId="21" hidden="1">{"EUUTIGRP","COMPANIES",TRUE}</definedName>
    <definedName name="esnrc63c1_values" hidden="1">{"EUUTIGRP","COMPANIES",TRUE}</definedName>
    <definedName name="esnrc91c1_values" localSheetId="1" hidden="1">{"EUUTI","COMPANIES",TRUE}</definedName>
    <definedName name="esnrc91c1_values" localSheetId="2" hidden="1">{"EUUTI","COMPANIES",TRUE}</definedName>
    <definedName name="esnrc91c1_values" localSheetId="19" hidden="1">{"EUUTI","COMPANIES",TRUE}</definedName>
    <definedName name="esnrc91c1_values" localSheetId="21" hidden="1">{"EUUTI","COMPANIES",TRUE}</definedName>
    <definedName name="esnrc91c1_values" hidden="1">{"EUUTI","COMPANIES",TRUE}</definedName>
    <definedName name="EstDate">#REF!</definedName>
    <definedName name="EstYear">#REF!</definedName>
    <definedName name="EstYearType">#REF!</definedName>
    <definedName name="ev.Calculation" hidden="1">-4105</definedName>
    <definedName name="ev.Initialized" hidden="1">FALSE</definedName>
    <definedName name="EvEbit_Today">#REF!</definedName>
    <definedName name="EvEbit_Ye">#REF!</definedName>
    <definedName name="EvEbitda_Today">#REF!</definedName>
    <definedName name="EvEbitda_Ye">#REF!</definedName>
    <definedName name="EvSales_Today">#REF!</definedName>
    <definedName name="EvSales_Ye">#REF!</definedName>
    <definedName name="Excel_Version" localSheetId="2">#REF!</definedName>
    <definedName name="Excel_Version">#REF!</definedName>
    <definedName name="ExchangeSheetLink" localSheetId="5">MigrationOutput_QP_SAF.PA!$F$2</definedName>
    <definedName name="ExtFiles" localSheetId="2">#REF!</definedName>
    <definedName name="ExtFiles">#REF!</definedName>
    <definedName name="ExtraOrdinaryItems">#REF!</definedName>
    <definedName name="FaxNo">#REF!</definedName>
    <definedName name="FCFM_Today">#REF!</definedName>
    <definedName name="fggddf" localSheetId="1" hidden="1">{"Employee Efficiency",#N/A,FALSE,"Benchmarking"}</definedName>
    <definedName name="fggddf" localSheetId="2" hidden="1">{"Employee Efficiency",#N/A,FALSE,"Benchmarking"}</definedName>
    <definedName name="fggddf" localSheetId="19" hidden="1">{"Employee Efficiency",#N/A,FALSE,"Benchmarking"}</definedName>
    <definedName name="fggddf" localSheetId="21" hidden="1">{"Employee Efficiency",#N/A,FALSE,"Benchmarking"}</definedName>
    <definedName name="fggddf" hidden="1">{"Employee Efficiency",#N/A,FALSE,"Benchmarking"}</definedName>
    <definedName name="FiscalDate">#REF!</definedName>
    <definedName name="FiscalYearEndDate">#REF!</definedName>
    <definedName name="FiscalYearEndMonth">#REF!</definedName>
    <definedName name="FixedAssets">#REF!</definedName>
    <definedName name="FixedTangibleAssets">#REF!</definedName>
    <definedName name="Float">#REF!</definedName>
    <definedName name="ForExchangeItems">#REF!</definedName>
    <definedName name="Formats" localSheetId="2">#REF!</definedName>
    <definedName name="Formats">#REF!</definedName>
    <definedName name="FP_Analyst">#REF!</definedName>
    <definedName name="FP_email">#REF!</definedName>
    <definedName name="FP_FiguresChart">#REF!</definedName>
    <definedName name="FP_Price">#REF!</definedName>
    <definedName name="FP_Tel">#REF!</definedName>
    <definedName name="FreeCashFlow">#REF!</definedName>
    <definedName name="FreeCashFlowPerShare">#REF!</definedName>
    <definedName name="FreeFloat">#REF!</definedName>
    <definedName name="FREQS" localSheetId="2">#REF!</definedName>
    <definedName name="FREQS">#REF!</definedName>
    <definedName name="Frontpage">#REF!</definedName>
    <definedName name="FullBS">#REF!</definedName>
    <definedName name="FullCF">#REF!</definedName>
    <definedName name="FullTaxRate">#REF!</definedName>
    <definedName name="FullydilShareNomAvg">#REF!</definedName>
    <definedName name="FullydilShareNomYe">#REF!</definedName>
    <definedName name="GainSaleFixedAssets">#REF!</definedName>
    <definedName name="GainSaleFixedAssetsBeforeTax">#REF!</definedName>
    <definedName name="gdff" localSheetId="1" hidden="1">{"Methodology and Sourcing",#N/A,FALSE,"Methodology and Sourcing";"britishtelecom",#N/A,FALSE,"BT out";"CTC",#N/A,FALSE,"CTC out";"DT",#N/A,FALSE,"DT out";"FT",#N/A,FALSE,"FT out";"HKT",#N/A,FALSE,"HKT out";"KPN",#N/A,FALSE,"KPN out";"MATAV",#N/A,FALSE,"MATAV out";"PT Telkom",#N/A,FALSE,"PT Telkom out";"Tel Arg",#N/A,FALSE,"Tel Arg out";"Telef Arg",#N/A,FALSE,"TASA out";"Tel Asia",#N/A,FALSE,"Tel. Asia Out";"T de E",#N/A,FALSE,"T de E out";"Tel Malay",#N/A,FALSE,"Tel Malay out";"TELMEX",#N/A,FALSE,"Telmex out";"TNZ",#N/A,FALSE,"TNZ out";"Telkom SA",#N/A,FALSE,"Telkom SA out";"SPT",#N/A,FALSE,"SPT out";"USA",#N/A,FALSE,"USA out"}</definedName>
    <definedName name="gdff" localSheetId="2" hidden="1">{"Methodology and Sourcing",#N/A,FALSE,"Methodology and Sourcing";"britishtelecom",#N/A,FALSE,"BT out";"CTC",#N/A,FALSE,"CTC out";"DT",#N/A,FALSE,"DT out";"FT",#N/A,FALSE,"FT out";"HKT",#N/A,FALSE,"HKT out";"KPN",#N/A,FALSE,"KPN out";"MATAV",#N/A,FALSE,"MATAV out";"PT Telkom",#N/A,FALSE,"PT Telkom out";"Tel Arg",#N/A,FALSE,"Tel Arg out";"Telef Arg",#N/A,FALSE,"TASA out";"Tel Asia",#N/A,FALSE,"Tel. Asia Out";"T de E",#N/A,FALSE,"T de E out";"Tel Malay",#N/A,FALSE,"Tel Malay out";"TELMEX",#N/A,FALSE,"Telmex out";"TNZ",#N/A,FALSE,"TNZ out";"Telkom SA",#N/A,FALSE,"Telkom SA out";"SPT",#N/A,FALSE,"SPT out";"USA",#N/A,FALSE,"USA out"}</definedName>
    <definedName name="gdff" localSheetId="19" hidden="1">{"Methodology and Sourcing",#N/A,FALSE,"Methodology and Sourcing";"britishtelecom",#N/A,FALSE,"BT out";"CTC",#N/A,FALSE,"CTC out";"DT",#N/A,FALSE,"DT out";"FT",#N/A,FALSE,"FT out";"HKT",#N/A,FALSE,"HKT out";"KPN",#N/A,FALSE,"KPN out";"MATAV",#N/A,FALSE,"MATAV out";"PT Telkom",#N/A,FALSE,"PT Telkom out";"Tel Arg",#N/A,FALSE,"Tel Arg out";"Telef Arg",#N/A,FALSE,"TASA out";"Tel Asia",#N/A,FALSE,"Tel. Asia Out";"T de E",#N/A,FALSE,"T de E out";"Tel Malay",#N/A,FALSE,"Tel Malay out";"TELMEX",#N/A,FALSE,"Telmex out";"TNZ",#N/A,FALSE,"TNZ out";"Telkom SA",#N/A,FALSE,"Telkom SA out";"SPT",#N/A,FALSE,"SPT out";"USA",#N/A,FALSE,"USA out"}</definedName>
    <definedName name="gdff" localSheetId="21" hidden="1">{"Methodology and Sourcing",#N/A,FALSE,"Methodology and Sourcing";"britishtelecom",#N/A,FALSE,"BT out";"CTC",#N/A,FALSE,"CTC out";"DT",#N/A,FALSE,"DT out";"FT",#N/A,FALSE,"FT out";"HKT",#N/A,FALSE,"HKT out";"KPN",#N/A,FALSE,"KPN out";"MATAV",#N/A,FALSE,"MATAV out";"PT Telkom",#N/A,FALSE,"PT Telkom out";"Tel Arg",#N/A,FALSE,"Tel Arg out";"Telef Arg",#N/A,FALSE,"TASA out";"Tel Asia",#N/A,FALSE,"Tel. Asia Out";"T de E",#N/A,FALSE,"T de E out";"Tel Malay",#N/A,FALSE,"Tel Malay out";"TELMEX",#N/A,FALSE,"Telmex out";"TNZ",#N/A,FALSE,"TNZ out";"Telkom SA",#N/A,FALSE,"Telkom SA out";"SPT",#N/A,FALSE,"SPT out";"USA",#N/A,FALSE,"USA out"}</definedName>
    <definedName name="gdff" hidden="1">{"Methodology and Sourcing",#N/A,FALSE,"Methodology and Sourcing";"britishtelecom",#N/A,FALSE,"BT out";"CTC",#N/A,FALSE,"CTC out";"DT",#N/A,FALSE,"DT out";"FT",#N/A,FALSE,"FT out";"HKT",#N/A,FALSE,"HKT out";"KPN",#N/A,FALSE,"KPN out";"MATAV",#N/A,FALSE,"MATAV out";"PT Telkom",#N/A,FALSE,"PT Telkom out";"Tel Arg",#N/A,FALSE,"Tel Arg out";"Telef Arg",#N/A,FALSE,"TASA out";"Tel Asia",#N/A,FALSE,"Tel. Asia Out";"T de E",#N/A,FALSE,"T de E out";"Tel Malay",#N/A,FALSE,"Tel Malay out";"TELMEX",#N/A,FALSE,"Telmex out";"TNZ",#N/A,FALSE,"TNZ out";"Telkom SA",#N/A,FALSE,"Telkom SA out";"SPT",#N/A,FALSE,"SPT out";"USA",#N/A,FALSE,"USA out"}</definedName>
    <definedName name="gff" localSheetId="1" hidden="1">{"sweden",#N/A,FALSE,"Sweden";"germany",#N/A,FALSE,"Germany";"portugal",#N/A,FALSE,"Portugal";"belgium",#N/A,FALSE,"Belgium";"japan",#N/A,FALSE,"Japan ";"italy",#N/A,FALSE,"Italy";"spain",#N/A,FALSE,"Spain";"korea",#N/A,FALSE,"Korea"}</definedName>
    <definedName name="gff" localSheetId="2" hidden="1">{"sweden",#N/A,FALSE,"Sweden";"germany",#N/A,FALSE,"Germany";"portugal",#N/A,FALSE,"Portugal";"belgium",#N/A,FALSE,"Belgium";"japan",#N/A,FALSE,"Japan ";"italy",#N/A,FALSE,"Italy";"spain",#N/A,FALSE,"Spain";"korea",#N/A,FALSE,"Korea"}</definedName>
    <definedName name="gff" localSheetId="19" hidden="1">{"sweden",#N/A,FALSE,"Sweden";"germany",#N/A,FALSE,"Germany";"portugal",#N/A,FALSE,"Portugal";"belgium",#N/A,FALSE,"Belgium";"japan",#N/A,FALSE,"Japan ";"italy",#N/A,FALSE,"Italy";"spain",#N/A,FALSE,"Spain";"korea",#N/A,FALSE,"Korea"}</definedName>
    <definedName name="gff" localSheetId="21" hidden="1">{"sweden",#N/A,FALSE,"Sweden";"germany",#N/A,FALSE,"Germany";"portugal",#N/A,FALSE,"Portugal";"belgium",#N/A,FALSE,"Belgium";"japan",#N/A,FALSE,"Japan ";"italy",#N/A,FALSE,"Italy";"spain",#N/A,FALSE,"Spain";"korea",#N/A,FALSE,"Korea"}</definedName>
    <definedName name="gff" hidden="1">{"sweden",#N/A,FALSE,"Sweden";"germany",#N/A,FALSE,"Germany";"portugal",#N/A,FALSE,"Portugal";"belgium",#N/A,FALSE,"Belgium";"japan",#N/A,FALSE,"Japan ";"italy",#N/A,FALSE,"Italy";"spain",#N/A,FALSE,"Spain";"korea",#N/A,FALSE,"Korea"}</definedName>
    <definedName name="gh" localSheetId="1" hidden="1">{"CSC_1",#N/A,FALSE,"CSC Outputs";"CSC_2",#N/A,FALSE,"CSC Outputs"}</definedName>
    <definedName name="gh" localSheetId="2" hidden="1">{"CSC_1",#N/A,FALSE,"CSC Outputs";"CSC_2",#N/A,FALSE,"CSC Outputs"}</definedName>
    <definedName name="gh" localSheetId="19" hidden="1">{"CSC_1",#N/A,FALSE,"CSC Outputs";"CSC_2",#N/A,FALSE,"CSC Outputs"}</definedName>
    <definedName name="gh" localSheetId="21" hidden="1">{"CSC_1",#N/A,FALSE,"CSC Outputs";"CSC_2",#N/A,FALSE,"CSC Outputs"}</definedName>
    <definedName name="gh" hidden="1">{"CSC_1",#N/A,FALSE,"CSC Outputs";"CSC_2",#N/A,FALSE,"CSC Outputs"}</definedName>
    <definedName name="GoodwillAmortisation">#REF!</definedName>
    <definedName name="GoodWillGross">#REF!</definedName>
    <definedName name="GoodWillNet">#REF!</definedName>
    <definedName name="GoodWillWrittenOff">#REF!</definedName>
    <definedName name="GrossCommissionPerTrade">#REF!</definedName>
    <definedName name="GrossMarginMax">#REF!</definedName>
    <definedName name="GroupFactor">#REF!</definedName>
    <definedName name="GrowthAdjDps">#REF!</definedName>
    <definedName name="GrowthAdjEps">#REF!</definedName>
    <definedName name="GrowthAfterTaxProfit">#REF!</definedName>
    <definedName name="GrowthCashEarningPerShare">#REF!</definedName>
    <definedName name="GrowthFreeCashFlowPerShare">#REF!</definedName>
    <definedName name="GrowthOperatingProfit">#REF!</definedName>
    <definedName name="GrowthOperCashFlowPerShare">#REF!</definedName>
    <definedName name="GrowthPretaxProfit">#REF!</definedName>
    <definedName name="GrowthProfitBeforeDepreciation">#REF!</definedName>
    <definedName name="GrowthRepEps">#REF!</definedName>
    <definedName name="GrowthTotalExpenses">#REF!</definedName>
    <definedName name="GrowthTotalRevenue">#REF!</definedName>
    <definedName name="Guarantees">#REF!</definedName>
    <definedName name="haut" localSheetId="2">#REF!</definedName>
    <definedName name="haut">#REF!</definedName>
    <definedName name="HiddenSheetLink" localSheetId="5">MigrationOutput_QP_SAF.PA!$F$3</definedName>
    <definedName name="High">#REF!</definedName>
    <definedName name="hkjj" localSheetId="1" hidden="1">{"Line Efficiency",#N/A,FALSE,"Benchmarking"}</definedName>
    <definedName name="hkjj" localSheetId="2" hidden="1">{"Line Efficiency",#N/A,FALSE,"Benchmarking"}</definedName>
    <definedName name="hkjj" localSheetId="19" hidden="1">{"Line Efficiency",#N/A,FALSE,"Benchmarking"}</definedName>
    <definedName name="hkjj" localSheetId="21" hidden="1">{"Line Efficiency",#N/A,FALSE,"Benchmarking"}</definedName>
    <definedName name="hkjj" hidden="1">{"Line Efficiency",#N/A,FALSE,"Benchmarking"}</definedName>
    <definedName name="hn.ModelVersion" hidden="1">1</definedName>
    <definedName name="hn.NoUpload" hidden="1">0</definedName>
    <definedName name="HTML_CodePage" hidden="1">1252</definedName>
    <definedName name="HTML_Control" localSheetId="1" hidden="1">{"'Valuation'!$A$1:$AV$62"}</definedName>
    <definedName name="HTML_Control" localSheetId="2" hidden="1">{"'Valuation'!$A$1:$AV$62"}</definedName>
    <definedName name="HTML_Control" localSheetId="19" hidden="1">{"'Valuation'!$A$1:$AV$62"}</definedName>
    <definedName name="HTML_Control" localSheetId="21" hidden="1">{"'Valuation'!$A$1:$AV$62"}</definedName>
    <definedName name="HTML_Control" hidden="1">{"'Valuation'!$A$1:$AV$62"}</definedName>
    <definedName name="HTML_Description" hidden="1">""</definedName>
    <definedName name="HTML_Email" hidden="1">""</definedName>
    <definedName name="HTML_Header" hidden="1">"Valuation"</definedName>
    <definedName name="HTML_LastUpdate" hidden="1">"19/11/99"</definedName>
    <definedName name="HTML_LineAfter" hidden="1">FALSE</definedName>
    <definedName name="HTML_LineBefore" hidden="1">FALSE</definedName>
    <definedName name="HTML_Name" hidden="1">"Francis Woollen"</definedName>
    <definedName name="HTML_OBDlg2" hidden="1">TRUE</definedName>
    <definedName name="HTML_OBDlg4" hidden="1">TRUE</definedName>
    <definedName name="HTML_OS" hidden="1">0</definedName>
    <definedName name="HTML_PathFile" hidden="1">"N:\Telecoms\MODELS\FINLAND\New Sonera\MyHTML.htm"</definedName>
    <definedName name="HTML_Title" hidden="1">"New Sonera"</definedName>
    <definedName name="ii" localSheetId="1" hidden="1">{"Tariff Comparison",#N/A,FALSE,"Benchmarking";"Tariff Comparison 2",#N/A,FALSE,"Benchmarking";"Tariff Comparison 3",#N/A,FALSE,"Benchmarking"}</definedName>
    <definedName name="ii" localSheetId="2" hidden="1">{"Tariff Comparison",#N/A,FALSE,"Benchmarking";"Tariff Comparison 2",#N/A,FALSE,"Benchmarking";"Tariff Comparison 3",#N/A,FALSE,"Benchmarking"}</definedName>
    <definedName name="ii" localSheetId="19" hidden="1">{"Tariff Comparison",#N/A,FALSE,"Benchmarking";"Tariff Comparison 2",#N/A,FALSE,"Benchmarking";"Tariff Comparison 3",#N/A,FALSE,"Benchmarking"}</definedName>
    <definedName name="ii" localSheetId="21" hidden="1">{"Tariff Comparison",#N/A,FALSE,"Benchmarking";"Tariff Comparison 2",#N/A,FALSE,"Benchmarking";"Tariff Comparison 3",#N/A,FALSE,"Benchmarking"}</definedName>
    <definedName name="ii" hidden="1">{"Tariff Comparison",#N/A,FALSE,"Benchmarking";"Tariff Comparison 2",#N/A,FALSE,"Benchmarking";"Tariff Comparison 3",#N/A,FALSE,"Benchmarking"}</definedName>
    <definedName name="index">#REF!</definedName>
    <definedName name="Industry">#REF!</definedName>
    <definedName name="InsuranceEmbeddedValue">#REF!</definedName>
    <definedName name="InsuranceGrowth">#REF!</definedName>
    <definedName name="InsurancePremiumProfit">#REF!</definedName>
    <definedName name="InsuranceRevenues">#REF!</definedName>
    <definedName name="InsuranceTypeFinanceServices">#REF!</definedName>
    <definedName name="InsuranceTypeLife">#REF!</definedName>
    <definedName name="InsuranceTypeNonLife">#REF!</definedName>
    <definedName name="InsuranceTypeReinsurance">#REF!</definedName>
    <definedName name="Intangibles">#REF!</definedName>
    <definedName name="InterestBearingFixedAssets">#REF!</definedName>
    <definedName name="InterestConvertibleDebt">#REF!</definedName>
    <definedName name="InterestCover">#REF!</definedName>
    <definedName name="InterestExpenses">#REF!</definedName>
    <definedName name="InterestExpensesPct">#REF!</definedName>
    <definedName name="InterestIncome">#REF!</definedName>
    <definedName name="InterestIncomePct">#REF!</definedName>
    <definedName name="InternetAddress">#REF!</definedName>
    <definedName name="Inventories">#REF!</definedName>
    <definedName name="InventorySalesDays">#REF!</definedName>
    <definedName name="InvestmentCover">#REF!</definedName>
    <definedName name="IQ_1_4_CONSTRUCTION_GROSS_LOANS_FFIEC" hidden="1">"c13402"</definedName>
    <definedName name="IQ_1_4_CONSTRUCTION_LL_REC_DOM_FFIEC" hidden="1">"c12899"</definedName>
    <definedName name="IQ_1_4_CONSTRUCTION_LOAN_COMMITMENTS_UNUSED_FFIEC" hidden="1">"c13244"</definedName>
    <definedName name="IQ_1_4_CONSTRUCTION_LOANS_DUE_30_89_FFIEC" hidden="1">"c13257"</definedName>
    <definedName name="IQ_1_4_CONSTRUCTION_LOANS_DUE_90_FFIEC" hidden="1">"c13285"</definedName>
    <definedName name="IQ_1_4_CONSTRUCTION_LOANS_NON_ACCRUAL_FFIEC" hidden="1">"c13311"</definedName>
    <definedName name="IQ_1_4_CONSTRUCTION_RISK_BASED_FFIEC" hidden="1">"c13423"</definedName>
    <definedName name="IQ_1_4_FAMILY_JUNIOR_LIENS_CHARGE_OFFS_FDIC" hidden="1">"c6605"</definedName>
    <definedName name="IQ_1_4_FAMILY_JUNIOR_LIENS_NET_CHARGE_OFFS_FDIC" hidden="1">"c6643"</definedName>
    <definedName name="IQ_1_4_FAMILY_JUNIOR_LIENS_RECOVERIES_FDIC" hidden="1">"c6624"</definedName>
    <definedName name="IQ_1_4_FAMILY_SENIOR_LIENS_CHARGE_OFFS_FDIC" hidden="1">"c6604"</definedName>
    <definedName name="IQ_1_4_FAMILY_SENIOR_LIENS_NET_CHARGE_OFFS_FDIC" hidden="1">"c6642"</definedName>
    <definedName name="IQ_1_4_FAMILY_SENIOR_LIENS_RECOVERIES_FDIC" hidden="1">"c6623"</definedName>
    <definedName name="IQ_1_4_HOME_EQUITY_NET_LOANS_FDIC" hidden="1">"c6441"</definedName>
    <definedName name="IQ_1_4_RESIDENTIAL_FIRST_LIENS_NET_LOANS_FDIC" hidden="1">"c6439"</definedName>
    <definedName name="IQ_1_4_RESIDENTIAL_JUNIOR_LIENS_NET_LOANS_FDIC" hidden="1">"c6440"</definedName>
    <definedName name="IQ_1_4_RESIDENTIAL_LOANS_FDIC" hidden="1">"c6310"</definedName>
    <definedName name="IQ_30YR_FIXED_MORTGAGE" hidden="1">"c6811"</definedName>
    <definedName name="IQ_30YR_FIXED_MORTGAGE_FC" hidden="1">"c7691"</definedName>
    <definedName name="IQ_30YR_FIXED_MORTGAGE_POP" hidden="1">"c7031"</definedName>
    <definedName name="IQ_30YR_FIXED_MORTGAGE_POP_FC" hidden="1">"c7911"</definedName>
    <definedName name="IQ_30YR_FIXED_MORTGAGE_YOY" hidden="1">"c7251"</definedName>
    <definedName name="IQ_30YR_FIXED_MORTGAGE_YOY_FC" hidden="1">"c8131"</definedName>
    <definedName name="IQ_ABS_AVAIL_SALE_FFIEC" hidden="1">"c12802"</definedName>
    <definedName name="IQ_ABS_FFIEC" hidden="1">"c12788"</definedName>
    <definedName name="IQ_ABS_INVEST_SECURITIES_FFIEC" hidden="1">"c13461"</definedName>
    <definedName name="IQ_ABS_PERIOD" hidden="1">"c13823"</definedName>
    <definedName name="IQ_ACCOUNT_CHANGE" hidden="1">"c1449"</definedName>
    <definedName name="IQ_ACCOUNTING_FFIEC" hidden="1">"c13054"</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RUED_INTEREST_RECEIVABLE_FFIEC" hidden="1">"c12842"</definedName>
    <definedName name="IQ_ACCT_RECV_10YR_ANN_CAGR" hidden="1">"c6159"</definedName>
    <definedName name="IQ_ACCT_RECV_10YR_ANN_GROWTH" hidden="1">"c1924"</definedName>
    <definedName name="IQ_ACCT_RECV_1YR_ANN_GROWTH" hidden="1">"c1919"</definedName>
    <definedName name="IQ_ACCT_RECV_2YR_ANN_CAGR" hidden="1">"c6155"</definedName>
    <definedName name="IQ_ACCT_RECV_2YR_ANN_GROWTH" hidden="1">"c1920"</definedName>
    <definedName name="IQ_ACCT_RECV_3YR_ANN_CAGR" hidden="1">"c6156"</definedName>
    <definedName name="IQ_ACCT_RECV_3YR_ANN_GROWTH" hidden="1">"c1921"</definedName>
    <definedName name="IQ_ACCT_RECV_5YR_ANN_CAGR" hidden="1">"c6157"</definedName>
    <definedName name="IQ_ACCT_RECV_5YR_ANN_GROWTH" hidden="1">"c1922"</definedName>
    <definedName name="IQ_ACCT_RECV_7YR_ANN_CAGR" hidden="1">"c6158"</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RED_BY_REPORTING_BANK_FDIC" hidden="1">"c6535"</definedName>
    <definedName name="IQ_ACQUISITION_RE_ASSETS" hidden="1">"c1628"</definedName>
    <definedName name="IQ_ACTUAL_PRODUCTION_ALUM" hidden="1">"c9247"</definedName>
    <definedName name="IQ_ACTUAL_PRODUCTION_CATHODE_COP" hidden="1">"c9192"</definedName>
    <definedName name="IQ_ACTUAL_PRODUCTION_COAL" hidden="1">"c9821"</definedName>
    <definedName name="IQ_ACTUAL_PRODUCTION_COP" hidden="1">"c9191"</definedName>
    <definedName name="IQ_ACTUAL_PRODUCTION_DIAM" hidden="1">"c9671"</definedName>
    <definedName name="IQ_ACTUAL_PRODUCTION_GOLD" hidden="1">"c9032"</definedName>
    <definedName name="IQ_ACTUAL_PRODUCTION_IRON" hidden="1">"c9406"</definedName>
    <definedName name="IQ_ACTUAL_PRODUCTION_LEAD" hidden="1">"c9459"</definedName>
    <definedName name="IQ_ACTUAL_PRODUCTION_MANG" hidden="1">"c9512"</definedName>
    <definedName name="IQ_ACTUAL_PRODUCTION_MET_COAL" hidden="1">"c9761"</definedName>
    <definedName name="IQ_ACTUAL_PRODUCTION_MOLYB" hidden="1">"c9724"</definedName>
    <definedName name="IQ_ACTUAL_PRODUCTION_NICK" hidden="1">"c9300"</definedName>
    <definedName name="IQ_ACTUAL_PRODUCTION_PLAT" hidden="1">"c9138"</definedName>
    <definedName name="IQ_ACTUAL_PRODUCTION_SILVER" hidden="1">"c9085"</definedName>
    <definedName name="IQ_ACTUAL_PRODUCTION_STEAM" hidden="1">"c9791"</definedName>
    <definedName name="IQ_ACTUAL_PRODUCTION_TITAN" hidden="1">"c9565"</definedName>
    <definedName name="IQ_ACTUAL_PRODUCTION_URAN" hidden="1">"c9618"</definedName>
    <definedName name="IQ_ACTUAL_PRODUCTION_ZINC" hidden="1">"c9353"</definedName>
    <definedName name="IQ_AD" hidden="1">"c7"</definedName>
    <definedName name="IQ_ADD_PAID_IN" hidden="1">"c1344"</definedName>
    <definedName name="IQ_ADDIN" hidden="1">"AUTO"</definedName>
    <definedName name="IQ_ADDITIONAL_NON_INT_INC_FDIC" hidden="1">"c6574"</definedName>
    <definedName name="IQ_ADJ_AVG_BANK_ASSETS" hidden="1">"c2671"</definedName>
    <definedName name="IQ_ADJUSTABLE_RATE_LOANS_FDIC" hidden="1">"c6375"</definedName>
    <definedName name="IQ_ADJUSTED_NAV_COVERED" hidden="1">"c9963"</definedName>
    <definedName name="IQ_ADJUSTED_NAV_GROUP" hidden="1">"c9949"</definedName>
    <definedName name="IQ_ADMIN_RATIO" hidden="1">"c2784"</definedName>
    <definedName name="IQ_ADVERTISING" hidden="1">"c2246"</definedName>
    <definedName name="IQ_ADVERTISING_MARKETING" hidden="1">"c1566"</definedName>
    <definedName name="IQ_ADVERTISING_MARKETING_EXPENSES_FFIEC" hidden="1">"c13048"</definedName>
    <definedName name="IQ_AE" hidden="1">"c8"</definedName>
    <definedName name="IQ_AE_BNK" hidden="1">"c9"</definedName>
    <definedName name="IQ_AE_BR" hidden="1">"c10"</definedName>
    <definedName name="IQ_AE_FIN" hidden="1">"c11"</definedName>
    <definedName name="IQ_AE_INS" hidden="1">"c12"</definedName>
    <definedName name="IQ_AE_RE" hidden="1">"c6195"</definedName>
    <definedName name="IQ_AE_REIT" hidden="1">"c13"</definedName>
    <definedName name="IQ_AE_UTI" hidden="1">"c14"</definedName>
    <definedName name="IQ_AFFO" hidden="1">"c8756"</definedName>
    <definedName name="IQ_AFFO_PER_SHARE_BASIC" hidden="1">"c8869"</definedName>
    <definedName name="IQ_AFFO_PER_SHARE_DILUTED" hidden="1">"c8870"</definedName>
    <definedName name="IQ_AFS_INVEST_SECURITIES_FFIEC" hidden="1">"c13456"</definedName>
    <definedName name="IQ_AFS_SECURITIES_TIER_1_FFIEC" hidden="1">"c13343"</definedName>
    <definedName name="IQ_AFTER_TAX_INCOME_FDIC" hidden="1">"c6583"</definedName>
    <definedName name="IQ_AGENCY" hidden="1">"c8960"</definedName>
    <definedName name="IQ_AGENCY_INVEST_SECURITIES_FFIEC" hidden="1">"c13458"</definedName>
    <definedName name="IQ_AGG_CORPORATE_SHARES" hidden="1">"c13781"</definedName>
    <definedName name="IQ_AGG_CORPORATE_VALUE" hidden="1">"c13774"</definedName>
    <definedName name="IQ_AGG_ESOP_SHARES" hidden="1">"c13782"</definedName>
    <definedName name="IQ_AGG_ESOP_VALUE" hidden="1">"c13775"</definedName>
    <definedName name="IQ_AGG_FOUNDATION_SHARES" hidden="1">"c13783"</definedName>
    <definedName name="IQ_AGG_FOUNDATION_VALUE" hidden="1">"c13776"</definedName>
    <definedName name="IQ_AGG_HEDGEFUND_SHARES" hidden="1">"c13785"</definedName>
    <definedName name="IQ_AGG_HEDGEFUND_VALUE" hidden="1">"c13778"</definedName>
    <definedName name="IQ_AGG_INSIDER_SHARES" hidden="1">"c13780"</definedName>
    <definedName name="IQ_AGG_INSIDER_VALUE" hidden="1">"c13773"</definedName>
    <definedName name="IQ_AGG_INSTITUTIONAL_SHARES" hidden="1">"c13779"</definedName>
    <definedName name="IQ_AGG_INSTITUTIONAL_VALUE" hidden="1">"c13772"</definedName>
    <definedName name="IQ_AGG_OTHER_SHARES" hidden="1">"c13784"</definedName>
    <definedName name="IQ_AGG_OTHER_VALUE" hidden="1">"c13777"</definedName>
    <definedName name="IQ_AGRICULTURAL_GROSS_LOANS_FFIEC" hidden="1">"c13413"</definedName>
    <definedName name="IQ_AGRICULTURAL_LOANS_FOREIGN_FFIEC" hidden="1">"c13481"</definedName>
    <definedName name="IQ_AGRICULTURAL_PRODUCTION_CHARGE_OFFS_FDIC" hidden="1">"c6597"</definedName>
    <definedName name="IQ_AGRICULTURAL_PRODUCTION_CHARGE_OFFS_LESS_THAN_300M_FDIC" hidden="1">"c6655"</definedName>
    <definedName name="IQ_AGRICULTURAL_PRODUCTION_NET_CHARGE_OFFS_FDIC" hidden="1">"c6635"</definedName>
    <definedName name="IQ_AGRICULTURAL_PRODUCTION_NET_CHARGE_OFFS_LESS_THAN_300M_FDIC" hidden="1">"c6657"</definedName>
    <definedName name="IQ_AGRICULTURAL_PRODUCTION_RECOVERIES_FDIC" hidden="1">"c6616"</definedName>
    <definedName name="IQ_AGRICULTURAL_PRODUCTION_RECOVERIES_LESS_THAN_300M_FDIC" hidden="1">"c6656"</definedName>
    <definedName name="IQ_AGRICULTURAL_RISK_BASED_FFIEC" hidden="1">"c13434"</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AVG_PSGR_FARE" hidden="1">"c10029"</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NUMBER_HRS_FLOWN" hidden="1">"c10037"</definedName>
    <definedName name="IQ_AIR_NUMBER_OPERATING_AIRCRAFT_AVG" hidden="1">"c10035"</definedName>
    <definedName name="IQ_AIR_NUMBER_TRIPS_FLOWN" hidden="1">"c10030"</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EX_PER_ASK_EXCL_FUEL" hidden="1">"c10034"</definedName>
    <definedName name="IQ_AIR_OPEX_PER_ASM_EXCL_FUEL" hidden="1">"c10033"</definedName>
    <definedName name="IQ_AIR_OPTIONS" hidden="1">"c2837"</definedName>
    <definedName name="IQ_AIR_ORDERS" hidden="1">"c2836"</definedName>
    <definedName name="IQ_AIR_OWNED" hidden="1">"c2832"</definedName>
    <definedName name="IQ_AIR_PERCENTAGE_SALES_VIA_INTERNET" hidden="1">"c10036"</definedName>
    <definedName name="IQ_AIR_PSGR_HAUL_AVG_LENGTH_KM" hidden="1">"c10032"</definedName>
    <definedName name="IQ_AIR_PSGR_HAUL_AVG_LENGTH_MILES" hidden="1">"c10031"</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_OTHER_LEASES_CHARGE_OFFS_FFIEC" hidden="1">"c13185"</definedName>
    <definedName name="IQ_ALL_OTHER_LEASES_RECOV_FFIEC" hidden="1">"c13207"</definedName>
    <definedName name="IQ_ALL_OTHER_LOANS_CHARGE_OFFS_FFIEC" hidden="1">"c13183"</definedName>
    <definedName name="IQ_ALL_OTHER_LOANS_RECOV_FFIEC" hidden="1">"c13205"</definedName>
    <definedName name="IQ_ALL_OTHER_TRADING_LIABILITIES_DOM_FFIEC" hidden="1">"c12942"</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_LL_LOSSES_FFIEC" hidden="1">"c12810"</definedName>
    <definedName name="IQ_ALLOWABLE_T2_CAPITAL_FFIEC" hidden="1">"c13150"</definedName>
    <definedName name="IQ_ALLOWANCE_10YR_ANN_CAGR" hidden="1">"c6035"</definedName>
    <definedName name="IQ_ALLOWANCE_10YR_ANN_GROWTH" hidden="1">"c18"</definedName>
    <definedName name="IQ_ALLOWANCE_1YR_ANN_GROWTH" hidden="1">"c19"</definedName>
    <definedName name="IQ_ALLOWANCE_2YR_ANN_CAGR" hidden="1">"c6036"</definedName>
    <definedName name="IQ_ALLOWANCE_2YR_ANN_GROWTH" hidden="1">"c20"</definedName>
    <definedName name="IQ_ALLOWANCE_3YR_ANN_CAGR" hidden="1">"c6037"</definedName>
    <definedName name="IQ_ALLOWANCE_3YR_ANN_GROWTH" hidden="1">"c21"</definedName>
    <definedName name="IQ_ALLOWANCE_5YR_ANN_CAGR" hidden="1">"c6038"</definedName>
    <definedName name="IQ_ALLOWANCE_5YR_ANN_GROWTH" hidden="1">"c22"</definedName>
    <definedName name="IQ_ALLOWANCE_7YR_ANN_CAGR" hidden="1">"c6039"</definedName>
    <definedName name="IQ_ALLOWANCE_7YR_ANN_GROWTH" hidden="1">"c23"</definedName>
    <definedName name="IQ_ALLOWANCE_CHARGE_OFFS" hidden="1">"c24"</definedName>
    <definedName name="IQ_ALLOWANCE_CREDIT_LOSSES_OFF_BS_FFIEC" hidden="1">"c12871"</definedName>
    <definedName name="IQ_ALLOWANCE_LL_LOSSES_T2_FFIEC" hidden="1">"c13146"</definedName>
    <definedName name="IQ_ALLOWANCE_NON_PERF_LOANS" hidden="1">"c25"</definedName>
    <definedName name="IQ_ALLOWANCE_TOTAL_LOANS" hidden="1">"c26"</definedName>
    <definedName name="IQ_AMENDED_BALANCE_PREVIOUS_YR_FDIC" hidden="1">"c6499"</definedName>
    <definedName name="IQ_AMORT_EXP_IMPAIRMENT_OTHER_INTANGIBLE_ASSETS_FFIEC" hidden="1">"c13026"</definedName>
    <definedName name="IQ_AMORT_EXPENSE_FDIC" hidden="1">"c6677"</definedName>
    <definedName name="IQ_AMORTIZATION" hidden="1">"c1591"</definedName>
    <definedName name="IQ_AMORTIZED_COST_FDIC" hidden="1">"c6426"</definedName>
    <definedName name="IQ_AMOUNT_FINANCIAL_LOC_CONVEYED_FFIEC" hidden="1">"c13250"</definedName>
    <definedName name="IQ_AMOUNT_PERFORMANCE_LOC_CONVEYED_FFIEC" hidden="1">"c13252"</definedName>
    <definedName name="IQ_AMT_OUT" hidden="1">"c2145"</definedName>
    <definedName name="IQ_ANALYST_EMAIL" hidden="1">"c13738"</definedName>
    <definedName name="IQ_ANALYST_NAME" hidden="1">"c13736"</definedName>
    <definedName name="IQ_ANALYST_PHONE" hidden="1">"c13737"</definedName>
    <definedName name="IQ_ANALYST_START_DATE" hidden="1">"c13740"</definedName>
    <definedName name="IQ_ANNU_DISTRIBUTION_UNIT" hidden="1">"c3004"</definedName>
    <definedName name="IQ_ANNUAL_PREMIUM_EQUIVALENT_NEW_BUSINESS" hidden="1">"c9972"</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NNUITY_SALES_FEES_COMMISSIONS_FFIEC" hidden="1">"c13007"</definedName>
    <definedName name="IQ_AP" hidden="1">"c32"</definedName>
    <definedName name="IQ_AP_BNK" hidden="1">"c33"</definedName>
    <definedName name="IQ_AP_BR" hidden="1">"c34"</definedName>
    <definedName name="IQ_AP_FIN" hidden="1">"c35"</definedName>
    <definedName name="IQ_AP_INS" hidden="1">"c36"</definedName>
    <definedName name="IQ_AP_RE" hidden="1">"c6196"</definedName>
    <definedName name="IQ_AP_REIT" hidden="1">"c37"</definedName>
    <definedName name="IQ_AP_UTI" hidden="1">"c38"</definedName>
    <definedName name="IQ_APIC" hidden="1">"c39"</definedName>
    <definedName name="IQ_APPLICABLE_INCOME_TAXES_FTE_FFIEC" hidden="1">"c13853"</definedName>
    <definedName name="IQ_AR" hidden="1">"c40"</definedName>
    <definedName name="IQ_AR_BR" hidden="1">"c41"</definedName>
    <definedName name="IQ_AR_LT" hidden="1">"c42"</definedName>
    <definedName name="IQ_AR_RE" hidden="1">"c6197"</definedName>
    <definedName name="IQ_AR_REIT" hidden="1">"c43"</definedName>
    <definedName name="IQ_AR_TURNS" hidden="1">"c44"</definedName>
    <definedName name="IQ_AR_UTI" hidden="1">"c45"</definedName>
    <definedName name="IQ_ARPU" hidden="1">"c2126"</definedName>
    <definedName name="IQ_ASSET_BACKED_FDIC" hidden="1">"c6301"</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 hidden="1">"c6198"</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 hidden="1">"c6199"</definedName>
    <definedName name="IQ_ASSET_WRITEDOWN_REIT" hidden="1">"c60"</definedName>
    <definedName name="IQ_ASSET_WRITEDOWN_SUPPLE" hidden="1">"c13812"</definedName>
    <definedName name="IQ_ASSET_WRITEDOWN_UTI" hidden="1">"c61"</definedName>
    <definedName name="IQ_ASSETS_AP" hidden="1">"c8883"</definedName>
    <definedName name="IQ_ASSETS_AP_ABS" hidden="1">"c8902"</definedName>
    <definedName name="IQ_ASSETS_CAP_LEASE_DEPR" hidden="1">"c2068"</definedName>
    <definedName name="IQ_ASSETS_CAP_LEASE_GROSS" hidden="1">"c2069"</definedName>
    <definedName name="IQ_ASSETS_FAIR_VALUE" hidden="1">"c13843"</definedName>
    <definedName name="IQ_ASSETS_HELD_FDIC" hidden="1">"c6305"</definedName>
    <definedName name="IQ_ASSETS_LEVEL_1" hidden="1">"c13839"</definedName>
    <definedName name="IQ_ASSETS_LEVEL_2" hidden="1">"c13840"</definedName>
    <definedName name="IQ_ASSETS_LEVEL_3" hidden="1">"c13841"</definedName>
    <definedName name="IQ_ASSETS_NAME_AP" hidden="1">"c8921"</definedName>
    <definedName name="IQ_ASSETS_NAME_AP_ABS" hidden="1">"c8940"</definedName>
    <definedName name="IQ_ASSETS_NETTING_OTHER_ADJUSTMENTS" hidden="1">"c13842"</definedName>
    <definedName name="IQ_ASSETS_OPER_LEASE_DEPR" hidden="1">"c2070"</definedName>
    <definedName name="IQ_ASSETS_OPER_LEASE_GROSS" hidden="1">"c2071"</definedName>
    <definedName name="IQ_ASSETS_PER_EMPLOYEE_FDIC" hidden="1">"c6737"</definedName>
    <definedName name="IQ_ASSETS_REPRICE_ASSETS_TOT_FFIEC" hidden="1">"c13454"</definedName>
    <definedName name="IQ_ASSETS_SOLD_1_4_FAMILY_LOANS_FDIC" hidden="1">"c6686"</definedName>
    <definedName name="IQ_ASSETS_SOLD_AUTO_LOANS_FDIC" hidden="1">"c6680"</definedName>
    <definedName name="IQ_ASSETS_SOLD_CL_LOANS_FDIC" hidden="1">"c6681"</definedName>
    <definedName name="IQ_ASSETS_SOLD_CREDIT_CARDS_RECEIVABLES_FDIC" hidden="1">"c6683"</definedName>
    <definedName name="IQ_ASSETS_SOLD_HOME_EQUITY_LINES_FDIC" hidden="1">"c6684"</definedName>
    <definedName name="IQ_ASSETS_SOLD_OTHER_CONSUMER_LOANS_FDIC" hidden="1">"c6682"</definedName>
    <definedName name="IQ_ASSETS_SOLD_OTHER_LOANS_FDIC" hidden="1">"c6685"</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TM_FEES_FFIEC" hidden="1">"c13042"</definedName>
    <definedName name="IQ_ATM_INTERCHANGE_EXPENSES_FFIEC" hidden="1">"c13056"</definedName>
    <definedName name="IQ_AUDITOR_NAME" hidden="1">"c1539"</definedName>
    <definedName name="IQ_AUDITOR_OPINION" hidden="1">"c1540"</definedName>
    <definedName name="IQ_AUM" hidden="1">"c10043"</definedName>
    <definedName name="IQ_AUM_EQUITY_FUNDS" hidden="1">"c10039"</definedName>
    <definedName name="IQ_AUM_FIXED_INCOME_FUNDS" hidden="1">"c10040"</definedName>
    <definedName name="IQ_AUM_MONEY_MARKET_FUNDS" hidden="1">"c10041"</definedName>
    <definedName name="IQ_AUM_OTHER" hidden="1">"c10042"</definedName>
    <definedName name="IQ_AUTO_REGIST_NEW" hidden="1">"c6923"</definedName>
    <definedName name="IQ_AUTO_REGIST_NEW_APR" hidden="1">"c7583"</definedName>
    <definedName name="IQ_AUTO_REGIST_NEW_APR_FC" hidden="1">"c8463"</definedName>
    <definedName name="IQ_AUTO_REGIST_NEW_FC" hidden="1">"c7803"</definedName>
    <definedName name="IQ_AUTO_REGIST_NEW_POP" hidden="1">"c7143"</definedName>
    <definedName name="IQ_AUTO_REGIST_NEW_POP_FC" hidden="1">"c8023"</definedName>
    <definedName name="IQ_AUTO_REGIST_NEW_YOY" hidden="1">"c7363"</definedName>
    <definedName name="IQ_AUTO_REGIST_NEW_YOY_FC" hidden="1">"c8243"</definedName>
    <definedName name="IQ_AUTO_SALES_DOM" hidden="1">"c6852"</definedName>
    <definedName name="IQ_AUTO_SALES_DOM_APR" hidden="1">"c7512"</definedName>
    <definedName name="IQ_AUTO_SALES_DOM_APR_FC" hidden="1">"c8392"</definedName>
    <definedName name="IQ_AUTO_SALES_DOM_FC" hidden="1">"c7732"</definedName>
    <definedName name="IQ_AUTO_SALES_DOM_POP" hidden="1">"c7072"</definedName>
    <definedName name="IQ_AUTO_SALES_DOM_POP_FC" hidden="1">"c7952"</definedName>
    <definedName name="IQ_AUTO_SALES_DOM_YOY" hidden="1">"c7292"</definedName>
    <definedName name="IQ_AUTO_SALES_DOM_YOY_FC" hidden="1">"c8172"</definedName>
    <definedName name="IQ_AUTO_SALES_FOREIGN" hidden="1">"c6873"</definedName>
    <definedName name="IQ_AUTO_SALES_FOREIGN_APR" hidden="1">"c7533"</definedName>
    <definedName name="IQ_AUTO_SALES_FOREIGN_APR_FC" hidden="1">"c8413"</definedName>
    <definedName name="IQ_AUTO_SALES_FOREIGN_FC" hidden="1">"c7753"</definedName>
    <definedName name="IQ_AUTO_SALES_FOREIGN_POP" hidden="1">"c7093"</definedName>
    <definedName name="IQ_AUTO_SALES_FOREIGN_POP_FC" hidden="1">"c7973"</definedName>
    <definedName name="IQ_AUTO_SALES_FOREIGN_YOY" hidden="1">"c7313"</definedName>
    <definedName name="IQ_AUTO_SALES_FOREIGN_YOY_FC" hidden="1">"c8193"</definedName>
    <definedName name="IQ_AUTO_WRITTEN" hidden="1">"c62"</definedName>
    <definedName name="IQ_AVAILABLE_FOR_SALE_FDIC" hidden="1">"c6409"</definedName>
    <definedName name="IQ_AVAILABLE_SALE_SEC_FFIEC" hidden="1">"c12791"</definedName>
    <definedName name="IQ_AVERAGE_ASSETS_FDIC" hidden="1">"c6362"</definedName>
    <definedName name="IQ_AVERAGE_ASSETS_QUART_FDIC" hidden="1">"c6363"</definedName>
    <definedName name="IQ_AVERAGE_EARNING_ASSETS_FDIC" hidden="1">"c6748"</definedName>
    <definedName name="IQ_AVERAGE_EQUITY_FDIC" hidden="1">"c6749"</definedName>
    <definedName name="IQ_AVERAGE_LOANS_FDIC" hidden="1">"c6750"</definedName>
    <definedName name="IQ_AVG_BANK_ASSETS" hidden="1">"c2072"</definedName>
    <definedName name="IQ_AVG_BANK_LOANS" hidden="1">"c2073"</definedName>
    <definedName name="IQ_AVG_BROKER_REC" hidden="1">"c63"</definedName>
    <definedName name="IQ_AVG_BROKER_REC_CIQ" hidden="1">"c3612"</definedName>
    <definedName name="IQ_AVG_BROKER_REC_NO" hidden="1">"c64"</definedName>
    <definedName name="IQ_AVG_BROKER_REC_NO_CIQ" hidden="1">"c4657"</definedName>
    <definedName name="IQ_AVG_CALORIFIC_VALUE_COAL" hidden="1">"c9828"</definedName>
    <definedName name="IQ_AVG_CALORIFIC_VALUE_MET_COAL" hidden="1">"c9764"</definedName>
    <definedName name="IQ_AVG_CALORIFIC_VALUE_STEAM" hidden="1">"c9794"</definedName>
    <definedName name="IQ_AVG_DAILY_VOL" hidden="1">"c65"</definedName>
    <definedName name="IQ_AVG_EMPLOYEES" hidden="1">"c6019"</definedName>
    <definedName name="IQ_AVG_GRADE_ALUM" hidden="1">"c9254"</definedName>
    <definedName name="IQ_AVG_GRADE_COP" hidden="1">"c9201"</definedName>
    <definedName name="IQ_AVG_GRADE_DIAM" hidden="1">"c9678"</definedName>
    <definedName name="IQ_AVG_GRADE_GOLD" hidden="1">"c9039"</definedName>
    <definedName name="IQ_AVG_GRADE_IRON" hidden="1">"c9413"</definedName>
    <definedName name="IQ_AVG_GRADE_LEAD" hidden="1">"c9466"</definedName>
    <definedName name="IQ_AVG_GRADE_MANG" hidden="1">"c9519"</definedName>
    <definedName name="IQ_AVG_GRADE_MOLYB" hidden="1">"c9731"</definedName>
    <definedName name="IQ_AVG_GRADE_NICK" hidden="1">"c9307"</definedName>
    <definedName name="IQ_AVG_GRADE_PLAT" hidden="1">"c9145"</definedName>
    <definedName name="IQ_AVG_GRADE_SILVER" hidden="1">"c9092"</definedName>
    <definedName name="IQ_AVG_GRADE_TITAN" hidden="1">"c9572"</definedName>
    <definedName name="IQ_AVG_GRADE_URAN" hidden="1">"c9625"</definedName>
    <definedName name="IQ_AVG_GRADE_ZINC" hidden="1">"c9360"</definedName>
    <definedName name="IQ_AVG_INDUSTRY_REC_CIQ" hidden="1">"c4984"</definedName>
    <definedName name="IQ_AVG_INT_BEAR_LIAB" hidden="1">"c66"</definedName>
    <definedName name="IQ_AVG_INT_BEAR_LIAB_10YR_ANN_CAGR" hidden="1">"c6040"</definedName>
    <definedName name="IQ_AVG_INT_BEAR_LIAB_10YR_ANN_GROWTH" hidden="1">"c67"</definedName>
    <definedName name="IQ_AVG_INT_BEAR_LIAB_1YR_ANN_GROWTH" hidden="1">"c68"</definedName>
    <definedName name="IQ_AVG_INT_BEAR_LIAB_2YR_ANN_CAGR" hidden="1">"c6041"</definedName>
    <definedName name="IQ_AVG_INT_BEAR_LIAB_2YR_ANN_GROWTH" hidden="1">"c69"</definedName>
    <definedName name="IQ_AVG_INT_BEAR_LIAB_3YR_ANN_CAGR" hidden="1">"c6042"</definedName>
    <definedName name="IQ_AVG_INT_BEAR_LIAB_3YR_ANN_GROWTH" hidden="1">"c70"</definedName>
    <definedName name="IQ_AVG_INT_BEAR_LIAB_5YR_ANN_CAGR" hidden="1">"c6043"</definedName>
    <definedName name="IQ_AVG_INT_BEAR_LIAB_5YR_ANN_GROWTH" hidden="1">"c71"</definedName>
    <definedName name="IQ_AVG_INT_BEAR_LIAB_7YR_ANN_CAGR" hidden="1">"c6044"</definedName>
    <definedName name="IQ_AVG_INT_BEAR_LIAB_7YR_ANN_GROWTH" hidden="1">"c72"</definedName>
    <definedName name="IQ_AVG_INT_EARN_ASSETS" hidden="1">"c73"</definedName>
    <definedName name="IQ_AVG_INT_EARN_ASSETS_10YR_ANN_CAGR" hidden="1">"c6045"</definedName>
    <definedName name="IQ_AVG_INT_EARN_ASSETS_10YR_ANN_GROWTH" hidden="1">"c74"</definedName>
    <definedName name="IQ_AVG_INT_EARN_ASSETS_1YR_ANN_GROWTH" hidden="1">"c75"</definedName>
    <definedName name="IQ_AVG_INT_EARN_ASSETS_2YR_ANN_CAGR" hidden="1">"c6046"</definedName>
    <definedName name="IQ_AVG_INT_EARN_ASSETS_2YR_ANN_GROWTH" hidden="1">"c76"</definedName>
    <definedName name="IQ_AVG_INT_EARN_ASSETS_3YR_ANN_CAGR" hidden="1">"c6047"</definedName>
    <definedName name="IQ_AVG_INT_EARN_ASSETS_3YR_ANN_GROWTH" hidden="1">"c77"</definedName>
    <definedName name="IQ_AVG_INT_EARN_ASSETS_5YR_ANN_CAGR" hidden="1">"c6048"</definedName>
    <definedName name="IQ_AVG_INT_EARN_ASSETS_5YR_ANN_GROWTH" hidden="1">"c78"</definedName>
    <definedName name="IQ_AVG_INT_EARN_ASSETS_7YR_ANN_CAGR" hidden="1">"c6049"</definedName>
    <definedName name="IQ_AVG_INT_EARN_ASSETS_7YR_ANN_GROWTH" hidden="1">"c79"</definedName>
    <definedName name="IQ_AVG_MKTCAP" hidden="1">"c80"</definedName>
    <definedName name="IQ_AVG_PRICE" hidden="1">"c81"</definedName>
    <definedName name="IQ_AVG_PRODUCTION_PER_MINE_ALUM" hidden="1">"c9249"</definedName>
    <definedName name="IQ_AVG_PRODUCTION_PER_MINE_COAL" hidden="1">"c9823"</definedName>
    <definedName name="IQ_AVG_PRODUCTION_PER_MINE_COP" hidden="1">"c9194"</definedName>
    <definedName name="IQ_AVG_PRODUCTION_PER_MINE_DIAM" hidden="1">"c9673"</definedName>
    <definedName name="IQ_AVG_PRODUCTION_PER_MINE_GOLD" hidden="1">"c9034"</definedName>
    <definedName name="IQ_AVG_PRODUCTION_PER_MINE_IRON" hidden="1">"c9408"</definedName>
    <definedName name="IQ_AVG_PRODUCTION_PER_MINE_LEAD" hidden="1">"c9461"</definedName>
    <definedName name="IQ_AVG_PRODUCTION_PER_MINE_MANG" hidden="1">"c9514"</definedName>
    <definedName name="IQ_AVG_PRODUCTION_PER_MINE_MOLYB" hidden="1">"c9726"</definedName>
    <definedName name="IQ_AVG_PRODUCTION_PER_MINE_NICK" hidden="1">"c9302"</definedName>
    <definedName name="IQ_AVG_PRODUCTION_PER_MINE_PLAT" hidden="1">"c9140"</definedName>
    <definedName name="IQ_AVG_PRODUCTION_PER_MINE_SILVER" hidden="1">"c9087"</definedName>
    <definedName name="IQ_AVG_PRODUCTION_PER_MINE_TITAN" hidden="1">"c9567"</definedName>
    <definedName name="IQ_AVG_PRODUCTION_PER_MINE_URAN" hidden="1">"c9620"</definedName>
    <definedName name="IQ_AVG_PRODUCTION_PER_MINE_ZINC" hidden="1">"c9355"</definedName>
    <definedName name="IQ_AVG_REAL_PRICE_POST_TREAT_REFINING_ALUM" hidden="1">"c9259"</definedName>
    <definedName name="IQ_AVG_REAL_PRICE_POST_TREAT_REFINING_COP" hidden="1">"c9206"</definedName>
    <definedName name="IQ_AVG_REAL_PRICE_POST_TREAT_REFINING_DIAM" hidden="1">"c9683"</definedName>
    <definedName name="IQ_AVG_REAL_PRICE_POST_TREAT_REFINING_GOLD" hidden="1">"c9044"</definedName>
    <definedName name="IQ_AVG_REAL_PRICE_POST_TREAT_REFINING_IRON" hidden="1">"c9418"</definedName>
    <definedName name="IQ_AVG_REAL_PRICE_POST_TREAT_REFINING_LEAD" hidden="1">"c9471"</definedName>
    <definedName name="IQ_AVG_REAL_PRICE_POST_TREAT_REFINING_MANG" hidden="1">"c9524"</definedName>
    <definedName name="IQ_AVG_REAL_PRICE_POST_TREAT_REFINING_MOLYB" hidden="1">"c9736"</definedName>
    <definedName name="IQ_AVG_REAL_PRICE_POST_TREAT_REFINING_NICK" hidden="1">"c9311"</definedName>
    <definedName name="IQ_AVG_REAL_PRICE_POST_TREAT_REFINING_PLAT" hidden="1">"c9150"</definedName>
    <definedName name="IQ_AVG_REAL_PRICE_POST_TREAT_REFINING_SILVER" hidden="1">"c9097"</definedName>
    <definedName name="IQ_AVG_REAL_PRICE_POST_TREAT_REFINING_TITAN" hidden="1">"c9577"</definedName>
    <definedName name="IQ_AVG_REAL_PRICE_POST_TREAT_REFINING_URAN" hidden="1">"c9630"</definedName>
    <definedName name="IQ_AVG_REAL_PRICE_POST_TREAT_REFINING_ZINC" hidden="1">"c9365"</definedName>
    <definedName name="IQ_AVG_REAL_PRICE_PRE_TREAT_REFINING_ALUM" hidden="1">"c9258"</definedName>
    <definedName name="IQ_AVG_REAL_PRICE_PRE_TREAT_REFINING_COP" hidden="1">"c9205"</definedName>
    <definedName name="IQ_AVG_REAL_PRICE_PRE_TREAT_REFINING_DIAM" hidden="1">"c9682"</definedName>
    <definedName name="IQ_AVG_REAL_PRICE_PRE_TREAT_REFINING_GOLD" hidden="1">"c9043"</definedName>
    <definedName name="IQ_AVG_REAL_PRICE_PRE_TREAT_REFINING_IRON" hidden="1">"c9417"</definedName>
    <definedName name="IQ_AVG_REAL_PRICE_PRE_TREAT_REFINING_LEAD" hidden="1">"c9470"</definedName>
    <definedName name="IQ_AVG_REAL_PRICE_PRE_TREAT_REFINING_MANG" hidden="1">"c9523"</definedName>
    <definedName name="IQ_AVG_REAL_PRICE_PRE_TREAT_REFINING_MOLYB" hidden="1">"c9735"</definedName>
    <definedName name="IQ_AVG_REAL_PRICE_PRE_TREAT_REFINING_NICK" hidden="1">"c9312"</definedName>
    <definedName name="IQ_AVG_REAL_PRICE_PRE_TREAT_REFINING_PLAT" hidden="1">"c9149"</definedName>
    <definedName name="IQ_AVG_REAL_PRICE_PRE_TREAT_REFINING_SILVER" hidden="1">"c9096"</definedName>
    <definedName name="IQ_AVG_REAL_PRICE_PRE_TREAT_REFINING_TITAN" hidden="1">"c9576"</definedName>
    <definedName name="IQ_AVG_REAL_PRICE_PRE_TREAT_REFINING_URAN" hidden="1">"c9629"</definedName>
    <definedName name="IQ_AVG_REAL_PRICE_PRE_TREAT_REFINING_ZINC" hidden="1">"c9364"</definedName>
    <definedName name="IQ_AVG_REALIZED_PRICE_AFTER_HEDGING_ALUM" hidden="1">"c9257"</definedName>
    <definedName name="IQ_AVG_REALIZED_PRICE_AFTER_HEDGING_COAL" hidden="1">"c9830"</definedName>
    <definedName name="IQ_AVG_REALIZED_PRICE_AFTER_HEDGING_COP" hidden="1">"c9204"</definedName>
    <definedName name="IQ_AVG_REALIZED_PRICE_AFTER_HEDGING_DIAM" hidden="1">"c9681"</definedName>
    <definedName name="IQ_AVG_REALIZED_PRICE_AFTER_HEDGING_GOLD" hidden="1">"c9042"</definedName>
    <definedName name="IQ_AVG_REALIZED_PRICE_AFTER_HEDGING_IRON" hidden="1">"c9416"</definedName>
    <definedName name="IQ_AVG_REALIZED_PRICE_AFTER_HEDGING_LEAD" hidden="1">"c9469"</definedName>
    <definedName name="IQ_AVG_REALIZED_PRICE_AFTER_HEDGING_MANG" hidden="1">"c9522"</definedName>
    <definedName name="IQ_AVG_REALIZED_PRICE_AFTER_HEDGING_MET_COAL" hidden="1">"c9766"</definedName>
    <definedName name="IQ_AVG_REALIZED_PRICE_AFTER_HEDGING_MOLYB" hidden="1">"c9734"</definedName>
    <definedName name="IQ_AVG_REALIZED_PRICE_AFTER_HEDGING_NICK" hidden="1">"c9310"</definedName>
    <definedName name="IQ_AVG_REALIZED_PRICE_AFTER_HEDGING_PLAT" hidden="1">"c9148"</definedName>
    <definedName name="IQ_AVG_REALIZED_PRICE_AFTER_HEDGING_SILVER" hidden="1">"c9095"</definedName>
    <definedName name="IQ_AVG_REALIZED_PRICE_AFTER_HEDGING_STEAM" hidden="1">"c9796"</definedName>
    <definedName name="IQ_AVG_REALIZED_PRICE_AFTER_HEDGING_TITAN" hidden="1">"c9575"</definedName>
    <definedName name="IQ_AVG_REALIZED_PRICE_AFTER_HEDGING_URAN" hidden="1">"c9628"</definedName>
    <definedName name="IQ_AVG_REALIZED_PRICE_AFTER_HEDGING_ZINC" hidden="1">"c9363"</definedName>
    <definedName name="IQ_AVG_REALIZED_PRICE_BEFORE_HEDGING_ALUM" hidden="1">"c9256"</definedName>
    <definedName name="IQ_AVG_REALIZED_PRICE_BEFORE_HEDGING_COAL" hidden="1">"c9829"</definedName>
    <definedName name="IQ_AVG_REALIZED_PRICE_BEFORE_HEDGING_COP" hidden="1">"c9203"</definedName>
    <definedName name="IQ_AVG_REALIZED_PRICE_BEFORE_HEDGING_DIAM" hidden="1">"c9680"</definedName>
    <definedName name="IQ_AVG_REALIZED_PRICE_BEFORE_HEDGING_GOLD" hidden="1">"c9041"</definedName>
    <definedName name="IQ_AVG_REALIZED_PRICE_BEFORE_HEDGING_IRON" hidden="1">"c9415"</definedName>
    <definedName name="IQ_AVG_REALIZED_PRICE_BEFORE_HEDGING_LEAD" hidden="1">"c9468"</definedName>
    <definedName name="IQ_AVG_REALIZED_PRICE_BEFORE_HEDGING_MANG" hidden="1">"c9521"</definedName>
    <definedName name="IQ_AVG_REALIZED_PRICE_BEFORE_HEDGING_MET_COAL" hidden="1">"c9765"</definedName>
    <definedName name="IQ_AVG_REALIZED_PRICE_BEFORE_HEDGING_MOLYB" hidden="1">"c9733"</definedName>
    <definedName name="IQ_AVG_REALIZED_PRICE_BEFORE_HEDGING_NICK" hidden="1">"c9309"</definedName>
    <definedName name="IQ_AVG_REALIZED_PRICE_BEFORE_HEDGING_PLAT" hidden="1">"c9147"</definedName>
    <definedName name="IQ_AVG_REALIZED_PRICE_BEFORE_HEDGING_SILVER" hidden="1">"c9094"</definedName>
    <definedName name="IQ_AVG_REALIZED_PRICE_BEFORE_HEDGING_STEAM" hidden="1">"c9795"</definedName>
    <definedName name="IQ_AVG_REALIZED_PRICE_BEFORE_HEDGING_TITAN" hidden="1">"c9574"</definedName>
    <definedName name="IQ_AVG_REALIZED_PRICE_BEFORE_HEDGING_URAN" hidden="1">"c9627"</definedName>
    <definedName name="IQ_AVG_REALIZED_PRICE_BEFORE_HEDGING_ZINC" hidden="1">"c9362"</definedName>
    <definedName name="IQ_AVG_SHAREOUTSTANDING" hidden="1">"c83"</definedName>
    <definedName name="IQ_AVG_TEMP_EMPLOYEES" hidden="1">"c6020"</definedName>
    <definedName name="IQ_AVG_TEV" hidden="1">"c84"</definedName>
    <definedName name="IQ_AVG_TOTAL_ASSETS_LEVERAGE_CAPITAL_FFIEC" hidden="1">"c13159"</definedName>
    <definedName name="IQ_AVG_TOTAL_ASSETS_LEVERAGE_RATIO_FFIEC" hidden="1">"c13154"</definedName>
    <definedName name="IQ_AVG_VOLUME" hidden="1">"c1346"</definedName>
    <definedName name="IQ_AVG_WAGES" hidden="1">"c6812"</definedName>
    <definedName name="IQ_AVG_WAGES_APR" hidden="1">"c7472"</definedName>
    <definedName name="IQ_AVG_WAGES_APR_FC" hidden="1">"c8352"</definedName>
    <definedName name="IQ_AVG_WAGES_FC" hidden="1">"c7692"</definedName>
    <definedName name="IQ_AVG_WAGES_POP" hidden="1">"c7032"</definedName>
    <definedName name="IQ_AVG_WAGES_POP_FC" hidden="1">"c7912"</definedName>
    <definedName name="IQ_AVG_WAGES_YOY" hidden="1">"c7252"</definedName>
    <definedName name="IQ_AVG_WAGES_YOY_FC" hidden="1">"c8132"</definedName>
    <definedName name="IQ_BALANCE_GOODS_APR_FC_UNUSED" hidden="1">"c8353"</definedName>
    <definedName name="IQ_BALANCE_GOODS_APR_UNUSED" hidden="1">"c7473"</definedName>
    <definedName name="IQ_BALANCE_GOODS_FC_UNUSED" hidden="1">"c7693"</definedName>
    <definedName name="IQ_BALANCE_GOODS_POP_FC_UNUSED" hidden="1">"c7913"</definedName>
    <definedName name="IQ_BALANCE_GOODS_POP_UNUSED" hidden="1">"c7033"</definedName>
    <definedName name="IQ_BALANCE_GOODS_REAL" hidden="1">"c6952"</definedName>
    <definedName name="IQ_BALANCE_GOODS_REAL_APR" hidden="1">"c7612"</definedName>
    <definedName name="IQ_BALANCE_GOODS_REAL_APR_FC" hidden="1">"c8492"</definedName>
    <definedName name="IQ_BALANCE_GOODS_REAL_FC" hidden="1">"c7832"</definedName>
    <definedName name="IQ_BALANCE_GOODS_REAL_POP" hidden="1">"c7172"</definedName>
    <definedName name="IQ_BALANCE_GOODS_REAL_POP_FC" hidden="1">"c8052"</definedName>
    <definedName name="IQ_BALANCE_GOODS_REAL_SAAR" hidden="1">"c6953"</definedName>
    <definedName name="IQ_BALANCE_GOODS_REAL_SAAR_APR" hidden="1">"c7613"</definedName>
    <definedName name="IQ_BALANCE_GOODS_REAL_SAAR_APR_FC" hidden="1">"c8493"</definedName>
    <definedName name="IQ_BALANCE_GOODS_REAL_SAAR_FC" hidden="1">"c7833"</definedName>
    <definedName name="IQ_BALANCE_GOODS_REAL_SAAR_POP" hidden="1">"c7173"</definedName>
    <definedName name="IQ_BALANCE_GOODS_REAL_SAAR_POP_FC" hidden="1">"c8053"</definedName>
    <definedName name="IQ_BALANCE_GOODS_REAL_SAAR_USD_APR_FC" hidden="1">"c11893"</definedName>
    <definedName name="IQ_BALANCE_GOODS_REAL_SAAR_USD_FC" hidden="1">"c11890"</definedName>
    <definedName name="IQ_BALANCE_GOODS_REAL_SAAR_USD_POP_FC" hidden="1">"c11891"</definedName>
    <definedName name="IQ_BALANCE_GOODS_REAL_SAAR_USD_YOY_FC" hidden="1">"c11892"</definedName>
    <definedName name="IQ_BALANCE_GOODS_REAL_SAAR_YOY" hidden="1">"c7393"</definedName>
    <definedName name="IQ_BALANCE_GOODS_REAL_SAAR_YOY_FC" hidden="1">"c8273"</definedName>
    <definedName name="IQ_BALANCE_GOODS_REAL_USD_APR_FC" hidden="1">"c11889"</definedName>
    <definedName name="IQ_BALANCE_GOODS_REAL_USD_FC" hidden="1">"c11886"</definedName>
    <definedName name="IQ_BALANCE_GOODS_REAL_USD_POP_FC" hidden="1">"c11887"</definedName>
    <definedName name="IQ_BALANCE_GOODS_REAL_USD_YOY_FC" hidden="1">"c11888"</definedName>
    <definedName name="IQ_BALANCE_GOODS_REAL_YOY" hidden="1">"c7392"</definedName>
    <definedName name="IQ_BALANCE_GOODS_REAL_YOY_FC" hidden="1">"c8272"</definedName>
    <definedName name="IQ_BALANCE_GOODS_SAAR" hidden="1">"c6814"</definedName>
    <definedName name="IQ_BALANCE_GOODS_SAAR_APR" hidden="1">"c7474"</definedName>
    <definedName name="IQ_BALANCE_GOODS_SAAR_APR_FC" hidden="1">"c8354"</definedName>
    <definedName name="IQ_BALANCE_GOODS_SAAR_FC" hidden="1">"c7694"</definedName>
    <definedName name="IQ_BALANCE_GOODS_SAAR_POP" hidden="1">"c7034"</definedName>
    <definedName name="IQ_BALANCE_GOODS_SAAR_POP_FC" hidden="1">"c7914"</definedName>
    <definedName name="IQ_BALANCE_GOODS_SAAR_USD_APR_FC" hidden="1">"c11762"</definedName>
    <definedName name="IQ_BALANCE_GOODS_SAAR_USD_FC" hidden="1">"c11759"</definedName>
    <definedName name="IQ_BALANCE_GOODS_SAAR_USD_POP_FC" hidden="1">"c11760"</definedName>
    <definedName name="IQ_BALANCE_GOODS_SAAR_USD_YOY_FC" hidden="1">"c11761"</definedName>
    <definedName name="IQ_BALANCE_GOODS_SAAR_YOY" hidden="1">"c7254"</definedName>
    <definedName name="IQ_BALANCE_GOODS_SAAR_YOY_FC" hidden="1">"c8134"</definedName>
    <definedName name="IQ_BALANCE_GOODS_UNUSED" hidden="1">"c6813"</definedName>
    <definedName name="IQ_BALANCE_GOODS_USD_APR_FC" hidden="1">"c11758"</definedName>
    <definedName name="IQ_BALANCE_GOODS_USD_FC" hidden="1">"c11755"</definedName>
    <definedName name="IQ_BALANCE_GOODS_USD_POP_FC" hidden="1">"c11756"</definedName>
    <definedName name="IQ_BALANCE_GOODS_USD_YOY_FC" hidden="1">"c11757"</definedName>
    <definedName name="IQ_BALANCE_GOODS_YOY_FC_UNUSED" hidden="1">"c8133"</definedName>
    <definedName name="IQ_BALANCE_GOODS_YOY_UNUSED" hidden="1">"c7253"</definedName>
    <definedName name="IQ_BALANCE_SERV_APR_FC_UNUSED" hidden="1">"c8355"</definedName>
    <definedName name="IQ_BALANCE_SERV_APR_UNUSED" hidden="1">"c7475"</definedName>
    <definedName name="IQ_BALANCE_SERV_FC_UNUSED" hidden="1">"c7695"</definedName>
    <definedName name="IQ_BALANCE_SERV_POP_FC_UNUSED" hidden="1">"c7915"</definedName>
    <definedName name="IQ_BALANCE_SERV_POP_UNUSED" hidden="1">"c7035"</definedName>
    <definedName name="IQ_BALANCE_SERV_SAAR" hidden="1">"c6816"</definedName>
    <definedName name="IQ_BALANCE_SERV_SAAR_APR" hidden="1">"c7476"</definedName>
    <definedName name="IQ_BALANCE_SERV_SAAR_APR_FC" hidden="1">"c8356"</definedName>
    <definedName name="IQ_BALANCE_SERV_SAAR_FC" hidden="1">"c7696"</definedName>
    <definedName name="IQ_BALANCE_SERV_SAAR_POP" hidden="1">"c7036"</definedName>
    <definedName name="IQ_BALANCE_SERV_SAAR_POP_FC" hidden="1">"c7916"</definedName>
    <definedName name="IQ_BALANCE_SERV_SAAR_YOY" hidden="1">"c7256"</definedName>
    <definedName name="IQ_BALANCE_SERV_SAAR_YOY_FC" hidden="1">"c8136"</definedName>
    <definedName name="IQ_BALANCE_SERV_UNUSED" hidden="1">"c6815"</definedName>
    <definedName name="IQ_BALANCE_SERV_USD_APR_FC" hidden="1">"c11766"</definedName>
    <definedName name="IQ_BALANCE_SERV_USD_FC" hidden="1">"c11763"</definedName>
    <definedName name="IQ_BALANCE_SERV_USD_POP_FC" hidden="1">"c11764"</definedName>
    <definedName name="IQ_BALANCE_SERV_USD_YOY_FC" hidden="1">"c11765"</definedName>
    <definedName name="IQ_BALANCE_SERV_YOY_FC_UNUSED" hidden="1">"c8135"</definedName>
    <definedName name="IQ_BALANCE_SERV_YOY_UNUSED" hidden="1">"c7255"</definedName>
    <definedName name="IQ_BALANCE_SERVICES_REAL" hidden="1">"c6954"</definedName>
    <definedName name="IQ_BALANCE_SERVICES_REAL_APR" hidden="1">"c7614"</definedName>
    <definedName name="IQ_BALANCE_SERVICES_REAL_APR_FC" hidden="1">"c8494"</definedName>
    <definedName name="IQ_BALANCE_SERVICES_REAL_FC" hidden="1">"c7834"</definedName>
    <definedName name="IQ_BALANCE_SERVICES_REAL_POP" hidden="1">"c7174"</definedName>
    <definedName name="IQ_BALANCE_SERVICES_REAL_POP_FC" hidden="1">"c8054"</definedName>
    <definedName name="IQ_BALANCE_SERVICES_REAL_SAAR" hidden="1">"c6955"</definedName>
    <definedName name="IQ_BALANCE_SERVICES_REAL_SAAR_APR" hidden="1">"c7615"</definedName>
    <definedName name="IQ_BALANCE_SERVICES_REAL_SAAR_APR_FC" hidden="1">"c8495"</definedName>
    <definedName name="IQ_BALANCE_SERVICES_REAL_SAAR_FC" hidden="1">"c7835"</definedName>
    <definedName name="IQ_BALANCE_SERVICES_REAL_SAAR_POP" hidden="1">"c7175"</definedName>
    <definedName name="IQ_BALANCE_SERVICES_REAL_SAAR_POP_FC" hidden="1">"c8055"</definedName>
    <definedName name="IQ_BALANCE_SERVICES_REAL_SAAR_YOY" hidden="1">"c7395"</definedName>
    <definedName name="IQ_BALANCE_SERVICES_REAL_SAAR_YOY_FC" hidden="1">"c8275"</definedName>
    <definedName name="IQ_BALANCE_SERVICES_REAL_USD_APR_FC" hidden="1">"c11897"</definedName>
    <definedName name="IQ_BALANCE_SERVICES_REAL_USD_FC" hidden="1">"c11894"</definedName>
    <definedName name="IQ_BALANCE_SERVICES_REAL_USD_POP_FC" hidden="1">"c11895"</definedName>
    <definedName name="IQ_BALANCE_SERVICES_REAL_USD_YOY_FC" hidden="1">"c11896"</definedName>
    <definedName name="IQ_BALANCE_SERVICES_REAL_YOY" hidden="1">"c7394"</definedName>
    <definedName name="IQ_BALANCE_SERVICES_REAL_YOY_FC" hidden="1">"c8274"</definedName>
    <definedName name="IQ_BALANCE_TRADE_APR_FC_UNUSED" hidden="1">"c8357"</definedName>
    <definedName name="IQ_BALANCE_TRADE_APR_UNUSED" hidden="1">"c7477"</definedName>
    <definedName name="IQ_BALANCE_TRADE_FC_UNUSED" hidden="1">"c7697"</definedName>
    <definedName name="IQ_BALANCE_TRADE_POP_FC_UNUSED" hidden="1">"c7917"</definedName>
    <definedName name="IQ_BALANCE_TRADE_POP_UNUSED" hidden="1">"c7037"</definedName>
    <definedName name="IQ_BALANCE_TRADE_REAL" hidden="1">"c6956"</definedName>
    <definedName name="IQ_BALANCE_TRADE_REAL_APR" hidden="1">"c7616"</definedName>
    <definedName name="IQ_BALANCE_TRADE_REAL_APR_FC" hidden="1">"c8496"</definedName>
    <definedName name="IQ_BALANCE_TRADE_REAL_FC" hidden="1">"c7836"</definedName>
    <definedName name="IQ_BALANCE_TRADE_REAL_POP" hidden="1">"c7176"</definedName>
    <definedName name="IQ_BALANCE_TRADE_REAL_POP_FC" hidden="1">"c8056"</definedName>
    <definedName name="IQ_BALANCE_TRADE_REAL_SAAR" hidden="1">"c6957"</definedName>
    <definedName name="IQ_BALANCE_TRADE_REAL_SAAR_APR" hidden="1">"c7617"</definedName>
    <definedName name="IQ_BALANCE_TRADE_REAL_SAAR_APR_FC" hidden="1">"c8497"</definedName>
    <definedName name="IQ_BALANCE_TRADE_REAL_SAAR_FC" hidden="1">"c7837"</definedName>
    <definedName name="IQ_BALANCE_TRADE_REAL_SAAR_POP" hidden="1">"c7177"</definedName>
    <definedName name="IQ_BALANCE_TRADE_REAL_SAAR_POP_FC" hidden="1">"c8057"</definedName>
    <definedName name="IQ_BALANCE_TRADE_REAL_SAAR_USD_APR_FC" hidden="1">"c11905"</definedName>
    <definedName name="IQ_BALANCE_TRADE_REAL_SAAR_USD_FC" hidden="1">"c11902"</definedName>
    <definedName name="IQ_BALANCE_TRADE_REAL_SAAR_USD_POP_FC" hidden="1">"c11903"</definedName>
    <definedName name="IQ_BALANCE_TRADE_REAL_SAAR_USD_YOY_FC" hidden="1">"c11904"</definedName>
    <definedName name="IQ_BALANCE_TRADE_REAL_SAAR_YOY" hidden="1">"c7397"</definedName>
    <definedName name="IQ_BALANCE_TRADE_REAL_SAAR_YOY_FC" hidden="1">"c8277"</definedName>
    <definedName name="IQ_BALANCE_TRADE_REAL_USD_APR_FC" hidden="1">"c11901"</definedName>
    <definedName name="IQ_BALANCE_TRADE_REAL_USD_FC" hidden="1">"c11898"</definedName>
    <definedName name="IQ_BALANCE_TRADE_REAL_USD_POP_FC" hidden="1">"c11899"</definedName>
    <definedName name="IQ_BALANCE_TRADE_REAL_USD_YOY_FC" hidden="1">"c11900"</definedName>
    <definedName name="IQ_BALANCE_TRADE_REAL_YOY" hidden="1">"c7396"</definedName>
    <definedName name="IQ_BALANCE_TRADE_REAL_YOY_FC" hidden="1">"c8276"</definedName>
    <definedName name="IQ_BALANCE_TRADE_SAAR" hidden="1">"c6818"</definedName>
    <definedName name="IQ_BALANCE_TRADE_SAAR_APR" hidden="1">"c7478"</definedName>
    <definedName name="IQ_BALANCE_TRADE_SAAR_APR_FC" hidden="1">"c8358"</definedName>
    <definedName name="IQ_BALANCE_TRADE_SAAR_FC" hidden="1">"c7698"</definedName>
    <definedName name="IQ_BALANCE_TRADE_SAAR_POP" hidden="1">"c7038"</definedName>
    <definedName name="IQ_BALANCE_TRADE_SAAR_POP_FC" hidden="1">"c7918"</definedName>
    <definedName name="IQ_BALANCE_TRADE_SAAR_USD_APR_FC" hidden="1">"c11774"</definedName>
    <definedName name="IQ_BALANCE_TRADE_SAAR_USD_FC" hidden="1">"c11771"</definedName>
    <definedName name="IQ_BALANCE_TRADE_SAAR_USD_POP_FC" hidden="1">"c11772"</definedName>
    <definedName name="IQ_BALANCE_TRADE_SAAR_USD_YOY_FC" hidden="1">"c11773"</definedName>
    <definedName name="IQ_BALANCE_TRADE_SAAR_YOY" hidden="1">"c7258"</definedName>
    <definedName name="IQ_BALANCE_TRADE_SAAR_YOY_FC" hidden="1">"c8138"</definedName>
    <definedName name="IQ_BALANCE_TRADE_UNUSED" hidden="1">"c6817"</definedName>
    <definedName name="IQ_BALANCE_TRADE_USD_APR_FC" hidden="1">"c11770"</definedName>
    <definedName name="IQ_BALANCE_TRADE_USD_FC" hidden="1">"c11767"</definedName>
    <definedName name="IQ_BALANCE_TRADE_USD_POP_FC" hidden="1">"c11768"</definedName>
    <definedName name="IQ_BALANCE_TRADE_USD_YOY_FC" hidden="1">"c11769"</definedName>
    <definedName name="IQ_BALANCE_TRADE_YOY_FC_UNUSED" hidden="1">"c8137"</definedName>
    <definedName name="IQ_BALANCE_TRADE_YOY_UNUSED" hidden="1">"c7257"</definedName>
    <definedName name="IQ_BALANCES_DUE_DEPOSITORY_INSTITUTIONS_FDIC" hidden="1">"c6389"</definedName>
    <definedName name="IQ_BALANCES_DUE_FOREIGN_FDIC" hidden="1">"c6391"</definedName>
    <definedName name="IQ_BALANCES_DUE_FRB_FDIC" hidden="1">"c6393"</definedName>
    <definedName name="IQ_BANK_BENEFICIARY_FDIC" hidden="1">"c6505"</definedName>
    <definedName name="IQ_BANK_DEBT" hidden="1">"c2544"</definedName>
    <definedName name="IQ_BANK_DEBT_PCT" hidden="1">"c2545"</definedName>
    <definedName name="IQ_BANK_GUARANTOR_FDIC" hidden="1">"c6506"</definedName>
    <definedName name="IQ_BANK_LOAN_LIST" hidden="1">"c13507"</definedName>
    <definedName name="IQ_BANK_PREMISES_FDIC" hidden="1">"c6329"</definedName>
    <definedName name="IQ_BANK_SECURITIZATION_1_4_FAMILY_LOANS_FDIC" hidden="1">"c6721"</definedName>
    <definedName name="IQ_BANK_SECURITIZATION_AUTO_LOANS_FDIC" hidden="1">"c6715"</definedName>
    <definedName name="IQ_BANK_SECURITIZATION_CL_LOANS_FDIC" hidden="1">"c6716"</definedName>
    <definedName name="IQ_BANK_SECURITIZATION_CREDIT_CARDS_RECEIVABLES_FDIC" hidden="1">"c6718"</definedName>
    <definedName name="IQ_BANK_SECURITIZATION_HOME_EQUITY_LINES_FDIC" hidden="1">"c6719"</definedName>
    <definedName name="IQ_BANK_SECURITIZATION_OTHER_CONSUMER_LOANS_FDIC" hidden="1">"c6717"</definedName>
    <definedName name="IQ_BANK_SECURITIZATION_OTHER_LOANS_FDIC" hidden="1">"c6720"</definedName>
    <definedName name="IQ_BANKING_FEES_OPERATING_INC_FFIEC" hidden="1">"c13386"</definedName>
    <definedName name="IQ_BANKS_FOREIGN_COUNTRIES_TOTAL_DEPOSITS_FDIC" hidden="1">"c6475"</definedName>
    <definedName name="IQ_BASIC_EPS_EXCL" hidden="1">"c85"</definedName>
    <definedName name="IQ_BASIC_EPS_INCL" hidden="1">"c86"</definedName>
    <definedName name="IQ_BASIC_NORMAL_EPS" hidden="1">"c1592"</definedName>
    <definedName name="IQ_BASIC_WEIGHT" hidden="1">"c87"</definedName>
    <definedName name="IQ_BENCHMARK_SECURITY" hidden="1">"c2154"</definedName>
    <definedName name="IQ_BENCHMARK_SPRD" hidden="1">"c2153"</definedName>
    <definedName name="IQ_BENCHMARK_YIELD" hidden="1">"c8955"</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"c11749"</definedName>
    <definedName name="IQ_BOARD_MEMBER" hidden="1">"c96"</definedName>
    <definedName name="IQ_BOARD_MEMBER_BACKGROUND" hidden="1">"c2101"</definedName>
    <definedName name="IQ_BOARD_MEMBER_ID" hidden="1">"c13756"</definedName>
    <definedName name="IQ_BOARD_MEMBER_TITLE" hidden="1">"c97"</definedName>
    <definedName name="IQ_BOND_COUPON" hidden="1">"c2183"</definedName>
    <definedName name="IQ_BOND_COUPON_TYPE" hidden="1">"c2184"</definedName>
    <definedName name="IQ_BOND_LIST" hidden="1">"c13505"</definedName>
    <definedName name="IQ_BOND_PRICE" hidden="1">"c2162"</definedName>
    <definedName name="IQ_BORROWED_MONEY_QUARTERLY_AVG_FFIEC" hidden="1">"c13091"</definedName>
    <definedName name="IQ_BORROWINGS_LESS_1YR_ASSETS_TOT_FFIEC" hidden="1">"c13450"</definedName>
    <definedName name="IQ_BROK_COMISSION" hidden="1">"c98"</definedName>
    <definedName name="IQ_BROK_COMMISSION" hidden="1">"c3514"</definedName>
    <definedName name="IQ_BROKERED_DEPOSITS_FDIC" hidden="1">"c6486"</definedName>
    <definedName name="IQ_BUDGET_BALANCE_APR_FC_UNUSED" hidden="1">"c8359"</definedName>
    <definedName name="IQ_BUDGET_BALANCE_APR_UNUSED" hidden="1">"c7479"</definedName>
    <definedName name="IQ_BUDGET_BALANCE_FC_UNUSED" hidden="1">"c7699"</definedName>
    <definedName name="IQ_BUDGET_BALANCE_POP_FC_UNUSED" hidden="1">"c7919"</definedName>
    <definedName name="IQ_BUDGET_BALANCE_POP_UNUSED" hidden="1">"c7039"</definedName>
    <definedName name="IQ_BUDGET_BALANCE_SAAR" hidden="1">"c6820"</definedName>
    <definedName name="IQ_BUDGET_BALANCE_SAAR_APR" hidden="1">"c7480"</definedName>
    <definedName name="IQ_BUDGET_BALANCE_SAAR_APR_FC" hidden="1">"c8360"</definedName>
    <definedName name="IQ_BUDGET_BALANCE_SAAR_FC" hidden="1">"c7700"</definedName>
    <definedName name="IQ_BUDGET_BALANCE_SAAR_POP" hidden="1">"c7040"</definedName>
    <definedName name="IQ_BUDGET_BALANCE_SAAR_POP_FC" hidden="1">"c7920"</definedName>
    <definedName name="IQ_BUDGET_BALANCE_SAAR_YOY" hidden="1">"c7260"</definedName>
    <definedName name="IQ_BUDGET_BALANCE_SAAR_YOY_FC" hidden="1">"c8140"</definedName>
    <definedName name="IQ_BUDGET_BALANCE_UNUSED" hidden="1">"c6819"</definedName>
    <definedName name="IQ_BUDGET_BALANCE_YOY_FC_UNUSED" hidden="1">"c8139"</definedName>
    <definedName name="IQ_BUDGET_BALANCE_YOY_UNUSED" hidden="1">"c7259"</definedName>
    <definedName name="IQ_BUDGET_RECEIPTS_APR_FC_UNUSED" hidden="1">"c8361"</definedName>
    <definedName name="IQ_BUDGET_RECEIPTS_APR_UNUSED" hidden="1">"c7481"</definedName>
    <definedName name="IQ_BUDGET_RECEIPTS_FC_UNUSED" hidden="1">"c7701"</definedName>
    <definedName name="IQ_BUDGET_RECEIPTS_POP_FC_UNUSED" hidden="1">"c7921"</definedName>
    <definedName name="IQ_BUDGET_RECEIPTS_POP_UNUSED" hidden="1">"c7041"</definedName>
    <definedName name="IQ_BUDGET_RECEIPTS_UNUSED" hidden="1">"c6821"</definedName>
    <definedName name="IQ_BUDGET_RECEIPTS_YOY_FC_UNUSED" hidden="1">"c8141"</definedName>
    <definedName name="IQ_BUDGET_RECEIPTS_YOY_UNUSED" hidden="1">"c7261"</definedName>
    <definedName name="IQ_BUDGET_SPENDING" hidden="1">"c6822"</definedName>
    <definedName name="IQ_BUDGET_SPENDING_APR" hidden="1">"c7482"</definedName>
    <definedName name="IQ_BUDGET_SPENDING_APR_FC" hidden="1">"c8362"</definedName>
    <definedName name="IQ_BUDGET_SPENDING_FC" hidden="1">"c7702"</definedName>
    <definedName name="IQ_BUDGET_SPENDING_POP" hidden="1">"c7042"</definedName>
    <definedName name="IQ_BUDGET_SPENDING_POP_FC" hidden="1">"c7922"</definedName>
    <definedName name="IQ_BUDGET_SPENDING_REAL" hidden="1">"c6958"</definedName>
    <definedName name="IQ_BUDGET_SPENDING_REAL_APR" hidden="1">"c7618"</definedName>
    <definedName name="IQ_BUDGET_SPENDING_REAL_APR_FC" hidden="1">"c8498"</definedName>
    <definedName name="IQ_BUDGET_SPENDING_REAL_FC" hidden="1">"c7838"</definedName>
    <definedName name="IQ_BUDGET_SPENDING_REAL_POP" hidden="1">"c7178"</definedName>
    <definedName name="IQ_BUDGET_SPENDING_REAL_POP_FC" hidden="1">"c8058"</definedName>
    <definedName name="IQ_BUDGET_SPENDING_REAL_SAAR" hidden="1">"c6959"</definedName>
    <definedName name="IQ_BUDGET_SPENDING_REAL_SAAR_APR" hidden="1">"c7619"</definedName>
    <definedName name="IQ_BUDGET_SPENDING_REAL_SAAR_APR_FC" hidden="1">"c8499"</definedName>
    <definedName name="IQ_BUDGET_SPENDING_REAL_SAAR_FC" hidden="1">"c7839"</definedName>
    <definedName name="IQ_BUDGET_SPENDING_REAL_SAAR_POP" hidden="1">"c7179"</definedName>
    <definedName name="IQ_BUDGET_SPENDING_REAL_SAAR_POP_FC" hidden="1">"c8059"</definedName>
    <definedName name="IQ_BUDGET_SPENDING_REAL_SAAR_USD" hidden="1">"c11906"</definedName>
    <definedName name="IQ_BUDGET_SPENDING_REAL_SAAR_USD_APR" hidden="1">"c11909"</definedName>
    <definedName name="IQ_BUDGET_SPENDING_REAL_SAAR_USD_POP" hidden="1">"c11907"</definedName>
    <definedName name="IQ_BUDGET_SPENDING_REAL_SAAR_USD_YOY" hidden="1">"c11908"</definedName>
    <definedName name="IQ_BUDGET_SPENDING_REAL_SAAR_YOY" hidden="1">"c7399"</definedName>
    <definedName name="IQ_BUDGET_SPENDING_REAL_SAAR_YOY_FC" hidden="1">"c8279"</definedName>
    <definedName name="IQ_BUDGET_SPENDING_REAL_YOY" hidden="1">"c7398"</definedName>
    <definedName name="IQ_BUDGET_SPENDING_REAL_YOY_FC" hidden="1">"c8278"</definedName>
    <definedName name="IQ_BUDGET_SPENDING_SAAR" hidden="1">"c6823"</definedName>
    <definedName name="IQ_BUDGET_SPENDING_SAAR_APR" hidden="1">"c7483"</definedName>
    <definedName name="IQ_BUDGET_SPENDING_SAAR_APR_FC" hidden="1">"c8363"</definedName>
    <definedName name="IQ_BUDGET_SPENDING_SAAR_FC" hidden="1">"c7703"</definedName>
    <definedName name="IQ_BUDGET_SPENDING_SAAR_POP" hidden="1">"c7043"</definedName>
    <definedName name="IQ_BUDGET_SPENDING_SAAR_POP_FC" hidden="1">"c7923"</definedName>
    <definedName name="IQ_BUDGET_SPENDING_SAAR_USD_APR_FC" hidden="1">"c11782"</definedName>
    <definedName name="IQ_BUDGET_SPENDING_SAAR_USD_FC" hidden="1">"c11779"</definedName>
    <definedName name="IQ_BUDGET_SPENDING_SAAR_USD_POP_FC" hidden="1">"c11780"</definedName>
    <definedName name="IQ_BUDGET_SPENDING_SAAR_USD_YOY_FC" hidden="1">"c11781"</definedName>
    <definedName name="IQ_BUDGET_SPENDING_SAAR_YOY" hidden="1">"c7263"</definedName>
    <definedName name="IQ_BUDGET_SPENDING_SAAR_YOY_FC" hidden="1">"c8143"</definedName>
    <definedName name="IQ_BUDGET_SPENDING_USD_APR_FC" hidden="1">"c11778"</definedName>
    <definedName name="IQ_BUDGET_SPENDING_USD_FC" hidden="1">"c11775"</definedName>
    <definedName name="IQ_BUDGET_SPENDING_USD_POP_FC" hidden="1">"c11776"</definedName>
    <definedName name="IQ_BUDGET_SPENDING_USD_YOY_FC" hidden="1">"c11777"</definedName>
    <definedName name="IQ_BUDGET_SPENDING_YOY" hidden="1">"c7262"</definedName>
    <definedName name="IQ_BUDGET_SPENDING_YOY_FC" hidden="1">"c8142"</definedName>
    <definedName name="IQ_BUILDINGS" hidden="1">"c99"</definedName>
    <definedName name="IQ_BUS_SEG_ASSETS" hidden="1">"c4067"</definedName>
    <definedName name="IQ_BUS_SEG_ASSETS_ABS" hidden="1">"c4089"</definedName>
    <definedName name="IQ_BUS_SEG_ASSETS_TOTAL" hidden="1">"c4112"</definedName>
    <definedName name="IQ_BUS_SEG_CAPEX" hidden="1">"c4079"</definedName>
    <definedName name="IQ_BUS_SEG_CAPEX_ABS" hidden="1">"c4101"</definedName>
    <definedName name="IQ_BUS_SEG_CAPEX_TOTAL" hidden="1">"c4116"</definedName>
    <definedName name="IQ_BUS_SEG_DA" hidden="1">"c4078"</definedName>
    <definedName name="IQ_BUS_SEG_DA_ABS" hidden="1">"c4100"</definedName>
    <definedName name="IQ_BUS_SEG_DA_TOTAL" hidden="1">"c4115"</definedName>
    <definedName name="IQ_BUS_SEG_EARNINGS_OP" hidden="1">"c4063"</definedName>
    <definedName name="IQ_BUS_SEG_EARNINGS_OP_ABS" hidden="1">"c4085"</definedName>
    <definedName name="IQ_BUS_SEG_EARNINGS_OP_TOTAL" hidden="1">"c4108"</definedName>
    <definedName name="IQ_BUS_SEG_EBT" hidden="1">"c4064"</definedName>
    <definedName name="IQ_BUS_SEG_EBT_ABS" hidden="1">"c4086"</definedName>
    <definedName name="IQ_BUS_SEG_EBT_TOTAL" hidden="1">"c4110"</definedName>
    <definedName name="IQ_BUS_SEG_GP" hidden="1">"c4066"</definedName>
    <definedName name="IQ_BUS_SEG_GP_ABS" hidden="1">"c4088"</definedName>
    <definedName name="IQ_BUS_SEG_GP_TOTAL" hidden="1">"c4109"</definedName>
    <definedName name="IQ_BUS_SEG_INC_TAX" hidden="1">"c4077"</definedName>
    <definedName name="IQ_BUS_SEG_INC_TAX_ABS" hidden="1">"c4099"</definedName>
    <definedName name="IQ_BUS_SEG_INC_TAX_TOTAL" hidden="1">"c4114"</definedName>
    <definedName name="IQ_BUS_SEG_INTEREST_EXP" hidden="1">"c4076"</definedName>
    <definedName name="IQ_BUS_SEG_INTEREST_EXP_ABS" hidden="1">"c4098"</definedName>
    <definedName name="IQ_BUS_SEG_INTEREST_EXP_TOTAL" hidden="1">"c4113"</definedName>
    <definedName name="IQ_BUS_SEG_NAME" hidden="1">"c5482"</definedName>
    <definedName name="IQ_BUS_SEG_NAME_ABS" hidden="1">"c5483"</definedName>
    <definedName name="IQ_BUS_SEG_NI" hidden="1">"c4065"</definedName>
    <definedName name="IQ_BUS_SEG_NI_ABS" hidden="1">"c4087"</definedName>
    <definedName name="IQ_BUS_SEG_NI_TOTAL" hidden="1">"c4111"</definedName>
    <definedName name="IQ_BUS_SEG_OPER_INC" hidden="1">"c4062"</definedName>
    <definedName name="IQ_BUS_SEG_OPER_INC_ABS" hidden="1">"c4084"</definedName>
    <definedName name="IQ_BUS_SEG_OPER_INC_TOTAL" hidden="1">"c4107"</definedName>
    <definedName name="IQ_BUS_SEG_REV" hidden="1">"c4068"</definedName>
    <definedName name="IQ_BUS_SEG_REV_ABS" hidden="1">"c4090"</definedName>
    <definedName name="IQ_BUS_SEG_REV_TOTAL" hidden="1">"c4106"</definedName>
    <definedName name="IQ_BUSINESS_COMBINATIONS_FFIEC" hidden="1">"c12967"</definedName>
    <definedName name="IQ_BUSINESS_DESCRIPTION" hidden="1">"c322"</definedName>
    <definedName name="IQ_BV_ACT_OR_EST_CIQ" hidden="1">"c5068"</definedName>
    <definedName name="IQ_BV_OVER_SHARES" hidden="1">"c1349"</definedName>
    <definedName name="IQ_BV_SHARE" hidden="1">"c100"</definedName>
    <definedName name="IQ_CA_AP" hidden="1">"c8881"</definedName>
    <definedName name="IQ_CA_AP_ABS" hidden="1">"c8900"</definedName>
    <definedName name="IQ_CA_NAME_AP" hidden="1">"c8919"</definedName>
    <definedName name="IQ_CA_NAME_AP_ABS" hidden="1">"c8938"</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Q_EST" hidden="1">"c6796"</definedName>
    <definedName name="IQ_CAL_Q_EST_CIQ" hidden="1">"c6808"</definedName>
    <definedName name="IQ_CAL_Y" hidden="1">"c102"</definedName>
    <definedName name="IQ_CAL_Y_EST" hidden="1">"c6797"</definedName>
    <definedName name="IQ_CAL_Y_EST_CIQ" hidden="1">"c6809"</definedName>
    <definedName name="IQ_CALC_TYPE_BS" hidden="1">"c3086"</definedName>
    <definedName name="IQ_CALC_TYPE_CF" hidden="1">"c3085"</definedName>
    <definedName name="IQ_CALC_TYPE_IS" hidden="1">"c3084"</definedName>
    <definedName name="IQ_CALL_DATE_SCHEDULE" hidden="1">"c2481"</definedName>
    <definedName name="IQ_CALL_FEATURE" hidden="1">"c2197"</definedName>
    <definedName name="IQ_CALL_PRICE_SCHEDULE" hidden="1">"c2482"</definedName>
    <definedName name="IQ_CALLABLE" hidden="1">"c2196"</definedName>
    <definedName name="IQ_CAP_LOSS_CF_1YR" hidden="1">"c3474"</definedName>
    <definedName name="IQ_CAP_LOSS_CF_2YR" hidden="1">"c3475"</definedName>
    <definedName name="IQ_CAP_LOSS_CF_3YR" hidden="1">"c3476"</definedName>
    <definedName name="IQ_CAP_LOSS_CF_4YR" hidden="1">"c3477"</definedName>
    <definedName name="IQ_CAP_LOSS_CF_5YR" hidden="1">"c3478"</definedName>
    <definedName name="IQ_CAP_LOSS_CF_AFTER_FIVE" hidden="1">"c3479"</definedName>
    <definedName name="IQ_CAP_LOSS_CF_MAX_YEAR" hidden="1">"c3482"</definedName>
    <definedName name="IQ_CAP_LOSS_CF_NO_EXP" hidden="1">"c3480"</definedName>
    <definedName name="IQ_CAP_LOSS_CF_TOTAL" hidden="1">"c3481"</definedName>
    <definedName name="IQ_CAP_UTIL_RATE" hidden="1">"c6824"</definedName>
    <definedName name="IQ_CAP_UTIL_RATE_POP" hidden="1">"c7044"</definedName>
    <definedName name="IQ_CAP_UTIL_RATE_YOY" hidden="1">"c7264"</definedName>
    <definedName name="IQ_CAPEX" hidden="1">"c103"</definedName>
    <definedName name="IQ_CAPEX_10YR_ANN_CAGR" hidden="1">"c6050"</definedName>
    <definedName name="IQ_CAPEX_10YR_ANN_GROWTH" hidden="1">"c104"</definedName>
    <definedName name="IQ_CAPEX_1YR_ANN_GROWTH" hidden="1">"c105"</definedName>
    <definedName name="IQ_CAPEX_2YR_ANN_CAGR" hidden="1">"c6051"</definedName>
    <definedName name="IQ_CAPEX_2YR_ANN_GROWTH" hidden="1">"c106"</definedName>
    <definedName name="IQ_CAPEX_3YR_ANN_CAGR" hidden="1">"c6052"</definedName>
    <definedName name="IQ_CAPEX_3YR_ANN_GROWTH" hidden="1">"c107"</definedName>
    <definedName name="IQ_CAPEX_5YR_ANN_CAGR" hidden="1">"c6053"</definedName>
    <definedName name="IQ_CAPEX_5YR_ANN_GROWTH" hidden="1">"c108"</definedName>
    <definedName name="IQ_CAPEX_7YR_ANN_CAGR" hidden="1">"c6054"</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_RAISED_PERIOD_COVERED" hidden="1">"c9959"</definedName>
    <definedName name="IQ_CAPITAL_RAISED_PERIOD_GROUP" hidden="1">"c9945"</definedName>
    <definedName name="IQ_CAPITALIZED_INTEREST" hidden="1">"c2076"</definedName>
    <definedName name="IQ_CAPITALIZED_INTEREST_BOP" hidden="1">"c3459"</definedName>
    <definedName name="IQ_CAPITALIZED_INTEREST_EOP" hidden="1">"c3464"</definedName>
    <definedName name="IQ_CAPITALIZED_INTEREST_EXP" hidden="1">"c3461"</definedName>
    <definedName name="IQ_CAPITALIZED_INTEREST_OTHER_ADJ" hidden="1">"c3463"</definedName>
    <definedName name="IQ_CAPITALIZED_INTEREST_WRITE_OFF" hidden="1">"c3462"</definedName>
    <definedName name="IQ_CASH" hidden="1">"c1458"</definedName>
    <definedName name="IQ_CASH_ACQUIRE_CF" hidden="1">"c116"</definedName>
    <definedName name="IQ_CASH_BALANCES_DUE_FFIEC" hidden="1">"c12773"</definedName>
    <definedName name="IQ_CASH_CONVERSION" hidden="1">"c117"</definedName>
    <definedName name="IQ_CASH_COST_ALUM" hidden="1">"c9252"</definedName>
    <definedName name="IQ_CASH_COST_COAL" hidden="1">"c9825"</definedName>
    <definedName name="IQ_CASH_COST_COP" hidden="1">"c9199"</definedName>
    <definedName name="IQ_CASH_COST_DIAM" hidden="1">"c9676"</definedName>
    <definedName name="IQ_CASH_COST_GOLD" hidden="1">"c9037"</definedName>
    <definedName name="IQ_CASH_COST_IRON" hidden="1">"c9411"</definedName>
    <definedName name="IQ_CASH_COST_LEAD" hidden="1">"c9464"</definedName>
    <definedName name="IQ_CASH_COST_MANG" hidden="1">"c9517"</definedName>
    <definedName name="IQ_CASH_COST_MET_COAL" hidden="1">"c9762"</definedName>
    <definedName name="IQ_CASH_COST_MOLYB" hidden="1">"c9729"</definedName>
    <definedName name="IQ_CASH_COST_NICK" hidden="1">"c9305"</definedName>
    <definedName name="IQ_CASH_COST_PLAT" hidden="1">"c9143"</definedName>
    <definedName name="IQ_CASH_COST_SILVER" hidden="1">"c9090"</definedName>
    <definedName name="IQ_CASH_COST_STEAM" hidden="1">"c9792"</definedName>
    <definedName name="IQ_CASH_COST_TITAN" hidden="1">"c9570"</definedName>
    <definedName name="IQ_CASH_COST_URAN" hidden="1">"c9623"</definedName>
    <definedName name="IQ_CASH_COST_ZINC" hidden="1">"c9358"</definedName>
    <definedName name="IQ_CASH_DIVIDENDS_NET_INCOME_FDIC" hidden="1">"c6738"</definedName>
    <definedName name="IQ_CASH_DUE_BANKS" hidden="1">"c1351"</definedName>
    <definedName name="IQ_CASH_EQUIV" hidden="1">"c118"</definedName>
    <definedName name="IQ_CASH_FINAN" hidden="1">"c119"</definedName>
    <definedName name="IQ_CASH_FINAN_AP" hidden="1">"c8890"</definedName>
    <definedName name="IQ_CASH_FINAN_AP_ABS" hidden="1">"c8909"</definedName>
    <definedName name="IQ_CASH_FINAN_NAME_AP" hidden="1">"c8928"</definedName>
    <definedName name="IQ_CASH_FINAN_NAME_AP_ABS" hidden="1">"c8947"</definedName>
    <definedName name="IQ_CASH_FINAN_SUBTOTAL_AP" hidden="1">"c10111"</definedName>
    <definedName name="IQ_CASH_FLOW_ACT_OR_EST_CIQ" hidden="1">"c4566"</definedName>
    <definedName name="IQ_CASH_IN_PROCESS_FDIC" hidden="1">"c6386"</definedName>
    <definedName name="IQ_CASH_INTEREST" hidden="1">"c120"</definedName>
    <definedName name="IQ_CASH_INTEREST_FINAN" hidden="1">"c6295"</definedName>
    <definedName name="IQ_CASH_INTEREST_INVEST" hidden="1">"c6294"</definedName>
    <definedName name="IQ_CASH_INTEREST_NET" hidden="1">"c12753"</definedName>
    <definedName name="IQ_CASH_INTEREST_OPER" hidden="1">"c6293"</definedName>
    <definedName name="IQ_CASH_INTEREST_RECEIVED" hidden="1">"c12754"</definedName>
    <definedName name="IQ_CASH_INVEST" hidden="1">"c121"</definedName>
    <definedName name="IQ_CASH_INVEST_AP" hidden="1">"c8889"</definedName>
    <definedName name="IQ_CASH_INVEST_AP_ABS" hidden="1">"c8908"</definedName>
    <definedName name="IQ_CASH_INVEST_NAME_AP" hidden="1">"c8927"</definedName>
    <definedName name="IQ_CASH_INVEST_NAME_AP_ABS" hidden="1">"c8946"</definedName>
    <definedName name="IQ_CASH_INVEST_SUBTOTAL_AP" hidden="1">"c8991"</definedName>
    <definedName name="IQ_CASH_OPER" hidden="1">"c122"</definedName>
    <definedName name="IQ_CASH_OPER_ACT_OR_EST_CIQ" hidden="1">"c4576"</definedName>
    <definedName name="IQ_CASH_OPER_AP" hidden="1">"c8888"</definedName>
    <definedName name="IQ_CASH_OPER_AP_ABS" hidden="1">"c8907"</definedName>
    <definedName name="IQ_CASH_OPER_NAME_AP" hidden="1">"c8926"</definedName>
    <definedName name="IQ_CASH_OPER_NAME_AP_ABS" hidden="1">"c8945"</definedName>
    <definedName name="IQ_CASH_OPER_SUBTOTAL_AP" hidden="1">"c8990"</definedName>
    <definedName name="IQ_CASH_OTHER_ADJ_AP" hidden="1">"c8891"</definedName>
    <definedName name="IQ_CASH_OTHER_ADJ_AP_ABS" hidden="1">"c8910"</definedName>
    <definedName name="IQ_CASH_OTHER_ADJ_NAME_AP" hidden="1">"c8929"</definedName>
    <definedName name="IQ_CASH_OTHER_ADJ_NAME_AP_ABS" hidden="1">"c8948"</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ASH_TAXES_FINAN" hidden="1">"c6292"</definedName>
    <definedName name="IQ_CASH_TAXES_INVEST" hidden="1">"c6291"</definedName>
    <definedName name="IQ_CASH_TAXES_OPER" hidden="1">"c6290"</definedName>
    <definedName name="IQ_CCE_FDIC" hidden="1">"c6296"</definedName>
    <definedName name="IQ_CDS_5YR_CIQID" hidden="1">"c11751"</definedName>
    <definedName name="IQ_CDS_ASK" hidden="1">"c6027"</definedName>
    <definedName name="IQ_CDS_BID" hidden="1">"c6026"</definedName>
    <definedName name="IQ_CDS_CURRENCY" hidden="1">"c6031"</definedName>
    <definedName name="IQ_CDS_DERIVATIVES_BENEFICIARY_FFIEC" hidden="1">"c13119"</definedName>
    <definedName name="IQ_CDS_DERIVATIVES_GUARANTOR_FFIEC" hidden="1">"c13112"</definedName>
    <definedName name="IQ_CDS_EVAL_DATE" hidden="1">"c6029"</definedName>
    <definedName name="IQ_CDS_LIST" hidden="1">"c13510"</definedName>
    <definedName name="IQ_CDS_LOAN_LIST" hidden="1">"c13518"</definedName>
    <definedName name="IQ_CDS_MID" hidden="1">"c6028"</definedName>
    <definedName name="IQ_CDS_NAME" hidden="1">"c6034"</definedName>
    <definedName name="IQ_CDS_SENIOR_LIST" hidden="1">"c13508"</definedName>
    <definedName name="IQ_CDS_SUB_LIST" hidden="1">"c13509"</definedName>
    <definedName name="IQ_CDS_TERM" hidden="1">"c6030"</definedName>
    <definedName name="IQ_CDS_TYPE" hidden="1">"c6025"</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FO_10YR_ANN_CAGR" hidden="1">"c6055"</definedName>
    <definedName name="IQ_CFO_10YR_ANN_GROWTH" hidden="1">"c126"</definedName>
    <definedName name="IQ_CFO_1YR_ANN_GROWTH" hidden="1">"c127"</definedName>
    <definedName name="IQ_CFO_2YR_ANN_CAGR" hidden="1">"c6056"</definedName>
    <definedName name="IQ_CFO_2YR_ANN_GROWTH" hidden="1">"c128"</definedName>
    <definedName name="IQ_CFO_3YR_ANN_CAGR" hidden="1">"c6057"</definedName>
    <definedName name="IQ_CFO_3YR_ANN_GROWTH" hidden="1">"c129"</definedName>
    <definedName name="IQ_CFO_5YR_ANN_CAGR" hidden="1">"c6058"</definedName>
    <definedName name="IQ_CFO_5YR_ANN_GROWTH" hidden="1">"c130"</definedName>
    <definedName name="IQ_CFO_7YR_ANN_CAGR" hidden="1">"c6059"</definedName>
    <definedName name="IQ_CFO_7YR_ANN_GROWTH" hidden="1">"c131"</definedName>
    <definedName name="IQ_CFO_CURRENT_LIAB" hidden="1">"c132"</definedName>
    <definedName name="IQ_CH">110000</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 hidden="1">"c6200"</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 hidden="1">"c6201"</definedName>
    <definedName name="IQ_CHANGE_AR_REIT" hidden="1">"c145"</definedName>
    <definedName name="IQ_CHANGE_AR_UTI" hidden="1">"c146"</definedName>
    <definedName name="IQ_CHANGE_DEF_TAX" hidden="1">"c147"</definedName>
    <definedName name="IQ_CHANGE_DEPOSIT_ACCT" hidden="1">"c148"</definedName>
    <definedName name="IQ_CHANGE_FAIR_VALUE_FINANCIAL_LIAB_T1_FFIEC" hidden="1">"c13138"</definedName>
    <definedName name="IQ_CHANGE_FAIR_VALUE_OPTIONS_FFIEC" hidden="1">"c13045"</definedName>
    <definedName name="IQ_CHANGE_INC_TAX" hidden="1">"c149"</definedName>
    <definedName name="IQ_CHANGE_INS_RES_LIAB" hidden="1">"c150"</definedName>
    <definedName name="IQ_CHANGE_INVENT" hidden="1">"c6826"</definedName>
    <definedName name="IQ_CHANGE_INVENT_APR" hidden="1">"c7486"</definedName>
    <definedName name="IQ_CHANGE_INVENT_POP" hidden="1">"c7046"</definedName>
    <definedName name="IQ_CHANGE_INVENT_REAL_APR_FC_UNUSED" hidden="1">"c8500"</definedName>
    <definedName name="IQ_CHANGE_INVENT_REAL_APR_UNUSED" hidden="1">"c7620"</definedName>
    <definedName name="IQ_CHANGE_INVENT_REAL_FC_UNUSED" hidden="1">"c7840"</definedName>
    <definedName name="IQ_CHANGE_INVENT_REAL_POP_FC_UNUSED" hidden="1">"c8060"</definedName>
    <definedName name="IQ_CHANGE_INVENT_REAL_POP_UNUSED" hidden="1">"c7180"</definedName>
    <definedName name="IQ_CHANGE_INVENT_REAL_SAAR" hidden="1">"c6962"</definedName>
    <definedName name="IQ_CHANGE_INVENT_REAL_SAAR_APR" hidden="1">"c7622"</definedName>
    <definedName name="IQ_CHANGE_INVENT_REAL_SAAR_APR_FC" hidden="1">"c8502"</definedName>
    <definedName name="IQ_CHANGE_INVENT_REAL_SAAR_FC" hidden="1">"c7842"</definedName>
    <definedName name="IQ_CHANGE_INVENT_REAL_SAAR_POP" hidden="1">"c7182"</definedName>
    <definedName name="IQ_CHANGE_INVENT_REAL_SAAR_POP_FC" hidden="1">"c8062"</definedName>
    <definedName name="IQ_CHANGE_INVENT_REAL_SAAR_USD_APR_FC" hidden="1">"c11917"</definedName>
    <definedName name="IQ_CHANGE_INVENT_REAL_SAAR_USD_FC" hidden="1">"c11914"</definedName>
    <definedName name="IQ_CHANGE_INVENT_REAL_SAAR_USD_POP_FC" hidden="1">"c11915"</definedName>
    <definedName name="IQ_CHANGE_INVENT_REAL_SAAR_USD_YOY_FC" hidden="1">"c11916"</definedName>
    <definedName name="IQ_CHANGE_INVENT_REAL_SAAR_YOY" hidden="1">"c7402"</definedName>
    <definedName name="IQ_CHANGE_INVENT_REAL_SAAR_YOY_FC" hidden="1">"c8282"</definedName>
    <definedName name="IQ_CHANGE_INVENT_REAL_UNUSED" hidden="1">"c6960"</definedName>
    <definedName name="IQ_CHANGE_INVENT_REAL_USD_APR_FC" hidden="1">"c11913"</definedName>
    <definedName name="IQ_CHANGE_INVENT_REAL_USD_FC" hidden="1">"c11910"</definedName>
    <definedName name="IQ_CHANGE_INVENT_REAL_USD_POP_FC" hidden="1">"c11911"</definedName>
    <definedName name="IQ_CHANGE_INVENT_REAL_USD_YOY_FC" hidden="1">"c11912"</definedName>
    <definedName name="IQ_CHANGE_INVENT_REAL_YOY_FC_UNUSED" hidden="1">"c8280"</definedName>
    <definedName name="IQ_CHANGE_INVENT_REAL_YOY_UNUSED" hidden="1">"c7400"</definedName>
    <definedName name="IQ_CHANGE_INVENT_SAAR" hidden="1">"c6827"</definedName>
    <definedName name="IQ_CHANGE_INVENT_SAAR_APR" hidden="1">"c7487"</definedName>
    <definedName name="IQ_CHANGE_INVENT_SAAR_APR_FC" hidden="1">"c8367"</definedName>
    <definedName name="IQ_CHANGE_INVENT_SAAR_FC" hidden="1">"c7707"</definedName>
    <definedName name="IQ_CHANGE_INVENT_SAAR_POP" hidden="1">"c7047"</definedName>
    <definedName name="IQ_CHANGE_INVENT_SAAR_POP_FC" hidden="1">"c7927"</definedName>
    <definedName name="IQ_CHANGE_INVENT_SAAR_YOY" hidden="1">"c7267"</definedName>
    <definedName name="IQ_CHANGE_INVENT_SAAR_YOY_FC" hidden="1">"c8147"</definedName>
    <definedName name="IQ_CHANGE_INVENT_YOY" hidden="1">"c7266"</definedName>
    <definedName name="IQ_CHANGE_INVENTORY" hidden="1">"c151"</definedName>
    <definedName name="IQ_CHANGE_NET_OPER_ASSETS" hidden="1">"c3592"</definedName>
    <definedName name="IQ_CHANGE_NET_WORKING_CAPITAL" hidden="1">"c1909"</definedName>
    <definedName name="IQ_CHANGE_OTHER_NET_OPER_ASSETS" hidden="1">"c3593"</definedName>
    <definedName name="IQ_CHANGE_OTHER_NET_OPER_ASSETS_BNK" hidden="1">"c3594"</definedName>
    <definedName name="IQ_CHANGE_OTHER_NET_OPER_ASSETS_BR" hidden="1">"c3595"</definedName>
    <definedName name="IQ_CHANGE_OTHER_NET_OPER_ASSETS_FIN" hidden="1">"c3596"</definedName>
    <definedName name="IQ_CHANGE_OTHER_NET_OPER_ASSETS_INS" hidden="1">"c3597"</definedName>
    <definedName name="IQ_CHANGE_OTHER_NET_OPER_ASSETS_RE" hidden="1">"c6285"</definedName>
    <definedName name="IQ_CHANGE_OTHER_NET_OPER_ASSETS_REIT" hidden="1">"c3598"</definedName>
    <definedName name="IQ_CHANGE_OTHER_NET_OPER_ASSETS_UTI" hidden="1">"c3599"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PRIVATE_INVENT" hidden="1">"c6828"</definedName>
    <definedName name="IQ_CHANGE_PRIVATE_INVENT_APR" hidden="1">"c7488"</definedName>
    <definedName name="IQ_CHANGE_PRIVATE_INVENT_APR_FC" hidden="1">"c8368"</definedName>
    <definedName name="IQ_CHANGE_PRIVATE_INVENT_FC" hidden="1">"c7708"</definedName>
    <definedName name="IQ_CHANGE_PRIVATE_INVENT_POP" hidden="1">"c7048"</definedName>
    <definedName name="IQ_CHANGE_PRIVATE_INVENT_POP_FC" hidden="1">"c7928"</definedName>
    <definedName name="IQ_CHANGE_PRIVATE_INVENT_YOY" hidden="1">"c7268"</definedName>
    <definedName name="IQ_CHANGE_PRIVATE_INVENT_YOY_FC" hidden="1">"c8148"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1_4_FAMILY_FDIC" hidden="1">"c6756"</definedName>
    <definedName name="IQ_CHARGE_OFFS_1_4_FAMILY_LOANS_FDIC" hidden="1">"c6714"</definedName>
    <definedName name="IQ_CHARGE_OFFS_AUTO_LOANS_FDIC" hidden="1">"c6708"</definedName>
    <definedName name="IQ_CHARGE_OFFS_CL_LOANS_FDIC" hidden="1">"c6709"</definedName>
    <definedName name="IQ_CHARGE_OFFS_COMMERCIAL_INDUSTRIAL_FDIC" hidden="1">"c6759"</definedName>
    <definedName name="IQ_CHARGE_OFFS_COMMERCIAL_RE_FDIC" hidden="1">"c6754"</definedName>
    <definedName name="IQ_CHARGE_OFFS_COMMERCIAL_RE_NOT_SECURED_FDIC" hidden="1">"c6764"</definedName>
    <definedName name="IQ_CHARGE_OFFS_CONSTRUCTION_DEVELOPMENT_FDIC" hidden="1">"c6753"</definedName>
    <definedName name="IQ_CHARGE_OFFS_CREDIT_CARDS_FDIC" hidden="1">"c6761"</definedName>
    <definedName name="IQ_CHARGE_OFFS_CREDIT_CARDS_RECEIVABLES_FDIC" hidden="1">"c6711"</definedName>
    <definedName name="IQ_CHARGE_OFFS_GROSS" hidden="1">"c162"</definedName>
    <definedName name="IQ_CHARGE_OFFS_HOME_EQUITY_FDIC" hidden="1">"c6757"</definedName>
    <definedName name="IQ_CHARGE_OFFS_HOME_EQUITY_LINES_FDIC" hidden="1">"c6712"</definedName>
    <definedName name="IQ_CHARGE_OFFS_INDIVIDUALS_FDIC" hidden="1">"c6760"</definedName>
    <definedName name="IQ_CHARGE_OFFS_MULTI_FAMILY_FDIC" hidden="1">"c6755"</definedName>
    <definedName name="IQ_CHARGE_OFFS_NET" hidden="1">"c163"</definedName>
    <definedName name="IQ_CHARGE_OFFS_OTHER_1_4_FAMILY_FDIC" hidden="1">"c6758"</definedName>
    <definedName name="IQ_CHARGE_OFFS_OTHER_CONSUMER_LOANS_FDIC" hidden="1">"c6710"</definedName>
    <definedName name="IQ_CHARGE_OFFS_OTHER_INDIVIDUAL_FDIC" hidden="1">"c6762"</definedName>
    <definedName name="IQ_CHARGE_OFFS_OTHER_LOANS_FDIC" hidden="1">"c6763"</definedName>
    <definedName name="IQ_CHARGE_OFFS_OTHER_LOANS_OTHER_FDIC" hidden="1">"c6713"</definedName>
    <definedName name="IQ_CHARGE_OFFS_RE_LOANS_FDIC" hidden="1">"c6752"</definedName>
    <definedName name="IQ_CHARGE_OFFS_RECOVERED" hidden="1">"c164"</definedName>
    <definedName name="IQ_CHARGE_OFFS_TOTAL_AVG_LOANS" hidden="1">"c165"</definedName>
    <definedName name="IQ_CHICAGO_PMI" hidden="1">"c6829"</definedName>
    <definedName name="IQ_CHICAGO_PMI_APR" hidden="1">"c7489"</definedName>
    <definedName name="IQ_CHICAGO_PMI_APR_FC" hidden="1">"c8369"</definedName>
    <definedName name="IQ_CHICAGO_PMI_FC" hidden="1">"c7709"</definedName>
    <definedName name="IQ_CHICAGO_PMI_POP" hidden="1">"c7049"</definedName>
    <definedName name="IQ_CHICAGO_PMI_POP_FC" hidden="1">"c7929"</definedName>
    <definedName name="IQ_CHICAGO_PMI_YOY" hidden="1">"c7269"</definedName>
    <definedName name="IQ_CHICAGO_PMI_YOY_FC" hidden="1">"c8149"</definedName>
    <definedName name="IQ_CITY" hidden="1">"c166"</definedName>
    <definedName name="IQ_CL_AP" hidden="1">"c8884"</definedName>
    <definedName name="IQ_CL_AP_ABS" hidden="1">"c8903"</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NAME_AP" hidden="1">"c8922"</definedName>
    <definedName name="IQ_CL_NAME_AP_ABS" hidden="1">"c8941"</definedName>
    <definedName name="IQ_CL_OBLIGATION_IMMEDIATE" hidden="1">"c2253"</definedName>
    <definedName name="IQ_CLAIMS_ADJUSTMENT_EXP_PC_FFIEC" hidden="1">"c13100"</definedName>
    <definedName name="IQ_CLASS_MARKETCAP" hidden="1">"c13512"</definedName>
    <definedName name="IQ_CLASS_SHARESOUTSTANDING" hidden="1">"c13513"</definedName>
    <definedName name="IQ_CLASSA_OPTIONS_BEG_OS" hidden="1">"c2679"</definedName>
    <definedName name="IQ_CLASSA_OPTIONS_CANCELLED" hidden="1">"c2682"</definedName>
    <definedName name="IQ_CLASSA_OPTIONS_END_OS" hidden="1">"c2683"</definedName>
    <definedName name="IQ_CLASSA_OPTIONS_EXERCISABLE_END_OS" hidden="1">"c5809"</definedName>
    <definedName name="IQ_CLASSA_OPTIONS_EXERCISED" hidden="1">"c2681"</definedName>
    <definedName name="IQ_CLASSA_OPTIONS_GRANTED" hidden="1">"c2680"</definedName>
    <definedName name="IQ_CLASSA_OPTIONS_STRIKE_PRICE_BEG_OS" hidden="1">"c5810"</definedName>
    <definedName name="IQ_CLASSA_OPTIONS_STRIKE_PRICE_CANCELLED" hidden="1">"c5812"</definedName>
    <definedName name="IQ_CLASSA_OPTIONS_STRIKE_PRICE_EXERCISABLE" hidden="1">"c5813"</definedName>
    <definedName name="IQ_CLASSA_OPTIONS_STRIKE_PRICE_EXERCISED" hidden="1">"c5811"</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OSED_END_1_4_FAM_LOANS_TOT_LOANS_FFIEC" hidden="1">"c13866"</definedName>
    <definedName name="IQ_CLOSED_END_1_4_FIRST_LIENS_TRADING_DOM_FFIEC" hidden="1">"c12928"</definedName>
    <definedName name="IQ_CLOSED_END_1_4_JR_LIENS_LL_REC_DOM_FFIEC" hidden="1">"c12904"</definedName>
    <definedName name="IQ_CLOSED_END_1_4_JUNIOR_LIENS_TRADING_DOM_FFIEC" hidden="1">"c12929"</definedName>
    <definedName name="IQ_CLOSED_END_SEC_1_4_1ST_LIENS_CHARGE_OFFS_FFIEC" hidden="1">"c13169"</definedName>
    <definedName name="IQ_CLOSED_END_SEC_1_4_1ST_LIENS_DUE_30_89_FFIEC" hidden="1">"c13261"</definedName>
    <definedName name="IQ_CLOSED_END_SEC_1_4_1ST_LIENS_DUE_90_FFIEC" hidden="1">"c13289"</definedName>
    <definedName name="IQ_CLOSED_END_SEC_1_4_1ST_LIENS_NON_ACCRUAL_FFIEC" hidden="1">"c13315"</definedName>
    <definedName name="IQ_CLOSED_END_SEC_1_4_1ST_LIENS_RECOV_FFIEC" hidden="1">"c13191"</definedName>
    <definedName name="IQ_CLOSED_END_SEC_1_4_JR_LIENS_CHARGE_OFFS_FFIEC" hidden="1">"c13170"</definedName>
    <definedName name="IQ_CLOSED_END_SEC_1_4_JR_LIENS_DUE_30_89_FFIEC" hidden="1">"c13262"</definedName>
    <definedName name="IQ_CLOSED_END_SEC_1_4_JR_LIENS_DUE_90_FFIEC" hidden="1">"c13290"</definedName>
    <definedName name="IQ_CLOSED_END_SEC_1_4_JR_LIENS_NON_ACCRUAL_FFIEC" hidden="1">"c13316"</definedName>
    <definedName name="IQ_CLOSED_END_SEC_1_4_JR_LIENS_RECOV_FFIEC" hidden="1">"c13192"</definedName>
    <definedName name="IQ_CLOSED_END_SECURED_1_4_FIRST_LIENS_LL_REC_DOM_FFIEC" hidden="1">"c12903"</definedName>
    <definedName name="IQ_CLOSED_LOANS_GROSS_LOANS_FFIEC" hidden="1">"c13399"</definedName>
    <definedName name="IQ_CLOSED_LOANS_RISK_BASED_FFIEC" hidden="1">"c13420"</definedName>
    <definedName name="IQ_CLOSEPRICE" hidden="1">"c174"</definedName>
    <definedName name="IQ_CLOSEPRICE_ADJ" hidden="1">"c2115"</definedName>
    <definedName name="IQ_CMBS_ISSUED_AVAIL_SALE_FFIEC" hidden="1">"c12800"</definedName>
    <definedName name="IQ_CMBS_ISSUED_FFIEC" hidden="1">"c12786"</definedName>
    <definedName name="IQ_CMO_FDIC" hidden="1">"c6406"</definedName>
    <definedName name="IQ_COGS" hidden="1">"c175"</definedName>
    <definedName name="IQ_COLLATERAL_TYPE" hidden="1">"c8954"</definedName>
    <definedName name="IQ_COLLECTION_DOMESTIC_FDIC" hidden="1">"c6387"</definedName>
    <definedName name="IQ_COM_TARGET_PRICE" hidden="1">"c13606"</definedName>
    <definedName name="IQ_COM_TARGET_PRICE_CIQ" hidden="1">"c13599"</definedName>
    <definedName name="IQ_COM_TARGET_PRICE_HIGH" hidden="1">"c13607"</definedName>
    <definedName name="IQ_COM_TARGET_PRICE_HIGH_CIQ" hidden="1">"c13600"</definedName>
    <definedName name="IQ_COM_TARGET_PRICE_LOW" hidden="1">"c13608"</definedName>
    <definedName name="IQ_COM_TARGET_PRICE_LOW_CIQ" hidden="1">"c13601"</definedName>
    <definedName name="IQ_COM_TARGET_PRICE_MEDIAN" hidden="1">"c13609"</definedName>
    <definedName name="IQ_COM_TARGET_PRICE_MEDIAN_CIQ" hidden="1">"c13602"</definedName>
    <definedName name="IQ_COM_TARGET_PRICE_NUM" hidden="1">"c13604"</definedName>
    <definedName name="IQ_COM_TARGET_PRICE_NUM_CIQ" hidden="1">"c13597"</definedName>
    <definedName name="IQ_COM_TARGET_PRICE_STDDEV" hidden="1">"c13605"</definedName>
    <definedName name="IQ_COM_TARGET_PRICE_STDDEV_CIQ" hidden="1">"c13598"</definedName>
    <definedName name="IQ_COMBINED_RATIO" hidden="1">"c176"</definedName>
    <definedName name="IQ_COMM_IND_LOANS_TOT_LOANS_FFIEC" hidden="1">"c13874"</definedName>
    <definedName name="IQ_COMM_INDUSTRIAL_LOANS_FFIEC" hidden="1">"c12821"</definedName>
    <definedName name="IQ_COMM_INDUSTRIAL_NON_US_LL_REC_FFIEC" hidden="1">"c12888"</definedName>
    <definedName name="IQ_COMM_INDUSTRIAL_US_LL_REC_FFIEC" hidden="1">"c12887"</definedName>
    <definedName name="IQ_COMM_RE_FARM_LOANS_TOT_LOANS_FFIEC" hidden="1">"c13872"</definedName>
    <definedName name="IQ_COMM_RE_NONFARM_NONRES_TOT_LOANS_FFIEC" hidden="1">"c13871"</definedName>
    <definedName name="IQ_COMMERCIAL_BANKS_DEPOSITS_FOREIGN_FDIC" hidden="1">"c6480"</definedName>
    <definedName name="IQ_COMMERCIAL_BANKS_LOANS_FDIC" hidden="1">"c6434"</definedName>
    <definedName name="IQ_COMMERCIAL_BANKS_NONTRANSACTION_ACCOUNTS_FDIC" hidden="1">"c6548"</definedName>
    <definedName name="IQ_COMMERCIAL_BANKS_TOTAL_DEPOSITS_FDIC" hidden="1">"c6474"</definedName>
    <definedName name="IQ_COMMERCIAL_BANKS_TOTAL_LOANS_FOREIGN_FDIC" hidden="1">"c6444"</definedName>
    <definedName name="IQ_COMMERCIAL_BANKS_TRANSACTION_ACCOUNTS_FDIC" hidden="1">"c6540"</definedName>
    <definedName name="IQ_COMMERCIAL_DOM" hidden="1">"c177"</definedName>
    <definedName name="IQ_COMMERCIAL_FIRE_WRITTEN" hidden="1">"c178"</definedName>
    <definedName name="IQ_COMMERCIAL_INDUSTRIAL_CHARGE_OFFS_FDIC" hidden="1">"c6598"</definedName>
    <definedName name="IQ_COMMERCIAL_INDUSTRIAL_GROSS_LOANS_FFIEC" hidden="1">"c13410"</definedName>
    <definedName name="IQ_COMMERCIAL_INDUSTRIAL_LOANS_DUE_30_89_FFIEC" hidden="1">"c13271"</definedName>
    <definedName name="IQ_COMMERCIAL_INDUSTRIAL_LOANS_DUE_90_FFIEC" hidden="1">"c13297"</definedName>
    <definedName name="IQ_COMMERCIAL_INDUSTRIAL_LOANS_LL_REC_DOM_FFIEC" hidden="1">"c12910"</definedName>
    <definedName name="IQ_COMMERCIAL_INDUSTRIAL_LOANS_NET_FDIC" hidden="1">"c6317"</definedName>
    <definedName name="IQ_COMMERCIAL_INDUSTRIAL_LOANS_NON_ACCRUAL_FFIEC" hidden="1">"c13323"</definedName>
    <definedName name="IQ_COMMERCIAL_INDUSTRIAL_NET_CHARGE_OFFS_FDIC" hidden="1">"c6636"</definedName>
    <definedName name="IQ_COMMERCIAL_INDUSTRIAL_NON_US_CHARGE_OFFS_FFIEC" hidden="1">"c13179"</definedName>
    <definedName name="IQ_COMMERCIAL_INDUSTRIAL_NON_US_RECOV_FFIEC" hidden="1">"c13201"</definedName>
    <definedName name="IQ_COMMERCIAL_INDUSTRIAL_RECOVERIES_FDIC" hidden="1">"c6617"</definedName>
    <definedName name="IQ_COMMERCIAL_INDUSTRIAL_RISK_BASED_FFIEC" hidden="1">"c13431"</definedName>
    <definedName name="IQ_COMMERCIAL_INDUSTRIAL_TOTAL_LOANS_FOREIGN_FDIC" hidden="1">"c6451"</definedName>
    <definedName name="IQ_COMMERCIAL_INDUSTRIAL_TRADING_DOM_FFIEC" hidden="1">"c12932"</definedName>
    <definedName name="IQ_COMMERCIAL_INDUSTRIAL_US_CHARGE_OFFS_FFIEC" hidden="1">"c13178"</definedName>
    <definedName name="IQ_COMMERCIAL_INDUSTRIAL_US_RECOV_FFIEC" hidden="1">"c13200"</definedName>
    <definedName name="IQ_COMMERCIAL_MORT" hidden="1">"c179"</definedName>
    <definedName name="IQ_COMMERCIAL_OTHER_LOC_FFIEC" hidden="1">"c13253"</definedName>
    <definedName name="IQ_COMMERCIAL_PAPER_ASSETS_TOT_FFIEC" hidden="1">"c13449"</definedName>
    <definedName name="IQ_COMMERCIAL_PAPER_FFIEC" hidden="1">"c12863"</definedName>
    <definedName name="IQ_COMMERCIAL_RE_CONSTRUCTION_LAND_DEV_FDIC" hidden="1">"c6526"</definedName>
    <definedName name="IQ_COMMERCIAL_RE_GROSS_LOANS_FFIEC" hidden="1">"c13400"</definedName>
    <definedName name="IQ_COMMERCIAL_RE_LOANS_FDIC" hidden="1">"c6312"</definedName>
    <definedName name="IQ_COMMERCIAL_RE_RISK_BASED_FFIEC" hidden="1">"c13421"</definedName>
    <definedName name="IQ_COMMISS_FEES" hidden="1">"c180"</definedName>
    <definedName name="IQ_COMMISSION_DEF" hidden="1">"c181"</definedName>
    <definedName name="IQ_COMMITMENTS_BUY_SEC_OTHER_OFF_BS_FFIEC" hidden="1">"c13128"</definedName>
    <definedName name="IQ_COMMITMENTS_COMMERCIAL_RE_UNUSED_FFIEC" hidden="1">"c13243"</definedName>
    <definedName name="IQ_COMMITMENTS_MATURITY_EXCEEDING_1YR_FDIC" hidden="1">"c6531"</definedName>
    <definedName name="IQ_COMMITMENTS_NOT_SECURED_RE_FDIC" hidden="1">"c6528"</definedName>
    <definedName name="IQ_COMMITMENTS_SECURED_RE_FDIC" hidden="1">"c6527"</definedName>
    <definedName name="IQ_COMMITMENTS_SELL_SEC_OTHER_OFF_BS_FFIEC" hidden="1">"c13129"</definedName>
    <definedName name="IQ_COMMODITY_EXPOSURE_FFIEC" hidden="1">"c13061"</definedName>
    <definedName name="IQ_COMMODITY_EXPOSURES_FDIC" hidden="1">"c6665"</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 hidden="1">"c6202"</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CAGR" hidden="1">"c6060"</definedName>
    <definedName name="IQ_COMMON_EQUITY_10YR_ANN_GROWTH" hidden="1">"c191"</definedName>
    <definedName name="IQ_COMMON_EQUITY_1YR_ANN_GROWTH" hidden="1">"c192"</definedName>
    <definedName name="IQ_COMMON_EQUITY_2YR_ANN_CAGR" hidden="1">"c6061"</definedName>
    <definedName name="IQ_COMMON_EQUITY_2YR_ANN_GROWTH" hidden="1">"c193"</definedName>
    <definedName name="IQ_COMMON_EQUITY_3YR_ANN_CAGR" hidden="1">"c6062"</definedName>
    <definedName name="IQ_COMMON_EQUITY_3YR_ANN_GROWTH" hidden="1">"c194"</definedName>
    <definedName name="IQ_COMMON_EQUITY_5YR_ANN_CAGR" hidden="1">"c6063"</definedName>
    <definedName name="IQ_COMMON_EQUITY_5YR_ANN_GROWTH" hidden="1">"c195"</definedName>
    <definedName name="IQ_COMMON_EQUITY_7YR_ANN_CAGR" hidden="1">"c6064"</definedName>
    <definedName name="IQ_COMMON_EQUITY_7YR_ANN_GROWTH" hidden="1">"c196"</definedName>
    <definedName name="IQ_COMMON_FDIC" hidden="1">"c6350"</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 hidden="1">"c6203"</definedName>
    <definedName name="IQ_COMMON_ISSUED_REIT" hidden="1">"c202"</definedName>
    <definedName name="IQ_COMMON_ISSUED_UTI" hidden="1">"c203"</definedName>
    <definedName name="IQ_COMMON_PER_ADR" hidden="1">"c13596"</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 hidden="1">"c6204"</definedName>
    <definedName name="IQ_COMMON_REP_REIT" hidden="1">"c211"</definedName>
    <definedName name="IQ_COMMON_REP_UTI" hidden="1">"c212"</definedName>
    <definedName name="IQ_COMMON_STOCK" hidden="1">"c1358"</definedName>
    <definedName name="IQ_COMMON_STOCK_FFIEC" hidden="1">"c12876"</definedName>
    <definedName name="IQ_COMP_BENEFITS" hidden="1">"c213"</definedName>
    <definedName name="IQ_COMPANY_ADDRESS" hidden="1">"c214"</definedName>
    <definedName name="IQ_COMPANY_ID" hidden="1">"c3513"</definedName>
    <definedName name="IQ_COMPANY_NAME" hidden="1">"c215"</definedName>
    <definedName name="IQ_COMPANY_NAME_LONG" hidden="1">"c1585"</definedName>
    <definedName name="IQ_COMPANY_NOTE" hidden="1">"c6792"</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MPETITOR_ALL" hidden="1">"c13754"</definedName>
    <definedName name="IQ_COMPETITOR_NAMED_BY_COMPANY" hidden="1">"c13751"</definedName>
    <definedName name="IQ_COMPETITOR_NAMED_BY_COMPETITOR" hidden="1">"c13752"</definedName>
    <definedName name="IQ_COMPETITOR_NAMED_BY_THIRDPARTY" hidden="1">"c13753"</definedName>
    <definedName name="IQ_COMPOSITE_CYCLICAL_IND" hidden="1">"c6830"</definedName>
    <definedName name="IQ_COMPOSITE_CYCLICAL_IND_APR" hidden="1">"c7490"</definedName>
    <definedName name="IQ_COMPOSITE_CYCLICAL_IND_APR_FC" hidden="1">"c8370"</definedName>
    <definedName name="IQ_COMPOSITE_CYCLICAL_IND_FC" hidden="1">"c7710"</definedName>
    <definedName name="IQ_COMPOSITE_CYCLICAL_IND_POP" hidden="1">"c7050"</definedName>
    <definedName name="IQ_COMPOSITE_CYCLICAL_IND_POP_FC" hidden="1">"c7930"</definedName>
    <definedName name="IQ_COMPOSITE_CYCLICAL_IND_YOY" hidden="1">"c7270"</definedName>
    <definedName name="IQ_COMPOSITE_CYCLICAL_IND_YOY_FC" hidden="1">"c8150"</definedName>
    <definedName name="IQ_CONSOL_BEDS" hidden="1">"c8782"</definedName>
    <definedName name="IQ_CONSOL_PROP_OPERATIONAL" hidden="1">"c8758"</definedName>
    <definedName name="IQ_CONSOL_PROP_OTHER_OWNED" hidden="1">"c8760"</definedName>
    <definedName name="IQ_CONSOL_PROP_TOTAL" hidden="1">"c8761"</definedName>
    <definedName name="IQ_CONSOL_PROP_UNDEVELOPED" hidden="1">"c8759"</definedName>
    <definedName name="IQ_CONSOL_ROOMS" hidden="1">"c8786"</definedName>
    <definedName name="IQ_CONSOL_SQ_FT_OPERATIONAL" hidden="1">"c8774"</definedName>
    <definedName name="IQ_CONSOL_SQ_FT_OTHER_OWNED" hidden="1">"c8776"</definedName>
    <definedName name="IQ_CONSOL_SQ_FT_TOTAL" hidden="1">"c8777"</definedName>
    <definedName name="IQ_CONSOL_SQ_FT_UNDEVELOPED" hidden="1">"c8775"</definedName>
    <definedName name="IQ_CONSOL_UNITS_OPERATIONAL" hidden="1">"c8766"</definedName>
    <definedName name="IQ_CONSOL_UNITS_OTHER_OWNED" hidden="1">"c8768"</definedName>
    <definedName name="IQ_CONSOL_UNITS_TOTAL" hidden="1">"c8769"</definedName>
    <definedName name="IQ_CONSOL_UNITS_UNDEVELOPED" hidden="1">"c8767"</definedName>
    <definedName name="IQ_CONSOLIDATED_ASSETS_QUARTERLY_AVG_FFIEC" hidden="1">"c13087"</definedName>
    <definedName name="IQ_CONST_LAND_DEV_LOANS_TOT_LOANS_FFIEC" hidden="1">"c13865"</definedName>
    <definedName name="IQ_CONST_LAND_DEVELOP_OTHER_DOM_CHARGE_OFFS_FFIEC" hidden="1">"c13628"</definedName>
    <definedName name="IQ_CONST_LAND_DEVELOP_OTHER_DOM_RECOV_FFIEC" hidden="1">"c13632"</definedName>
    <definedName name="IQ_CONSTRUCTION_DEV_LOANS_FDIC" hidden="1">"c6313"</definedName>
    <definedName name="IQ_CONSTRUCTION_LAND_DEVELOPMENT_CHARGE_OFFS_FDIC" hidden="1">"c6594"</definedName>
    <definedName name="IQ_CONSTRUCTION_LAND_DEVELOPMENT_NET_CHARGE_OFFS_FDIC" hidden="1">"c6632"</definedName>
    <definedName name="IQ_CONSTRUCTION_LAND_DEVELOPMENT_RECOVERIES_FDIC" hidden="1">"c6613"</definedName>
    <definedName name="IQ_CONSTRUCTION_LL_REC_DOM_FFIEC" hidden="1">"c12900"</definedName>
    <definedName name="IQ_CONSTRUCTION_LOANS" hidden="1">"c222"</definedName>
    <definedName name="IQ_CONSTRUCTION_LOANS_DOM_DUE_30_89_FFIEC" hidden="1">"c13256"</definedName>
    <definedName name="IQ_CONSTRUCTION_LOANS_DOM_DUE_90_FFIEC" hidden="1">"c13284"</definedName>
    <definedName name="IQ_CONSTRUCTION_LOANS_DOM_NON_ACCRUAL_FFIEC" hidden="1">"c13310"</definedName>
    <definedName name="IQ_CONSTRUCTION_LOANS_GROSS_LOANS_FFIEC" hidden="1">"c13401"</definedName>
    <definedName name="IQ_CONSTRUCTION_RISK_BASED_FFIEC" hidden="1">"c13422"</definedName>
    <definedName name="IQ_CONSULTING_FFIEC" hidden="1">"c13055"</definedName>
    <definedName name="IQ_CONSUMER_COMFORT" hidden="1">"c6831"</definedName>
    <definedName name="IQ_CONSUMER_COMFORT_APR" hidden="1">"c7491"</definedName>
    <definedName name="IQ_CONSUMER_COMFORT_APR_FC" hidden="1">"c8371"</definedName>
    <definedName name="IQ_CONSUMER_COMFORT_FC" hidden="1">"c7711"</definedName>
    <definedName name="IQ_CONSUMER_COMFORT_POP" hidden="1">"c7051"</definedName>
    <definedName name="IQ_CONSUMER_COMFORT_POP_FC" hidden="1">"c7931"</definedName>
    <definedName name="IQ_CONSUMER_CONFIDENCE" hidden="1">"c6832"</definedName>
    <definedName name="IQ_CONSUMER_CONFIDENCE_APR" hidden="1">"c7492"</definedName>
    <definedName name="IQ_CONSUMER_CONFIDENCE_APR_FC" hidden="1">"c8372"</definedName>
    <definedName name="IQ_CONSUMER_CONFIDENCE_FC" hidden="1">"c7712"</definedName>
    <definedName name="IQ_CONSUMER_CONFIDENCE_POP" hidden="1">"c7052"</definedName>
    <definedName name="IQ_CONSUMER_CONFIDENCE_POP_FC" hidden="1">"c7932"</definedName>
    <definedName name="IQ_CONSUMER_CONFIDENCE_YOY" hidden="1">"c7272"</definedName>
    <definedName name="IQ_CONSUMER_CONFIDENCE_YOY_FC" hidden="1">"c8152"</definedName>
    <definedName name="IQ_CONSUMER_LEASES_LL_REC_FFIEC" hidden="1">"c12895"</definedName>
    <definedName name="IQ_CONSUMER_LENDING" hidden="1">"c6833"</definedName>
    <definedName name="IQ_CONSUMER_LENDING_APR" hidden="1">"c7493"</definedName>
    <definedName name="IQ_CONSUMER_LENDING_APR_FC" hidden="1">"c8373"</definedName>
    <definedName name="IQ_CONSUMER_LENDING_FC" hidden="1">"c7713"</definedName>
    <definedName name="IQ_CONSUMER_LENDING_GROSS" hidden="1">"c6878"</definedName>
    <definedName name="IQ_CONSUMER_LENDING_GROSS_APR" hidden="1">"c7538"</definedName>
    <definedName name="IQ_CONSUMER_LENDING_GROSS_APR_FC" hidden="1">"c8418"</definedName>
    <definedName name="IQ_CONSUMER_LENDING_GROSS_FC" hidden="1">"c7758"</definedName>
    <definedName name="IQ_CONSUMER_LENDING_GROSS_POP" hidden="1">"c7098"</definedName>
    <definedName name="IQ_CONSUMER_LENDING_GROSS_POP_FC" hidden="1">"c7978"</definedName>
    <definedName name="IQ_CONSUMER_LENDING_GROSS_YOY" hidden="1">"c7318"</definedName>
    <definedName name="IQ_CONSUMER_LENDING_GROSS_YOY_FC" hidden="1">"c8198"</definedName>
    <definedName name="IQ_CONSUMER_LENDING_NET" hidden="1">"c6922"</definedName>
    <definedName name="IQ_CONSUMER_LENDING_NET_APR" hidden="1">"c7582"</definedName>
    <definedName name="IQ_CONSUMER_LENDING_NET_APR_FC" hidden="1">"c8462"</definedName>
    <definedName name="IQ_CONSUMER_LENDING_NET_FC" hidden="1">"c7802"</definedName>
    <definedName name="IQ_CONSUMER_LENDING_NET_POP" hidden="1">"c7142"</definedName>
    <definedName name="IQ_CONSUMER_LENDING_NET_POP_FC" hidden="1">"c8022"</definedName>
    <definedName name="IQ_CONSUMER_LENDING_NET_YOY" hidden="1">"c7362"</definedName>
    <definedName name="IQ_CONSUMER_LENDING_NET_YOY_FC" hidden="1">"c8242"</definedName>
    <definedName name="IQ_CONSUMER_LENDING_POP" hidden="1">"c7053"</definedName>
    <definedName name="IQ_CONSUMER_LENDING_POP_FC" hidden="1">"c7933"</definedName>
    <definedName name="IQ_CONSUMER_LENDING_TOTAL" hidden="1">"c7018"</definedName>
    <definedName name="IQ_CONSUMER_LENDING_TOTAL_APR" hidden="1">"c7678"</definedName>
    <definedName name="IQ_CONSUMER_LENDING_TOTAL_APR_FC" hidden="1">"c8558"</definedName>
    <definedName name="IQ_CONSUMER_LENDING_TOTAL_FC" hidden="1">"c7898"</definedName>
    <definedName name="IQ_CONSUMER_LENDING_TOTAL_POP" hidden="1">"c7238"</definedName>
    <definedName name="IQ_CONSUMER_LENDING_TOTAL_POP_FC" hidden="1">"c8118"</definedName>
    <definedName name="IQ_CONSUMER_LENDING_TOTAL_YOY" hidden="1">"c7458"</definedName>
    <definedName name="IQ_CONSUMER_LENDING_TOTAL_YOY_FC" hidden="1">"c8338"</definedName>
    <definedName name="IQ_CONSUMER_LENDING_YOY" hidden="1">"c7273"</definedName>
    <definedName name="IQ_CONSUMER_LENDING_YOY_FC" hidden="1">"c8153"</definedName>
    <definedName name="IQ_CONSUMER_LOANS" hidden="1">"c223"</definedName>
    <definedName name="IQ_CONSUMER_LOANS_LL_REC_DOM_FFIEC" hidden="1">"c12911"</definedName>
    <definedName name="IQ_CONSUMER_LOANS_TOT_LOANS_FFIEC" hidden="1">"c13875"</definedName>
    <definedName name="IQ_CONSUMER_SPENDING" hidden="1">"c6834"</definedName>
    <definedName name="IQ_CONSUMER_SPENDING_APR" hidden="1">"c7494"</definedName>
    <definedName name="IQ_CONSUMER_SPENDING_APR_FC" hidden="1">"c8374"</definedName>
    <definedName name="IQ_CONSUMER_SPENDING_DURABLE" hidden="1">"c6835"</definedName>
    <definedName name="IQ_CONSUMER_SPENDING_DURABLE_APR" hidden="1">"c7495"</definedName>
    <definedName name="IQ_CONSUMER_SPENDING_DURABLE_APR_FC" hidden="1">"c8375"</definedName>
    <definedName name="IQ_CONSUMER_SPENDING_DURABLE_FC" hidden="1">"c7715"</definedName>
    <definedName name="IQ_CONSUMER_SPENDING_DURABLE_POP" hidden="1">"c7055"</definedName>
    <definedName name="IQ_CONSUMER_SPENDING_DURABLE_POP_FC" hidden="1">"c7935"</definedName>
    <definedName name="IQ_CONSUMER_SPENDING_DURABLE_REAL" hidden="1">"c6964"</definedName>
    <definedName name="IQ_CONSUMER_SPENDING_DURABLE_REAL_APR" hidden="1">"c7624"</definedName>
    <definedName name="IQ_CONSUMER_SPENDING_DURABLE_REAL_APR_FC" hidden="1">"c8504"</definedName>
    <definedName name="IQ_CONSUMER_SPENDING_DURABLE_REAL_FC" hidden="1">"c7844"</definedName>
    <definedName name="IQ_CONSUMER_SPENDING_DURABLE_REAL_POP" hidden="1">"c7184"</definedName>
    <definedName name="IQ_CONSUMER_SPENDING_DURABLE_REAL_POP_FC" hidden="1">"c8064"</definedName>
    <definedName name="IQ_CONSUMER_SPENDING_DURABLE_REAL_SAAR" hidden="1">"c6965"</definedName>
    <definedName name="IQ_CONSUMER_SPENDING_DURABLE_REAL_SAAR_APR" hidden="1">"c7625"</definedName>
    <definedName name="IQ_CONSUMER_SPENDING_DURABLE_REAL_SAAR_APR_FC" hidden="1">"c8505"</definedName>
    <definedName name="IQ_CONSUMER_SPENDING_DURABLE_REAL_SAAR_FC" hidden="1">"c7845"</definedName>
    <definedName name="IQ_CONSUMER_SPENDING_DURABLE_REAL_SAAR_POP" hidden="1">"c7185"</definedName>
    <definedName name="IQ_CONSUMER_SPENDING_DURABLE_REAL_SAAR_POP_FC" hidden="1">"c8065"</definedName>
    <definedName name="IQ_CONSUMER_SPENDING_DURABLE_REAL_SAAR_YOY" hidden="1">"c7405"</definedName>
    <definedName name="IQ_CONSUMER_SPENDING_DURABLE_REAL_SAAR_YOY_FC" hidden="1">"c8285"</definedName>
    <definedName name="IQ_CONSUMER_SPENDING_DURABLE_REAL_YOY" hidden="1">"c7404"</definedName>
    <definedName name="IQ_CONSUMER_SPENDING_DURABLE_REAL_YOY_FC" hidden="1">"c8284"</definedName>
    <definedName name="IQ_CONSUMER_SPENDING_DURABLE_YOY" hidden="1">"c7275"</definedName>
    <definedName name="IQ_CONSUMER_SPENDING_DURABLE_YOY_FC" hidden="1">"c8155"</definedName>
    <definedName name="IQ_CONSUMER_SPENDING_FC" hidden="1">"c7714"</definedName>
    <definedName name="IQ_CONSUMER_SPENDING_NONDURABLE" hidden="1">"c6836"</definedName>
    <definedName name="IQ_CONSUMER_SPENDING_NONDURABLE_APR" hidden="1">"c7496"</definedName>
    <definedName name="IQ_CONSUMER_SPENDING_NONDURABLE_APR_FC" hidden="1">"c8376"</definedName>
    <definedName name="IQ_CONSUMER_SPENDING_NONDURABLE_FC" hidden="1">"c7716"</definedName>
    <definedName name="IQ_CONSUMER_SPENDING_NONDURABLE_POP" hidden="1">"c7056"</definedName>
    <definedName name="IQ_CONSUMER_SPENDING_NONDURABLE_POP_FC" hidden="1">"c7936"</definedName>
    <definedName name="IQ_CONSUMER_SPENDING_NONDURABLE_REAL" hidden="1">"c6966"</definedName>
    <definedName name="IQ_CONSUMER_SPENDING_NONDURABLE_REAL_APR" hidden="1">"c7626"</definedName>
    <definedName name="IQ_CONSUMER_SPENDING_NONDURABLE_REAL_APR_FC" hidden="1">"c8506"</definedName>
    <definedName name="IQ_CONSUMER_SPENDING_NONDURABLE_REAL_FC" hidden="1">"c7846"</definedName>
    <definedName name="IQ_CONSUMER_SPENDING_NONDURABLE_REAL_POP" hidden="1">"c7186"</definedName>
    <definedName name="IQ_CONSUMER_SPENDING_NONDURABLE_REAL_POP_FC" hidden="1">"c8066"</definedName>
    <definedName name="IQ_CONSUMER_SPENDING_NONDURABLE_REAL_SAAR" hidden="1">"c6967"</definedName>
    <definedName name="IQ_CONSUMER_SPENDING_NONDURABLE_REAL_SAAR_APR" hidden="1">"c7627"</definedName>
    <definedName name="IQ_CONSUMER_SPENDING_NONDURABLE_REAL_SAAR_APR_FC" hidden="1">"c8507"</definedName>
    <definedName name="IQ_CONSUMER_SPENDING_NONDURABLE_REAL_SAAR_FC" hidden="1">"c7847"</definedName>
    <definedName name="IQ_CONSUMER_SPENDING_NONDURABLE_REAL_SAAR_POP" hidden="1">"c7187"</definedName>
    <definedName name="IQ_CONSUMER_SPENDING_NONDURABLE_REAL_SAAR_POP_FC" hidden="1">"c8067"</definedName>
    <definedName name="IQ_CONSUMER_SPENDING_NONDURABLE_REAL_SAAR_YOY" hidden="1">"c7407"</definedName>
    <definedName name="IQ_CONSUMER_SPENDING_NONDURABLE_REAL_SAAR_YOY_FC" hidden="1">"c8287"</definedName>
    <definedName name="IQ_CONSUMER_SPENDING_NONDURABLE_REAL_YOY" hidden="1">"c7406"</definedName>
    <definedName name="IQ_CONSUMER_SPENDING_NONDURABLE_REAL_YOY_FC" hidden="1">"c8286"</definedName>
    <definedName name="IQ_CONSUMER_SPENDING_NONDURABLE_YOY" hidden="1">"c7276"</definedName>
    <definedName name="IQ_CONSUMER_SPENDING_NONDURABLE_YOY_FC" hidden="1">"c8156"</definedName>
    <definedName name="IQ_CONSUMER_SPENDING_POP" hidden="1">"c7054"</definedName>
    <definedName name="IQ_CONSUMER_SPENDING_POP_FC" hidden="1">"c7934"</definedName>
    <definedName name="IQ_CONSUMER_SPENDING_REAL" hidden="1">"c6963"</definedName>
    <definedName name="IQ_CONSUMER_SPENDING_REAL_APR" hidden="1">"c7623"</definedName>
    <definedName name="IQ_CONSUMER_SPENDING_REAL_APR_FC" hidden="1">"c8503"</definedName>
    <definedName name="IQ_CONSUMER_SPENDING_REAL_FC" hidden="1">"c7843"</definedName>
    <definedName name="IQ_CONSUMER_SPENDING_REAL_POP" hidden="1">"c7183"</definedName>
    <definedName name="IQ_CONSUMER_SPENDING_REAL_POP_FC" hidden="1">"c8063"</definedName>
    <definedName name="IQ_CONSUMER_SPENDING_REAL_SAAR" hidden="1">"c6968"</definedName>
    <definedName name="IQ_CONSUMER_SPENDING_REAL_SAAR_APR" hidden="1">"c7628"</definedName>
    <definedName name="IQ_CONSUMER_SPENDING_REAL_SAAR_APR_FC" hidden="1">"c8508"</definedName>
    <definedName name="IQ_CONSUMER_SPENDING_REAL_SAAR_FC" hidden="1">"c7848"</definedName>
    <definedName name="IQ_CONSUMER_SPENDING_REAL_SAAR_POP" hidden="1">"c7188"</definedName>
    <definedName name="IQ_CONSUMER_SPENDING_REAL_SAAR_POP_FC" hidden="1">"c8068"</definedName>
    <definedName name="IQ_CONSUMER_SPENDING_REAL_SAAR_YOY" hidden="1">"c7408"</definedName>
    <definedName name="IQ_CONSUMER_SPENDING_REAL_SAAR_YOY_FC" hidden="1">"c8288"</definedName>
    <definedName name="IQ_CONSUMER_SPENDING_REAL_USD_APR_FC" hidden="1">"c11921"</definedName>
    <definedName name="IQ_CONSUMER_SPENDING_REAL_USD_FC" hidden="1">"c11918"</definedName>
    <definedName name="IQ_CONSUMER_SPENDING_REAL_USD_POP_FC" hidden="1">"c11919"</definedName>
    <definedName name="IQ_CONSUMER_SPENDING_REAL_USD_YOY_FC" hidden="1">"c11920"</definedName>
    <definedName name="IQ_CONSUMER_SPENDING_REAL_YOY" hidden="1">"c7403"</definedName>
    <definedName name="IQ_CONSUMER_SPENDING_REAL_YOY_FC" hidden="1">"c8283"</definedName>
    <definedName name="IQ_CONSUMER_SPENDING_SERVICES" hidden="1">"c6837"</definedName>
    <definedName name="IQ_CONSUMER_SPENDING_SERVICES_APR" hidden="1">"c7497"</definedName>
    <definedName name="IQ_CONSUMER_SPENDING_SERVICES_APR_FC" hidden="1">"c8377"</definedName>
    <definedName name="IQ_CONSUMER_SPENDING_SERVICES_FC" hidden="1">"c7717"</definedName>
    <definedName name="IQ_CONSUMER_SPENDING_SERVICES_POP" hidden="1">"c7057"</definedName>
    <definedName name="IQ_CONSUMER_SPENDING_SERVICES_POP_FC" hidden="1">"c7937"</definedName>
    <definedName name="IQ_CONSUMER_SPENDING_SERVICES_REAL" hidden="1">"c6969"</definedName>
    <definedName name="IQ_CONSUMER_SPENDING_SERVICES_REAL_APR" hidden="1">"c7629"</definedName>
    <definedName name="IQ_CONSUMER_SPENDING_SERVICES_REAL_APR_FC" hidden="1">"c8509"</definedName>
    <definedName name="IQ_CONSUMER_SPENDING_SERVICES_REAL_FC" hidden="1">"c7849"</definedName>
    <definedName name="IQ_CONSUMER_SPENDING_SERVICES_REAL_POP" hidden="1">"c7189"</definedName>
    <definedName name="IQ_CONSUMER_SPENDING_SERVICES_REAL_POP_FC" hidden="1">"c8069"</definedName>
    <definedName name="IQ_CONSUMER_SPENDING_SERVICES_REAL_SAAR" hidden="1">"c6970"</definedName>
    <definedName name="IQ_CONSUMER_SPENDING_SERVICES_REAL_SAAR_APR" hidden="1">"c7630"</definedName>
    <definedName name="IQ_CONSUMER_SPENDING_SERVICES_REAL_SAAR_APR_FC" hidden="1">"c8510"</definedName>
    <definedName name="IQ_CONSUMER_SPENDING_SERVICES_REAL_SAAR_FC" hidden="1">"c7850"</definedName>
    <definedName name="IQ_CONSUMER_SPENDING_SERVICES_REAL_SAAR_POP" hidden="1">"c7190"</definedName>
    <definedName name="IQ_CONSUMER_SPENDING_SERVICES_REAL_SAAR_POP_FC" hidden="1">"c8070"</definedName>
    <definedName name="IQ_CONSUMER_SPENDING_SERVICES_REAL_SAAR_YOY" hidden="1">"c7410"</definedName>
    <definedName name="IQ_CONSUMER_SPENDING_SERVICES_REAL_SAAR_YOY_FC" hidden="1">"c8290"</definedName>
    <definedName name="IQ_CONSUMER_SPENDING_SERVICES_REAL_YOY" hidden="1">"c7409"</definedName>
    <definedName name="IQ_CONSUMER_SPENDING_SERVICES_REAL_YOY_FC" hidden="1">"c8289"</definedName>
    <definedName name="IQ_CONSUMER_SPENDING_SERVICES_YOY" hidden="1">"c7277"</definedName>
    <definedName name="IQ_CONSUMER_SPENDING_SERVICES_YOY_FC" hidden="1">"c8157"</definedName>
    <definedName name="IQ_CONSUMER_SPENDING_YOY" hidden="1">"c7274"</definedName>
    <definedName name="IQ_CONSUMER_SPENDING_YOY_FC" hidden="1">"c8154"</definedName>
    <definedName name="IQ_CONTRACTS_OTHER_COMMODITIES_EQUITIES_FDIC" hidden="1">"c6522"</definedName>
    <definedName name="IQ_CONTRIBUTOR_CIQID" hidden="1">"c13742"</definedName>
    <definedName name="IQ_CONTRIBUTOR_NAME" hidden="1">"c13735"</definedName>
    <definedName name="IQ_CONTRIBUTOR_START_DATE" hidden="1">"c13741"</definedName>
    <definedName name="IQ_CONV_DATE" hidden="1">"c2191"</definedName>
    <definedName name="IQ_CONV_EXP_DATE" hidden="1">"c3043"</definedName>
    <definedName name="IQ_CONV_PREMIUM" hidden="1">"c2195"</definedName>
    <definedName name="IQ_CONV_PRICE" hidden="1">"c2193"</definedName>
    <definedName name="IQ_CONV_RATIO" hidden="1">"c2192"</definedName>
    <definedName name="IQ_CONV_SECURITY" hidden="1">"c2189"</definedName>
    <definedName name="IQ_CONV_SECURITY_ISSUER" hidden="1">"c2190"</definedName>
    <definedName name="IQ_CONV_SECURITY_PRICE" hidden="1">"c2194"</definedName>
    <definedName name="IQ_CONVERSION_COMMON_FFIEC" hidden="1">"c12964"</definedName>
    <definedName name="IQ_CONVERSION_PREF_FFIEC" hidden="1">"c12962"</definedName>
    <definedName name="IQ_CONVERT" hidden="1">"c2536"</definedName>
    <definedName name="IQ_CONVERT_PCT" hidden="1">"c2537"</definedName>
    <definedName name="IQ_CONVEXITY" hidden="1">"c2182"</definedName>
    <definedName name="IQ_CONVEYED_TO_OTHERS_FDIC" hidden="1">"c6534"</definedName>
    <definedName name="IQ_CORE_CAPITAL_RATIO_FDIC" hidden="1">"c6745"</definedName>
    <definedName name="IQ_CORE_DEPOSITS_ASSETS_TOT_FFIEC" hidden="1">"c13442"</definedName>
    <definedName name="IQ_CORE_DEPOSITS_FFIEC" hidden="1">"c13862"</definedName>
    <definedName name="IQ_CORE_DEPOSITS_TOT_DEPOSITS_FFIEC" hidden="1">"c13911"</definedName>
    <definedName name="IQ_CORP_GOODS_PRICE_INDEX_APR_FC_UNUSED" hidden="1">"c8381"</definedName>
    <definedName name="IQ_CORP_GOODS_PRICE_INDEX_APR_UNUSED" hidden="1">"c7501"</definedName>
    <definedName name="IQ_CORP_GOODS_PRICE_INDEX_FC_UNUSED" hidden="1">"c7721"</definedName>
    <definedName name="IQ_CORP_GOODS_PRICE_INDEX_POP_FC_UNUSED" hidden="1">"c7941"</definedName>
    <definedName name="IQ_CORP_GOODS_PRICE_INDEX_POP_UNUSED" hidden="1">"c7061"</definedName>
    <definedName name="IQ_CORP_GOODS_PRICE_INDEX_UNUSED" hidden="1">"c6841"</definedName>
    <definedName name="IQ_CORP_GOODS_PRICE_INDEX_YOY_FC_UNUSED" hidden="1">"c8161"</definedName>
    <definedName name="IQ_CORP_GOODS_PRICE_INDEX_YOY_UNUSED" hidden="1">"c7281"</definedName>
    <definedName name="IQ_CORP_PROFITS" hidden="1">"c6843"</definedName>
    <definedName name="IQ_CORP_PROFITS_AFTER_TAX_SAAR" hidden="1">"c6842"</definedName>
    <definedName name="IQ_CORP_PROFITS_AFTER_TAX_SAAR_APR" hidden="1">"c7502"</definedName>
    <definedName name="IQ_CORP_PROFITS_AFTER_TAX_SAAR_APR_FC" hidden="1">"c8382"</definedName>
    <definedName name="IQ_CORP_PROFITS_AFTER_TAX_SAAR_FC" hidden="1">"c7722"</definedName>
    <definedName name="IQ_CORP_PROFITS_AFTER_TAX_SAAR_POP" hidden="1">"c7062"</definedName>
    <definedName name="IQ_CORP_PROFITS_AFTER_TAX_SAAR_POP_FC" hidden="1">"c7942"</definedName>
    <definedName name="IQ_CORP_PROFITS_AFTER_TAX_SAAR_YOY" hidden="1">"c7282"</definedName>
    <definedName name="IQ_CORP_PROFITS_AFTER_TAX_SAAR_YOY_FC" hidden="1">"c8162"</definedName>
    <definedName name="IQ_CORP_PROFITS_APR" hidden="1">"c7503"</definedName>
    <definedName name="IQ_CORP_PROFITS_APR_FC" hidden="1">"c8383"</definedName>
    <definedName name="IQ_CORP_PROFITS_FC" hidden="1">"c7723"</definedName>
    <definedName name="IQ_CORP_PROFITS_POP" hidden="1">"c7063"</definedName>
    <definedName name="IQ_CORP_PROFITS_POP_FC" hidden="1">"c7943"</definedName>
    <definedName name="IQ_CORP_PROFITS_SAAR" hidden="1">"c6844"</definedName>
    <definedName name="IQ_CORP_PROFITS_SAAR_APR" hidden="1">"c7504"</definedName>
    <definedName name="IQ_CORP_PROFITS_SAAR_APR_FC" hidden="1">"c8384"</definedName>
    <definedName name="IQ_CORP_PROFITS_SAAR_FC" hidden="1">"c7724"</definedName>
    <definedName name="IQ_CORP_PROFITS_SAAR_POP" hidden="1">"c7064"</definedName>
    <definedName name="IQ_CORP_PROFITS_SAAR_POP_FC" hidden="1">"c7944"</definedName>
    <definedName name="IQ_CORP_PROFITS_SAAR_YOY" hidden="1">"c7284"</definedName>
    <definedName name="IQ_CORP_PROFITS_SAAR_YOY_FC" hidden="1">"c8164"</definedName>
    <definedName name="IQ_CORP_PROFITS_YOY" hidden="1">"c7283"</definedName>
    <definedName name="IQ_CORP_PROFITS_YOY_FC" hidden="1">"c8163"</definedName>
    <definedName name="IQ_CORPORATE_OVER_TOTAL" hidden="1">"c13767"</definedName>
    <definedName name="IQ_COST_BORROWED_FUNDS_FFIEC" hidden="1">"c13492"</definedName>
    <definedName name="IQ_COST_BORROWING" hidden="1">"c2936"</definedName>
    <definedName name="IQ_COST_BORROWINGS" hidden="1">"c225"</definedName>
    <definedName name="IQ_COST_CAPITAL_NEW_BUSINESS" hidden="1">"c9968"</definedName>
    <definedName name="IQ_COST_FOREIGN_DEPOSITS_FFIEC" hidden="1">"c13490"</definedName>
    <definedName name="IQ_COST_FUNDS_PURCHASED_FFIEC" hidden="1">"c13491"</definedName>
    <definedName name="IQ_COST_INT_DEPOSITS_FFIEC" hidden="1">"c13489"</definedName>
    <definedName name="IQ_COST_OF_FUNDING_ASSETS_FDIC" hidden="1">"c6725"</definedName>
    <definedName name="IQ_COST_REV" hidden="1">"c226"</definedName>
    <definedName name="IQ_COST_REVENUE" hidden="1">"c1359"</definedName>
    <definedName name="IQ_COST_SAVINGS" hidden="1">"c227"</definedName>
    <definedName name="IQ_COST_SERVICE" hidden="1">"c228"</definedName>
    <definedName name="IQ_COST_SOLVENCY_CAPITAL_COVERED" hidden="1">"c9965"</definedName>
    <definedName name="IQ_COST_SOLVENCY_CAPITAL_GROUP" hidden="1">"c9951"</definedName>
    <definedName name="IQ_COST_TOTAL_BORROWINGS" hidden="1">"c229"</definedName>
    <definedName name="IQ_COUNTRY_NAME" hidden="1">"c230"</definedName>
    <definedName name="IQ_COUNTRY_NAME_ECON" hidden="1">"c11752"</definedName>
    <definedName name="IQ_COUPON_FORMULA" hidden="1">"c8965"</definedName>
    <definedName name="IQ_COVERED_POPS" hidden="1">"c2124"</definedName>
    <definedName name="IQ_CP" hidden="1">"c2495"</definedName>
    <definedName name="IQ_CP_PCT" hidden="1">"c2496"</definedName>
    <definedName name="IQ_CPI" hidden="1">"c6845"</definedName>
    <definedName name="IQ_CPI_APR" hidden="1">"c7505"</definedName>
    <definedName name="IQ_CPI_APR_FC" hidden="1">"c8385"</definedName>
    <definedName name="IQ_CPI_CORE" hidden="1">"c6838"</definedName>
    <definedName name="IQ_CPI_CORE_APR" hidden="1">"c7498"</definedName>
    <definedName name="IQ_CPI_CORE_POP" hidden="1">"c7058"</definedName>
    <definedName name="IQ_CPI_CORE_YOY" hidden="1">"c7278"</definedName>
    <definedName name="IQ_CPI_FC" hidden="1">"c7725"</definedName>
    <definedName name="IQ_CPI_POP" hidden="1">"c7065"</definedName>
    <definedName name="IQ_CPI_POP_FC" hidden="1">"c7945"</definedName>
    <definedName name="IQ_CPI_YOY" hidden="1">"c7285"</definedName>
    <definedName name="IQ_CPI_YOY_FC" hidden="1">"c8165"</definedName>
    <definedName name="IQ_CQ">5000</definedName>
    <definedName name="IQ_CREDIT_CARD_CHARGE_OFFS_FDIC" hidden="1">"c6652"</definedName>
    <definedName name="IQ_CREDIT_CARD_FEE_BNK" hidden="1">"c231"</definedName>
    <definedName name="IQ_CREDIT_CARD_FEE_FIN" hidden="1">"c1583"</definedName>
    <definedName name="IQ_CREDIT_CARD_GROSS_LOANS_FFIEC" hidden="1">"c13412"</definedName>
    <definedName name="IQ_CREDIT_CARD_INTERCHANGE_FEES_FFIEC" hidden="1">"c13046"</definedName>
    <definedName name="IQ_CREDIT_CARD_LINES_FDIC" hidden="1">"c6525"</definedName>
    <definedName name="IQ_CREDIT_CARD_LINES_UNUSED_FFIEC" hidden="1">"c13242"</definedName>
    <definedName name="IQ_CREDIT_CARD_LOANS_CHARGE_OFFS_FFIEC" hidden="1">"c13180"</definedName>
    <definedName name="IQ_CREDIT_CARD_LOANS_DUE_30_89_FFIEC" hidden="1">"c13272"</definedName>
    <definedName name="IQ_CREDIT_CARD_LOANS_DUE_90_FFIEC" hidden="1">"c13298"</definedName>
    <definedName name="IQ_CREDIT_CARD_LOANS_FDIC" hidden="1">"c6319"</definedName>
    <definedName name="IQ_CREDIT_CARD_LOANS_NON_ACCRUAL_FFIEC" hidden="1">"c13324"</definedName>
    <definedName name="IQ_CREDIT_CARD_LOANS_RECOV_FFIEC" hidden="1">"c13202"</definedName>
    <definedName name="IQ_CREDIT_CARD_NET_CHARGE_OFFS_FDIC" hidden="1">"c6654"</definedName>
    <definedName name="IQ_CREDIT_CARD_RECOVERIES_FDIC" hidden="1">"c6653"</definedName>
    <definedName name="IQ_CREDIT_CARD_RISK_BASED_FFIEC" hidden="1">"c13433"</definedName>
    <definedName name="IQ_CREDIT_CARDS_CONSUMER_LOANS_FFIEC" hidden="1">"c12822"</definedName>
    <definedName name="IQ_CREDIT_CARDS_LL_REC_FFIEC" hidden="1">"c12889"</definedName>
    <definedName name="IQ_CREDIT_CARDS_LOANS_TRADING_DOM_FFIEC" hidden="1">"c12933"</definedName>
    <definedName name="IQ_CREDIT_EXPOSURE" hidden="1">"c10038"</definedName>
    <definedName name="IQ_CREDIT_EXPOSURE_FFIEC" hidden="1">"c13062"</definedName>
    <definedName name="IQ_CREDIT_LOSS_CF" hidden="1">"c232"</definedName>
    <definedName name="IQ_CREDIT_LOSS_PROVISION_NET_CHARGE_OFFS_FDIC" hidden="1">"c6734"</definedName>
    <definedName name="IQ_CREDIT_LOSSES_DERIVATIVES_FFIEC" hidden="1">"c13068"</definedName>
    <definedName name="IQ_CREDIT_OPTIONS_DERIVATIVES_BENEFICIARY_FFIEC" hidden="1">"c13121"</definedName>
    <definedName name="IQ_CREDIT_OPTIONS_DERIVATIVES_GUARANTOR_FFIEC" hidden="1">"c13114"</definedName>
    <definedName name="IQ_CUMULATIVE_PREFERREDS_T2_FFIEC" hidden="1">"c13145"</definedName>
    <definedName name="IQ_CUMULATIVE_SPLIT_FACTOR" hidden="1">"c2094"</definedName>
    <definedName name="IQ_CURR_ACCT_BALANCE_APR_FC_UNUSED" hidden="1">"c8387"</definedName>
    <definedName name="IQ_CURR_ACCT_BALANCE_APR_UNUSED" hidden="1">"c7507"</definedName>
    <definedName name="IQ_CURR_ACCT_BALANCE_FC_UNUSED" hidden="1">"c7727"</definedName>
    <definedName name="IQ_CURR_ACCT_BALANCE_PCT" hidden="1">"c6846"</definedName>
    <definedName name="IQ_CURR_ACCT_BALANCE_PCT_FC" hidden="1">"c7726"</definedName>
    <definedName name="IQ_CURR_ACCT_BALANCE_PCT_POP" hidden="1">"c7066"</definedName>
    <definedName name="IQ_CURR_ACCT_BALANCE_PCT_POP_FC" hidden="1">"c7946"</definedName>
    <definedName name="IQ_CURR_ACCT_BALANCE_PCT_YOY" hidden="1">"c7286"</definedName>
    <definedName name="IQ_CURR_ACCT_BALANCE_PCT_YOY_FC" hidden="1">"c8166"</definedName>
    <definedName name="IQ_CURR_ACCT_BALANCE_POP_FC_UNUSED" hidden="1">"c7947"</definedName>
    <definedName name="IQ_CURR_ACCT_BALANCE_POP_UNUSED" hidden="1">"c7067"</definedName>
    <definedName name="IQ_CURR_ACCT_BALANCE_SAAR" hidden="1">"c6848"</definedName>
    <definedName name="IQ_CURR_ACCT_BALANCE_SAAR_APR" hidden="1">"c7508"</definedName>
    <definedName name="IQ_CURR_ACCT_BALANCE_SAAR_APR_FC" hidden="1">"c8388"</definedName>
    <definedName name="IQ_CURR_ACCT_BALANCE_SAAR_FC" hidden="1">"c7728"</definedName>
    <definedName name="IQ_CURR_ACCT_BALANCE_SAAR_POP" hidden="1">"c7068"</definedName>
    <definedName name="IQ_CURR_ACCT_BALANCE_SAAR_POP_FC" hidden="1">"c7948"</definedName>
    <definedName name="IQ_CURR_ACCT_BALANCE_SAAR_USD_APR_FC" hidden="1">"c11797"</definedName>
    <definedName name="IQ_CURR_ACCT_BALANCE_SAAR_USD_FC" hidden="1">"c11794"</definedName>
    <definedName name="IQ_CURR_ACCT_BALANCE_SAAR_USD_POP_FC" hidden="1">"c11795"</definedName>
    <definedName name="IQ_CURR_ACCT_BALANCE_SAAR_USD_YOY_FC" hidden="1">"c11796"</definedName>
    <definedName name="IQ_CURR_ACCT_BALANCE_SAAR_YOY" hidden="1">"c7288"</definedName>
    <definedName name="IQ_CURR_ACCT_BALANCE_SAAR_YOY_FC" hidden="1">"c8168"</definedName>
    <definedName name="IQ_CURR_ACCT_BALANCE_UNUSED" hidden="1">"c6847"</definedName>
    <definedName name="IQ_CURR_ACCT_BALANCE_USD" hidden="1">"c11786"</definedName>
    <definedName name="IQ_CURR_ACCT_BALANCE_USD_APR" hidden="1">"c11789"</definedName>
    <definedName name="IQ_CURR_ACCT_BALANCE_USD_APR_FC" hidden="1">"c11793"</definedName>
    <definedName name="IQ_CURR_ACCT_BALANCE_USD_FC" hidden="1">"c11790"</definedName>
    <definedName name="IQ_CURR_ACCT_BALANCE_USD_POP" hidden="1">"c11787"</definedName>
    <definedName name="IQ_CURR_ACCT_BALANCE_USD_POP_FC" hidden="1">"c11791"</definedName>
    <definedName name="IQ_CURR_ACCT_BALANCE_USD_YOY" hidden="1">"c11788"</definedName>
    <definedName name="IQ_CURR_ACCT_BALANCE_USD_YOY_FC" hidden="1">"c11792"</definedName>
    <definedName name="IQ_CURR_ACCT_BALANCE_YOY_FC_UNUSED" hidden="1">"c8167"</definedName>
    <definedName name="IQ_CURR_ACCT_BALANCE_YOY_UNUSED" hidden="1">"c7287"</definedName>
    <definedName name="IQ_CURR_ACCT_INC_RECEIPTS" hidden="1">"c6849"</definedName>
    <definedName name="IQ_CURR_ACCT_INC_RECEIPTS_APR" hidden="1">"c7509"</definedName>
    <definedName name="IQ_CURR_ACCT_INC_RECEIPTS_APR_FC" hidden="1">"c8389"</definedName>
    <definedName name="IQ_CURR_ACCT_INC_RECEIPTS_FC" hidden="1">"c7729"</definedName>
    <definedName name="IQ_CURR_ACCT_INC_RECEIPTS_POP" hidden="1">"c7069"</definedName>
    <definedName name="IQ_CURR_ACCT_INC_RECEIPTS_POP_FC" hidden="1">"c7949"</definedName>
    <definedName name="IQ_CURR_ACCT_INC_RECEIPTS_YOY" hidden="1">"c7289"</definedName>
    <definedName name="IQ_CURR_ACCT_INC_RECEIPTS_YOY_FC" hidden="1">"c8169"</definedName>
    <definedName name="IQ_CURR_DOMESTIC_TAXES" hidden="1">"c2074"</definedName>
    <definedName name="IQ_CURR_FOREIGN_TAXES" hidden="1">"c2075"</definedName>
    <definedName name="IQ_CURRENCY_COIN_DOMESTIC_FDIC" hidden="1">"c6388"</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 hidden="1">"c6205"</definedName>
    <definedName name="IQ_CURRENCY_GAIN_REIT" hidden="1">"c239"</definedName>
    <definedName name="IQ_CURRENCY_GAIN_UTI" hidden="1">"c240"</definedName>
    <definedName name="IQ_CURRENT_BENCHMARK" hidden="1">"c6780"</definedName>
    <definedName name="IQ_CURRENT_BENCHMARK_CIQID" hidden="1">"c6781"</definedName>
    <definedName name="IQ_CURRENT_BENCHMARK_MATURITY" hidden="1">"c6782"</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 hidden="1">"c6283"</definedName>
    <definedName name="IQ_CURRENT_PORT_DEBT_REIT" hidden="1">"c1570"</definedName>
    <definedName name="IQ_CURRENT_PORT_DEBT_UTI" hidden="1">"c1571"</definedName>
    <definedName name="IQ_CURRENT_PORT_FHLB_DEBT" hidden="1">"c5657"</definedName>
    <definedName name="IQ_CURRENT_PORT_LEASES" hidden="1">"c245"</definedName>
    <definedName name="IQ_CURRENT_PORT_PCT" hidden="1">"c2541"</definedName>
    <definedName name="IQ_CURRENT_RATIO" hidden="1">"c246"</definedName>
    <definedName name="IQ_CUSIP" hidden="1">"c2245"</definedName>
    <definedName name="IQ_CUSTOMER_LIAB_ACCEPTANCES_OUT_FFIEC" hidden="1">"c12835"</definedName>
    <definedName name="IQ_CY">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 hidden="1">"c6206"</definedName>
    <definedName name="IQ_DA_CF_REIT" hidden="1">"c254"</definedName>
    <definedName name="IQ_DA_CF_UTI" hidden="1">"c255"</definedName>
    <definedName name="IQ_DA_EBITDA" hidden="1">"c5528"</definedName>
    <definedName name="IQ_DA_FIN" hidden="1">"c256"</definedName>
    <definedName name="IQ_DA_INS" hidden="1">"c257"</definedName>
    <definedName name="IQ_DA_RE" hidden="1">"c6207"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 hidden="1">"c6208"</definedName>
    <definedName name="IQ_DA_SUPPL_CF_REIT" hidden="1">"c266"</definedName>
    <definedName name="IQ_DA_SUPPL_CF_UTI" hidden="1">"c267"</definedName>
    <definedName name="IQ_DA_SUPPL_FIN" hidden="1">"c268"</definedName>
    <definedName name="IQ_DA_SUPPL_INS" hidden="1">"c269"</definedName>
    <definedName name="IQ_DA_SUPPL_RE" hidden="1">"c6209"</definedName>
    <definedName name="IQ_DA_SUPPL_REIT" hidden="1">"c270"</definedName>
    <definedName name="IQ_DA_SUPPL_UTI" hidden="1">"c271"</definedName>
    <definedName name="IQ_DA_UTI" hidden="1">"c272"</definedName>
    <definedName name="IQ_DAILY">500000</definedName>
    <definedName name="IQ_DATA_PROCESSING_EXP_FFIEC" hidden="1">"c13047"</definedName>
    <definedName name="IQ_DATED_DATE" hidden="1">"c2185"</definedName>
    <definedName name="IQ_DAY_COUNT" hidden="1">"c2161"</definedName>
    <definedName name="IQ_DAYS_COVER_SHORT" hidden="1">"c1578"</definedName>
    <definedName name="IQ_DAYS_DELAY" hidden="1">"c8963"</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1_5_INVEST_SECURITIES_FFIEC" hidden="1">"c13465"</definedName>
    <definedName name="IQ_DEBT_ADJ" hidden="1">"c2515"</definedName>
    <definedName name="IQ_DEBT_ADJ_PCT" hidden="1">"c2516"</definedName>
    <definedName name="IQ_DEBT_EQUIV_NET_PBO" hidden="1">"c2938"</definedName>
    <definedName name="IQ_DEBT_EQUIV_OPER_LEASE" hidden="1">"c2935"</definedName>
    <definedName name="IQ_DEBT_LESS_1YR_INVEST_SECURITIES_FFIEC" hidden="1">"c13464"</definedName>
    <definedName name="IQ_DEBT_MATURING_MORE_THAN_ONE_YEAR_FFIEC" hidden="1">"c13164"</definedName>
    <definedName name="IQ_DEBT_MATURING_WITHIN_ONE_YEAR_FFIEC" hidden="1">"c13163"</definedName>
    <definedName name="IQ_DEBT_SEC_OVER_5YR_INVEST_SECURITIES_FFIEC" hidden="1">"c13466"</definedName>
    <definedName name="IQ_DEBT_SECURITIES_FOREIGN_FFIEC" hidden="1">"c13484"</definedName>
    <definedName name="IQ_DEBT_SECURITIES_OTHER_ASSETS_DUE_30_89_FFIEC" hidden="1">"c13279"</definedName>
    <definedName name="IQ_DEBT_SECURITIES_OTHER_ASSETS_DUE_90_FFIEC" hidden="1">"c13305"</definedName>
    <definedName name="IQ_DEBT_SECURITIES_OTHER_ASSETS_NON_ACCRUAL_FFIEC" hidden="1">"c13331"</definedName>
    <definedName name="IQ_DECREASE_INT_EXPENSE_FFIEC" hidden="1">"c13064"</definedName>
    <definedName name="IQ_DEDUCTIONS_TOTAL_RISK_BASED_CAPITAL_FFIEC" hidden="1">"c13152"</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 hidden="1">"c6210"</definedName>
    <definedName name="IQ_DEF_CHARGES_LT_REIT" hidden="1">"c297"</definedName>
    <definedName name="IQ_DEF_CHARGES_LT_UTI" hidden="1">"c298"</definedName>
    <definedName name="IQ_DEF_CHARGES_RE" hidden="1">"c6211"</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SPENDING_REAL_SAAR" hidden="1">"c6971"</definedName>
    <definedName name="IQ_DEF_SPENDING_REAL_SAAR_APR" hidden="1">"c7631"</definedName>
    <definedName name="IQ_DEF_SPENDING_REAL_SAAR_APR_FC" hidden="1">"c8511"</definedName>
    <definedName name="IQ_DEF_SPENDING_REAL_SAAR_FC" hidden="1">"c7851"</definedName>
    <definedName name="IQ_DEF_SPENDING_REAL_SAAR_POP" hidden="1">"c7191"</definedName>
    <definedName name="IQ_DEF_SPENDING_REAL_SAAR_POP_FC" hidden="1">"c8071"</definedName>
    <definedName name="IQ_DEF_SPENDING_REAL_SAAR_YOY" hidden="1">"c7411"</definedName>
    <definedName name="IQ_DEF_SPENDING_REAL_SAAR_YOY_FC" hidden="1">"c8291"</definedName>
    <definedName name="IQ_DEF_TAX_ASSET_LT_BR" hidden="1">"c304"</definedName>
    <definedName name="IQ_DEF_TAX_ASSET_LT_FIN" hidden="1">"c305"</definedName>
    <definedName name="IQ_DEF_TAX_ASSET_LT_INS" hidden="1">"c306"</definedName>
    <definedName name="IQ_DEF_TAX_ASSET_LT_RE" hidden="1">"c6212"</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 hidden="1">"c6213"</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_ASSETS_FFIEC" hidden="1">"c12843"</definedName>
    <definedName name="IQ_DEFERRED_TAX_ASSETS_T1_FFIEC" hidden="1">"c13141"</definedName>
    <definedName name="IQ_DEFERRED_TAX_LIAB_FFIEC" hidden="1">"c12870"</definedName>
    <definedName name="IQ_DEFERRED_TAXES" hidden="1">"c1356"</definedName>
    <definedName name="IQ_DEMAND_DEP" hidden="1">"c320"</definedName>
    <definedName name="IQ_DEMAND_DEPOSITS_COMMERCIAL_BANK_SUBS_FFIEC" hidden="1">"c12945"</definedName>
    <definedName name="IQ_DEMAND_DEPOSITS_FDIC" hidden="1">"c6489"</definedName>
    <definedName name="IQ_DEMAND_DEPOSITS_TOT_DEPOSITS_FFIEC" hidden="1">"c13902"</definedName>
    <definedName name="IQ_DEPOSIT_ACCOUNTS_LESS_THAN_100K_FDIC" hidden="1">"c6494"</definedName>
    <definedName name="IQ_DEPOSIT_ACCOUNTS_MORE_THAN_100K_FDIC" hidden="1">"c6492"</definedName>
    <definedName name="IQ_DEPOSITORY_INST_ACCEPTANCES_LL_REC_DOM_FFIEC" hidden="1">"c12908"</definedName>
    <definedName name="IQ_DEPOSITORY_INST_GROSS_LOANS_FFIEC" hidden="1">"c13409"</definedName>
    <definedName name="IQ_DEPOSITORY_INST_RISK_BASED_FFIEC" hidden="1">"c13430"</definedName>
    <definedName name="IQ_DEPOSITORY_INSTITUTIONS_CHARGE_OFFS_FDIC" hidden="1">"c6596"</definedName>
    <definedName name="IQ_DEPOSITORY_INSTITUTIONS_NET_CHARGE_OFFS_FDIC" hidden="1">"c6634"</definedName>
    <definedName name="IQ_DEPOSITORY_INSTITUTIONS_RECOVERIES_FDIC" hidden="1">"c6615"</definedName>
    <definedName name="IQ_DEPOSITS_100K_MORE_ASSETS_TOT_FFIEC" hidden="1">"c13444"</definedName>
    <definedName name="IQ_DEPOSITS_DOM_FFIEC" hidden="1">"c12850"</definedName>
    <definedName name="IQ_DEPOSITS_FAIR_VALUE_TOT_FFIEC" hidden="1">"c13213"</definedName>
    <definedName name="IQ_DEPOSITS_FIN" hidden="1">"c321"</definedName>
    <definedName name="IQ_DEPOSITS_FOREIGN_FFIEC" hidden="1">"c12853"</definedName>
    <definedName name="IQ_DEPOSITS_HELD_DOMESTIC_FDIC" hidden="1">"c6340"</definedName>
    <definedName name="IQ_DEPOSITS_HELD_FOREIGN_FDIC" hidden="1">"c6341"</definedName>
    <definedName name="IQ_DEPOSITS_INTEREST_SECURITIES" hidden="1">"c5509"</definedName>
    <definedName name="IQ_DEPOSITS_LESS_100K_COMMERCIAL_BANK_SUBS_FFIEC" hidden="1">"c12948"</definedName>
    <definedName name="IQ_DEPOSITS_LESS_THAN_100K_AFTER_THREE_YEARS_FDIC" hidden="1">"c6464"</definedName>
    <definedName name="IQ_DEPOSITS_LESS_THAN_100K_THREE_MONTHS_FDIC" hidden="1">"c6461"</definedName>
    <definedName name="IQ_DEPOSITS_LESS_THAN_100K_THREE_YEARS_FDIC" hidden="1">"c6463"</definedName>
    <definedName name="IQ_DEPOSITS_LESS_THAN_100K_TWELVE_MONTHS_FDIC" hidden="1">"c6462"</definedName>
    <definedName name="IQ_DEPOSITS_LEVEL_1_FFIEC" hidden="1">"c13221"</definedName>
    <definedName name="IQ_DEPOSITS_LEVEL_2_FFIEC" hidden="1">"c13229"</definedName>
    <definedName name="IQ_DEPOSITS_LEVEL_3_FFIEC" hidden="1">"c13237"</definedName>
    <definedName name="IQ_DEPOSITS_MORE_100K_COMMERCIAL_BANK_SUBS_FFIEC" hidden="1">"c12949"</definedName>
    <definedName name="IQ_DEPOSITS_MORE_THAN_100K_AFTER_THREE_YEARS_FDIC" hidden="1">"c6469"</definedName>
    <definedName name="IQ_DEPOSITS_MORE_THAN_100K_THREE_MONTHS_FDIC" hidden="1">"c6466"</definedName>
    <definedName name="IQ_DEPOSITS_MORE_THAN_100K_THREE_YEARS_FDIC" hidden="1">"c6468"</definedName>
    <definedName name="IQ_DEPOSITS_MORE_THAN_100K_TWELVE_MONTHS_FDIC" hidden="1">"c6467"</definedName>
    <definedName name="IQ_DEPRE_AMORT" hidden="1">"c1360"</definedName>
    <definedName name="IQ_DEPRE_AMORT_SUPPL" hidden="1">"c1593"</definedName>
    <definedName name="IQ_DEPRE_DEPLE" hidden="1">"c1361"</definedName>
    <definedName name="IQ_DEPRE_SUPP" hidden="1">"c1443"</definedName>
    <definedName name="IQ_DERIVATIVES_FDIC" hidden="1">"c6523"</definedName>
    <definedName name="IQ_DERIVATIVES_NEGATIVE_FAIR_VALUE_DOM_FFIEC" hidden="1">"c12943"</definedName>
    <definedName name="IQ_DERIVATIVES_NEGATIVE_VALUE_FFIEC" hidden="1">"c12861"</definedName>
    <definedName name="IQ_DERIVATIVES_POS_FAIR_VALUE_FFIEC" hidden="1">"c12827"</definedName>
    <definedName name="IQ_DERIVATIVES_POSITIVE_FAIR_VALUE_TRADING_DOM_FFIEC" hidden="1">"c12938"</definedName>
    <definedName name="IQ_DESCRIPTION_LONG" hidden="1">"c1520"</definedName>
    <definedName name="IQ_DEVELOP_LAND" hidden="1">"c323"</definedName>
    <definedName name="IQ_DIC" hidden="1">"c13834"</definedName>
    <definedName name="IQ_DIFF_LASTCLOSE_TARGET_PRICE" hidden="1">"c1854"</definedName>
    <definedName name="IQ_DIFF_LASTCLOSE_TARGET_PRICE_CIQ" hidden="1">"c4767"</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RECT_AH_EARNED" hidden="1">"c2740"</definedName>
    <definedName name="IQ_DIRECT_EARNED" hidden="1">"c2730"</definedName>
    <definedName name="IQ_DIRECT_LIFE_EARNED" hidden="1">"c2735"</definedName>
    <definedName name="IQ_DIRECT_LIFE_IN_FORCE" hidden="1">"c2765"</definedName>
    <definedName name="IQ_DIRECT_PC_EARNED" hidden="1">"c2745"</definedName>
    <definedName name="IQ_DIRECT_WRITTEN" hidden="1">"c2724"</definedName>
    <definedName name="IQ_DIRECTORS_FEES_FFIEC" hidden="1">"c13049"</definedName>
    <definedName name="IQ_DISALLOWED_DEFERRED_TAX_ASSETS_FFIEC" hidden="1">"c13157"</definedName>
    <definedName name="IQ_DISALLOWED_GOODWILL_INTANGIBLE_ASSETS_FFIEC" hidden="1">"c13155"</definedName>
    <definedName name="IQ_DISALLOWED_GOODWILL_INTANGIBLES_T1_FFIEC" hidden="1">"c13137"</definedName>
    <definedName name="IQ_DISALLOWED_SERVICING_ASSETS_FFIEC" hidden="1">"c13156"</definedName>
    <definedName name="IQ_DISALLOWED_SERVICING_ASSETS_T1_FFIEC" hidden="1">"c13140"</definedName>
    <definedName name="IQ_DISCONT_OPER" hidden="1">"c1367"</definedName>
    <definedName name="IQ_DISCOUNT_RATE_PENSION_DOMESTIC" hidden="1">"c327"</definedName>
    <definedName name="IQ_DISCOUNT_RATE_PENSION_FOREIGN" hidden="1">"c328"</definedName>
    <definedName name="IQ_DISPOSABLE_PERSONAL_INC" hidden="1">"c6850"</definedName>
    <definedName name="IQ_DISPOSABLE_PERSONAL_INC_APR" hidden="1">"c7510"</definedName>
    <definedName name="IQ_DISPOSABLE_PERSONAL_INC_APR_FC" hidden="1">"c8390"</definedName>
    <definedName name="IQ_DISPOSABLE_PERSONAL_INC_FC" hidden="1">"c7730"</definedName>
    <definedName name="IQ_DISPOSABLE_PERSONAL_INC_POP" hidden="1">"c7070"</definedName>
    <definedName name="IQ_DISPOSABLE_PERSONAL_INC_POP_FC" hidden="1">"c7950"</definedName>
    <definedName name="IQ_DISPOSABLE_PERSONAL_INC_REAL" hidden="1">"c11922"</definedName>
    <definedName name="IQ_DISPOSABLE_PERSONAL_INC_REAL_APR" hidden="1">"c11925"</definedName>
    <definedName name="IQ_DISPOSABLE_PERSONAL_INC_REAL_POP" hidden="1">"c11923"</definedName>
    <definedName name="IQ_DISPOSABLE_PERSONAL_INC_REAL_YOY" hidden="1">"c11924"</definedName>
    <definedName name="IQ_DISPOSABLE_PERSONAL_INC_SAAR" hidden="1">"c6851"</definedName>
    <definedName name="IQ_DISPOSABLE_PERSONAL_INC_SAAR_APR" hidden="1">"c7511"</definedName>
    <definedName name="IQ_DISPOSABLE_PERSONAL_INC_SAAR_APR_FC" hidden="1">"c8391"</definedName>
    <definedName name="IQ_DISPOSABLE_PERSONAL_INC_SAAR_FC" hidden="1">"c7731"</definedName>
    <definedName name="IQ_DISPOSABLE_PERSONAL_INC_SAAR_POP" hidden="1">"c7071"</definedName>
    <definedName name="IQ_DISPOSABLE_PERSONAL_INC_SAAR_POP_FC" hidden="1">"c7951"</definedName>
    <definedName name="IQ_DISPOSABLE_PERSONAL_INC_SAAR_USD_APR_FC" hidden="1">"c11805"</definedName>
    <definedName name="IQ_DISPOSABLE_PERSONAL_INC_SAAR_USD_FC" hidden="1">"c11802"</definedName>
    <definedName name="IQ_DISPOSABLE_PERSONAL_INC_SAAR_USD_POP_FC" hidden="1">"c11803"</definedName>
    <definedName name="IQ_DISPOSABLE_PERSONAL_INC_SAAR_USD_YOY_FC" hidden="1">"c11804"</definedName>
    <definedName name="IQ_DISPOSABLE_PERSONAL_INC_SAAR_YOY" hidden="1">"c7291"</definedName>
    <definedName name="IQ_DISPOSABLE_PERSONAL_INC_SAAR_YOY_FC" hidden="1">"c8171"</definedName>
    <definedName name="IQ_DISPOSABLE_PERSONAL_INC_USD_APR_FC" hidden="1">"c11801"</definedName>
    <definedName name="IQ_DISPOSABLE_PERSONAL_INC_USD_FC" hidden="1">"c11798"</definedName>
    <definedName name="IQ_DISPOSABLE_PERSONAL_INC_USD_POP_FC" hidden="1">"c11799"</definedName>
    <definedName name="IQ_DISPOSABLE_PERSONAL_INC_USD_YOY_FC" hidden="1">"c11800"</definedName>
    <definedName name="IQ_DISPOSABLE_PERSONAL_INC_YOY" hidden="1">"c7290"</definedName>
    <definedName name="IQ_DISPOSABLE_PERSONAL_INC_YOY_FC" hidden="1">"c8170"</definedName>
    <definedName name="IQ_DISTR_EXCESS_EARN" hidden="1">"c329"</definedName>
    <definedName name="IQ_DISTRIBUTABLE_CASH" hidden="1">"c3002"</definedName>
    <definedName name="IQ_DISTRIBUTABLE_CASH_ACT_OR_EST_CIQ" hidden="1">"c4803"</definedName>
    <definedName name="IQ_DISTRIBUTABLE_CASH_PAYOUT" hidden="1">"c3005"</definedName>
    <definedName name="IQ_DISTRIBUTABLE_CASH_SHARE" hidden="1">"c3003"</definedName>
    <definedName name="IQ_DISTRIBUTABLE_CASH_SHARE_ACT_OR_EST_CIQ" hidden="1">"c4811"</definedName>
    <definedName name="IQ_DIV_AMOUNT" hidden="1">"c3041"</definedName>
    <definedName name="IQ_DIV_PAYMENT_DATE" hidden="1">"c2205"</definedName>
    <definedName name="IQ_DIV_PAYMENT_TYPE" hidden="1">"c12752"</definedName>
    <definedName name="IQ_DIV_RECORD_DATE" hidden="1">"c2204"</definedName>
    <definedName name="IQ_DIV_SHARE" hidden="1">"c330"</definedName>
    <definedName name="IQ_DIVEST_CF" hidden="1">"c331"</definedName>
    <definedName name="IQ_DIVID_SHARE" hidden="1">"c1366"</definedName>
    <definedName name="IQ_DIVIDEND_YIELD" hidden="1">"c332"</definedName>
    <definedName name="IQ_DIVIDENDS_DECLARED_COMMON_FDIC" hidden="1">"c6659"</definedName>
    <definedName name="IQ_DIVIDENDS_DECLARED_COMMON_FFIEC" hidden="1">"c12969"</definedName>
    <definedName name="IQ_DIVIDENDS_DECLARED_PREFERRED_FDIC" hidden="1">"c6658"</definedName>
    <definedName name="IQ_DIVIDENDS_DECLARED_PREFERRED_FFIEC" hidden="1">"c12968"</definedName>
    <definedName name="IQ_DIVIDENDS_FDIC" hidden="1">"c6660"</definedName>
    <definedName name="IQ_DIVIDENDS_NET_INCOME_FFIEC" hidden="1">"c13349"</definedName>
    <definedName name="IQ_DIVIDENDS_PAID_DECLARED_PERIOD_COVERED" hidden="1">"c9960"</definedName>
    <definedName name="IQ_DIVIDENDS_PAID_DECLARED_PERIOD_GROUP" hidden="1">"c9946"</definedName>
    <definedName name="IQ_DNB_OTHER_EXP_INC_TAX_US" hidden="1">"c6787"</definedName>
    <definedName name="IQ_DO" hidden="1">"c333"</definedName>
    <definedName name="IQ_DO_ASSETS_CURRENT" hidden="1">"c334"</definedName>
    <definedName name="IQ_DO_ASSETS_LT" hidden="1">"c335"</definedName>
    <definedName name="IQ_DO_CF" hidden="1">"c336"</definedName>
    <definedName name="IQ_DOC_CLAUSE" hidden="1">"c6032"</definedName>
    <definedName name="IQ_DOM_OFFICE_DEPOSITS_TOT_DEPOSITS_FFIEC" hidden="1">"c13910"</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CAGR" hidden="1">"c6065"</definedName>
    <definedName name="IQ_DPS_10YR_ANN_GROWTH" hidden="1">"c337"</definedName>
    <definedName name="IQ_DPS_1YR_ANN_GROWTH" hidden="1">"c338"</definedName>
    <definedName name="IQ_DPS_2YR_ANN_CAGR" hidden="1">"c6066"</definedName>
    <definedName name="IQ_DPS_2YR_ANN_GROWTH" hidden="1">"c339"</definedName>
    <definedName name="IQ_DPS_3YR_ANN_CAGR" hidden="1">"c6067"</definedName>
    <definedName name="IQ_DPS_3YR_ANN_GROWTH" hidden="1">"c340"</definedName>
    <definedName name="IQ_DPS_5YR_ANN_CAGR" hidden="1">"c6068"</definedName>
    <definedName name="IQ_DPS_5YR_ANN_GROWTH" hidden="1">"c341"</definedName>
    <definedName name="IQ_DPS_7YR_ANN_CAGR" hidden="1">"c6069"</definedName>
    <definedName name="IQ_DPS_7YR_ANN_GROWTH" hidden="1">"c342"</definedName>
    <definedName name="IQ_DURABLE_INVENTORIES" hidden="1">"c6853"</definedName>
    <definedName name="IQ_DURABLE_INVENTORIES_APR" hidden="1">"c7513"</definedName>
    <definedName name="IQ_DURABLE_INVENTORIES_APR_FC" hidden="1">"c8393"</definedName>
    <definedName name="IQ_DURABLE_INVENTORIES_FC" hidden="1">"c7733"</definedName>
    <definedName name="IQ_DURABLE_INVENTORIES_POP" hidden="1">"c7073"</definedName>
    <definedName name="IQ_DURABLE_INVENTORIES_POP_FC" hidden="1">"c7953"</definedName>
    <definedName name="IQ_DURABLE_INVENTORIES_YOY" hidden="1">"c7293"</definedName>
    <definedName name="IQ_DURABLE_INVENTORIES_YOY_FC" hidden="1">"c8173"</definedName>
    <definedName name="IQ_DURABLE_ORDERS" hidden="1">"c6854"</definedName>
    <definedName name="IQ_DURABLE_ORDERS_APR" hidden="1">"c7514"</definedName>
    <definedName name="IQ_DURABLE_ORDERS_APR_FC" hidden="1">"c8394"</definedName>
    <definedName name="IQ_DURABLE_ORDERS_FC" hidden="1">"c7734"</definedName>
    <definedName name="IQ_DURABLE_ORDERS_POP" hidden="1">"c7074"</definedName>
    <definedName name="IQ_DURABLE_ORDERS_POP_FC" hidden="1">"c7954"</definedName>
    <definedName name="IQ_DURABLE_ORDERS_YOY" hidden="1">"c7294"</definedName>
    <definedName name="IQ_DURABLE_ORDERS_YOY_FC" hidden="1">"c8174"</definedName>
    <definedName name="IQ_DURABLE_SHIPMENTS" hidden="1">"c6855"</definedName>
    <definedName name="IQ_DURABLE_SHIPMENTS_APR" hidden="1">"c7515"</definedName>
    <definedName name="IQ_DURABLE_SHIPMENTS_APR_FC" hidden="1">"c8395"</definedName>
    <definedName name="IQ_DURABLE_SHIPMENTS_FC" hidden="1">"c7735"</definedName>
    <definedName name="IQ_DURABLE_SHIPMENTS_POP" hidden="1">"c7075"</definedName>
    <definedName name="IQ_DURABLE_SHIPMENTS_POP_FC" hidden="1">"c7955"</definedName>
    <definedName name="IQ_DURABLE_SHIPMENTS_YOY" hidden="1">"c7295"</definedName>
    <definedName name="IQ_DURABLE_SHIPMENTS_YOY_FC" hidden="1">"c8175"</definedName>
    <definedName name="IQ_DURATION" hidden="1">"c2181"</definedName>
    <definedName name="IQ_EARNING_ASSET_YIELD" hidden="1">"c343"</definedName>
    <definedName name="IQ_EARNING_ASSETS_AVG_ASSETS_FFIEC" hidden="1">"c13354"</definedName>
    <definedName name="IQ_EARNING_ASSETS_FDIC" hidden="1">"c6360"</definedName>
    <definedName name="IQ_EARNING_ASSETS_QUARTERLY_AVG_FFIEC" hidden="1">"c13086"</definedName>
    <definedName name="IQ_EARNING_ASSETS_REPRICE_ASSETS_TOT_FFIEC" hidden="1">"c13451"</definedName>
    <definedName name="IQ_EARNING_ASSETS_YIELD_FDIC" hidden="1">"c6724"</definedName>
    <definedName name="IQ_EARNING_CO" hidden="1">"c344"</definedName>
    <definedName name="IQ_EARNING_CO_10YR_ANN_CAGR" hidden="1">"c6070"</definedName>
    <definedName name="IQ_EARNING_CO_10YR_ANN_GROWTH" hidden="1">"c345"</definedName>
    <definedName name="IQ_EARNING_CO_1YR_ANN_GROWTH" hidden="1">"c346"</definedName>
    <definedName name="IQ_EARNING_CO_2YR_ANN_CAGR" hidden="1">"c6071"</definedName>
    <definedName name="IQ_EARNING_CO_2YR_ANN_GROWTH" hidden="1">"c347"</definedName>
    <definedName name="IQ_EARNING_CO_3YR_ANN_CAGR" hidden="1">"c6072"</definedName>
    <definedName name="IQ_EARNING_CO_3YR_ANN_GROWTH" hidden="1">"c348"</definedName>
    <definedName name="IQ_EARNING_CO_5YR_ANN_CAGR" hidden="1">"c6073"</definedName>
    <definedName name="IQ_EARNING_CO_5YR_ANN_GROWTH" hidden="1">"c349"</definedName>
    <definedName name="IQ_EARNING_CO_7YR_ANN_CAGR" hidden="1">"c6074"</definedName>
    <definedName name="IQ_EARNING_CO_7YR_ANN_GROWTH" hidden="1">"c350"</definedName>
    <definedName name="IQ_EARNING_CO_MARGIN" hidden="1">"c351"</definedName>
    <definedName name="IQ_EARNINGS_ANNOUNCE_DATE" hidden="1">"c1649"</definedName>
    <definedName name="IQ_EARNINGS_ANNOUNCE_DATE_CIQ" hidden="1">"c4656"</definedName>
    <definedName name="IQ_EARNINGS_CO_FFIEC" hidden="1">"c13032"</definedName>
    <definedName name="IQ_EARNINGS_COVERAGE_LOSSES_FFIEC" hidden="1">"c13351"</definedName>
    <definedName name="IQ_EARNINGS_COVERAGE_NET_CHARGE_OFFS_FDIC" hidden="1">"c6735"</definedName>
    <definedName name="IQ_EARNINGS_LIFE_INSURANCE_FFIEC" hidden="1">"c13041"</definedName>
    <definedName name="IQ_EARNINGS_PERIOD_COVERED" hidden="1">"c9958"</definedName>
    <definedName name="IQ_EARNINGS_PERIOD_GROUP" hidden="1">"c9944"</definedName>
    <definedName name="IQ_EBIT" hidden="1">"c352"</definedName>
    <definedName name="IQ_EBIT_10YR_ANN_CAGR" hidden="1">"c6075"</definedName>
    <definedName name="IQ_EBIT_10YR_ANN_GROWTH" hidden="1">"c353"</definedName>
    <definedName name="IQ_EBIT_1YR_ANN_GROWTH" hidden="1">"c354"</definedName>
    <definedName name="IQ_EBIT_2YR_ANN_CAGR" hidden="1">"c6076"</definedName>
    <definedName name="IQ_EBIT_2YR_ANN_GROWTH" hidden="1">"c355"</definedName>
    <definedName name="IQ_EBIT_3YR_ANN_CAGR" hidden="1">"c6077"</definedName>
    <definedName name="IQ_EBIT_3YR_ANN_GROWTH" hidden="1">"c356"</definedName>
    <definedName name="IQ_EBIT_5YR_ANN_CAGR" hidden="1">"c6078"</definedName>
    <definedName name="IQ_EBIT_5YR_ANN_GROWTH" hidden="1">"c357"</definedName>
    <definedName name="IQ_EBIT_7YR_ANN_CAGR" hidden="1">"c6079"</definedName>
    <definedName name="IQ_EBIT_7YR_ANN_GROWTH" hidden="1">"c358"</definedName>
    <definedName name="IQ_EBIT_EQ_INC" hidden="1">"c3498"</definedName>
    <definedName name="IQ_EBIT_EQ_INC_EXCL_SBC" hidden="1">"c3502"</definedName>
    <definedName name="IQ_EBIT_EXCL_SBC" hidden="1">"c3082"</definedName>
    <definedName name="IQ_EBIT_INT" hidden="1">"c360"</definedName>
    <definedName name="IQ_EBIT_MARGIN" hidden="1">"c359"</definedName>
    <definedName name="IQ_EBIT_OVER_IE" hidden="1">"c1369"</definedName>
    <definedName name="IQ_EBIT_SBC_ACT_OR_EST_CIQ" hidden="1">"c4841"</definedName>
    <definedName name="IQ_EBIT_SBC_GW_ACT_OR_EST_CIQ" hidden="1">"c4845"</definedName>
    <definedName name="IQ_EBITA" hidden="1">"c1910"</definedName>
    <definedName name="IQ_EBITA_10YR_ANN_CAGR" hidden="1">"c6184"</definedName>
    <definedName name="IQ_EBITA_10YR_ANN_GROWTH" hidden="1">"c1954"</definedName>
    <definedName name="IQ_EBITA_1YR_ANN_GROWTH" hidden="1">"c1949"</definedName>
    <definedName name="IQ_EBITA_2YR_ANN_CAGR" hidden="1">"c6180"</definedName>
    <definedName name="IQ_EBITA_2YR_ANN_GROWTH" hidden="1">"c1950"</definedName>
    <definedName name="IQ_EBITA_3YR_ANN_CAGR" hidden="1">"c6181"</definedName>
    <definedName name="IQ_EBITA_3YR_ANN_GROWTH" hidden="1">"c1951"</definedName>
    <definedName name="IQ_EBITA_5YR_ANN_CAGR" hidden="1">"c6182"</definedName>
    <definedName name="IQ_EBITA_5YR_ANN_GROWTH" hidden="1">"c1952"</definedName>
    <definedName name="IQ_EBITA_7YR_ANN_CAGR" hidden="1">"c6183"</definedName>
    <definedName name="IQ_EBITA_7YR_ANN_GROWTH" hidden="1">"c1953"</definedName>
    <definedName name="IQ_EBITA_EQ_INC" hidden="1">"c3497"</definedName>
    <definedName name="IQ_EBITA_EQ_INC_EXCL_SBC" hidden="1">"c3501"</definedName>
    <definedName name="IQ_EBITA_EXCL_SBC" hidden="1">"c3080"</definedName>
    <definedName name="IQ_EBITA_MARGIN" hidden="1">"c1963"</definedName>
    <definedName name="IQ_EBITDA" hidden="1">"c361"</definedName>
    <definedName name="IQ_EBITDA_10YR_ANN_CAGR" hidden="1">"c6080"</definedName>
    <definedName name="IQ_EBITDA_10YR_ANN_GROWTH" hidden="1">"c362"</definedName>
    <definedName name="IQ_EBITDA_1YR_ANN_GROWTH" hidden="1">"c363"</definedName>
    <definedName name="IQ_EBITDA_2YR_ANN_CAGR" hidden="1">"c6081"</definedName>
    <definedName name="IQ_EBITDA_2YR_ANN_GROWTH" hidden="1">"c364"</definedName>
    <definedName name="IQ_EBITDA_3YR_ANN_CAGR" hidden="1">"c6082"</definedName>
    <definedName name="IQ_EBITDA_3YR_ANN_GROWTH" hidden="1">"c365"</definedName>
    <definedName name="IQ_EBITDA_5YR_ANN_CAGR" hidden="1">"c6083"</definedName>
    <definedName name="IQ_EBITDA_5YR_ANN_GROWTH" hidden="1">"c366"</definedName>
    <definedName name="IQ_EBITDA_7YR_ANN_CAGR" hidden="1">"c6084"</definedName>
    <definedName name="IQ_EBITDA_7YR_ANN_GROWTH" hidden="1">"c367"</definedName>
    <definedName name="IQ_EBITDA_ACT_OR_EST" hidden="1">"c2215"</definedName>
    <definedName name="IQ_EBITDA_ACT_OR_EST_CIQ" hidden="1">"c5060"</definedName>
    <definedName name="IQ_EBITDA_CAPEX_INT" hidden="1">"c368"</definedName>
    <definedName name="IQ_EBITDA_CAPEX_OVER_TOTAL_IE" hidden="1">"c1370"</definedName>
    <definedName name="IQ_EBITDA_EQ_INC" hidden="1">"c3496"</definedName>
    <definedName name="IQ_EBITDA_EQ_INC_EXCL_SBC" hidden="1">"c3500"</definedName>
    <definedName name="IQ_EBITDA_EST" hidden="1">"c369"</definedName>
    <definedName name="IQ_EBITDA_EST_CIQ" hidden="1">"c3622"</definedName>
    <definedName name="IQ_EBITDA_EXCL_SBC" hidden="1">"c3081"</definedName>
    <definedName name="IQ_EBITDA_HIGH_EST" hidden="1">"c370"</definedName>
    <definedName name="IQ_EBITDA_HIGH_EST_CIQ" hidden="1">"c3624"</definedName>
    <definedName name="IQ_EBITDA_INT" hidden="1">"c373"</definedName>
    <definedName name="IQ_EBITDA_LOW_EST" hidden="1">"c371"</definedName>
    <definedName name="IQ_EBITDA_LOW_EST_CIQ" hidden="1">"c3625"</definedName>
    <definedName name="IQ_EBITDA_MARGIN" hidden="1">"c372"</definedName>
    <definedName name="IQ_EBITDA_MEDIAN_EST" hidden="1">"c1663"</definedName>
    <definedName name="IQ_EBITDA_MEDIAN_EST_CIQ" hidden="1">"c3623"</definedName>
    <definedName name="IQ_EBITDA_NUM_EST" hidden="1">"c374"</definedName>
    <definedName name="IQ_EBITDA_NUM_EST_CIQ" hidden="1">"c3626"</definedName>
    <definedName name="IQ_EBITDA_OVER_TOTAL_IE" hidden="1">"c1371"</definedName>
    <definedName name="IQ_EBITDA_SBC_ACT_OR_EST_CIQ" hidden="1">"c4862"</definedName>
    <definedName name="IQ_EBITDA_STDDEV_EST" hidden="1">"c375"</definedName>
    <definedName name="IQ_EBITDA_STDDEV_EST_CIQ" hidden="1">"c3627"</definedName>
    <definedName name="IQ_EBITDAR" hidden="1">"c2989"</definedName>
    <definedName name="IQ_EBITDAR_EQ_INC" hidden="1">"c3499"</definedName>
    <definedName name="IQ_EBITDAR_EQ_INC_EXCL_SBC" hidden="1">"c3503"</definedName>
    <definedName name="IQ_EBITDAR_EXCL_SBC" hidden="1">"c3083"</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 hidden="1">"c6214"</definedName>
    <definedName name="IQ_EBT_EXCL_REIT" hidden="1">"c384"</definedName>
    <definedName name="IQ_EBT_EXCL_UTI" hidden="1">"c385"</definedName>
    <definedName name="IQ_EBT_FFIEC" hidden="1">"c13029"</definedName>
    <definedName name="IQ_EBT_FIN" hidden="1">"c386"</definedName>
    <definedName name="IQ_EBT_FTE_FFIEC" hidden="1">"c13037"</definedName>
    <definedName name="IQ_EBT_INCL_MARGIN" hidden="1">"c387"</definedName>
    <definedName name="IQ_EBT_INS" hidden="1">"c388"</definedName>
    <definedName name="IQ_EBT_RE" hidden="1">"c6215"</definedName>
    <definedName name="IQ_EBT_REIT" hidden="1">"c389"</definedName>
    <definedName name="IQ_EBT_SBC_ACT_OR_EST_CIQ" hidden="1">"c4875"</definedName>
    <definedName name="IQ_EBT_SBC_GW_ACT_OR_EST_CIQ" hidden="1">"c4879"</definedName>
    <definedName name="IQ_EBT_SUBTOTAL_AP" hidden="1">"c8982"</definedName>
    <definedName name="IQ_EBT_UTI" hidden="1">"c390"</definedName>
    <definedName name="IQ_ECO_METRIC_6825_UNUSED" hidden="1">"c6825"</definedName>
    <definedName name="IQ_ECO_METRIC_6839_UNUSED" hidden="1">"c6839"</definedName>
    <definedName name="IQ_ECO_METRIC_6896_UNUSED" hidden="1">"c6896"</definedName>
    <definedName name="IQ_ECO_METRIC_6897_UNUSED" hidden="1">"c6897"</definedName>
    <definedName name="IQ_ECO_METRIC_6927" hidden="1">"c6927"</definedName>
    <definedName name="IQ_ECO_METRIC_6988_UNUSED" hidden="1">"c6988"</definedName>
    <definedName name="IQ_ECO_METRIC_7045_UNUSED" hidden="1">"c7045"</definedName>
    <definedName name="IQ_ECO_METRIC_7059_UNUSED" hidden="1">"c7059"</definedName>
    <definedName name="IQ_ECO_METRIC_7116_UNUSED" hidden="1">"c7116"</definedName>
    <definedName name="IQ_ECO_METRIC_7117_UNUSED" hidden="1">"c7117"</definedName>
    <definedName name="IQ_ECO_METRIC_7147" hidden="1">"c7147"</definedName>
    <definedName name="IQ_ECO_METRIC_7208_UNUSED" hidden="1">"c7208"</definedName>
    <definedName name="IQ_ECO_METRIC_7265_UNUSED" hidden="1">"c7265"</definedName>
    <definedName name="IQ_ECO_METRIC_7279_UNUSED" hidden="1">"c7279"</definedName>
    <definedName name="IQ_ECO_METRIC_7336_UNUSED" hidden="1">"c7336"</definedName>
    <definedName name="IQ_ECO_METRIC_7337_UNUSED" hidden="1">"c7337"</definedName>
    <definedName name="IQ_ECO_METRIC_7367" hidden="1">"c7367"</definedName>
    <definedName name="IQ_ECO_METRIC_7428_UNUSED" hidden="1">"c7428"</definedName>
    <definedName name="IQ_ECO_METRIC_7556_UNUSED" hidden="1">"c7556"</definedName>
    <definedName name="IQ_ECO_METRIC_7557_UNUSED" hidden="1">"c7557"</definedName>
    <definedName name="IQ_ECO_METRIC_7587" hidden="1">"c7587"</definedName>
    <definedName name="IQ_ECO_METRIC_7648_UNUSED" hidden="1">"c7648"</definedName>
    <definedName name="IQ_ECO_METRIC_7704" hidden="1">"c7704"</definedName>
    <definedName name="IQ_ECO_METRIC_7705_UNUSED" hidden="1">"c7705"</definedName>
    <definedName name="IQ_ECO_METRIC_7706" hidden="1">"c7706"</definedName>
    <definedName name="IQ_ECO_METRIC_7718" hidden="1">"c7718"</definedName>
    <definedName name="IQ_ECO_METRIC_7719_UNUSED" hidden="1">"c7719"</definedName>
    <definedName name="IQ_ECO_METRIC_7776_UNUSED" hidden="1">"c7776"</definedName>
    <definedName name="IQ_ECO_METRIC_7777_UNUSED" hidden="1">"c7777"</definedName>
    <definedName name="IQ_ECO_METRIC_7807" hidden="1">"c7807"</definedName>
    <definedName name="IQ_ECO_METRIC_7811" hidden="1">"c7811"</definedName>
    <definedName name="IQ_ECO_METRIC_7868_UNUSED" hidden="1">"c7868"</definedName>
    <definedName name="IQ_ECO_METRIC_7873" hidden="1">"c7873"</definedName>
    <definedName name="IQ_ECO_METRIC_7924" hidden="1">"c7924"</definedName>
    <definedName name="IQ_ECO_METRIC_7925_UNUSED" hidden="1">"c7925"</definedName>
    <definedName name="IQ_ECO_METRIC_7926" hidden="1">"c7926"</definedName>
    <definedName name="IQ_ECO_METRIC_7938" hidden="1">"c7938"</definedName>
    <definedName name="IQ_ECO_METRIC_7939_UNUSED" hidden="1">"c7939"</definedName>
    <definedName name="IQ_ECO_METRIC_7996_UNUSED" hidden="1">"c7996"</definedName>
    <definedName name="IQ_ECO_METRIC_7997_UNUSED" hidden="1">"c7997"</definedName>
    <definedName name="IQ_ECO_METRIC_8027" hidden="1">"c8027"</definedName>
    <definedName name="IQ_ECO_METRIC_8031" hidden="1">"c8031"</definedName>
    <definedName name="IQ_ECO_METRIC_8088_UNUSED" hidden="1">"c8088"</definedName>
    <definedName name="IQ_ECO_METRIC_8093" hidden="1">"c8093"</definedName>
    <definedName name="IQ_ECO_METRIC_8144" hidden="1">"c8144"</definedName>
    <definedName name="IQ_ECO_METRIC_8145_UNUSED" hidden="1">"c8145"</definedName>
    <definedName name="IQ_ECO_METRIC_8146" hidden="1">"c8146"</definedName>
    <definedName name="IQ_ECO_METRIC_8158" hidden="1">"c8158"</definedName>
    <definedName name="IQ_ECO_METRIC_8159_UNUSED" hidden="1">"c8159"</definedName>
    <definedName name="IQ_ECO_METRIC_8216_UNUSED" hidden="1">"c8216"</definedName>
    <definedName name="IQ_ECO_METRIC_8217_UNUSED" hidden="1">"c8217"</definedName>
    <definedName name="IQ_ECO_METRIC_8247" hidden="1">"c8247"</definedName>
    <definedName name="IQ_ECO_METRIC_8251" hidden="1">"c8251"</definedName>
    <definedName name="IQ_ECO_METRIC_8308_UNUSED" hidden="1">"c8308"</definedName>
    <definedName name="IQ_ECO_METRIC_8313" hidden="1">"c8313"</definedName>
    <definedName name="IQ_ECO_METRIC_8366" hidden="1">"c8366"</definedName>
    <definedName name="IQ_ECO_METRIC_8378" hidden="1">"c8378"</definedName>
    <definedName name="IQ_ECO_METRIC_8436_UNUSED" hidden="1">"c8436"</definedName>
    <definedName name="IQ_ECO_METRIC_8437_UNUSED" hidden="1">"c8437"</definedName>
    <definedName name="IQ_ECO_METRIC_8467" hidden="1">"c8467"</definedName>
    <definedName name="IQ_ECO_METRIC_8471" hidden="1">"c8471"</definedName>
    <definedName name="IQ_ECO_METRIC_8528_UNUSED" hidden="1">"c8528"</definedName>
    <definedName name="IQ_ECO_METRIC_8533" hidden="1">"c8533"</definedName>
    <definedName name="IQ_ECS_AUTHORIZED_SHARES" hidden="1">"c5583"</definedName>
    <definedName name="IQ_ECS_AUTHORIZED_SHARES_ABS" hidden="1">"c5597"</definedName>
    <definedName name="IQ_ECS_CONVERT_FACTOR" hidden="1">"c5581"</definedName>
    <definedName name="IQ_ECS_CONVERT_FACTOR_ABS" hidden="1">"c5595"</definedName>
    <definedName name="IQ_ECS_CONVERT_INTO" hidden="1">"c5580"</definedName>
    <definedName name="IQ_ECS_CONVERT_INTO_ABS" hidden="1">"c5594"</definedName>
    <definedName name="IQ_ECS_CONVERT_TYPE" hidden="1">"c5579"</definedName>
    <definedName name="IQ_ECS_CONVERT_TYPE_ABS" hidden="1">"c5593"</definedName>
    <definedName name="IQ_ECS_INACTIVE_DATE" hidden="1">"c5576"</definedName>
    <definedName name="IQ_ECS_INACTIVE_DATE_ABS" hidden="1">"c5590"</definedName>
    <definedName name="IQ_ECS_NAME" hidden="1">"c5571"</definedName>
    <definedName name="IQ_ECS_NAME_ABS" hidden="1">"c5585"</definedName>
    <definedName name="IQ_ECS_NUM_SHAREHOLDERS" hidden="1">"c5584"</definedName>
    <definedName name="IQ_ECS_NUM_SHAREHOLDERS_ABS" hidden="1">"c5598"</definedName>
    <definedName name="IQ_ECS_PAR_VALUE" hidden="1">"c5577"</definedName>
    <definedName name="IQ_ECS_PAR_VALUE_ABS" hidden="1">"c5591"</definedName>
    <definedName name="IQ_ECS_PAR_VALUE_CURRENCY" hidden="1">"c5578"</definedName>
    <definedName name="IQ_ECS_PAR_VALUE_CURRENCY_ABS" hidden="1">"c5592"</definedName>
    <definedName name="IQ_ECS_SHARES_OUT_BS_DATE" hidden="1">"c5572"</definedName>
    <definedName name="IQ_ECS_SHARES_OUT_BS_DATE_ABS" hidden="1">"c5586"</definedName>
    <definedName name="IQ_ECS_SHARES_OUT_FILING_DATE" hidden="1">"c5573"</definedName>
    <definedName name="IQ_ECS_SHARES_OUT_FILING_DATE_ABS" hidden="1">"c5587"</definedName>
    <definedName name="IQ_ECS_START_DATE" hidden="1">"c5575"</definedName>
    <definedName name="IQ_ECS_START_DATE_ABS" hidden="1">"c5589"</definedName>
    <definedName name="IQ_ECS_TYPE" hidden="1">"c5574"</definedName>
    <definedName name="IQ_ECS_TYPE_ABS" hidden="1">"c5588"</definedName>
    <definedName name="IQ_ECS_VOTING" hidden="1">"c5582"</definedName>
    <definedName name="IQ_ECS_VOTING_ABS" hidden="1">"c5596"</definedName>
    <definedName name="IQ_EFFECT_SPECIAL_CHARGE" hidden="1">"c1595"</definedName>
    <definedName name="IQ_EFFECT_TAX_RATE" hidden="1">"c1899"</definedName>
    <definedName name="IQ_EFFECTIVE_DATE" hidden="1">"c8966"</definedName>
    <definedName name="IQ_EFFICIENCY_RATIO" hidden="1">"c391"</definedName>
    <definedName name="IQ_EFFICIENCY_RATIO_FDIC" hidden="1">"c6736"</definedName>
    <definedName name="IQ_EMBEDDED_VAL_COVERED" hidden="1">"c9962"</definedName>
    <definedName name="IQ_EMBEDDED_VAL_COVERED_BEG" hidden="1">"c9957"</definedName>
    <definedName name="IQ_EMBEDDED_VAL_GROUP" hidden="1">"c9948"</definedName>
    <definedName name="IQ_EMBEDDED_VAL_GROUP_BEG" hidden="1">"c9943"</definedName>
    <definedName name="IQ_EMPLOY_COST_INDEX_BENEFITS" hidden="1">"c6857"</definedName>
    <definedName name="IQ_EMPLOY_COST_INDEX_BENEFITS_APR" hidden="1">"c7517"</definedName>
    <definedName name="IQ_EMPLOY_COST_INDEX_BENEFITS_APR_FC" hidden="1">"c8397"</definedName>
    <definedName name="IQ_EMPLOY_COST_INDEX_BENEFITS_FC" hidden="1">"c7737"</definedName>
    <definedName name="IQ_EMPLOY_COST_INDEX_BENEFITS_POP" hidden="1">"c7077"</definedName>
    <definedName name="IQ_EMPLOY_COST_INDEX_BENEFITS_POP_FC" hidden="1">"c7957"</definedName>
    <definedName name="IQ_EMPLOY_COST_INDEX_BENEFITS_YOY" hidden="1">"c7297"</definedName>
    <definedName name="IQ_EMPLOY_COST_INDEX_BENEFITS_YOY_FC" hidden="1">"c8177"</definedName>
    <definedName name="IQ_EMPLOY_COST_INDEX_COMP" hidden="1">"c6856"</definedName>
    <definedName name="IQ_EMPLOY_COST_INDEX_COMP_APR" hidden="1">"c7516"</definedName>
    <definedName name="IQ_EMPLOY_COST_INDEX_COMP_APR_FC" hidden="1">"c8396"</definedName>
    <definedName name="IQ_EMPLOY_COST_INDEX_COMP_FC" hidden="1">"c7736"</definedName>
    <definedName name="IQ_EMPLOY_COST_INDEX_COMP_POP" hidden="1">"c7076"</definedName>
    <definedName name="IQ_EMPLOY_COST_INDEX_COMP_POP_FC" hidden="1">"c7956"</definedName>
    <definedName name="IQ_EMPLOY_COST_INDEX_COMP_YOY" hidden="1">"c7296"</definedName>
    <definedName name="IQ_EMPLOY_COST_INDEX_COMP_YOY_FC" hidden="1">"c8176"</definedName>
    <definedName name="IQ_EMPLOY_COST_INDEX_WAGE_SALARY" hidden="1">"c6858"</definedName>
    <definedName name="IQ_EMPLOY_COST_INDEX_WAGE_SALARY_APR" hidden="1">"c7518"</definedName>
    <definedName name="IQ_EMPLOY_COST_INDEX_WAGE_SALARY_APR_FC" hidden="1">"c8398"</definedName>
    <definedName name="IQ_EMPLOY_COST_INDEX_WAGE_SALARY_FC" hidden="1">"c7738"</definedName>
    <definedName name="IQ_EMPLOY_COST_INDEX_WAGE_SALARY_POP" hidden="1">"c7078"</definedName>
    <definedName name="IQ_EMPLOY_COST_INDEX_WAGE_SALARY_POP_FC" hidden="1">"c7958"</definedName>
    <definedName name="IQ_EMPLOY_COST_INDEX_WAGE_SALARY_YOY" hidden="1">"c7298"</definedName>
    <definedName name="IQ_EMPLOY_COST_INDEX_WAGE_SALARY_YOY_FC" hidden="1">"c8178"</definedName>
    <definedName name="IQ_EMPLOYEES" hidden="1">"c392"</definedName>
    <definedName name="IQ_EMPLOYEES_FFIEC" hidden="1">"c13035"</definedName>
    <definedName name="IQ_ENTERPRISE_VALUE" hidden="1">"c1348"</definedName>
    <definedName name="IQ_ENTREPRENEURAL_PROPERTY_INC" hidden="1">"c6859"</definedName>
    <definedName name="IQ_ENTREPRENEURAL_PROPERTY_INC_APR" hidden="1">"c7519"</definedName>
    <definedName name="IQ_ENTREPRENEURAL_PROPERTY_INC_APR_FC" hidden="1">"c8399"</definedName>
    <definedName name="IQ_ENTREPRENEURAL_PROPERTY_INC_FC" hidden="1">"c7739"</definedName>
    <definedName name="IQ_ENTREPRENEURAL_PROPERTY_INC_POP" hidden="1">"c7079"</definedName>
    <definedName name="IQ_ENTREPRENEURAL_PROPERTY_INC_POP_FC" hidden="1">"c7959"</definedName>
    <definedName name="IQ_ENTREPRENEURAL_PROPERTY_INC_YOY" hidden="1">"c7299"</definedName>
    <definedName name="IQ_ENTREPRENEURAL_PROPERTY_INC_YOY_FC" hidden="1">"c8179"</definedName>
    <definedName name="IQ_EPS_10YR_ANN_CAGR" hidden="1">"c6085"</definedName>
    <definedName name="IQ_EPS_10YR_ANN_GROWTH" hidden="1">"c393"</definedName>
    <definedName name="IQ_EPS_1YR_ANN_GROWTH" hidden="1">"c394"</definedName>
    <definedName name="IQ_EPS_2YR_ANN_CAGR" hidden="1">"c6086"</definedName>
    <definedName name="IQ_EPS_2YR_ANN_GROWTH" hidden="1">"c395"</definedName>
    <definedName name="IQ_EPS_3YR_ANN_CAGR" hidden="1">"c6087"</definedName>
    <definedName name="IQ_EPS_3YR_ANN_GROWTH" hidden="1">"c396"</definedName>
    <definedName name="IQ_EPS_5YR_ANN_CAGR" hidden="1">"c6088"</definedName>
    <definedName name="IQ_EPS_5YR_ANN_GROWTH" hidden="1">"c397"</definedName>
    <definedName name="IQ_EPS_7YR_ANN_CAGR" hidden="1">"c6089"</definedName>
    <definedName name="IQ_EPS_7YR_ANN_GROWTH" hidden="1">"c398"</definedName>
    <definedName name="IQ_EPS_ACT_OR_EST" hidden="1">"c2213"</definedName>
    <definedName name="IQ_EPS_ACT_OR_EST_CIQ" hidden="1">"c5058"</definedName>
    <definedName name="IQ_EPS_AP" hidden="1">"c8880"</definedName>
    <definedName name="IQ_EPS_AP_ABS" hidden="1">"c8899"</definedName>
    <definedName name="IQ_EPS_EST" hidden="1">"c399"</definedName>
    <definedName name="IQ_EPS_EST_BOTTOM_UP_CIQ" hidden="1">"c12026"</definedName>
    <definedName name="IQ_EPS_EST_CIQ" hidden="1">"c4994"</definedName>
    <definedName name="IQ_EPS_GW_ACT_OR_EST" hidden="1">"c2223"</definedName>
    <definedName name="IQ_EPS_GW_ACT_OR_EST_CIQ" hidden="1">"c5066"</definedName>
    <definedName name="IQ_EPS_GW_EST" hidden="1">"c1737"</definedName>
    <definedName name="IQ_EPS_GW_EST_BOTTOM_UP_CIQ" hidden="1">"c12028"</definedName>
    <definedName name="IQ_EPS_GW_EST_CIQ" hidden="1">"c4723"</definedName>
    <definedName name="IQ_EPS_GW_HIGH_EST" hidden="1">"c1739"</definedName>
    <definedName name="IQ_EPS_GW_HIGH_EST_CIQ" hidden="1">"c4725"</definedName>
    <definedName name="IQ_EPS_GW_LOW_EST" hidden="1">"c1740"</definedName>
    <definedName name="IQ_EPS_GW_LOW_EST_CIQ" hidden="1">"c4726"</definedName>
    <definedName name="IQ_EPS_GW_MEDIAN_EST" hidden="1">"c1738"</definedName>
    <definedName name="IQ_EPS_GW_MEDIAN_EST_CIQ" hidden="1">"c4724"</definedName>
    <definedName name="IQ_EPS_GW_NUM_EST" hidden="1">"c1741"</definedName>
    <definedName name="IQ_EPS_GW_NUM_EST_CIQ" hidden="1">"c4727"</definedName>
    <definedName name="IQ_EPS_GW_STDDEV_EST" hidden="1">"c1742"</definedName>
    <definedName name="IQ_EPS_GW_STDDEV_EST_CIQ" hidden="1">"c4728"</definedName>
    <definedName name="IQ_EPS_HIGH_EST" hidden="1">"c400"</definedName>
    <definedName name="IQ_EPS_HIGH_EST_CIQ" hidden="1">"c4995"</definedName>
    <definedName name="IQ_EPS_LOW_EST" hidden="1">"c401"</definedName>
    <definedName name="IQ_EPS_LOW_EST_CIQ" hidden="1">"c4996"</definedName>
    <definedName name="IQ_EPS_MEDIAN_EST" hidden="1">"c1661"</definedName>
    <definedName name="IQ_EPS_MEDIAN_EST_CIQ" hidden="1">"c4997"</definedName>
    <definedName name="IQ_EPS_NAME_AP" hidden="1">"c8918"</definedName>
    <definedName name="IQ_EPS_NAME_AP_ABS" hidden="1">"c8937"</definedName>
    <definedName name="IQ_EPS_NORM" hidden="1">"c1902"</definedName>
    <definedName name="IQ_EPS_NORM_EST" hidden="1">"c2226"</definedName>
    <definedName name="IQ_EPS_NORM_EST_BOTTOM_UP_CIQ" hidden="1">"c12027"</definedName>
    <definedName name="IQ_EPS_NORM_EST_CIQ" hidden="1">"c4667"</definedName>
    <definedName name="IQ_EPS_NORM_HIGH_EST" hidden="1">"c2228"</definedName>
    <definedName name="IQ_EPS_NORM_HIGH_EST_CIQ" hidden="1">"c4669"</definedName>
    <definedName name="IQ_EPS_NORM_LOW_EST" hidden="1">"c2229"</definedName>
    <definedName name="IQ_EPS_NORM_LOW_EST_CIQ" hidden="1">"c4670"</definedName>
    <definedName name="IQ_EPS_NORM_MEDIAN_EST" hidden="1">"c2227"</definedName>
    <definedName name="IQ_EPS_NORM_MEDIAN_EST_CIQ" hidden="1">"c4668"</definedName>
    <definedName name="IQ_EPS_NORM_NUM_EST" hidden="1">"c2230"</definedName>
    <definedName name="IQ_EPS_NORM_NUM_EST_CIQ" hidden="1">"c4671"</definedName>
    <definedName name="IQ_EPS_NORM_STDDEV_EST" hidden="1">"c2231"</definedName>
    <definedName name="IQ_EPS_NORM_STDDEV_EST_CIQ" hidden="1">"c4672"</definedName>
    <definedName name="IQ_EPS_NUM_EST" hidden="1">"c402"</definedName>
    <definedName name="IQ_EPS_NUM_EST_CIQ" hidden="1">"c4992"</definedName>
    <definedName name="IQ_EPS_REPORT_ACT_OR_EST" hidden="1">"c2224"</definedName>
    <definedName name="IQ_EPS_REPORT_ACT_OR_EST_CIQ" hidden="1">"c5067"</definedName>
    <definedName name="IQ_EPS_REPORTED_EST" hidden="1">"c1744"</definedName>
    <definedName name="IQ_EPS_REPORTED_EST_BOTTOM_UP_CIQ" hidden="1">"c12029"</definedName>
    <definedName name="IQ_EPS_REPORTED_EST_CIQ" hidden="1">"c4730"</definedName>
    <definedName name="IQ_EPS_REPORTED_HIGH_EST" hidden="1">"c1746"</definedName>
    <definedName name="IQ_EPS_REPORTED_HIGH_EST_CIQ" hidden="1">"c4732"</definedName>
    <definedName name="IQ_EPS_REPORTED_LOW_EST" hidden="1">"c1747"</definedName>
    <definedName name="IQ_EPS_REPORTED_LOW_EST_CIQ" hidden="1">"c4733"</definedName>
    <definedName name="IQ_EPS_REPORTED_MEDIAN_EST" hidden="1">"c1745"</definedName>
    <definedName name="IQ_EPS_REPORTED_MEDIAN_EST_CIQ" hidden="1">"c4731"</definedName>
    <definedName name="IQ_EPS_REPORTED_NUM_EST" hidden="1">"c1748"</definedName>
    <definedName name="IQ_EPS_REPORTED_NUM_EST_CIQ" hidden="1">"c4734"</definedName>
    <definedName name="IQ_EPS_REPORTED_STDDEV_EST" hidden="1">"c1749"</definedName>
    <definedName name="IQ_EPS_REPORTED_STDDEV_EST_CIQ" hidden="1">"c4735"</definedName>
    <definedName name="IQ_EPS_SBC_ACT_OR_EST_CIQ" hidden="1">"c4901"</definedName>
    <definedName name="IQ_EPS_SBC_GW_ACT_OR_EST_CIQ" hidden="1">"c4905"</definedName>
    <definedName name="IQ_EPS_STDDEV_EST" hidden="1">"c403"</definedName>
    <definedName name="IQ_EPS_STDDEV_EST_CIQ" hidden="1">"c4993"</definedName>
    <definedName name="IQ_EQUITY_AFFIL" hidden="1">"c1451"</definedName>
    <definedName name="IQ_EQUITY_AP" hidden="1">"c8887"</definedName>
    <definedName name="IQ_EQUITY_AP_ABS" hidden="1">"c8906"</definedName>
    <definedName name="IQ_EQUITY_ASSETS_TOT_FFIEC" hidden="1">"c13436"</definedName>
    <definedName name="IQ_EQUITY_BEG_EXCL_FFIEC" hidden="1">"c12957"</definedName>
    <definedName name="IQ_EQUITY_BEG_FFIEC" hidden="1">"c12959"</definedName>
    <definedName name="IQ_EQUITY_CAPITAL_ASSETS_FDIC" hidden="1">"c6744"</definedName>
    <definedName name="IQ_EQUITY_CAPITAL_QUARTERLY_AVG_FFIEC" hidden="1">"c13092"</definedName>
    <definedName name="IQ_EQUITY_ENDING_FFIEC" hidden="1">"c12973"</definedName>
    <definedName name="IQ_EQUITY_FDIC" hidden="1">"c6353"</definedName>
    <definedName name="IQ_EQUITY_INDEX_EXPOSURE_FFIEC" hidden="1">"c13060"</definedName>
    <definedName name="IQ_EQUITY_METHOD" hidden="1">"c404"</definedName>
    <definedName name="IQ_EQUITY_NAME_AP" hidden="1">"c8925"</definedName>
    <definedName name="IQ_EQUITY_NAME_AP_ABS" hidden="1">"c8944"</definedName>
    <definedName name="IQ_EQUITY_SEC_FAIR_VALUE_FFIEC" hidden="1">"c12805"</definedName>
    <definedName name="IQ_EQUITY_SEC_INVEST_SECURITIES_FFIEC" hidden="1">"c13463"</definedName>
    <definedName name="IQ_EQUITY_SECURITIES_FDIC" hidden="1">"c6304"</definedName>
    <definedName name="IQ_EQUITY_SECURITIES_WITHOUT_FAIR_VALUES_FFIEC" hidden="1">"c12846"</definedName>
    <definedName name="IQ_EQUITY_SECURITY_EXPOSURES_FDIC" hidden="1">"c6664"</definedName>
    <definedName name="IQ_EQV_OVER_BV" hidden="1">"c1596"</definedName>
    <definedName name="IQ_EQV_OVER_LTM_PRETAX_INC" hidden="1">"c1390"</definedName>
    <definedName name="IQ_ESOP_DEBT" hidden="1">"c1597"</definedName>
    <definedName name="IQ_ESOP_DEBT_GUARANTEED_FFIEC" hidden="1">"c12971"</definedName>
    <definedName name="IQ_ESOP_OVER_TOTAL" hidden="1">"c13768"</definedName>
    <definedName name="IQ_EST_ACT_EBITDA" hidden="1">"c1664"</definedName>
    <definedName name="IQ_EST_ACT_EBITDA_CIQ" hidden="1">"c3667"</definedName>
    <definedName name="IQ_EST_ACT_EPS" hidden="1">"c1648"</definedName>
    <definedName name="IQ_EST_ACT_EPS_CIQ" hidden="1">"c4998"</definedName>
    <definedName name="IQ_EST_ACT_EPS_GW" hidden="1">"c1743"</definedName>
    <definedName name="IQ_EST_ACT_EPS_GW_CIQ" hidden="1">"c4729"</definedName>
    <definedName name="IQ_EST_ACT_EPS_NORM" hidden="1">"c2232"</definedName>
    <definedName name="IQ_EST_ACT_EPS_NORM_CIQ" hidden="1">"c4673"</definedName>
    <definedName name="IQ_EST_ACT_EPS_REPORTED" hidden="1">"c1750"</definedName>
    <definedName name="IQ_EST_ACT_EPS_REPORTED_CIQ" hidden="1">"c4736"</definedName>
    <definedName name="IQ_EST_ACT_REV" hidden="1">"c2113"</definedName>
    <definedName name="IQ_EST_ACT_REV_CIQ" hidden="1">"c3666"</definedName>
    <definedName name="IQ_EST_CURRENCY" hidden="1">"c2140"</definedName>
    <definedName name="IQ_EST_CURRENCY_CIQ" hidden="1">"c4769"</definedName>
    <definedName name="IQ_EST_DATE" hidden="1">"c1634"</definedName>
    <definedName name="IQ_EST_DATE_CIQ" hidden="1">"c4770"</definedName>
    <definedName name="IQ_EST_EBITDA_DIFF" hidden="1">"c1867"</definedName>
    <definedName name="IQ_EST_EBITDA_DIFF_CIQ" hidden="1">"c3719"</definedName>
    <definedName name="IQ_EST_EBITDA_GROWTH_1YR" hidden="1">"c1766"</definedName>
    <definedName name="IQ_EST_EBITDA_GROWTH_1YR_CIQ" hidden="1">"c3695"</definedName>
    <definedName name="IQ_EST_EBITDA_GROWTH_2YR" hidden="1">"c1767"</definedName>
    <definedName name="IQ_EST_EBITDA_GROWTH_2YR_CIQ" hidden="1">"c3696"</definedName>
    <definedName name="IQ_EST_EBITDA_GROWTH_Q_1YR" hidden="1">"c1768"</definedName>
    <definedName name="IQ_EST_EBITDA_GROWTH_Q_1YR_CIQ" hidden="1">"c3697"</definedName>
    <definedName name="IQ_EST_EBITDA_SEQ_GROWTH_Q" hidden="1">"c1769"</definedName>
    <definedName name="IQ_EST_EBITDA_SEQ_GROWTH_Q_CIQ" hidden="1">"c3698"</definedName>
    <definedName name="IQ_EST_EBITDA_SURPRISE_PERCENT" hidden="1">"c1868"</definedName>
    <definedName name="IQ_EST_EBITDA_SURPRISE_PERCENT_CIQ" hidden="1">"c3720"</definedName>
    <definedName name="IQ_EST_EPS_DIFF" hidden="1">"c1864"</definedName>
    <definedName name="IQ_EST_EPS_DIFF_CIQ" hidden="1">"c4999"</definedName>
    <definedName name="IQ_EST_EPS_GROWTH_1YR" hidden="1">"c1636"</definedName>
    <definedName name="IQ_EST_EPS_GROWTH_1YR_CIQ" hidden="1">"c3628"</definedName>
    <definedName name="IQ_EST_EPS_GROWTH_2YR" hidden="1">"c1637"</definedName>
    <definedName name="IQ_EST_EPS_GROWTH_2YR_CIQ" hidden="1">"c3689"</definedName>
    <definedName name="IQ_EST_EPS_GROWTH_5YR" hidden="1">"c1655"</definedName>
    <definedName name="IQ_EST_EPS_GROWTH_5YR_BOTTOM_UP_CIQ" hidden="1">"c12024"</definedName>
    <definedName name="IQ_EST_EPS_GROWTH_5YR_CIQ" hidden="1">"c3615"</definedName>
    <definedName name="IQ_EST_EPS_GROWTH_5YR_HIGH" hidden="1">"c1657"</definedName>
    <definedName name="IQ_EST_EPS_GROWTH_5YR_HIGH_CIQ" hidden="1">"c4663"</definedName>
    <definedName name="IQ_EST_EPS_GROWTH_5YR_LOW" hidden="1">"c1658"</definedName>
    <definedName name="IQ_EST_EPS_GROWTH_5YR_LOW_CIQ" hidden="1">"c4664"</definedName>
    <definedName name="IQ_EST_EPS_GROWTH_5YR_MEDIAN" hidden="1">"c1656"</definedName>
    <definedName name="IQ_EST_EPS_GROWTH_5YR_MEDIAN_CIQ" hidden="1">"c5480"</definedName>
    <definedName name="IQ_EST_EPS_GROWTH_5YR_NUM" hidden="1">"c1659"</definedName>
    <definedName name="IQ_EST_EPS_GROWTH_5YR_NUM_CIQ" hidden="1">"c4665"</definedName>
    <definedName name="IQ_EST_EPS_GROWTH_5YR_STDDEV" hidden="1">"c1660"</definedName>
    <definedName name="IQ_EST_EPS_GROWTH_5YR_STDDEV_CIQ" hidden="1">"c4666"</definedName>
    <definedName name="IQ_EST_EPS_GROWTH_Q_1YR" hidden="1">"c1641"</definedName>
    <definedName name="IQ_EST_EPS_GROWTH_Q_1YR_CIQ" hidden="1">"c4744"</definedName>
    <definedName name="IQ_EST_EPS_GW_DIFF" hidden="1">"c1891"</definedName>
    <definedName name="IQ_EST_EPS_GW_DIFF_CIQ" hidden="1">"c4761"</definedName>
    <definedName name="IQ_EST_EPS_GW_SURPRISE_PERCENT" hidden="1">"c1892"</definedName>
    <definedName name="IQ_EST_EPS_GW_SURPRISE_PERCENT_CIQ" hidden="1">"c4762"</definedName>
    <definedName name="IQ_EST_EPS_NORM_DIFF" hidden="1">"c2247"</definedName>
    <definedName name="IQ_EST_EPS_NORM_DIFF_CIQ" hidden="1">"c4745"</definedName>
    <definedName name="IQ_EST_EPS_NORM_SURPRISE_PERCENT" hidden="1">"c2248"</definedName>
    <definedName name="IQ_EST_EPS_NORM_SURPRISE_PERCENT_CIQ" hidden="1">"c4746"</definedName>
    <definedName name="IQ_EST_EPS_REPORT_DIFF" hidden="1">"c1893"</definedName>
    <definedName name="IQ_EST_EPS_REPORT_DIFF_CIQ" hidden="1">"c4763"</definedName>
    <definedName name="IQ_EST_EPS_REPORT_SURPRISE_PERCENT" hidden="1">"c1894"</definedName>
    <definedName name="IQ_EST_EPS_REPORT_SURPRISE_PERCENT_CIQ" hidden="1">"c4764"</definedName>
    <definedName name="IQ_EST_EPS_SEQ_GROWTH_Q" hidden="1">"c1764"</definedName>
    <definedName name="IQ_EST_EPS_SEQ_GROWTH_Q_CIQ" hidden="1">"c3690"</definedName>
    <definedName name="IQ_EST_EPS_SURPRISE_PERCENT" hidden="1">"c1635"</definedName>
    <definedName name="IQ_EST_EPS_SURPRISE_PERCENT_CIQ" hidden="1">"c5000"</definedName>
    <definedName name="IQ_EST_FAIR_VALUE_MORT_SERVICING_ASSETS_FFIEC" hidden="1">"c12956"</definedName>
    <definedName name="IQ_EST_FOOTNOTE" hidden="1">"c4540"</definedName>
    <definedName name="IQ_EST_FOOTNOTE_CIQ" hidden="1">"c12022"</definedName>
    <definedName name="IQ_EST_NEXT_EARNINGS_DATE" hidden="1">"c13591"</definedName>
    <definedName name="IQ_EST_NUM_BUY" hidden="1">"c1759"</definedName>
    <definedName name="IQ_EST_NUM_HIGH_REC" hidden="1">"c5649"</definedName>
    <definedName name="IQ_EST_NUM_HIGH_REC_CIQ" hidden="1">"c3701"</definedName>
    <definedName name="IQ_EST_NUM_HIGHEST_REC" hidden="1">"c5648"</definedName>
    <definedName name="IQ_EST_NUM_HIGHEST_REC_CIQ" hidden="1">"c3700"</definedName>
    <definedName name="IQ_EST_NUM_HOLD" hidden="1">"c1761"</definedName>
    <definedName name="IQ_EST_NUM_LOW_REC" hidden="1">"c5651"</definedName>
    <definedName name="IQ_EST_NUM_LOW_REC_CIQ" hidden="1">"c3703"</definedName>
    <definedName name="IQ_EST_NUM_LOWEST_REC" hidden="1">"c5652"</definedName>
    <definedName name="IQ_EST_NUM_LOWEST_REC_CIQ" hidden="1">"c3704"</definedName>
    <definedName name="IQ_EST_NUM_NEUTRAL_REC" hidden="1">"c5650"</definedName>
    <definedName name="IQ_EST_NUM_NEUTRAL_REC_CIQ" hidden="1">"c3702"</definedName>
    <definedName name="IQ_EST_NUM_NO_OPINION" hidden="1">"c1758"</definedName>
    <definedName name="IQ_EST_NUM_NO_OPINION_CIQ" hidden="1">"c3699"</definedName>
    <definedName name="IQ_EST_NUM_OUTPERFORM" hidden="1">"c1760"</definedName>
    <definedName name="IQ_EST_NUM_SELL" hidden="1">"c1763"</definedName>
    <definedName name="IQ_EST_NUM_UNDERPERFORM" hidden="1">"c1762"</definedName>
    <definedName name="IQ_EST_REV_DIFF" hidden="1">"c1865"</definedName>
    <definedName name="IQ_EST_REV_DIFF_CIQ" hidden="1">"c3717"</definedName>
    <definedName name="IQ_EST_REV_GROWTH_1YR" hidden="1">"c1638"</definedName>
    <definedName name="IQ_EST_REV_GROWTH_1YR_CIQ" hidden="1">"c3691"</definedName>
    <definedName name="IQ_EST_REV_GROWTH_2YR" hidden="1">"c1639"</definedName>
    <definedName name="IQ_EST_REV_GROWTH_2YR_CIQ" hidden="1">"c3692"</definedName>
    <definedName name="IQ_EST_REV_GROWTH_Q_1YR" hidden="1">"c1640"</definedName>
    <definedName name="IQ_EST_REV_GROWTH_Q_1YR_CIQ" hidden="1">"c3693"</definedName>
    <definedName name="IQ_EST_REV_SEQ_GROWTH_Q" hidden="1">"c1765"</definedName>
    <definedName name="IQ_EST_REV_SEQ_GROWTH_Q_CIQ" hidden="1">"c3694"</definedName>
    <definedName name="IQ_EST_REV_SURPRISE_PERCENT" hidden="1">"c1866"</definedName>
    <definedName name="IQ_EST_REV_SURPRISE_PERCENT_CIQ" hidden="1">"c3718"</definedName>
    <definedName name="IQ_ESTIMATED_ASSESSABLE_DEPOSITS_FDIC" hidden="1">"c6490"</definedName>
    <definedName name="IQ_ESTIMATED_INSURED_DEPOSITS_FDIC" hidden="1">"c6491"</definedName>
    <definedName name="IQ_EV_OVER_EMPLOYEE" hidden="1">"c1428"</definedName>
    <definedName name="IQ_EV_OVER_LTM_EBIT" hidden="1">"c1426"</definedName>
    <definedName name="IQ_EV_OVER_LTM_EBITDA" hidden="1">"c1427"</definedName>
    <definedName name="IQ_EV_OVER_LTM_REVENUE" hidden="1">"c1429"</definedName>
    <definedName name="IQ_EVAL_DATE" hidden="1">"c2180"</definedName>
    <definedName name="IQ_EVENT_DATE" hidden="1">"c13819"</definedName>
    <definedName name="IQ_EVENT_ID" hidden="1">"c13818"</definedName>
    <definedName name="IQ_EVENT_TIME" hidden="1">"c13820"</definedName>
    <definedName name="IQ_EVENT_TYPE" hidden="1">"c13821"</definedName>
    <definedName name="IQ_EXCHANGE" hidden="1">"c405"</definedName>
    <definedName name="IQ_EXCISE_TAXES_EXCL_SALES" hidden="1">"c5515"</definedName>
    <definedName name="IQ_EXCISE_TAXES_INCL_SALES" hidden="1">"c5514"</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ENSES_AP" hidden="1">"c8875"</definedName>
    <definedName name="IQ_EXPENSES_AP_ABS" hidden="1">"c8894"</definedName>
    <definedName name="IQ_EXPENSES_FIXED_ASSETS_FFIEC" hidden="1">"c13024"</definedName>
    <definedName name="IQ_EXPENSES_NAME_AP" hidden="1">"c8913"</definedName>
    <definedName name="IQ_EXPENSES_NAME_AP_ABS" hidden="1">"c8932"</definedName>
    <definedName name="IQ_EXPLORATION_EXPENDITURE_ALUM" hidden="1">"c9255"</definedName>
    <definedName name="IQ_EXPLORATION_EXPENDITURE_COAL" hidden="1">"c9827"</definedName>
    <definedName name="IQ_EXPLORATION_EXPENDITURE_COP" hidden="1">"c9202"</definedName>
    <definedName name="IQ_EXPLORATION_EXPENDITURE_DIAM" hidden="1">"c9679"</definedName>
    <definedName name="IQ_EXPLORATION_EXPENDITURE_GOLD" hidden="1">"c9040"</definedName>
    <definedName name="IQ_EXPLORATION_EXPENDITURE_IRON" hidden="1">"c9414"</definedName>
    <definedName name="IQ_EXPLORATION_EXPENDITURE_LEAD" hidden="1">"c9467"</definedName>
    <definedName name="IQ_EXPLORATION_EXPENDITURE_MANG" hidden="1">"c9520"</definedName>
    <definedName name="IQ_EXPLORATION_EXPENDITURE_MOLYB" hidden="1">"c9732"</definedName>
    <definedName name="IQ_EXPLORATION_EXPENDITURE_NICK" hidden="1">"c9308"</definedName>
    <definedName name="IQ_EXPLORATION_EXPENDITURE_PLAT" hidden="1">"c9146"</definedName>
    <definedName name="IQ_EXPLORATION_EXPENDITURE_SILVER" hidden="1">"c9093"</definedName>
    <definedName name="IQ_EXPLORATION_EXPENDITURE_TITAN" hidden="1">"c9573"</definedName>
    <definedName name="IQ_EXPLORATION_EXPENDITURE_URAN" hidden="1">"c9626"</definedName>
    <definedName name="IQ_EXPLORATION_EXPENDITURE_ZINC" hidden="1">"c9361"</definedName>
    <definedName name="IQ_EXPLORE_DRILL" hidden="1">"c409"</definedName>
    <definedName name="IQ_EXPLORE_DRILL_EXP_TOTAL" hidden="1">"c13850"</definedName>
    <definedName name="IQ_EXPORT_PRICE_INDEX" hidden="1">"c6860"</definedName>
    <definedName name="IQ_EXPORT_PRICE_INDEX_APR" hidden="1">"c7520"</definedName>
    <definedName name="IQ_EXPORT_PRICE_INDEX_APR_FC" hidden="1">"c8400"</definedName>
    <definedName name="IQ_EXPORT_PRICE_INDEX_FC" hidden="1">"c7740"</definedName>
    <definedName name="IQ_EXPORT_PRICE_INDEX_POP" hidden="1">"c7080"</definedName>
    <definedName name="IQ_EXPORT_PRICE_INDEX_POP_FC" hidden="1">"c7960"</definedName>
    <definedName name="IQ_EXPORT_PRICE_INDEX_YOY" hidden="1">"c7300"</definedName>
    <definedName name="IQ_EXPORT_PRICE_INDEX_YOY_FC" hidden="1">"c8180"</definedName>
    <definedName name="IQ_EXPORTS_APR_FC_UNUSED" hidden="1">"c8401"</definedName>
    <definedName name="IQ_EXPORTS_APR_UNUSED" hidden="1">"c7521"</definedName>
    <definedName name="IQ_EXPORTS_FACTOR_SERVICES" hidden="1">"c6862"</definedName>
    <definedName name="IQ_EXPORTS_FACTOR_SERVICES_APR" hidden="1">"c7522"</definedName>
    <definedName name="IQ_EXPORTS_FACTOR_SERVICES_APR_FC" hidden="1">"c8402"</definedName>
    <definedName name="IQ_EXPORTS_FACTOR_SERVICES_FC" hidden="1">"c7742"</definedName>
    <definedName name="IQ_EXPORTS_FACTOR_SERVICES_POP" hidden="1">"c7082"</definedName>
    <definedName name="IQ_EXPORTS_FACTOR_SERVICES_POP_FC" hidden="1">"c7962"</definedName>
    <definedName name="IQ_EXPORTS_FACTOR_SERVICES_SAAR" hidden="1">"c6863"</definedName>
    <definedName name="IQ_EXPORTS_FACTOR_SERVICES_SAAR_APR" hidden="1">"c7523"</definedName>
    <definedName name="IQ_EXPORTS_FACTOR_SERVICES_SAAR_APR_FC" hidden="1">"c8403"</definedName>
    <definedName name="IQ_EXPORTS_FACTOR_SERVICES_SAAR_FC" hidden="1">"c7743"</definedName>
    <definedName name="IQ_EXPORTS_FACTOR_SERVICES_SAAR_POP" hidden="1">"c7083"</definedName>
    <definedName name="IQ_EXPORTS_FACTOR_SERVICES_SAAR_POP_FC" hidden="1">"c7963"</definedName>
    <definedName name="IQ_EXPORTS_FACTOR_SERVICES_SAAR_USD_APR_FC" hidden="1">"c11817"</definedName>
    <definedName name="IQ_EXPORTS_FACTOR_SERVICES_SAAR_USD_FC" hidden="1">"c11814"</definedName>
    <definedName name="IQ_EXPORTS_FACTOR_SERVICES_SAAR_USD_POP_FC" hidden="1">"c11815"</definedName>
    <definedName name="IQ_EXPORTS_FACTOR_SERVICES_SAAR_USD_YOY_FC" hidden="1">"c11816"</definedName>
    <definedName name="IQ_EXPORTS_FACTOR_SERVICES_SAAR_YOY" hidden="1">"c7303"</definedName>
    <definedName name="IQ_EXPORTS_FACTOR_SERVICES_SAAR_YOY_FC" hidden="1">"c8183"</definedName>
    <definedName name="IQ_EXPORTS_FACTOR_SERVICES_USD_APR_FC" hidden="1">"c11813"</definedName>
    <definedName name="IQ_EXPORTS_FACTOR_SERVICES_USD_FC" hidden="1">"c11810"</definedName>
    <definedName name="IQ_EXPORTS_FACTOR_SERVICES_USD_POP_FC" hidden="1">"c11811"</definedName>
    <definedName name="IQ_EXPORTS_FACTOR_SERVICES_USD_YOY_FC" hidden="1">"c11812"</definedName>
    <definedName name="IQ_EXPORTS_FACTOR_SERVICES_YOY" hidden="1">"c7302"</definedName>
    <definedName name="IQ_EXPORTS_FACTOR_SERVICES_YOY_FC" hidden="1">"c8182"</definedName>
    <definedName name="IQ_EXPORTS_FC_UNUSED" hidden="1">"c7741"</definedName>
    <definedName name="IQ_EXPORTS_GOODS" hidden="1">"c6864"</definedName>
    <definedName name="IQ_EXPORTS_GOODS_APR" hidden="1">"c7524"</definedName>
    <definedName name="IQ_EXPORTS_GOODS_APR_FC" hidden="1">"c8404"</definedName>
    <definedName name="IQ_EXPORTS_GOODS_FC" hidden="1">"c7744"</definedName>
    <definedName name="IQ_EXPORTS_GOODS_NONFACTOR_SERVICES" hidden="1">"c6865"</definedName>
    <definedName name="IQ_EXPORTS_GOODS_NONFACTOR_SERVICES_APR" hidden="1">"c7525"</definedName>
    <definedName name="IQ_EXPORTS_GOODS_NONFACTOR_SERVICES_APR_FC" hidden="1">"c8405"</definedName>
    <definedName name="IQ_EXPORTS_GOODS_NONFACTOR_SERVICES_FC" hidden="1">"c7745"</definedName>
    <definedName name="IQ_EXPORTS_GOODS_NONFACTOR_SERVICES_POP" hidden="1">"c7085"</definedName>
    <definedName name="IQ_EXPORTS_GOODS_NONFACTOR_SERVICES_POP_FC" hidden="1">"c7965"</definedName>
    <definedName name="IQ_EXPORTS_GOODS_NONFACTOR_SERVICES_YOY" hidden="1">"c7305"</definedName>
    <definedName name="IQ_EXPORTS_GOODS_NONFACTOR_SERVICES_YOY_FC" hidden="1">"c8185"</definedName>
    <definedName name="IQ_EXPORTS_GOODS_POP" hidden="1">"c7084"</definedName>
    <definedName name="IQ_EXPORTS_GOODS_POP_FC" hidden="1">"c7964"</definedName>
    <definedName name="IQ_EXPORTS_GOODS_REAL" hidden="1">"c6973"</definedName>
    <definedName name="IQ_EXPORTS_GOODS_REAL_APR" hidden="1">"c7633"</definedName>
    <definedName name="IQ_EXPORTS_GOODS_REAL_APR_FC" hidden="1">"c8513"</definedName>
    <definedName name="IQ_EXPORTS_GOODS_REAL_FC" hidden="1">"c7853"</definedName>
    <definedName name="IQ_EXPORTS_GOODS_REAL_POP" hidden="1">"c7193"</definedName>
    <definedName name="IQ_EXPORTS_GOODS_REAL_POP_FC" hidden="1">"c8073"</definedName>
    <definedName name="IQ_EXPORTS_GOODS_REAL_SAAR" hidden="1">"c11930"</definedName>
    <definedName name="IQ_EXPORTS_GOODS_REAL_SAAR_APR" hidden="1">"c11933"</definedName>
    <definedName name="IQ_EXPORTS_GOODS_REAL_SAAR_APR_FC_UNUSED" hidden="1">"c8512"</definedName>
    <definedName name="IQ_EXPORTS_GOODS_REAL_SAAR_APR_UNUSED" hidden="1">"c7632"</definedName>
    <definedName name="IQ_EXPORTS_GOODS_REAL_SAAR_FC_UNUSED" hidden="1">"c7852"</definedName>
    <definedName name="IQ_EXPORTS_GOODS_REAL_SAAR_POP" hidden="1">"c11931"</definedName>
    <definedName name="IQ_EXPORTS_GOODS_REAL_SAAR_POP_FC_UNUSED" hidden="1">"c8072"</definedName>
    <definedName name="IQ_EXPORTS_GOODS_REAL_SAAR_POP_UNUSED" hidden="1">"c7192"</definedName>
    <definedName name="IQ_EXPORTS_GOODS_REAL_SAAR_UNUSED" hidden="1">"c6972"</definedName>
    <definedName name="IQ_EXPORTS_GOODS_REAL_SAAR_YOY" hidden="1">"c11932"</definedName>
    <definedName name="IQ_EXPORTS_GOODS_REAL_SAAR_YOY_FC_UNUSED" hidden="1">"c8292"</definedName>
    <definedName name="IQ_EXPORTS_GOODS_REAL_SAAR_YOY_UNUSED" hidden="1">"c7412"</definedName>
    <definedName name="IQ_EXPORTS_GOODS_REAL_YOY" hidden="1">"c7413"</definedName>
    <definedName name="IQ_EXPORTS_GOODS_REAL_YOY_FC" hidden="1">"c8293"</definedName>
    <definedName name="IQ_EXPORTS_GOODS_SERVICES" hidden="1">"c6866"</definedName>
    <definedName name="IQ_EXPORTS_GOODS_SERVICES_APR" hidden="1">"c7526"</definedName>
    <definedName name="IQ_EXPORTS_GOODS_SERVICES_APR_FC" hidden="1">"c8406"</definedName>
    <definedName name="IQ_EXPORTS_GOODS_SERVICES_FC" hidden="1">"c7746"</definedName>
    <definedName name="IQ_EXPORTS_GOODS_SERVICES_POP" hidden="1">"c7086"</definedName>
    <definedName name="IQ_EXPORTS_GOODS_SERVICES_POP_FC" hidden="1">"c7966"</definedName>
    <definedName name="IQ_EXPORTS_GOODS_SERVICES_REAL" hidden="1">"c6974"</definedName>
    <definedName name="IQ_EXPORTS_GOODS_SERVICES_REAL_APR" hidden="1">"c7634"</definedName>
    <definedName name="IQ_EXPORTS_GOODS_SERVICES_REAL_APR_FC" hidden="1">"c8514"</definedName>
    <definedName name="IQ_EXPORTS_GOODS_SERVICES_REAL_FC" hidden="1">"c7854"</definedName>
    <definedName name="IQ_EXPORTS_GOODS_SERVICES_REAL_POP" hidden="1">"c7194"</definedName>
    <definedName name="IQ_EXPORTS_GOODS_SERVICES_REAL_POP_FC" hidden="1">"c8074"</definedName>
    <definedName name="IQ_EXPORTS_GOODS_SERVICES_REAL_SAAR" hidden="1">"c6975"</definedName>
    <definedName name="IQ_EXPORTS_GOODS_SERVICES_REAL_SAAR_APR" hidden="1">"c7635"</definedName>
    <definedName name="IQ_EXPORTS_GOODS_SERVICES_REAL_SAAR_APR_FC" hidden="1">"c8515"</definedName>
    <definedName name="IQ_EXPORTS_GOODS_SERVICES_REAL_SAAR_FC" hidden="1">"c7855"</definedName>
    <definedName name="IQ_EXPORTS_GOODS_SERVICES_REAL_SAAR_POP" hidden="1">"c7195"</definedName>
    <definedName name="IQ_EXPORTS_GOODS_SERVICES_REAL_SAAR_POP_FC" hidden="1">"c8075"</definedName>
    <definedName name="IQ_EXPORTS_GOODS_SERVICES_REAL_SAAR_YOY" hidden="1">"c7415"</definedName>
    <definedName name="IQ_EXPORTS_GOODS_SERVICES_REAL_SAAR_YOY_FC" hidden="1">"c8295"</definedName>
    <definedName name="IQ_EXPORTS_GOODS_SERVICES_REAL_USD" hidden="1">"c11926"</definedName>
    <definedName name="IQ_EXPORTS_GOODS_SERVICES_REAL_USD_APR" hidden="1">"c11929"</definedName>
    <definedName name="IQ_EXPORTS_GOODS_SERVICES_REAL_USD_POP" hidden="1">"c11927"</definedName>
    <definedName name="IQ_EXPORTS_GOODS_SERVICES_REAL_USD_YOY" hidden="1">"c11928"</definedName>
    <definedName name="IQ_EXPORTS_GOODS_SERVICES_REAL_YOY" hidden="1">"c7414"</definedName>
    <definedName name="IQ_EXPORTS_GOODS_SERVICES_REAL_YOY_FC" hidden="1">"c8294"</definedName>
    <definedName name="IQ_EXPORTS_GOODS_SERVICES_SAAR" hidden="1">"c6867"</definedName>
    <definedName name="IQ_EXPORTS_GOODS_SERVICES_SAAR_APR" hidden="1">"c7527"</definedName>
    <definedName name="IQ_EXPORTS_GOODS_SERVICES_SAAR_APR_FC" hidden="1">"c8407"</definedName>
    <definedName name="IQ_EXPORTS_GOODS_SERVICES_SAAR_FC" hidden="1">"c7747"</definedName>
    <definedName name="IQ_EXPORTS_GOODS_SERVICES_SAAR_POP" hidden="1">"c7087"</definedName>
    <definedName name="IQ_EXPORTS_GOODS_SERVICES_SAAR_POP_FC" hidden="1">"c7967"</definedName>
    <definedName name="IQ_EXPORTS_GOODS_SERVICES_SAAR_YOY" hidden="1">"c7307"</definedName>
    <definedName name="IQ_EXPORTS_GOODS_SERVICES_SAAR_YOY_FC" hidden="1">"c8187"</definedName>
    <definedName name="IQ_EXPORTS_GOODS_SERVICES_USD" hidden="1">"c11822"</definedName>
    <definedName name="IQ_EXPORTS_GOODS_SERVICES_USD_APR" hidden="1">"c11825"</definedName>
    <definedName name="IQ_EXPORTS_GOODS_SERVICES_USD_POP" hidden="1">"c11823"</definedName>
    <definedName name="IQ_EXPORTS_GOODS_SERVICES_USD_YOY" hidden="1">"c11824"</definedName>
    <definedName name="IQ_EXPORTS_GOODS_SERVICES_YOY" hidden="1">"c7306"</definedName>
    <definedName name="IQ_EXPORTS_GOODS_SERVICES_YOY_FC" hidden="1">"c8186"</definedName>
    <definedName name="IQ_EXPORTS_GOODS_USD" hidden="1">"c11818"</definedName>
    <definedName name="IQ_EXPORTS_GOODS_USD_APR" hidden="1">"c11821"</definedName>
    <definedName name="IQ_EXPORTS_GOODS_USD_POP" hidden="1">"c11819"</definedName>
    <definedName name="IQ_EXPORTS_GOODS_USD_YOY" hidden="1">"c11820"</definedName>
    <definedName name="IQ_EXPORTS_GOODS_YOY" hidden="1">"c7304"</definedName>
    <definedName name="IQ_EXPORTS_GOODS_YOY_FC" hidden="1">"c8184"</definedName>
    <definedName name="IQ_EXPORTS_NONFACTOR_SERVICES" hidden="1">"c6868"</definedName>
    <definedName name="IQ_EXPORTS_NONFACTOR_SERVICES_APR" hidden="1">"c7528"</definedName>
    <definedName name="IQ_EXPORTS_NONFACTOR_SERVICES_APR_FC" hidden="1">"c8408"</definedName>
    <definedName name="IQ_EXPORTS_NONFACTOR_SERVICES_FC" hidden="1">"c7748"</definedName>
    <definedName name="IQ_EXPORTS_NONFACTOR_SERVICES_POP" hidden="1">"c7088"</definedName>
    <definedName name="IQ_EXPORTS_NONFACTOR_SERVICES_POP_FC" hidden="1">"c7968"</definedName>
    <definedName name="IQ_EXPORTS_NONFACTOR_SERVICES_YOY" hidden="1">"c7308"</definedName>
    <definedName name="IQ_EXPORTS_NONFACTOR_SERVICES_YOY_FC" hidden="1">"c8188"</definedName>
    <definedName name="IQ_EXPORTS_POP_FC_UNUSED" hidden="1">"c7961"</definedName>
    <definedName name="IQ_EXPORTS_POP_UNUSED" hidden="1">"c7081"</definedName>
    <definedName name="IQ_EXPORTS_SERVICES_REAL" hidden="1">"c6977"</definedName>
    <definedName name="IQ_EXPORTS_SERVICES_REAL_APR" hidden="1">"c7637"</definedName>
    <definedName name="IQ_EXPORTS_SERVICES_REAL_APR_FC" hidden="1">"c8517"</definedName>
    <definedName name="IQ_EXPORTS_SERVICES_REAL_FC" hidden="1">"c7857"</definedName>
    <definedName name="IQ_EXPORTS_SERVICES_REAL_POP" hidden="1">"c7197"</definedName>
    <definedName name="IQ_EXPORTS_SERVICES_REAL_POP_FC" hidden="1">"c8077"</definedName>
    <definedName name="IQ_EXPORTS_SERVICES_REAL_SAAR" hidden="1">"c11934"</definedName>
    <definedName name="IQ_EXPORTS_SERVICES_REAL_SAAR_APR" hidden="1">"c11937"</definedName>
    <definedName name="IQ_EXPORTS_SERVICES_REAL_SAAR_APR_FC_UNUSED" hidden="1">"c8516"</definedName>
    <definedName name="IQ_EXPORTS_SERVICES_REAL_SAAR_APR_UNUSED" hidden="1">"c7636"</definedName>
    <definedName name="IQ_EXPORTS_SERVICES_REAL_SAAR_FC_UNUSED" hidden="1">"c7856"</definedName>
    <definedName name="IQ_EXPORTS_SERVICES_REAL_SAAR_POP" hidden="1">"c11935"</definedName>
    <definedName name="IQ_EXPORTS_SERVICES_REAL_SAAR_POP_FC_UNUSED" hidden="1">"c8076"</definedName>
    <definedName name="IQ_EXPORTS_SERVICES_REAL_SAAR_POP_UNUSED" hidden="1">"c7196"</definedName>
    <definedName name="IQ_EXPORTS_SERVICES_REAL_SAAR_UNUSED" hidden="1">"c6976"</definedName>
    <definedName name="IQ_EXPORTS_SERVICES_REAL_SAAR_YOY" hidden="1">"c11936"</definedName>
    <definedName name="IQ_EXPORTS_SERVICES_REAL_SAAR_YOY_FC_UNUSED" hidden="1">"c8296"</definedName>
    <definedName name="IQ_EXPORTS_SERVICES_REAL_SAAR_YOY_UNUSED" hidden="1">"c7416"</definedName>
    <definedName name="IQ_EXPORTS_SERVICES_REAL_YOY" hidden="1">"c7417"</definedName>
    <definedName name="IQ_EXPORTS_SERVICES_REAL_YOY_FC" hidden="1">"c8297"</definedName>
    <definedName name="IQ_EXPORTS_UNUSED" hidden="1">"c6861"</definedName>
    <definedName name="IQ_EXPORTS_USD" hidden="1">"c11806"</definedName>
    <definedName name="IQ_EXPORTS_USD_APR" hidden="1">"c11809"</definedName>
    <definedName name="IQ_EXPORTS_USD_POP" hidden="1">"c11807"</definedName>
    <definedName name="IQ_EXPORTS_USD_YOY" hidden="1">"c11808"</definedName>
    <definedName name="IQ_EXPORTS_YOY_FC_UNUSED" hidden="1">"c8181"</definedName>
    <definedName name="IQ_EXPORTS_YOY_UNUSED" hidden="1">"c7301"</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 hidden="1">"c6216"</definedName>
    <definedName name="IQ_EXTRA_ACC_ITEMS_REIT" hidden="1">"c415"</definedName>
    <definedName name="IQ_EXTRA_ACC_ITEMS_UTI" hidden="1">"c416"</definedName>
    <definedName name="IQ_EXTRA_AVG_ASSETS_FFIEC" hidden="1">"c13369"</definedName>
    <definedName name="IQ_EXTRA_ITEMS" hidden="1">"c1459"</definedName>
    <definedName name="IQ_EXTRAORDINARY_GAINS_FDIC" hidden="1">"c6586"</definedName>
    <definedName name="IQ_EXTRAORDINARY_ITEMS_FFIEC" hidden="1">"c13033"</definedName>
    <definedName name="IQ_FAD" hidden="1">"c8757"</definedName>
    <definedName name="IQ_FAD_PAYOUT_RATIO" hidden="1">"c8872"</definedName>
    <definedName name="IQ_FAIR_VALUE_CHANGE_INCL_EARNINGS" hidden="1">"c13849"</definedName>
    <definedName name="IQ_FAIR_VALUE_FDIC" hidden="1">"c6427"</definedName>
    <definedName name="IQ_FARM_LOANS_NET_FDIC" hidden="1">"c6316"</definedName>
    <definedName name="IQ_FARM_LOANS_TOT_LOANS_FFIEC" hidden="1">"c13870"</definedName>
    <definedName name="IQ_FARM_LOANS_TOTAL_LOANS_FOREIGN_FDIC" hidden="1">"c6450"</definedName>
    <definedName name="IQ_FARMLAND_LOANS_FDIC" hidden="1">"c6314"</definedName>
    <definedName name="IQ_FDIC" hidden="1">"c417"</definedName>
    <definedName name="IQ_FDIC_DEPOSIT_INSURANCE_FFIEC" hidden="1">"c13053"</definedName>
    <definedName name="IQ_FED_BUDGET_RECEIPTS" hidden="1">"c6869"</definedName>
    <definedName name="IQ_FED_BUDGET_RECEIPTS_APR" hidden="1">"c7529"</definedName>
    <definedName name="IQ_FED_BUDGET_RECEIPTS_APR_FC" hidden="1">"c8409"</definedName>
    <definedName name="IQ_FED_BUDGET_RECEIPTS_FC" hidden="1">"c7749"</definedName>
    <definedName name="IQ_FED_BUDGET_RECEIPTS_POP" hidden="1">"c7089"</definedName>
    <definedName name="IQ_FED_BUDGET_RECEIPTS_POP_FC" hidden="1">"c7969"</definedName>
    <definedName name="IQ_FED_BUDGET_RECEIPTS_YOY" hidden="1">"c7309"</definedName>
    <definedName name="IQ_FED_BUDGET_RECEIPTS_YOY_FC" hidden="1">"c8189"</definedName>
    <definedName name="IQ_FED_FUNDS_PURCHASED_DOM_FFIEC" hidden="1">"c12856"</definedName>
    <definedName name="IQ_FED_FUNDS_PURCHASED_FDIC" hidden="1">"c6343"</definedName>
    <definedName name="IQ_FED_FUNDS_PURCHASED_QUARTERLY_AVG_FFIEC" hidden="1">"c13090"</definedName>
    <definedName name="IQ_FED_FUNDS_SOLD_DOM_FFIEC" hidden="1">"c12806"</definedName>
    <definedName name="IQ_FED_FUNDS_SOLD_FDIC" hidden="1">"c6307"</definedName>
    <definedName name="IQ_FED_FUNDS_SOLD_QUARTERLY_AVG_FFIEC" hidden="1">"c13080"</definedName>
    <definedName name="IQ_FEDFUNDS_SOLD" hidden="1">"c2256"</definedName>
    <definedName name="IQ_FEES_COMMISSIONS_BROKERAGE_FFIEC" hidden="1">"c13005"</definedName>
    <definedName name="IQ_FFO" hidden="1">"c1574"</definedName>
    <definedName name="IQ_FFO_ADJ_ACT_OR_EST_CIQ" hidden="1">"c4960"</definedName>
    <definedName name="IQ_FFO_PAYOUT_RATIO" hidden="1">"c3492"</definedName>
    <definedName name="IQ_FFO_PER_SHARE_BASIC" hidden="1">"c8867"</definedName>
    <definedName name="IQ_FFO_PER_SHARE_DILUTED" hidden="1">"c8868"</definedName>
    <definedName name="IQ_FFO_SHARE_ACT_OR_EST_CIQ" hidden="1">"c4971"</definedName>
    <definedName name="IQ_FH">100000</definedName>
    <definedName name="IQ_FHLB_ADVANCES_FDIC" hidden="1">"c6366"</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DUCIARY_ACTIVITIES_FDIC" hidden="1">"c6571"</definedName>
    <definedName name="IQ_FIDUCIARY_INCOME_OPERATING_INC_FFIEC" hidden="1">"c13383"</definedName>
    <definedName name="IQ_FIFETEEN_YEAR_FIXED_AND_FLOATING_RATE_FDIC" hidden="1">"c6423"</definedName>
    <definedName name="IQ_FIFETEEN_YEAR_MORTGAGE_PASS_THROUGHS_FDIC" hidden="1">"c6415"</definedName>
    <definedName name="IQ_FILING_CURRENCY" hidden="1">"c2129"</definedName>
    <definedName name="IQ_FILING_CURRENCY_AP" hidden="1">"c11747"</definedName>
    <definedName name="IQ_FILINGDATE_BS" hidden="1">"c424"</definedName>
    <definedName name="IQ_FILINGDATE_CF" hidden="1">"c425"</definedName>
    <definedName name="IQ_FILINGDATE_IS" hidden="1">"c426"</definedName>
    <definedName name="IQ_FILM_RIGHTS" hidden="1">"c2254"</definedName>
    <definedName name="IQ_FIN_DATA_SOURCE" hidden="1">"c6788"</definedName>
    <definedName name="IQ_FIN_DIV_ASSETS_CURRENT" hidden="1">"c427"</definedName>
    <definedName name="IQ_FIN_DIV_ASSETS_LT" hidden="1">"c428"</definedName>
    <definedName name="IQ_FIN_DIV_CASH_EQUIV" hidden="1">"c6289"</definedName>
    <definedName name="IQ_FIN_DIV_DEBT_CURRENT" hidden="1">"c429"</definedName>
    <definedName name="IQ_FIN_DIV_DEBT_LT" hidden="1">"c430"</definedName>
    <definedName name="IQ_FIN_DIV_DEBT_TOTAL" hidden="1">"c5656"</definedName>
    <definedName name="IQ_FIN_DIV_EXP" hidden="1">"c431"</definedName>
    <definedName name="IQ_FIN_DIV_INT_EXP" hidden="1">"c432"</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LT_DEBT_TOTAL" hidden="1">"c5655"</definedName>
    <definedName name="IQ_FIN_DIV_REV" hidden="1">"c437"</definedName>
    <definedName name="IQ_FIN_DIV_ST_DEBT_TOTAL" hidden="1">"c5527"</definedName>
    <definedName name="IQ_FIN_DIV_ST_INVEST" hidden="1">"c6288"</definedName>
    <definedName name="IQ_FINANCIAL_LOC_FOREIGN_GUARANTEES_FFIEC" hidden="1">"c13249"</definedName>
    <definedName name="IQ_FINANCIAL_SERVICING_ASSETS_FAIR_VALUE_TOT_FFIEC" hidden="1">"c13212"</definedName>
    <definedName name="IQ_FINANCIAL_SERVICING_ASSETS_LEVEL_1_FFIEC" hidden="1">"c13220"</definedName>
    <definedName name="IQ_FINANCIAL_SERVICING_ASSETS_LEVEL_2_FFIEC" hidden="1">"c13228"</definedName>
    <definedName name="IQ_FINANCIAL_SERVICING_ASSETS_LEVEL_3_FFIEC" hidden="1">"c13236"</definedName>
    <definedName name="IQ_FINANCIAL_SERVICING_LIAB_FAIR_VALUE_TOT_FFIEC" hidden="1">"c13215"</definedName>
    <definedName name="IQ_FINANCIAL_SERVICING_LIAB_LEVEL_1_FFIEC" hidden="1">"c13223"</definedName>
    <definedName name="IQ_FINANCIAL_SERVICING_LIAB_LEVEL_2_FFIEC" hidden="1">"c13231"</definedName>
    <definedName name="IQ_FINANCIAL_SERVICING_LIAB_LEVEL_3_FFIEC" hidden="1">"c13239"</definedName>
    <definedName name="IQ_FINANCING_CASH" hidden="1">"c1405"</definedName>
    <definedName name="IQ_FINANCING_CASH_SUPPL" hidden="1">"c1406"</definedName>
    <definedName name="IQ_FINANCING_OBLIG_CURRENT" hidden="1">"c11753"</definedName>
    <definedName name="IQ_FINANCING_OBLIG_NON_CURRENT" hidden="1">"c11754"</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Q_EST" hidden="1">"c6794"</definedName>
    <definedName name="IQ_FISCAL_Q_EST_CIQ" hidden="1">"c6806"</definedName>
    <definedName name="IQ_FISCAL_Y" hidden="1">"c441"</definedName>
    <definedName name="IQ_FISCAL_Y_EST" hidden="1">"c6795"</definedName>
    <definedName name="IQ_FISCAL_Y_EST_CIQ" hidden="1">"c6807"</definedName>
    <definedName name="IQ_FIVE_PERCENT_OWNER" hidden="1">"c442"</definedName>
    <definedName name="IQ_FIVE_YEAR_FIXED_AND_FLOATING_RATE_FDIC" hidden="1">"c6422"</definedName>
    <definedName name="IQ_FIVE_YEAR_MORTGAGE_PASS_THROUGHS_FDIC" hidden="1">"c6414"</definedName>
    <definedName name="IQ_FIVEPERCENT_PERCENT" hidden="1">"c443"</definedName>
    <definedName name="IQ_FIVEPERCENT_SHARES" hidden="1">"c444"</definedName>
    <definedName name="IQ_FIX_FREQUENCY" hidden="1">"c8964"</definedName>
    <definedName name="IQ_FIXED_ASSET_TURNS" hidden="1">"c445"</definedName>
    <definedName name="IQ_FIXED_INCOME_LIST" hidden="1">"c13504"</definedName>
    <definedName name="IQ_FIXED_INVEST_APR_FC_UNUSED" hidden="1">"c8410"</definedName>
    <definedName name="IQ_FIXED_INVEST_APR_UNUSED" hidden="1">"c7530"</definedName>
    <definedName name="IQ_FIXED_INVEST_FC_UNUSED" hidden="1">"c7750"</definedName>
    <definedName name="IQ_FIXED_INVEST_MACH_EQUIP" hidden="1">"c6871"</definedName>
    <definedName name="IQ_FIXED_INVEST_MACH_EQUIP_APR" hidden="1">"c7531"</definedName>
    <definedName name="IQ_FIXED_INVEST_MACH_EQUIP_APR_FC" hidden="1">"c8411"</definedName>
    <definedName name="IQ_FIXED_INVEST_MACH_EQUIP_FC" hidden="1">"c7751"</definedName>
    <definedName name="IQ_FIXED_INVEST_MACH_EQUIP_POP" hidden="1">"c7091"</definedName>
    <definedName name="IQ_FIXED_INVEST_MACH_EQUIP_POP_FC" hidden="1">"c7971"</definedName>
    <definedName name="IQ_FIXED_INVEST_MACH_EQUIP_REAL" hidden="1">"c6979"</definedName>
    <definedName name="IQ_FIXED_INVEST_MACH_EQUIP_REAL_APR" hidden="1">"c7639"</definedName>
    <definedName name="IQ_FIXED_INVEST_MACH_EQUIP_REAL_APR_FC" hidden="1">"c8519"</definedName>
    <definedName name="IQ_FIXED_INVEST_MACH_EQUIP_REAL_FC" hidden="1">"c7859"</definedName>
    <definedName name="IQ_FIXED_INVEST_MACH_EQUIP_REAL_POP" hidden="1">"c7199"</definedName>
    <definedName name="IQ_FIXED_INVEST_MACH_EQUIP_REAL_POP_FC" hidden="1">"c8079"</definedName>
    <definedName name="IQ_FIXED_INVEST_MACH_EQUIP_REAL_YOY" hidden="1">"c7419"</definedName>
    <definedName name="IQ_FIXED_INVEST_MACH_EQUIP_REAL_YOY_FC" hidden="1">"c8299"</definedName>
    <definedName name="IQ_FIXED_INVEST_MACH_EQUIP_YOY" hidden="1">"c7311"</definedName>
    <definedName name="IQ_FIXED_INVEST_MACH_EQUIP_YOY_FC" hidden="1">"c8191"</definedName>
    <definedName name="IQ_FIXED_INVEST_POP_FC_UNUSED" hidden="1">"c7970"</definedName>
    <definedName name="IQ_FIXED_INVEST_POP_UNUSED" hidden="1">"c7090"</definedName>
    <definedName name="IQ_FIXED_INVEST_REAL_APR_FC_UNUSED" hidden="1">"c8518"</definedName>
    <definedName name="IQ_FIXED_INVEST_REAL_APR_UNUSED" hidden="1">"c7638"</definedName>
    <definedName name="IQ_FIXED_INVEST_REAL_FC_UNUSED" hidden="1">"c7858"</definedName>
    <definedName name="IQ_FIXED_INVEST_REAL_POP_FC_UNUSED" hidden="1">"c8078"</definedName>
    <definedName name="IQ_FIXED_INVEST_REAL_POP_UNUSED" hidden="1">"c7198"</definedName>
    <definedName name="IQ_FIXED_INVEST_REAL_SAAR" hidden="1">"c6980"</definedName>
    <definedName name="IQ_FIXED_INVEST_REAL_SAAR_APR" hidden="1">"c7640"</definedName>
    <definedName name="IQ_FIXED_INVEST_REAL_SAAR_APR_FC" hidden="1">"c8520"</definedName>
    <definedName name="IQ_FIXED_INVEST_REAL_SAAR_FC" hidden="1">"c7860"</definedName>
    <definedName name="IQ_FIXED_INVEST_REAL_SAAR_POP" hidden="1">"c7200"</definedName>
    <definedName name="IQ_FIXED_INVEST_REAL_SAAR_POP_FC" hidden="1">"c8080"</definedName>
    <definedName name="IQ_FIXED_INVEST_REAL_SAAR_USD_APR_FC" hidden="1">"c11945"</definedName>
    <definedName name="IQ_FIXED_INVEST_REAL_SAAR_USD_FC" hidden="1">"c11942"</definedName>
    <definedName name="IQ_FIXED_INVEST_REAL_SAAR_USD_POP_FC" hidden="1">"c11943"</definedName>
    <definedName name="IQ_FIXED_INVEST_REAL_SAAR_USD_YOY_FC" hidden="1">"c11944"</definedName>
    <definedName name="IQ_FIXED_INVEST_REAL_SAAR_YOY" hidden="1">"c7420"</definedName>
    <definedName name="IQ_FIXED_INVEST_REAL_SAAR_YOY_FC" hidden="1">"c8300"</definedName>
    <definedName name="IQ_FIXED_INVEST_REAL_UNUSED" hidden="1">"c6978"</definedName>
    <definedName name="IQ_FIXED_INVEST_REAL_USD_APR_FC" hidden="1">"c11941"</definedName>
    <definedName name="IQ_FIXED_INVEST_REAL_USD_FC" hidden="1">"c11938"</definedName>
    <definedName name="IQ_FIXED_INVEST_REAL_USD_POP_FC" hidden="1">"c11939"</definedName>
    <definedName name="IQ_FIXED_INVEST_REAL_USD_YOY_FC" hidden="1">"c11940"</definedName>
    <definedName name="IQ_FIXED_INVEST_REAL_YOY_FC_UNUSED" hidden="1">"c8298"</definedName>
    <definedName name="IQ_FIXED_INVEST_REAL_YOY_UNUSED" hidden="1">"c7418"</definedName>
    <definedName name="IQ_FIXED_INVEST_SAAR" hidden="1">"c6872"</definedName>
    <definedName name="IQ_FIXED_INVEST_SAAR_APR" hidden="1">"c7532"</definedName>
    <definedName name="IQ_FIXED_INVEST_SAAR_APR_FC" hidden="1">"c8412"</definedName>
    <definedName name="IQ_FIXED_INVEST_SAAR_FC" hidden="1">"c7752"</definedName>
    <definedName name="IQ_FIXED_INVEST_SAAR_POP" hidden="1">"c7092"</definedName>
    <definedName name="IQ_FIXED_INVEST_SAAR_POP_FC" hidden="1">"c7972"</definedName>
    <definedName name="IQ_FIXED_INVEST_SAAR_USD_APR_FC" hidden="1">"c11833"</definedName>
    <definedName name="IQ_FIXED_INVEST_SAAR_USD_FC" hidden="1">"c11830"</definedName>
    <definedName name="IQ_FIXED_INVEST_SAAR_USD_POP_FC" hidden="1">"c11831"</definedName>
    <definedName name="IQ_FIXED_INVEST_SAAR_USD_YOY_FC" hidden="1">"c11832"</definedName>
    <definedName name="IQ_FIXED_INVEST_SAAR_YOY" hidden="1">"c7312"</definedName>
    <definedName name="IQ_FIXED_INVEST_SAAR_YOY_FC" hidden="1">"c8192"</definedName>
    <definedName name="IQ_FIXED_INVEST_UNUSED" hidden="1">"c6870"</definedName>
    <definedName name="IQ_FIXED_INVEST_USD_APR_FC" hidden="1">"c11829"</definedName>
    <definedName name="IQ_FIXED_INVEST_USD_FC" hidden="1">"c11826"</definedName>
    <definedName name="IQ_FIXED_INVEST_USD_POP_FC" hidden="1">"c11827"</definedName>
    <definedName name="IQ_FIXED_INVEST_USD_YOY_FC" hidden="1">"c11828"</definedName>
    <definedName name="IQ_FIXED_INVEST_YOY_FC_UNUSED" hidden="1">"c8190"</definedName>
    <definedName name="IQ_FIXED_INVEST_YOY_UNUSED" hidden="1">"c7310"</definedName>
    <definedName name="IQ_FLOAT_PERCENT" hidden="1">"c1575"</definedName>
    <definedName name="IQ_FNMA_FHLMC_FDIC" hidden="1">"c6397"</definedName>
    <definedName name="IQ_FNMA_FHLMC_GNMA_FDIC" hidden="1">"c6399"</definedName>
    <definedName name="IQ_FORECLOSED_PROPERTIES_FDIC" hidden="1">"c6459"</definedName>
    <definedName name="IQ_FOREIGN_BANK_LOANS_FDIC" hidden="1">"c6437"</definedName>
    <definedName name="IQ_FOREIGN_BANKS_DEPOSITS_FOREIGN_FDIC" hidden="1">"c6481"</definedName>
    <definedName name="IQ_FOREIGN_BANKS_DUE_30_89_FFIEC" hidden="1">"c13269"</definedName>
    <definedName name="IQ_FOREIGN_BANKS_DUE_90_FFIEC" hidden="1">"c13295"</definedName>
    <definedName name="IQ_FOREIGN_BANKS_LOAN_CHARG_OFFS_FDIC" hidden="1">"c6645"</definedName>
    <definedName name="IQ_FOREIGN_BANKS_NET_CHARGE_OFFS_FDIC" hidden="1">"c6647"</definedName>
    <definedName name="IQ_FOREIGN_BANKS_NON_ACCRUAL_FFIEC" hidden="1">"c13321"</definedName>
    <definedName name="IQ_FOREIGN_BANKS_NONTRANSACTION_ACCOUNTS_FDIC" hidden="1">"c6550"</definedName>
    <definedName name="IQ_FOREIGN_BANKS_RECOVERIES_FDIC" hidden="1">"c6646"</definedName>
    <definedName name="IQ_FOREIGN_BANKS_TRANSACTION_ACCOUNTS_FDIC" hidden="1">"c6542"</definedName>
    <definedName name="IQ_FOREIGN_BRANCHES_US_BANKS_FDIC" hidden="1">"c6392"</definedName>
    <definedName name="IQ_FOREIGN_BRANCHES_US_BANKS_LOANS_FDIC" hidden="1">"c6438"</definedName>
    <definedName name="IQ_FOREIGN_COUNTRIES_BANKS_TOTAL_LOANS_FOREIGN_FDIC" hidden="1">"c6445"</definedName>
    <definedName name="IQ_FOREIGN_DEBT_SECURITIES_FDIC" hidden="1">"c6303"</definedName>
    <definedName name="IQ_FOREIGN_DEP_IB" hidden="1">"c446"</definedName>
    <definedName name="IQ_FOREIGN_DEP_NON_IB" hidden="1">"c447"</definedName>
    <definedName name="IQ_FOREIGN_DEPOSITS_ASSETS_TOT_FFIEC" hidden="1">"c13445"</definedName>
    <definedName name="IQ_FOREIGN_DEPOSITS_NONTRANSACTION_ACCOUNTS_FDIC" hidden="1">"c6549"</definedName>
    <definedName name="IQ_FOREIGN_DEPOSITS_TOT_FFIEC" hidden="1">"c13486"</definedName>
    <definedName name="IQ_FOREIGN_DEPOSITS_TRANSACTION_ACCOUNTS_FDIC" hidden="1">"c6541"</definedName>
    <definedName name="IQ_FOREIGN_EXCHANGE" hidden="1">"c1376"</definedName>
    <definedName name="IQ_FOREIGN_EXCHANGE_EXPOSURES_FDIC" hidden="1">"c6663"</definedName>
    <definedName name="IQ_FOREIGN_GOVERNMENT_LOANS_FDIC" hidden="1">"c6430"</definedName>
    <definedName name="IQ_FOREIGN_GOVERNMENTS_CHARGE_OFFS_FDIC" hidden="1">"c6600"</definedName>
    <definedName name="IQ_FOREIGN_GOVERNMENTS_DEPOSITS_FOREIGN_FDIC" hidden="1">"c6482"</definedName>
    <definedName name="IQ_FOREIGN_GOVERNMENTS_NET_CHARGE_OFFS_FDIC" hidden="1">"c6638"</definedName>
    <definedName name="IQ_FOREIGN_GOVERNMENTS_NONTRANSACTION_ACCOUNTS_FDIC" hidden="1">"c6551"</definedName>
    <definedName name="IQ_FOREIGN_GOVERNMENTS_RECOVERIES_FDIC" hidden="1">"c6619"</definedName>
    <definedName name="IQ_FOREIGN_GOVERNMENTS_TOTAL_DEPOSITS_FDIC" hidden="1">"c6476"</definedName>
    <definedName name="IQ_FOREIGN_GOVERNMENTS_TRANSACTION_ACCOUNTS_FDIC" hidden="1">"c6543"</definedName>
    <definedName name="IQ_FOREIGN_LL_REC_FFIEC" hidden="1">"c12892"</definedName>
    <definedName name="IQ_FOREIGN_LOANS" hidden="1">"c448"</definedName>
    <definedName name="IQ_FOREIGN_LOANS_LEASES_FOREIGN_FFIEC" hidden="1">"c13478"</definedName>
    <definedName name="IQ_FOUNDATION_OVER_TOTAL" hidden="1">"c13769"</definedName>
    <definedName name="IQ_FQ">500</definedName>
    <definedName name="IQ_FUEL" hidden="1">"c449"</definedName>
    <definedName name="IQ_FULL_TIME" hidden="1">"c450"</definedName>
    <definedName name="IQ_FULLY_INSURED_DEPOSITS_FDIC" hidden="1">"c6487"</definedName>
    <definedName name="IQ_FUND_FEE_INC_NON_INT_INC_FFIEC" hidden="1">"c13493"</definedName>
    <definedName name="IQ_FUNDING_DEPENDENCE_FFIEC" hidden="1">"c13336"</definedName>
    <definedName name="IQ_FUNDING_DEPENDENCE_ST_FFIEC" hidden="1">"c13337"</definedName>
    <definedName name="IQ_FUNDS_PURCHASED_ASSETS_TOT_FFIEC" hidden="1">"c13446"</definedName>
    <definedName name="IQ_FUTURES_FORWARD_CONTRACTS_NOTIONAL_AMOUNT_FDIC" hidden="1">"c6518"</definedName>
    <definedName name="IQ_FUTURES_FORWARD_CONTRACTS_RATE_RISK_FDIC" hidden="1">"c6508"</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X" hidden="1">"c451"</definedName>
    <definedName name="IQ_FX_CONTRACTS_FDIC" hidden="1">"c6517"</definedName>
    <definedName name="IQ_FX_CONTRACTS_FFIEC" hidden="1">"c13125"</definedName>
    <definedName name="IQ_FX_CONTRACTS_SPOT_FDIC" hidden="1">"c6356"</definedName>
    <definedName name="IQ_FX_EXPOSURE_FFIEC" hidden="1">"c13059"</definedName>
    <definedName name="IQ_FY">1000</definedName>
    <definedName name="IQ_GA_EXP" hidden="1">"c2241"</definedName>
    <definedName name="IQ_GAAP_BS" hidden="1">"c6789"</definedName>
    <definedName name="IQ_GAAP_CF" hidden="1">"c6790"</definedName>
    <definedName name="IQ_GAAP_IS" hidden="1">"c6194"</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 hidden="1">"c6217"</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 hidden="1">"c6218"</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 hidden="1">"c6219"</definedName>
    <definedName name="IQ_GAIN_ASSETS_REV_REIT" hidden="1">"c477"</definedName>
    <definedName name="IQ_GAIN_ASSETS_REV_UTI" hidden="1">"c478"</definedName>
    <definedName name="IQ_GAIN_ASSETS_UTI" hidden="1">"c479"</definedName>
    <definedName name="IQ_GAIN_CREDIT_DERIVATIVES_FFIEC" hidden="1">"c13066"</definedName>
    <definedName name="IQ_GAIN_CREDIT_DERIVATIVES_NON_TRADING_FFIEC" hidden="1">"c13067"</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 hidden="1">"c6220"</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 hidden="1">"c6278"</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 hidden="1">"c6221"</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AIN_SALE_LOANS_FDIC" hidden="1">"c6673"</definedName>
    <definedName name="IQ_GAIN_SALE_RE_FDIC" hidden="1">"c6674"</definedName>
    <definedName name="IQ_GAINS_AFS_AVG_ASSETS_FFIEC" hidden="1">"c13364"</definedName>
    <definedName name="IQ_GAINS_ASSETS_TOT_FFIEC" hidden="1">"c13073"</definedName>
    <definedName name="IQ_GAINS_AVAIL_SALE_EQUITY_SEC_T2_FFIEC" hidden="1">"c13147"</definedName>
    <definedName name="IQ_GAINS_AVAIL_SALE_SEC_T1_FFIEC" hidden="1">"c13131"</definedName>
    <definedName name="IQ_GAINS_CASH_FLOW_HEDGES_T1_FFIEC" hidden="1">"c13133"</definedName>
    <definedName name="IQ_GAINS_HTM_AVG_ASSETS_FFIEC" hidden="1">"c13363"</definedName>
    <definedName name="IQ_GAINS_INSTRUMENT_SPECIFIC_CREDIT_RISK_LIAB_FFIEC" hidden="1">"c13076"</definedName>
    <definedName name="IQ_GAINS_INSTRUMENT_SPECIFIC_RISK_FFIEC" hidden="1">"c13074"</definedName>
    <definedName name="IQ_GAINS_INSURANCE_ACTIVITIES_FFIEC" hidden="1">"c13072"</definedName>
    <definedName name="IQ_GAINS_LIABILITIES_FFIEC" hidden="1">"c13075"</definedName>
    <definedName name="IQ_GAINS_SALE_ASSETS_FDIC" hidden="1">"c6675"</definedName>
    <definedName name="IQ_GAINS_SALE_LOANS_LEASES_FFIEC" hidden="1">"c13013"</definedName>
    <definedName name="IQ_GAINS_SALE_OTHER_ASSETS_FFIEC" hidden="1">"c13015"</definedName>
    <definedName name="IQ_GAINS_SALE_OTHER_RE_OWNED_FFIEC" hidden="1">"c13014"</definedName>
    <definedName name="IQ_GAINS_SECURITIZATION_OPERATING_INC_FFIEC" hidden="1">"c13391"</definedName>
    <definedName name="IQ_GDP" hidden="1">"c6874"</definedName>
    <definedName name="IQ_GDP_APR" hidden="1">"c7534"</definedName>
    <definedName name="IQ_GDP_APR_FC" hidden="1">"c8414"</definedName>
    <definedName name="IQ_GDP_FC" hidden="1">"c7754"</definedName>
    <definedName name="IQ_GDP_POP" hidden="1">"c7094"</definedName>
    <definedName name="IQ_GDP_POP_FC" hidden="1">"c7974"</definedName>
    <definedName name="IQ_GDP_REAL" hidden="1">"c6981"</definedName>
    <definedName name="IQ_GDP_REAL_APR" hidden="1">"c7641"</definedName>
    <definedName name="IQ_GDP_REAL_APR_FC" hidden="1">"c8521"</definedName>
    <definedName name="IQ_GDP_REAL_FC" hidden="1">"c7861"</definedName>
    <definedName name="IQ_GDP_REAL_POP" hidden="1">"c7201"</definedName>
    <definedName name="IQ_GDP_REAL_POP_FC" hidden="1">"c8081"</definedName>
    <definedName name="IQ_GDP_REAL_SAAR" hidden="1">"c6982"</definedName>
    <definedName name="IQ_GDP_REAL_SAAR_APR" hidden="1">"c7642"</definedName>
    <definedName name="IQ_GDP_REAL_SAAR_APR_FC" hidden="1">"c8522"</definedName>
    <definedName name="IQ_GDP_REAL_SAAR_FC" hidden="1">"c7862"</definedName>
    <definedName name="IQ_GDP_REAL_SAAR_POP" hidden="1">"c7202"</definedName>
    <definedName name="IQ_GDP_REAL_SAAR_POP_FC" hidden="1">"c8082"</definedName>
    <definedName name="IQ_GDP_REAL_SAAR_YOY" hidden="1">"c7422"</definedName>
    <definedName name="IQ_GDP_REAL_SAAR_YOY_FC" hidden="1">"c8302"</definedName>
    <definedName name="IQ_GDP_REAL_USD" hidden="1">"c11946"</definedName>
    <definedName name="IQ_GDP_REAL_USD_APR" hidden="1">"c11949"</definedName>
    <definedName name="IQ_GDP_REAL_USD_POP" hidden="1">"c11947"</definedName>
    <definedName name="IQ_GDP_REAL_USD_YOY" hidden="1">"c11948"</definedName>
    <definedName name="IQ_GDP_REAL_YOY" hidden="1">"c7421"</definedName>
    <definedName name="IQ_GDP_REAL_YOY_FC" hidden="1">"c8301"</definedName>
    <definedName name="IQ_GDP_SAAR" hidden="1">"c6875"</definedName>
    <definedName name="IQ_GDP_SAAR_APR" hidden="1">"c7535"</definedName>
    <definedName name="IQ_GDP_SAAR_APR_FC" hidden="1">"c8415"</definedName>
    <definedName name="IQ_GDP_SAAR_FC" hidden="1">"c7755"</definedName>
    <definedName name="IQ_GDP_SAAR_POP" hidden="1">"c7095"</definedName>
    <definedName name="IQ_GDP_SAAR_POP_FC" hidden="1">"c7975"</definedName>
    <definedName name="IQ_GDP_SAAR_YOY" hidden="1">"c7315"</definedName>
    <definedName name="IQ_GDP_SAAR_YOY_FC" hidden="1">"c8195"</definedName>
    <definedName name="IQ_GDP_USD" hidden="1">"c11834"</definedName>
    <definedName name="IQ_GDP_USD_APR" hidden="1">"c11837"</definedName>
    <definedName name="IQ_GDP_USD_POP" hidden="1">"c11835"</definedName>
    <definedName name="IQ_GDP_USD_YOY" hidden="1">"c11836"</definedName>
    <definedName name="IQ_GDP_YOY" hidden="1">"c7314"</definedName>
    <definedName name="IQ_GDP_YOY_FC" hidden="1">"c8194"</definedName>
    <definedName name="IQ_GEO_SEG_ASSETS" hidden="1">"c4069"</definedName>
    <definedName name="IQ_GEO_SEG_ASSETS_ABS" hidden="1">"c4091"</definedName>
    <definedName name="IQ_GEO_SEG_ASSETS_TOTAL" hidden="1">"c4123"</definedName>
    <definedName name="IQ_GEO_SEG_CAPEX" hidden="1">"c4083"</definedName>
    <definedName name="IQ_GEO_SEG_CAPEX_ABS" hidden="1">"c4105"</definedName>
    <definedName name="IQ_GEO_SEG_CAPEX_TOTAL" hidden="1">"c4127"</definedName>
    <definedName name="IQ_GEO_SEG_DA" hidden="1">"c4082"</definedName>
    <definedName name="IQ_GEO_SEG_DA_ABS" hidden="1">"c4104"</definedName>
    <definedName name="IQ_GEO_SEG_DA_TOTAL" hidden="1">"c4126"</definedName>
    <definedName name="IQ_GEO_SEG_EARNINGS_OP" hidden="1">"c4073"</definedName>
    <definedName name="IQ_GEO_SEG_EARNINGS_OP_ABS" hidden="1">"c4095"</definedName>
    <definedName name="IQ_GEO_SEG_EARNINGS_OP_TOTAL" hidden="1">"c4119"</definedName>
    <definedName name="IQ_GEO_SEG_EBT" hidden="1">"c4072"</definedName>
    <definedName name="IQ_GEO_SEG_EBT_ABS" hidden="1">"c4094"</definedName>
    <definedName name="IQ_GEO_SEG_EBT_TOTAL" hidden="1">"c4121"</definedName>
    <definedName name="IQ_GEO_SEG_GP" hidden="1">"c4070"</definedName>
    <definedName name="IQ_GEO_SEG_GP_ABS" hidden="1">"c4092"</definedName>
    <definedName name="IQ_GEO_SEG_GP_TOTAL" hidden="1">"c4120"</definedName>
    <definedName name="IQ_GEO_SEG_INC_TAX" hidden="1">"c4081"</definedName>
    <definedName name="IQ_GEO_SEG_INC_TAX_ABS" hidden="1">"c4103"</definedName>
    <definedName name="IQ_GEO_SEG_INC_TAX_TOTAL" hidden="1">"c4125"</definedName>
    <definedName name="IQ_GEO_SEG_INTEREST_EXP" hidden="1">"c4080"</definedName>
    <definedName name="IQ_GEO_SEG_INTEREST_EXP_ABS" hidden="1">"c4102"</definedName>
    <definedName name="IQ_GEO_SEG_INTEREST_EXP_TOTAL" hidden="1">"c4124"</definedName>
    <definedName name="IQ_GEO_SEG_NAME" hidden="1">"c5484"</definedName>
    <definedName name="IQ_GEO_SEG_NAME_ABS" hidden="1">"c5485"</definedName>
    <definedName name="IQ_GEO_SEG_NI" hidden="1">"c4071"</definedName>
    <definedName name="IQ_GEO_SEG_NI_ABS" hidden="1">"c4093"</definedName>
    <definedName name="IQ_GEO_SEG_NI_TOTAL" hidden="1">"c4122"</definedName>
    <definedName name="IQ_GEO_SEG_OPER_INC" hidden="1">"c4075"</definedName>
    <definedName name="IQ_GEO_SEG_OPER_INC_ABS" hidden="1">"c4097"</definedName>
    <definedName name="IQ_GEO_SEG_OPER_INC_TOTAL" hidden="1">"c4118"</definedName>
    <definedName name="IQ_GEO_SEG_REV" hidden="1">"c4074"</definedName>
    <definedName name="IQ_GEO_SEG_REV_ABS" hidden="1">"c4096"</definedName>
    <definedName name="IQ_GEO_SEG_REV_TOTAL" hidden="1">"c4117"</definedName>
    <definedName name="IQ_GLA_PCT_LEASED_CONSOL" hidden="1">"c8810"</definedName>
    <definedName name="IQ_GLA_PCT_LEASED_MANAGED" hidden="1">"c8812"</definedName>
    <definedName name="IQ_GLA_PCT_LEASED_OTHER" hidden="1">"c8813"</definedName>
    <definedName name="IQ_GLA_PCT_LEASED_TOTAL" hidden="1">"c8814"</definedName>
    <definedName name="IQ_GLA_PCT_LEASED_UNCONSOL" hidden="1">"c8811"</definedName>
    <definedName name="IQ_GLA_SQ_FT_CONSOL" hidden="1">"c8790"</definedName>
    <definedName name="IQ_GLA_SQ_FT_MANAGED" hidden="1">"c8792"</definedName>
    <definedName name="IQ_GLA_SQ_FT_OTHER" hidden="1">"c8793"</definedName>
    <definedName name="IQ_GLA_SQ_FT_TOTAL" hidden="1">"c8794"</definedName>
    <definedName name="IQ_GLA_SQ_FT_UNCONSOL" hidden="1">"c8791"</definedName>
    <definedName name="IQ_GLA_SQ_METER_CONSOL" hidden="1">"c8795"</definedName>
    <definedName name="IQ_GLA_SQ_METER_MANAGED" hidden="1">"c8797"</definedName>
    <definedName name="IQ_GLA_SQ_METER_OTHER" hidden="1">"c8798"</definedName>
    <definedName name="IQ_GLA_SQ_METER_TOTAL" hidden="1">"c8799"</definedName>
    <definedName name="IQ_GLA_SQ_METER_UNCONSOL" hidden="1">"c8796"</definedName>
    <definedName name="IQ_GNMA_FDIC" hidden="1">"c6398"</definedName>
    <definedName name="IQ_GOODWILL_FDIC" hidden="1">"c6334"</definedName>
    <definedName name="IQ_GOODWILL_FFIEC" hidden="1">"c12836"</definedName>
    <definedName name="IQ_GOODWILL_IMPAIRMENT_FDIC" hidden="1">"c6678"</definedName>
    <definedName name="IQ_GOODWILL_IMPAIRMENT_FFIEC" hidden="1">"c13025"</definedName>
    <definedName name="IQ_GOODWILL_INTAN_FDIC" hidden="1">"c6333"</definedName>
    <definedName name="IQ_GOODWILL_NET" hidden="1">"c1380"</definedName>
    <definedName name="IQ_GOVT_PERSONAL_TAXES_RECEIPTS" hidden="1">"c6876"</definedName>
    <definedName name="IQ_GOVT_PERSONAL_TAXES_RECEIPTS_APR" hidden="1">"c7536"</definedName>
    <definedName name="IQ_GOVT_PERSONAL_TAXES_RECEIPTS_APR_FC" hidden="1">"c8416"</definedName>
    <definedName name="IQ_GOVT_PERSONAL_TAXES_RECEIPTS_FC" hidden="1">"c7756"</definedName>
    <definedName name="IQ_GOVT_PERSONAL_TAXES_RECEIPTS_POP" hidden="1">"c7096"</definedName>
    <definedName name="IQ_GOVT_PERSONAL_TAXES_RECEIPTS_POP_FC" hidden="1">"c7976"</definedName>
    <definedName name="IQ_GOVT_PERSONAL_TAXES_RECEIPTS_YOY" hidden="1">"c7316"</definedName>
    <definedName name="IQ_GOVT_PERSONAL_TAXES_RECEIPTS_YOY_FC" hidden="1">"c8196"</definedName>
    <definedName name="IQ_GOVT_RECEIPTS" hidden="1">"c6877"</definedName>
    <definedName name="IQ_GOVT_RECEIPTS_APR" hidden="1">"c7537"</definedName>
    <definedName name="IQ_GOVT_RECEIPTS_APR_FC" hidden="1">"c8417"</definedName>
    <definedName name="IQ_GOVT_RECEIPTS_FC" hidden="1">"c7757"</definedName>
    <definedName name="IQ_GOVT_RECEIPTS_POP" hidden="1">"c7097"</definedName>
    <definedName name="IQ_GOVT_RECEIPTS_POP_FC" hidden="1">"c7977"</definedName>
    <definedName name="IQ_GOVT_RECEIPTS_YOY" hidden="1">"c7317"</definedName>
    <definedName name="IQ_GOVT_RECEIPTS_YOY_FC" hidden="1">"c8197"</definedName>
    <definedName name="IQ_GP" hidden="1">"c511"</definedName>
    <definedName name="IQ_GP_10YR_ANN_CAGR" hidden="1">"c6090"</definedName>
    <definedName name="IQ_GP_10YR_ANN_GROWTH" hidden="1">"c512"</definedName>
    <definedName name="IQ_GP_1YR_ANN_GROWTH" hidden="1">"c513"</definedName>
    <definedName name="IQ_GP_2YR_ANN_CAGR" hidden="1">"c6091"</definedName>
    <definedName name="IQ_GP_2YR_ANN_GROWTH" hidden="1">"c514"</definedName>
    <definedName name="IQ_GP_3YR_ANN_CAGR" hidden="1">"c6092"</definedName>
    <definedName name="IQ_GP_3YR_ANN_GROWTH" hidden="1">"c515"</definedName>
    <definedName name="IQ_GP_5YR_ANN_CAGR" hidden="1">"c6093"</definedName>
    <definedName name="IQ_GP_5YR_ANN_GROWTH" hidden="1">"c516"</definedName>
    <definedName name="IQ_GP_7YR_ANN_CAGR" hidden="1">"c6094"</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LIFE_EARNED" hidden="1">"c2737"</definedName>
    <definedName name="IQ_GROSS_LIFE_IN_FORCE" hidden="1">"c2767"</definedName>
    <definedName name="IQ_GROSS_LOANS" hidden="1">"c521"</definedName>
    <definedName name="IQ_GROSS_LOANS_10YR_ANN_CAGR" hidden="1">"c6095"</definedName>
    <definedName name="IQ_GROSS_LOANS_10YR_ANN_GROWTH" hidden="1">"c522"</definedName>
    <definedName name="IQ_GROSS_LOANS_1YR_ANN_GROWTH" hidden="1">"c523"</definedName>
    <definedName name="IQ_GROSS_LOANS_2YR_ANN_CAGR" hidden="1">"c6096"</definedName>
    <definedName name="IQ_GROSS_LOANS_2YR_ANN_GROWTH" hidden="1">"c524"</definedName>
    <definedName name="IQ_GROSS_LOANS_3YR_ANN_CAGR" hidden="1">"c6097"</definedName>
    <definedName name="IQ_GROSS_LOANS_3YR_ANN_GROWTH" hidden="1">"c525"</definedName>
    <definedName name="IQ_GROSS_LOANS_5YR_ANN_CAGR" hidden="1">"c6098"</definedName>
    <definedName name="IQ_GROSS_LOANS_5YR_ANN_GROWTH" hidden="1">"c526"</definedName>
    <definedName name="IQ_GROSS_LOANS_7YR_ANN_CAGR" hidden="1">"c6099"</definedName>
    <definedName name="IQ_GROSS_LOANS_7YR_ANN_GROWTH" hidden="1">"c527"</definedName>
    <definedName name="IQ_GROSS_LOANS_TOTAL_DEPOSITS" hidden="1">"c528"</definedName>
    <definedName name="IQ_GROSS_LOSSES_AVG_LOANS_FFIEC" hidden="1">"c13475"</definedName>
    <definedName name="IQ_GROSS_MARGIN" hidden="1">"c529"</definedName>
    <definedName name="IQ_GROSS_PC_EARNED" hidden="1">"c2747"</definedName>
    <definedName name="IQ_GROSS_PROFIT" hidden="1">"c1378"</definedName>
    <definedName name="IQ_GROSS_SPRD" hidden="1">"c2155"</definedName>
    <definedName name="IQ_GROSS_WRITTEN" hidden="1">"c2726"</definedName>
    <definedName name="IQ_GROUP_EMBEDDED_VALUE_ASSET_MANAGEMENT" hidden="1">"c9955"</definedName>
    <definedName name="IQ_GROUP_EMBEDDED_VALUE_HEALTH" hidden="1">"c9954"</definedName>
    <definedName name="IQ_GROUP_EMBEDDED_VALUE_LIFE" hidden="1">"c9953"</definedName>
    <definedName name="IQ_GROUP_EMBEDDED_VALUE_LIFE_OTHER" hidden="1">"c9956"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 hidden="1">"c6279"</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 hidden="1">"c6280"</definedName>
    <definedName name="IQ_GW_INTAN_AMORT_REIT" hidden="1">"c1480"</definedName>
    <definedName name="IQ_GW_INTAN_AMORT_UTI" hidden="1">"c1481"</definedName>
    <definedName name="IQ_HC_ADJUSTED_DISCHARGES" hidden="1">"c9977"</definedName>
    <definedName name="IQ_HC_ADMISSIONS" hidden="1">"c5953"</definedName>
    <definedName name="IQ_HC_ADMISSIONS_GROWTH" hidden="1">"c5997"</definedName>
    <definedName name="IQ_HC_ADMISSIONS_MANAGED_CARE" hidden="1">"c5956"</definedName>
    <definedName name="IQ_HC_ADMISSIONS_MEDICAID" hidden="1">"c5955"</definedName>
    <definedName name="IQ_HC_ADMISSIONS_MEDICARE" hidden="1">"c5954"</definedName>
    <definedName name="IQ_HC_ADMISSIONS_OTHER" hidden="1">"c5957"</definedName>
    <definedName name="IQ_HC_ADMISSIONS_SF" hidden="1">"c6006"</definedName>
    <definedName name="IQ_HC_ALFS" hidden="1">"c5952"</definedName>
    <definedName name="IQ_HC_ASO_COVERED_LIVES" hidden="1">"c9982"</definedName>
    <definedName name="IQ_HC_ASO_MEMBERSHIP" hidden="1">"c9985"</definedName>
    <definedName name="IQ_HC_AVG_BEDS_SVC" hidden="1">"c5951"</definedName>
    <definedName name="IQ_HC_AVG_DAILY_CENSUS" hidden="1">"c5965"</definedName>
    <definedName name="IQ_HC_AVG_LICENSED_BEDS" hidden="1">"c5949"</definedName>
    <definedName name="IQ_HC_AVG_LICENSED_BEDS_SF" hidden="1">"c6004"</definedName>
    <definedName name="IQ_HC_AVG_STAY" hidden="1">"c5966"</definedName>
    <definedName name="IQ_HC_AVG_STAY_SF" hidden="1">"c6016"</definedName>
    <definedName name="IQ_HC_BEDS_SVC" hidden="1">"c5950"</definedName>
    <definedName name="IQ_HC_CASES" hidden="1">"c9978"</definedName>
    <definedName name="IQ_HC_CLAIMS_RESERVES" hidden="1">"c9989"</definedName>
    <definedName name="IQ_HC_DAYS_REV_OUT" hidden="1">"c5993"</definedName>
    <definedName name="IQ_HC_DISCHARGES" hidden="1">"c9976"</definedName>
    <definedName name="IQ_HC_EQUIV_ADMISSIONS_GROWTH" hidden="1">"c5998"</definedName>
    <definedName name="IQ_HC_EQUIVALENT_ADMISSIONS" hidden="1">"c5958"</definedName>
    <definedName name="IQ_HC_EQUIVALENT_ADMISSIONS_SF" hidden="1">"c6007"</definedName>
    <definedName name="IQ_HC_EQUIVALENT_PATIENT_DAYS" hidden="1">"c9980"</definedName>
    <definedName name="IQ_HC_ER_VISITS" hidden="1">"c5964"</definedName>
    <definedName name="IQ_HC_ER_VISITS_SF" hidden="1">"c6017"</definedName>
    <definedName name="IQ_HC_GROSS_INPATIENT_REV" hidden="1">"c5987"</definedName>
    <definedName name="IQ_HC_GROSS_OUTPATIENT_REV" hidden="1">"c5988"</definedName>
    <definedName name="IQ_HC_GROSS_PATIENT_REV" hidden="1">"c5989"</definedName>
    <definedName name="IQ_HC_HOSP_FACILITIES_CONSOL" hidden="1">"c5945"</definedName>
    <definedName name="IQ_HC_HOSP_FACILITIES_CONSOL_SF" hidden="1">"c6000"</definedName>
    <definedName name="IQ_HC_HOSP_FACILITIES_NON_CONSOL" hidden="1">"c5946"</definedName>
    <definedName name="IQ_HC_HOSP_FACILITIES_NON_CONSOL_SF" hidden="1">"c6001"</definedName>
    <definedName name="IQ_HC_HOSP_FACILITIES_TOTAL" hidden="1">"c5947"</definedName>
    <definedName name="IQ_HC_HOSP_FACILITIES_TOTAL_SF" hidden="1">"c6002"</definedName>
    <definedName name="IQ_HC_INPATIENT_PROCEDURES" hidden="1">"c5961"</definedName>
    <definedName name="IQ_HC_INPATIENT_PROCEDURES_SF" hidden="1">"c6011"</definedName>
    <definedName name="IQ_HC_INPATIENT_REV_PER_ADMISSION" hidden="1">"c5994"</definedName>
    <definedName name="IQ_HC_INTPATIENT_SVCS_PCT_REV" hidden="1">"c5975"</definedName>
    <definedName name="IQ_HC_INTPATIENT_SVCS_PCT_REV_SF" hidden="1">"c6015"</definedName>
    <definedName name="IQ_HC_LICENSED_BEDS" hidden="1">"c5948"</definedName>
    <definedName name="IQ_HC_LICENSED_BEDS_SF" hidden="1">"c6003"</definedName>
    <definedName name="IQ_HC_MANAGED_CARE_PCT_ADMISSIONS" hidden="1">"c5982"</definedName>
    <definedName name="IQ_HC_MANAGED_CARE_PCT_REV" hidden="1">"c5978"</definedName>
    <definedName name="IQ_HC_MEDICAID_PCT_ADMISSIONS" hidden="1">"c5981"</definedName>
    <definedName name="IQ_HC_MEDICAID_PCT_REV" hidden="1">"c5977"</definedName>
    <definedName name="IQ_HC_MEDICAL_EXPENSE_RATIO" hidden="1">"c9987"</definedName>
    <definedName name="IQ_HC_MEDICARE_PCT_ADMISSIONS" hidden="1">"c5980"</definedName>
    <definedName name="IQ_HC_MEDICARE_PCT_REV" hidden="1">"c5976"</definedName>
    <definedName name="IQ_HC_NET_INPATIENT_REV" hidden="1">"c5984"</definedName>
    <definedName name="IQ_HC_NET_OUTPATIENT_REV" hidden="1">"c5985"</definedName>
    <definedName name="IQ_HC_NET_PATIENT_REV" hidden="1">"c5986"</definedName>
    <definedName name="IQ_HC_NET_PATIENT_REV_SF" hidden="1">"c6005"</definedName>
    <definedName name="IQ_HC_OCC_RATE" hidden="1">"c5967"</definedName>
    <definedName name="IQ_HC_OCC_RATE_LICENSED_BEDS" hidden="1">"c5968"</definedName>
    <definedName name="IQ_HC_OCC_RATE_SF" hidden="1">"c6009"</definedName>
    <definedName name="IQ_HC_OPEX_SUPPLIES" hidden="1">"c5990"</definedName>
    <definedName name="IQ_HC_OTHER_OPEX_PCT_REV" hidden="1">"c5973"</definedName>
    <definedName name="IQ_HC_OUTPATIENT_PROCEDURES" hidden="1">"c5962"</definedName>
    <definedName name="IQ_HC_OUTPATIENT_PROCEDURES_SF" hidden="1">"c6012"</definedName>
    <definedName name="IQ_HC_OUTPATIENT_REV_PER_ADMISSION" hidden="1">"c5995"</definedName>
    <definedName name="IQ_HC_OUTPATIENT_SVCS_PCT_REV" hidden="1">"c5974"</definedName>
    <definedName name="IQ_HC_OUTPATIENT_SVCS_PCT_REV_SF" hidden="1">"c6014"</definedName>
    <definedName name="IQ_HC_PATIENT_DAYS" hidden="1">"c5960"</definedName>
    <definedName name="IQ_HC_PATIENT_DAYS_SF" hidden="1">"c6010"</definedName>
    <definedName name="IQ_HC_PROF_GEN_LIAB_CLAIM_PAID" hidden="1">"c5991"</definedName>
    <definedName name="IQ_HC_PROF_GEN_LIAB_EXP_BENEFIT" hidden="1">"c5992"</definedName>
    <definedName name="IQ_HC_PROVISION_DOUBTFUL_PCT_REV" hidden="1">"c5972"</definedName>
    <definedName name="IQ_HC_REV_GROWTH" hidden="1">"c5996"</definedName>
    <definedName name="IQ_HC_REV_PER_CASE" hidden="1">"c9979"</definedName>
    <definedName name="IQ_HC_REV_PER_DISCHARGE" hidden="1">"c9990"</definedName>
    <definedName name="IQ_HC_REV_PER_EQUIV_ADMISSION" hidden="1">"c5959"</definedName>
    <definedName name="IQ_HC_REV_PER_EQUIV_ADMISSION_SF" hidden="1">"c6008"</definedName>
    <definedName name="IQ_HC_REV_PER_EQUIV_ADMISSIONS_GROWTH" hidden="1">"c5999"</definedName>
    <definedName name="IQ_HC_REV_PER_PATIENT_DAY" hidden="1">"c5969"</definedName>
    <definedName name="IQ_HC_REV_PER_PATIENT_DAY_SF" hidden="1">"c6018"</definedName>
    <definedName name="IQ_HC_RISK_COVERED_LIVES" hidden="1">"c9981"</definedName>
    <definedName name="IQ_HC_RISK_MEMBERSHIP" hidden="1">"c9984"</definedName>
    <definedName name="IQ_HC_SALARIES_PCT_REV" hidden="1">"c5970"</definedName>
    <definedName name="IQ_HC_SGA_MARGIN" hidden="1">"c9988"</definedName>
    <definedName name="IQ_HC_SUPPLIES_PCT_REV" hidden="1">"c5971"</definedName>
    <definedName name="IQ_HC_TOTAL_COVERED_LIVES" hidden="1">"c9983"</definedName>
    <definedName name="IQ_HC_TOTAL_MEMBERSHIP" hidden="1">"c9986"</definedName>
    <definedName name="IQ_HC_TOTAL_PROCEDURES" hidden="1">"c5963"</definedName>
    <definedName name="IQ_HC_TOTAL_PROCEDURES_SF" hidden="1">"c6013"</definedName>
    <definedName name="IQ_HC_UNINSURED_PCT_ADMISSIONS" hidden="1">"c5983"</definedName>
    <definedName name="IQ_HC_UNINSURED_PCT_REV" hidden="1">"c5979"</definedName>
    <definedName name="IQ_HEDGEFUND_OVER_TOTAL" hidden="1">"c13771"</definedName>
    <definedName name="IQ_HELD_MATURITY_FDIC" hidden="1">"c6408"</definedName>
    <definedName name="IQ_HG_ACQUIRED_FRANCHISE_HOTEL_PROPERTIES" hidden="1">"c8584"</definedName>
    <definedName name="IQ_HG_ACQUIRED_FRANCHISE_ROOMS" hidden="1">"c8614"</definedName>
    <definedName name="IQ_HG_ACQUIRED_HOTEL_PROPERTIES" hidden="1">"c8572"</definedName>
    <definedName name="IQ_HG_ACQUIRED_MANAGED_HOTEL_PROPERTIES" hidden="1">"c8590"</definedName>
    <definedName name="IQ_HG_ACQUIRED_MANAGED_ROOMS" hidden="1">"c8620"</definedName>
    <definedName name="IQ_HG_ACQUIRED_OTHER_HOTEL_PROPERTIES" hidden="1">"c8596"</definedName>
    <definedName name="IQ_HG_ACQUIRED_OTHER_ROOMS" hidden="1">"c8626"</definedName>
    <definedName name="IQ_HG_ACQUIRED_OWNED_HOTEL_PROPERTIES" hidden="1">"c8578"</definedName>
    <definedName name="IQ_HG_ACQUIRED_OWNED_ROOMS" hidden="1">"c8608"</definedName>
    <definedName name="IQ_HG_ACQUIRED_ROOMS" hidden="1">"c8602"</definedName>
    <definedName name="IQ_HG_ADR_CHANGE_FRANCHISE" hidden="1">"c8684"</definedName>
    <definedName name="IQ_HG_ADR_CHANGE_MANAGED" hidden="1">"c8685"</definedName>
    <definedName name="IQ_HG_ADR_CHANGE_OTHER" hidden="1">"c8686"</definedName>
    <definedName name="IQ_HG_ADR_CHANGE_OWNED" hidden="1">"c8683"</definedName>
    <definedName name="IQ_HG_ADR_CHANGE_OWNED_COMP" hidden="1">"c8709"</definedName>
    <definedName name="IQ_HG_ADR_CHANGE_TOTAL" hidden="1">"c8687"</definedName>
    <definedName name="IQ_HG_ADR_CHANGE_TOTAL_COMP" hidden="1">"c8710"</definedName>
    <definedName name="IQ_HG_ADR_FRANCHISE" hidden="1">"c8664"</definedName>
    <definedName name="IQ_HG_ADR_MANAGED" hidden="1">"c8665"</definedName>
    <definedName name="IQ_HG_ADR_OTHER" hidden="1">"c8666"</definedName>
    <definedName name="IQ_HG_ADR_OWNED" hidden="1">"c8663"</definedName>
    <definedName name="IQ_HG_ADR_OWNED_COMP" hidden="1">"c8701"</definedName>
    <definedName name="IQ_HG_ADR_TOTAL" hidden="1">"c8667"</definedName>
    <definedName name="IQ_HG_ADR_TOTAL_COMP" hidden="1">"c8702"</definedName>
    <definedName name="IQ_HG_CASINOS_JV" hidden="1">"c8631"</definedName>
    <definedName name="IQ_HG_CASINOS_MANAGED" hidden="1">"c8632"</definedName>
    <definedName name="IQ_HG_CASINOS_OWNED" hidden="1">"c8630"</definedName>
    <definedName name="IQ_HG_CASINOS_TOTAL" hidden="1">"c8633"</definedName>
    <definedName name="IQ_HG_CLOSED_FRANCHISE_HOTEL_PROPERTIES" hidden="1">"c8586"</definedName>
    <definedName name="IQ_HG_CLOSED_FRANCHISE_ROOMS" hidden="1">"c8616"</definedName>
    <definedName name="IQ_HG_CLOSED_HOTEL_PROPERTIES" hidden="1">"c8574"</definedName>
    <definedName name="IQ_HG_CLOSED_MANAGED_HOTEL_PROPERTIES" hidden="1">"c8592"</definedName>
    <definedName name="IQ_HG_CLOSED_MANAGED_ROOMS" hidden="1">"c8622"</definedName>
    <definedName name="IQ_HG_CLOSED_OTHER_HOTEL_PROPERTIES" hidden="1">"c8598"</definedName>
    <definedName name="IQ_HG_CLOSED_OTHER_ROOMS" hidden="1">"c8628"</definedName>
    <definedName name="IQ_HG_CLOSED_OWNED_HOTEL_PROPERTIES" hidden="1">"c8580"</definedName>
    <definedName name="IQ_HG_CLOSED_OWNED_ROOMS" hidden="1">"c8610"</definedName>
    <definedName name="IQ_HG_CLOSED_ROOMS" hidden="1">"c8604"</definedName>
    <definedName name="IQ_HG_EXP_CASINO" hidden="1">"c8733"</definedName>
    <definedName name="IQ_HG_EXP_DEVELOPMENT" hidden="1">"c8738"</definedName>
    <definedName name="IQ_HG_EXP_ENTERTAINMENT" hidden="1">"c8736"</definedName>
    <definedName name="IQ_HG_EXP_FOOD_BEV" hidden="1">"c8734"</definedName>
    <definedName name="IQ_HG_EXP_FRANCHISE_MANAGEMENT" hidden="1">"c8744"</definedName>
    <definedName name="IQ_HG_EXP_OTHER_MNGD_FRANCHISE_PROP" hidden="1">"c8742"</definedName>
    <definedName name="IQ_HG_EXP_OWNED_LEASED_CONSOL_JV" hidden="1">"c8740"</definedName>
    <definedName name="IQ_HG_EXP_REIMBURSEMENTS" hidden="1">"c8743"</definedName>
    <definedName name="IQ_HG_EXP_RETAIL" hidden="1">"c8737"</definedName>
    <definedName name="IQ_HG_EXP_ROOMS" hidden="1">"c8735"</definedName>
    <definedName name="IQ_HG_EXP_THEATRE_CONCESSION" hidden="1">"c8739"</definedName>
    <definedName name="IQ_HG_EXP_VACA_OWNERSHIP_RES" hidden="1">"c8741"</definedName>
    <definedName name="IQ_HG_FOOD_PROM_COSTS" hidden="1">"c8746"</definedName>
    <definedName name="IQ_HG_FRANCHISE_HOTEL_PROPERTIES_BEG" hidden="1">"c8582"</definedName>
    <definedName name="IQ_HG_FRANCHISE_ROOMS_BEG" hidden="1">"c8612"</definedName>
    <definedName name="IQ_HG_GAMING_SPACE_JV" hidden="1">"c8635"</definedName>
    <definedName name="IQ_HG_GAMING_SPACE_MANAGED" hidden="1">"c8636"</definedName>
    <definedName name="IQ_HG_GAMING_SPACE_OWNED" hidden="1">"c8634"</definedName>
    <definedName name="IQ_HG_GAMING_SPACE_TOTAL" hidden="1">"c8637"</definedName>
    <definedName name="IQ_HG_HOTEL_PROPERTIES_BEG" hidden="1">"c8570"</definedName>
    <definedName name="IQ_HG_LAND_AVAIL_JV" hidden="1">"c8647"</definedName>
    <definedName name="IQ_HG_LAND_AVAIL_MANAGED" hidden="1">"c8648"</definedName>
    <definedName name="IQ_HG_LAND_AVAIL_OWNED" hidden="1">"c8646"</definedName>
    <definedName name="IQ_HG_LAND_AVAIL_TOTAL" hidden="1">"c8649"</definedName>
    <definedName name="IQ_HG_LAND_JV" hidden="1">"c8651"</definedName>
    <definedName name="IQ_HG_LAND_MANAGED" hidden="1">"c8652"</definedName>
    <definedName name="IQ_HG_LAND_OWNED" hidden="1">"c8650"</definedName>
    <definedName name="IQ_HG_LAND_TOTAL" hidden="1">"c8653"</definedName>
    <definedName name="IQ_HG_MANAGED_HOTEL_PROPERTIES_BEG" hidden="1">"c8588"</definedName>
    <definedName name="IQ_HG_MANAGED_ROOMS_BEG" hidden="1">"c8618"</definedName>
    <definedName name="IQ_HG_OCCUPANCY_CHANGE_FRANCHISE" hidden="1">"c8675"</definedName>
    <definedName name="IQ_HG_OCCUPANCY_CHANGE_MANAGED" hidden="1">"c8677"</definedName>
    <definedName name="IQ_HG_OCCUPANCY_CHANGE_OTHER" hidden="1">"c8679"</definedName>
    <definedName name="IQ_HG_OCCUPANCY_CHANGE_OWNED" hidden="1">"c8673"</definedName>
    <definedName name="IQ_HG_OCCUPANCY_CHANGE_OWNED_COMP" hidden="1">"c8705"</definedName>
    <definedName name="IQ_HG_OCCUPANCY_CHANGE_TOTAL" hidden="1">"c8681"</definedName>
    <definedName name="IQ_HG_OCCUPANCY_CHANGE_TOTAL_COMP" hidden="1">"c8707"</definedName>
    <definedName name="IQ_HG_OCCUPANCY_FRANCHISE" hidden="1">"c8659"</definedName>
    <definedName name="IQ_HG_OCCUPANCY_INCDEC_FRANCHISE" hidden="1">"c8676"</definedName>
    <definedName name="IQ_HG_OCCUPANCY_INCDEC_MANAGED" hidden="1">"c8678"</definedName>
    <definedName name="IQ_HG_OCCUPANCY_INCDEC_OTHER" hidden="1">"c8680"</definedName>
    <definedName name="IQ_HG_OCCUPANCY_INCDEC_OWNED" hidden="1">"c8674"</definedName>
    <definedName name="IQ_HG_OCCUPANCY_INCDEC_OWNED_COMP" hidden="1">"c8706"</definedName>
    <definedName name="IQ_HG_OCCUPANCY_INCDEC_TOTAL" hidden="1">"c8682"</definedName>
    <definedName name="IQ_HG_OCCUPANCY_INCDEC_TOTAL_COMP" hidden="1">"c8708"</definedName>
    <definedName name="IQ_HG_OCCUPANCY_MANAGED" hidden="1">"c8660"</definedName>
    <definedName name="IQ_HG_OCCUPANCY_OTHER" hidden="1">"c8661"</definedName>
    <definedName name="IQ_HG_OCCUPANCY_OWNED" hidden="1">"c8658"</definedName>
    <definedName name="IQ_HG_OCCUPANCY_OWNED_COMP" hidden="1">"c8699"</definedName>
    <definedName name="IQ_HG_OCCUPANCY_TOTAL" hidden="1">"c8662"</definedName>
    <definedName name="IQ_HG_OCCUPANCY_TOTAL_COMP" hidden="1">"c8700"</definedName>
    <definedName name="IQ_HG_OPENED_FRANCHISE_HOTEL_PROPERTIES" hidden="1">"c8583"</definedName>
    <definedName name="IQ_HG_OPENED_FRANCHISE_ROOMS" hidden="1">"c8613"</definedName>
    <definedName name="IQ_HG_OPENED_HOTEL_PROPERTIES" hidden="1">"c8571"</definedName>
    <definedName name="IQ_HG_OPENED_MANAGED_HOTEL_PROPERTIES" hidden="1">"c8589"</definedName>
    <definedName name="IQ_HG_OPENED_MANAGED_ROOMS" hidden="1">"c8619"</definedName>
    <definedName name="IQ_HG_OPENED_OTHER_HOTEL_PROPERTIES" hidden="1">"c8595"</definedName>
    <definedName name="IQ_HG_OPENED_OTHER_ROOMS" hidden="1">"c8625"</definedName>
    <definedName name="IQ_HG_OPENED_OWNED_HOTEL_PROPERTIES" hidden="1">"c8577"</definedName>
    <definedName name="IQ_HG_OPENED_OWNED_ROOMS" hidden="1">"c8607"</definedName>
    <definedName name="IQ_HG_OPENED_ROOMS" hidden="1">"c8601"</definedName>
    <definedName name="IQ_HG_OTHER_HOTEL_PROPERTIES_BEG" hidden="1">"c8594"</definedName>
    <definedName name="IQ_HG_OTHER_PROM_COSTS" hidden="1">"c8747"</definedName>
    <definedName name="IQ_HG_OTHER_ROOMS_BEG" hidden="1">"c8624"</definedName>
    <definedName name="IQ_HG_OWNED_HOTEL_PROPERTIES_BEG" hidden="1">"c8576"</definedName>
    <definedName name="IQ_HG_OWNED_ROOMS_BEG" hidden="1">"c8606"</definedName>
    <definedName name="IQ_HG_PARKING_SPACES_JV" hidden="1">"c8655"</definedName>
    <definedName name="IQ_HG_PARKING_SPACES_MANAGED" hidden="1">"c8656"</definedName>
    <definedName name="IQ_HG_PARKING_SPACES_OWNED" hidden="1">"c8654"</definedName>
    <definedName name="IQ_HG_PARKING_SPACES_TOTAL" hidden="1">"c8657"</definedName>
    <definedName name="IQ_HG_REV_BASE_MANAGEMENT_FEES" hidden="1">"c8726"</definedName>
    <definedName name="IQ_HG_REV_CASINO" hidden="1">"c8713"</definedName>
    <definedName name="IQ_HG_REV_COST_REIMBURSEMENT" hidden="1">"c8728"</definedName>
    <definedName name="IQ_HG_REV_ENTERTAINMENT" hidden="1">"c8716"</definedName>
    <definedName name="IQ_HG_REV_FOOD_BEV" hidden="1">"c8714"</definedName>
    <definedName name="IQ_HG_REV_FRANCHISE" hidden="1">"c8725"</definedName>
    <definedName name="IQ_HG_REV_INCENTIVE_MANAGEMENT_FEES" hidden="1">"c8727"</definedName>
    <definedName name="IQ_HG_REV_MANAGEMENT_FEES" hidden="1">"c8718"</definedName>
    <definedName name="IQ_HG_REV_OTHER_MNGD_FRANCHISE_PROP" hidden="1">"c8730"</definedName>
    <definedName name="IQ_HG_REV_OTHER_OP_SEGMENT" hidden="1">"c8721"</definedName>
    <definedName name="IQ_HG_REV_OTHER_OWNERSHIP_MIX" hidden="1">"c8731"</definedName>
    <definedName name="IQ_HG_REV_OWNED_LEASED_CONSOL_JV_HOTELS" hidden="1">"c8724"</definedName>
    <definedName name="IQ_HG_REV_PROMOTIONAL_ALLOWANCE" hidden="1">"c8722"</definedName>
    <definedName name="IQ_HG_REV_RACING" hidden="1">"c8719"</definedName>
    <definedName name="IQ_HG_REV_RETAIL" hidden="1">"c8717"</definedName>
    <definedName name="IQ_HG_REV_ROOMS" hidden="1">"c8715"</definedName>
    <definedName name="IQ_HG_REV_THEATRE_CONCESSION" hidden="1">"c8720"</definedName>
    <definedName name="IQ_HG_REV_TOTAL_OP_SEGMENT" hidden="1">"c8723"</definedName>
    <definedName name="IQ_HG_REV_TOTAL_OWNERSHIP_MIX" hidden="1">"c8732"</definedName>
    <definedName name="IQ_HG_REV_VACA_OWNERSHIP_RES_SALES_SVCS" hidden="1">"c8729"</definedName>
    <definedName name="IQ_HG_REVENUES_CHANGE_OWNED_COMP" hidden="1">"c8697"</definedName>
    <definedName name="IQ_HG_REVENUES_CHANGE_TOTAL_COMP" hidden="1">"c8698"</definedName>
    <definedName name="IQ_HG_REVPAR_CHANGE_MANAGED" hidden="1">"c8690"</definedName>
    <definedName name="IQ_HG_REVPAR_CHANGE_OTHER" hidden="1">"c8691"</definedName>
    <definedName name="IQ_HG_REVPAR_CHANGE_OWNED" hidden="1">"c8688"</definedName>
    <definedName name="IQ_HG_REVPAR_CHANGE_OWNED_COMP" hidden="1">"c8711"</definedName>
    <definedName name="IQ_HG_REVPAR_CHANGE_TOTAL" hidden="1">"c8692"</definedName>
    <definedName name="IQ_HG_REVPAR_CHANGE_TOTAL_COMP" hidden="1">"c8712"</definedName>
    <definedName name="IQ_HG_REVPAR_CHNAGE_FRANCHISE" hidden="1">"c8689"</definedName>
    <definedName name="IQ_HG_REVPAR_FRANCHISE" hidden="1">"c8669"</definedName>
    <definedName name="IQ_HG_REVPAR_MANAGED" hidden="1">"c8670"</definedName>
    <definedName name="IQ_HG_REVPAR_OTHER" hidden="1">"c8671"</definedName>
    <definedName name="IQ_HG_REVPAR_OWNED" hidden="1">"c8668"</definedName>
    <definedName name="IQ_HG_REVPAR_OWNED_COMP" hidden="1">"c8703"</definedName>
    <definedName name="IQ_HG_REVPAR_TOTAL" hidden="1">"c8672"</definedName>
    <definedName name="IQ_HG_REVPAR_TOTAL_COMP" hidden="1">"c8704"</definedName>
    <definedName name="IQ_HG_ROOM_PROM_COSTS" hidden="1">"c8745"</definedName>
    <definedName name="IQ_HG_ROOMS_BEG" hidden="1">"c8600"</definedName>
    <definedName name="IQ_HG_SLOT_MACHINES_JV" hidden="1">"c8639"</definedName>
    <definedName name="IQ_HG_SLOT_MACHINES_MANAGED" hidden="1">"c8640"</definedName>
    <definedName name="IQ_HG_SLOT_MACHINES_OWNED" hidden="1">"c8638"</definedName>
    <definedName name="IQ_HG_SLOT_MACHINES_TOTAL" hidden="1">"c8641"</definedName>
    <definedName name="IQ_HG_SOLD_FRANCHISE_HOTEL_PROPERTIES" hidden="1">"c8585"</definedName>
    <definedName name="IQ_HG_SOLD_FRANCHISE_ROOMS" hidden="1">"c8615"</definedName>
    <definedName name="IQ_HG_SOLD_HOTEL_PROPERTIES" hidden="1">"c8573"</definedName>
    <definedName name="IQ_HG_SOLD_MANAGED_HOTEL_PROPERTIES" hidden="1">"c8591"</definedName>
    <definedName name="IQ_HG_SOLD_MANAGED_ROOMS" hidden="1">"c8621"</definedName>
    <definedName name="IQ_HG_SOLD_OTHER_HOTEL_PROPERTIES" hidden="1">"c8597"</definedName>
    <definedName name="IQ_HG_SOLD_OTHER_ROOMS" hidden="1">"c8627"</definedName>
    <definedName name="IQ_HG_SOLD_OWNED_HOTEL_PROPERTIES" hidden="1">"c8579"</definedName>
    <definedName name="IQ_HG_SOLD_OWNED_ROOMS" hidden="1">"c8609"</definedName>
    <definedName name="IQ_HG_SOLD_ROOMS" hidden="1">"c8603"</definedName>
    <definedName name="IQ_HG_TABLE_GAMES_JV" hidden="1">"c8643"</definedName>
    <definedName name="IQ_HG_TABLE_GAMES_MANAGED" hidden="1">"c8644"</definedName>
    <definedName name="IQ_HG_TABLE_GAMES_OWNED" hidden="1">"c8642"</definedName>
    <definedName name="IQ_HG_TABLE_GAMES_TOTAL" hidden="1">"c8645"</definedName>
    <definedName name="IQ_HG_TOTAL_FRANCHISE_HOTEL_PROPERTIES" hidden="1">"c8587"</definedName>
    <definedName name="IQ_HG_TOTAL_FRANCHISE_ROOMS" hidden="1">"c8617"</definedName>
    <definedName name="IQ_HG_TOTAL_HOTEL_PROPERTIES" hidden="1">"c8575"</definedName>
    <definedName name="IQ_HG_TOTAL_MANAGED_HOTEL_PROPERTIES" hidden="1">"c8593"</definedName>
    <definedName name="IQ_HG_TOTAL_MANAGED_ROOMS" hidden="1">"c8623"</definedName>
    <definedName name="IQ_HG_TOTAL_OTHER_HOTEL_PROPERTIES" hidden="1">"c8599"</definedName>
    <definedName name="IQ_HG_TOTAL_OTHER_ROOMS" hidden="1">"c8629"</definedName>
    <definedName name="IQ_HG_TOTAL_OWNED_HOTEL_PROPERTIES" hidden="1">"c8581"</definedName>
    <definedName name="IQ_HG_TOTAL_OWNED_PROPERTIES_COMP" hidden="1">"c8693"</definedName>
    <definedName name="IQ_HG_TOTAL_OWNED_ROOMS" hidden="1">"c8611"</definedName>
    <definedName name="IQ_HG_TOTAL_OWNED_ROOMS_COMP" hidden="1">"c8695"</definedName>
    <definedName name="IQ_HG_TOTAL_PROM_COSTS" hidden="1">"c8748"</definedName>
    <definedName name="IQ_HG_TOTAL_PROPERTIES_COMP" hidden="1">"c8694"</definedName>
    <definedName name="IQ_HG_TOTAL_ROOMS" hidden="1">"c8605"</definedName>
    <definedName name="IQ_HG_TOTAL_ROOMS_COMP" hidden="1">"c8696"</definedName>
    <definedName name="IQ_HIGH_LOW_CLOSEPRICE_DATE" hidden="1">"c1204"</definedName>
    <definedName name="IQ_HIGH_TARGET_PRICE" hidden="1">"c1651"</definedName>
    <definedName name="IQ_HIGH_TARGET_PRICE_CIQ" hidden="1">"c4659"</definedName>
    <definedName name="IQ_HIGHPRICE" hidden="1">"c545"</definedName>
    <definedName name="IQ_HOLDER_CIQID" hidden="1">"c13787"</definedName>
    <definedName name="IQ_HOLDER_CIQID_SECURITY" hidden="1">"c13794"</definedName>
    <definedName name="IQ_HOLDER_DERIVATIVES" hidden="1">"c13789"</definedName>
    <definedName name="IQ_HOLDER_DERIVATIVES_SECURITY" hidden="1">"c13796"</definedName>
    <definedName name="IQ_HOLDER_NAME" hidden="1">"c13786"</definedName>
    <definedName name="IQ_HOLDER_NAME_SECURITY" hidden="1">"c13793"</definedName>
    <definedName name="IQ_HOLDER_PERCENT" hidden="1">"c13790"</definedName>
    <definedName name="IQ_HOLDER_PERCENT_SECURITY" hidden="1">"c13831"</definedName>
    <definedName name="IQ_HOLDER_POSITION_DATE" hidden="1">"c13792"</definedName>
    <definedName name="IQ_HOLDER_POSITION_DATE_SECURITY" hidden="1">"c13798"</definedName>
    <definedName name="IQ_HOLDER_SHARES" hidden="1">"c13788"</definedName>
    <definedName name="IQ_HOLDER_SHARES_SECURITY" hidden="1">"c13795"</definedName>
    <definedName name="IQ_HOLDER_VALUE" hidden="1">"c13791"</definedName>
    <definedName name="IQ_HOLDER_VALUE_SECURITY" hidden="1">"c13797"</definedName>
    <definedName name="IQ_HOLDING_CIQID" hidden="1">"c13802"</definedName>
    <definedName name="IQ_HOLDING_NAME" hidden="1">"c13799"</definedName>
    <definedName name="IQ_HOLDING_PERCENT" hidden="1">"c13805"</definedName>
    <definedName name="IQ_HOLDING_PERCENT_PORTFOLIO" hidden="1">"c13806"</definedName>
    <definedName name="IQ_HOLDING_POSITION_DATE" hidden="1">"c13808"</definedName>
    <definedName name="IQ_HOLDING_SECURITY_TYPE" hidden="1">"c13803"</definedName>
    <definedName name="IQ_HOLDING_SHARES" hidden="1">"c13804"</definedName>
    <definedName name="IQ_HOLDING_TICKER" hidden="1">"c13800"</definedName>
    <definedName name="IQ_HOLDING_TRADING_ITEM_CIQID" hidden="1">"c13801"</definedName>
    <definedName name="IQ_HOLDING_VALUE" hidden="1">"c13807"</definedName>
    <definedName name="IQ_HOME_AVG_LOAN_SIZE" hidden="1">"c5911"</definedName>
    <definedName name="IQ_HOME_BACKLOG" hidden="1">"c5844"</definedName>
    <definedName name="IQ_HOME_BACKLOG_AVG_JV" hidden="1">"c5848"</definedName>
    <definedName name="IQ_HOME_BACKLOG_AVG_JV_GROWTH" hidden="1">"c5928"</definedName>
    <definedName name="IQ_HOME_BACKLOG_AVG_JV_INC" hidden="1">"c5851"</definedName>
    <definedName name="IQ_HOME_BACKLOG_AVG_JV_INC_GROWTH" hidden="1">"c5931"</definedName>
    <definedName name="IQ_HOME_BACKLOG_AVG_PRICE" hidden="1">"c5845"</definedName>
    <definedName name="IQ_HOME_BACKLOG_AVG_PRICE_GROWTH" hidden="1">"c5925"</definedName>
    <definedName name="IQ_HOME_BACKLOG_GROWTH" hidden="1">"c5924"</definedName>
    <definedName name="IQ_HOME_BACKLOG_JV" hidden="1">"c5847"</definedName>
    <definedName name="IQ_HOME_BACKLOG_JV_GROWTH" hidden="1">"c5927"</definedName>
    <definedName name="IQ_HOME_BACKLOG_JV_INC" hidden="1">"c5850"</definedName>
    <definedName name="IQ_HOME_BACKLOG_JV_INC_GROWTH" hidden="1">"c5930"</definedName>
    <definedName name="IQ_HOME_BACKLOG_VALUE" hidden="1">"c5846"</definedName>
    <definedName name="IQ_HOME_BACKLOG_VALUE_GROWTH" hidden="1">"c5926"</definedName>
    <definedName name="IQ_HOME_BACKLOG_VALUE_JV" hidden="1">"c5849"</definedName>
    <definedName name="IQ_HOME_BACKLOG_VALUE_JV_GROWTH" hidden="1">"c5929"</definedName>
    <definedName name="IQ_HOME_BACKLOG_VALUE_JV_INC" hidden="1">"c5852"</definedName>
    <definedName name="IQ_HOME_BACKLOG_VALUE_JV_INC_GROWTH" hidden="1">"c5932"</definedName>
    <definedName name="IQ_HOME_COMMUNITIES_ACTIVE" hidden="1">"c5862"</definedName>
    <definedName name="IQ_HOME_COMMUNITIES_ACTIVE_GROWTH" hidden="1">"c5942"</definedName>
    <definedName name="IQ_HOME_COMMUNITIES_ACTIVE_JV" hidden="1">"c5863"</definedName>
    <definedName name="IQ_HOME_COMMUNITIES_ACTIVE_JV_GROWTH" hidden="1">"c5943"</definedName>
    <definedName name="IQ_HOME_COMMUNITIES_ACTIVE_JV_INC" hidden="1">"c5864"</definedName>
    <definedName name="IQ_HOME_COMMUNITIES_ACTIVE_JV_INC_GROWTH" hidden="1">"c5944"</definedName>
    <definedName name="IQ_HOME_COST_CONSTRUCTION_SVCS" hidden="1">"c5882"</definedName>
    <definedName name="IQ_HOME_COST_ELIMINATIONS_OTHER" hidden="1">"c5883"</definedName>
    <definedName name="IQ_HOME_COST_FINANCIAL_SVCS" hidden="1">"c5881"</definedName>
    <definedName name="IQ_HOME_COST_HOUSING" hidden="1">"c5877"</definedName>
    <definedName name="IQ_HOME_COST_LAND_LOT" hidden="1">"c5878"</definedName>
    <definedName name="IQ_HOME_COST_OTHER_HOMEBUILDING" hidden="1">"c5879"</definedName>
    <definedName name="IQ_HOME_COST_TOTAL" hidden="1">"c5884"</definedName>
    <definedName name="IQ_HOME_COST_TOTAL_HOMEBUILDING" hidden="1">"c5880"</definedName>
    <definedName name="IQ_HOME_DELIVERED" hidden="1">"c5835"</definedName>
    <definedName name="IQ_HOME_DELIVERED_AVG_PRICE" hidden="1">"c5836"</definedName>
    <definedName name="IQ_HOME_DELIVERED_AVG_PRICE_GROWTH" hidden="1">"c5916"</definedName>
    <definedName name="IQ_HOME_DELIVERED_AVG_PRICE_JV" hidden="1">"c5839"</definedName>
    <definedName name="IQ_HOME_DELIVERED_AVG_PRICE_JV_GROWTH" hidden="1">"c5919"</definedName>
    <definedName name="IQ_HOME_DELIVERED_AVG_PRICE_JV_INC" hidden="1">"c5842"</definedName>
    <definedName name="IQ_HOME_DELIVERED_AVG_PRICE_JV_INC_GROWTH" hidden="1">"c5922"</definedName>
    <definedName name="IQ_HOME_DELIVERED_GROWTH" hidden="1">"c5915"</definedName>
    <definedName name="IQ_HOME_DELIVERED_JV" hidden="1">"c5838"</definedName>
    <definedName name="IQ_HOME_DELIVERED_JV_GROWTH" hidden="1">"c5918"</definedName>
    <definedName name="IQ_HOME_DELIVERED_JV_INC" hidden="1">"c5841"</definedName>
    <definedName name="IQ_HOME_DELIVERED_JV_INC_GROWTH" hidden="1">"c5921"</definedName>
    <definedName name="IQ_HOME_DELIVERED_VALUE" hidden="1">"c5837"</definedName>
    <definedName name="IQ_HOME_DELIVERED_VALUE_GROWTH" hidden="1">"c5917"</definedName>
    <definedName name="IQ_HOME_DELIVERED_VALUE_JV" hidden="1">"c5840"</definedName>
    <definedName name="IQ_HOME_DELIVERED_VALUE_JV_GROWTH" hidden="1">"c5920"</definedName>
    <definedName name="IQ_HOME_DELIVERED_VALUE_JV_INC" hidden="1">"c5843"</definedName>
    <definedName name="IQ_HOME_DELIVERED_VALUE_JV_INC_GROWTH" hidden="1">"c5923"</definedName>
    <definedName name="IQ_HOME_EQUITY_LOANS_TOT_LOANS_FFIEC" hidden="1">"c13867"</definedName>
    <definedName name="IQ_HOME_EQUITY_LOC_NET_CHARGE_OFFS_FDIC" hidden="1">"c6644"</definedName>
    <definedName name="IQ_HOME_EQUITY_LOC_TOTAL_CHARGE_OFFS_FDIC" hidden="1">"c6606"</definedName>
    <definedName name="IQ_HOME_EQUITY_LOC_TOTAL_RECOVERIES_FDIC" hidden="1">"c6625"</definedName>
    <definedName name="IQ_HOME_FINISHED_HOMES_CIP" hidden="1">"c5865"</definedName>
    <definedName name="IQ_HOME_FIRSTLIEN_MORT_ORIGINATED" hidden="1">"c5905"</definedName>
    <definedName name="IQ_HOME_FIRSTLIEN_MORT_ORIGINATED_VOL" hidden="1">"c5908"</definedName>
    <definedName name="IQ_HOME_HUC" hidden="1">"c5822"</definedName>
    <definedName name="IQ_HOME_HUC_JV" hidden="1">"c5823"</definedName>
    <definedName name="IQ_HOME_HUC_JV_INC" hidden="1">"c5824"</definedName>
    <definedName name="IQ_HOME_INV_NOT_OWNED" hidden="1">"c5868"</definedName>
    <definedName name="IQ_HOME_LAND_DEVELOPMENT" hidden="1">"c5866"</definedName>
    <definedName name="IQ_HOME_LAND_FUTURE_DEVELOPMENT" hidden="1">"c5867"</definedName>
    <definedName name="IQ_HOME_LOAN_APPLICATIONS" hidden="1">"c5910"</definedName>
    <definedName name="IQ_HOME_LOANS_SOLD_COUNT" hidden="1">"c5912"</definedName>
    <definedName name="IQ_HOME_LOANS_SOLD_VALUE" hidden="1">"c5913"</definedName>
    <definedName name="IQ_HOME_LOTS_CONTROLLED" hidden="1">"c5831"</definedName>
    <definedName name="IQ_HOME_LOTS_FINISHED" hidden="1">"c5827"</definedName>
    <definedName name="IQ_HOME_LOTS_HELD_SALE" hidden="1">"c5830"</definedName>
    <definedName name="IQ_HOME_LOTS_JV" hidden="1">"c5833"</definedName>
    <definedName name="IQ_HOME_LOTS_JV_INC" hidden="1">"c5834"</definedName>
    <definedName name="IQ_HOME_LOTS_OTHER" hidden="1">"c5832"</definedName>
    <definedName name="IQ_HOME_LOTS_OWNED" hidden="1">"c5828"</definedName>
    <definedName name="IQ_HOME_LOTS_UNDER_DEVELOPMENT" hidden="1">"c5826"</definedName>
    <definedName name="IQ_HOME_LOTS_UNDER_OPTION" hidden="1">"c5829"</definedName>
    <definedName name="IQ_HOME_LOTS_UNDEVELOPED" hidden="1">"c5825"</definedName>
    <definedName name="IQ_HOME_MORT_CAPTURE_RATE" hidden="1">"c5906"</definedName>
    <definedName name="IQ_HOME_MORT_ORIGINATED" hidden="1">"c5907"</definedName>
    <definedName name="IQ_HOME_OBLIGATIONS_INV_NOT_OWNED" hidden="1">"c5914"</definedName>
    <definedName name="IQ_HOME_ORDERS" hidden="1">"c5853"</definedName>
    <definedName name="IQ_HOME_ORDERS_AVG_PRICE" hidden="1">"c5854"</definedName>
    <definedName name="IQ_HOME_ORDERS_AVG_PRICE_GROWTH" hidden="1">"c5934"</definedName>
    <definedName name="IQ_HOME_ORDERS_AVG_PRICE_JV" hidden="1">"c5857"</definedName>
    <definedName name="IQ_HOME_ORDERS_AVG_PRICE_JV_GROWTH" hidden="1">"c5937"</definedName>
    <definedName name="IQ_HOME_ORDERS_AVG_PRICE_JV_INC" hidden="1">"c5860"</definedName>
    <definedName name="IQ_HOME_ORDERS_AVG_PRICE_JV_INC_GROWTH" hidden="1">"c5940"</definedName>
    <definedName name="IQ_HOME_ORDERS_GROWTH" hidden="1">"c5933"</definedName>
    <definedName name="IQ_HOME_ORDERS_JV" hidden="1">"c5856"</definedName>
    <definedName name="IQ_HOME_ORDERS_JV_GROWTH" hidden="1">"c5936"</definedName>
    <definedName name="IQ_HOME_ORDERS_JV_INC" hidden="1">"c5859"</definedName>
    <definedName name="IQ_HOME_ORDERS_JV_INC_GROWTH" hidden="1">"c5939"</definedName>
    <definedName name="IQ_HOME_ORDERS_VALUE" hidden="1">"c5855"</definedName>
    <definedName name="IQ_HOME_ORDERS_VALUE_GROWTH" hidden="1">"c5935"</definedName>
    <definedName name="IQ_HOME_ORDERS_VALUE_JV" hidden="1">"c5858"</definedName>
    <definedName name="IQ_HOME_ORDERS_VALUE_JV_GROWTH" hidden="1">"c5938"</definedName>
    <definedName name="IQ_HOME_ORDERS_VALUE_JV_INC" hidden="1">"c5861"</definedName>
    <definedName name="IQ_HOME_ORDERS_VALUE_JV_INC_GROWTH" hidden="1">"c5941"</definedName>
    <definedName name="IQ_HOME_ORIGINATION_TOTAL" hidden="1">"c5909"</definedName>
    <definedName name="IQ_HOME_PRETAX_INC_CONSTRUCTION_SVCS" hidden="1">"c5890"</definedName>
    <definedName name="IQ_HOME_PRETAX_INC_ELIMINATIONS_OTHER" hidden="1">"c5891"</definedName>
    <definedName name="IQ_HOME_PRETAX_INC_FINANCIAL_SVCS" hidden="1">"c5889"</definedName>
    <definedName name="IQ_HOME_PRETAX_INC_HOUSING" hidden="1">"c5885"</definedName>
    <definedName name="IQ_HOME_PRETAX_INC_LAND_LOT" hidden="1">"c5886"</definedName>
    <definedName name="IQ_HOME_PRETAX_INC_OTHER_HOMEBUILDING" hidden="1">"c5887"</definedName>
    <definedName name="IQ_HOME_PRETAX_INC_TOTAL" hidden="1">"c5892"</definedName>
    <definedName name="IQ_HOME_PRETAX_INC_TOTAL_HOMEBUILDING" hidden="1">"c5888"</definedName>
    <definedName name="IQ_HOME_PURCH_OBLIGATION_1YR" hidden="1">"c5898"</definedName>
    <definedName name="IQ_HOME_PURCH_OBLIGATION_2YR" hidden="1">"c5899"</definedName>
    <definedName name="IQ_HOME_PURCH_OBLIGATION_3YR" hidden="1">"c5900"</definedName>
    <definedName name="IQ_HOME_PURCH_OBLIGATION_4YR" hidden="1">"c5901"</definedName>
    <definedName name="IQ_HOME_PURCH_OBLIGATION_5YR" hidden="1">"c5902"</definedName>
    <definedName name="IQ_HOME_PURCH_OBLIGATION_AFTER5" hidden="1">"c5903"</definedName>
    <definedName name="IQ_HOME_PURCH_OBLIGATION_TOTAL" hidden="1">"c5904"</definedName>
    <definedName name="IQ_HOME_REV_CONSTRUCTION_SERVICES" hidden="1">"c5874"</definedName>
    <definedName name="IQ_HOME_REV_ELIMINATIONS_OTHER" hidden="1">"c5875"</definedName>
    <definedName name="IQ_HOME_REV_FINANCIAL_SERVICES" hidden="1">"c5873"</definedName>
    <definedName name="IQ_HOME_REV_HOUSING" hidden="1">"c5872"</definedName>
    <definedName name="IQ_HOME_REV_LAND_LOT" hidden="1">"c5870"</definedName>
    <definedName name="IQ_HOME_REV_OTHER_HOMEBUILDING" hidden="1">"c5871"</definedName>
    <definedName name="IQ_HOME_REV_TOTAL" hidden="1">"c5876"</definedName>
    <definedName name="IQ_HOME_SALES_NEW" hidden="1">"c6924"</definedName>
    <definedName name="IQ_HOME_SALES_NEW_APR" hidden="1">"c7584"</definedName>
    <definedName name="IQ_HOME_SALES_NEW_APR_FC" hidden="1">"c8464"</definedName>
    <definedName name="IQ_HOME_SALES_NEW_FC" hidden="1">"c7804"</definedName>
    <definedName name="IQ_HOME_SALES_NEW_POP" hidden="1">"c7144"</definedName>
    <definedName name="IQ_HOME_SALES_NEW_POP_FC" hidden="1">"c8024"</definedName>
    <definedName name="IQ_HOME_SALES_NEW_YOY" hidden="1">"c7364"</definedName>
    <definedName name="IQ_HOME_SALES_NEW_YOY_FC" hidden="1">"c8244"</definedName>
    <definedName name="IQ_HOME_TOTAL_INV" hidden="1">"c5869"</definedName>
    <definedName name="IQ_HOME_WARRANTY_RES_BEG" hidden="1">"c5893"</definedName>
    <definedName name="IQ_HOME_WARRANTY_RES_END" hidden="1">"c5897"</definedName>
    <definedName name="IQ_HOME_WARRANTY_RES_ISS" hidden="1">"c5894"</definedName>
    <definedName name="IQ_HOME_WARRANTY_RES_OTHER" hidden="1">"c5896"</definedName>
    <definedName name="IQ_HOME_WARRANTY_RES_PAY" hidden="1">"c5895"</definedName>
    <definedName name="IQ_HOMEOWNERS_WRITTEN" hidden="1">"c546"</definedName>
    <definedName name="IQ_HOURLY_COMP" hidden="1">"c6879"</definedName>
    <definedName name="IQ_HOURLY_COMP_APR" hidden="1">"c7539"</definedName>
    <definedName name="IQ_HOURLY_COMP_APR_FC" hidden="1">"c8419"</definedName>
    <definedName name="IQ_HOURLY_COMP_FC" hidden="1">"c7759"</definedName>
    <definedName name="IQ_HOURLY_COMP_POP" hidden="1">"c7099"</definedName>
    <definedName name="IQ_HOURLY_COMP_POP_FC" hidden="1">"c7979"</definedName>
    <definedName name="IQ_HOURLY_COMP_YOY" hidden="1">"c7319"</definedName>
    <definedName name="IQ_HOURLY_COMP_YOY_FC" hidden="1">"c8199"</definedName>
    <definedName name="IQ_HOUSING_COMPLETIONS" hidden="1">"c6881"</definedName>
    <definedName name="IQ_HOUSING_COMPLETIONS_APR" hidden="1">"c7541"</definedName>
    <definedName name="IQ_HOUSING_COMPLETIONS_APR_FC" hidden="1">"c8421"</definedName>
    <definedName name="IQ_HOUSING_COMPLETIONS_FC" hidden="1">"c7761"</definedName>
    <definedName name="IQ_HOUSING_COMPLETIONS_POP" hidden="1">"c7101"</definedName>
    <definedName name="IQ_HOUSING_COMPLETIONS_POP_FC" hidden="1">"c7981"</definedName>
    <definedName name="IQ_HOUSING_COMPLETIONS_SINGLE_FAM_APR_FC_UNUSED" hidden="1">"c8422"</definedName>
    <definedName name="IQ_HOUSING_COMPLETIONS_SINGLE_FAM_APR_UNUSED" hidden="1">"c7542"</definedName>
    <definedName name="IQ_HOUSING_COMPLETIONS_SINGLE_FAM_FC_UNUSED" hidden="1">"c7762"</definedName>
    <definedName name="IQ_HOUSING_COMPLETIONS_SINGLE_FAM_POP_FC_UNUSED" hidden="1">"c7982"</definedName>
    <definedName name="IQ_HOUSING_COMPLETIONS_SINGLE_FAM_POP_UNUSED" hidden="1">"c7102"</definedName>
    <definedName name="IQ_HOUSING_COMPLETIONS_SINGLE_FAM_UNUSED" hidden="1">"c6882"</definedName>
    <definedName name="IQ_HOUSING_COMPLETIONS_SINGLE_FAM_YOY_FC_UNUSED" hidden="1">"c8202"</definedName>
    <definedName name="IQ_HOUSING_COMPLETIONS_SINGLE_FAM_YOY_UNUSED" hidden="1">"c7322"</definedName>
    <definedName name="IQ_HOUSING_COMPLETIONS_YOY" hidden="1">"c7321"</definedName>
    <definedName name="IQ_HOUSING_COMPLETIONS_YOY_FC" hidden="1">"c8201"</definedName>
    <definedName name="IQ_HOUSING_PERMITS" hidden="1">"c6883"</definedName>
    <definedName name="IQ_HOUSING_PERMITS_APR" hidden="1">"c7543"</definedName>
    <definedName name="IQ_HOUSING_PERMITS_APR_FC" hidden="1">"c8423"</definedName>
    <definedName name="IQ_HOUSING_PERMITS_FC" hidden="1">"c7763"</definedName>
    <definedName name="IQ_HOUSING_PERMITS_POP" hidden="1">"c7103"</definedName>
    <definedName name="IQ_HOUSING_PERMITS_POP_FC" hidden="1">"c7983"</definedName>
    <definedName name="IQ_HOUSING_PERMITS_YOY" hidden="1">"c7323"</definedName>
    <definedName name="IQ_HOUSING_PERMITS_YOY_FC" hidden="1">"c8203"</definedName>
    <definedName name="IQ_HOUSING_STARTS" hidden="1">"c6884"</definedName>
    <definedName name="IQ_HOUSING_STARTS_APR" hidden="1">"c7544"</definedName>
    <definedName name="IQ_HOUSING_STARTS_APR_FC" hidden="1">"c8424"</definedName>
    <definedName name="IQ_HOUSING_STARTS_FC" hidden="1">"c7764"</definedName>
    <definedName name="IQ_HOUSING_STARTS_POP" hidden="1">"c7104"</definedName>
    <definedName name="IQ_HOUSING_STARTS_POP_FC" hidden="1">"c7984"</definedName>
    <definedName name="IQ_HOUSING_STARTS_SAAR" hidden="1">"c6885"</definedName>
    <definedName name="IQ_HOUSING_STARTS_SAAR_APR" hidden="1">"c7545"</definedName>
    <definedName name="IQ_HOUSING_STARTS_SAAR_APR_FC" hidden="1">"c8425"</definedName>
    <definedName name="IQ_HOUSING_STARTS_SAAR_FC" hidden="1">"c7765"</definedName>
    <definedName name="IQ_HOUSING_STARTS_SAAR_POP" hidden="1">"c7105"</definedName>
    <definedName name="IQ_HOUSING_STARTS_SAAR_POP_FC" hidden="1">"c7985"</definedName>
    <definedName name="IQ_HOUSING_STARTS_SAAR_YOY" hidden="1">"c7325"</definedName>
    <definedName name="IQ_HOUSING_STARTS_SAAR_YOY_FC" hidden="1">"c8205"</definedName>
    <definedName name="IQ_HOUSING_STARTS_YOY" hidden="1">"c7324"</definedName>
    <definedName name="IQ_HOUSING_STARTS_YOY_FC" hidden="1">"c8204"</definedName>
    <definedName name="IQ_HRS_WORKED_FULL_PT" hidden="1">"c6880"</definedName>
    <definedName name="IQ_HRS_WORKED_FULL_PT_APR" hidden="1">"c7540"</definedName>
    <definedName name="IQ_HRS_WORKED_FULL_PT_APR_FC" hidden="1">"c8420"</definedName>
    <definedName name="IQ_HRS_WORKED_FULL_PT_FC" hidden="1">"c7760"</definedName>
    <definedName name="IQ_HRS_WORKED_FULL_PT_POP" hidden="1">"c7100"</definedName>
    <definedName name="IQ_HRS_WORKED_FULL_PT_POP_FC" hidden="1">"c7980"</definedName>
    <definedName name="IQ_HRS_WORKED_FULL_PT_YOY" hidden="1">"c7320"</definedName>
    <definedName name="IQ_HRS_WORKED_FULL_PT_YOY_FC" hidden="1">"c8200"</definedName>
    <definedName name="IQ_HTM_INVEST_SECURITIES_FFIEC" hidden="1">"c13455"</definedName>
    <definedName name="IQ_HTM_SECURITIES_TIER_1_FFIEC" hidden="1">"c13342"</definedName>
    <definedName name="IQ_IM_AVG_REV_PER_CLICK" hidden="1">"c9991"</definedName>
    <definedName name="IQ_IM_NUMBER_PAGE_VIEWS" hidden="1">"c9993"</definedName>
    <definedName name="IQ_IM_NUMBER_PAID_CLICKS" hidden="1">"c9995"</definedName>
    <definedName name="IQ_IM_NUMBER_PAID_CLICKS_GROWTH" hidden="1">"c9996"</definedName>
    <definedName name="IQ_IM_PAGE_VIEWS_GROWTH" hidden="1">"c9994"</definedName>
    <definedName name="IQ_IM_REV_PER_PAGE_VIEW_GROWTH" hidden="1">"c9992"</definedName>
    <definedName name="IQ_IM_TRAFFIC_ACQUISITION_CHANGE" hidden="1">"c9998"</definedName>
    <definedName name="IQ_IM_TRAFFIC_ACQUISITION_COST_TO_AD_REV_RATIO" hidden="1">"c10000"</definedName>
    <definedName name="IQ_IM_TRAFFIC_ACQUISITION_COST_TO_TOTAL_REV_RATIO" hidden="1">"c9999"</definedName>
    <definedName name="IQ_IM_TRAFFIC_ACQUISITION_COSTS" hidden="1">"c9997"</definedName>
    <definedName name="IQ_IMPAIR_OIL" hidden="1">"c547"</definedName>
    <definedName name="IQ_IMPAIRMENT_GW" hidden="1">"c548"</definedName>
    <definedName name="IQ_IMPAIRMENT_GW_SUPPLE" hidden="1">"c13811"</definedName>
    <definedName name="IQ_IMPORT_PRICE_INDEX" hidden="1">"c6886"</definedName>
    <definedName name="IQ_IMPORT_PRICE_INDEX_APR" hidden="1">"c7546"</definedName>
    <definedName name="IQ_IMPORT_PRICE_INDEX_APR_FC" hidden="1">"c8426"</definedName>
    <definedName name="IQ_IMPORT_PRICE_INDEX_FC" hidden="1">"c7766"</definedName>
    <definedName name="IQ_IMPORT_PRICE_INDEX_POP" hidden="1">"c7106"</definedName>
    <definedName name="IQ_IMPORT_PRICE_INDEX_POP_FC" hidden="1">"c7986"</definedName>
    <definedName name="IQ_IMPORT_PRICE_INDEX_YOY" hidden="1">"c7326"</definedName>
    <definedName name="IQ_IMPORT_PRICE_INDEX_YOY_FC" hidden="1">"c8206"</definedName>
    <definedName name="IQ_IMPORTS_GOODS" hidden="1">"c6887"</definedName>
    <definedName name="IQ_IMPORTS_GOODS_APR" hidden="1">"c7547"</definedName>
    <definedName name="IQ_IMPORTS_GOODS_APR_FC" hidden="1">"c8427"</definedName>
    <definedName name="IQ_IMPORTS_GOODS_FC" hidden="1">"c7767"</definedName>
    <definedName name="IQ_IMPORTS_GOODS_NONFACTOR_SERVICES" hidden="1">"c6888"</definedName>
    <definedName name="IQ_IMPORTS_GOODS_NONFACTOR_SERVICES_APR" hidden="1">"c7548"</definedName>
    <definedName name="IQ_IMPORTS_GOODS_NONFACTOR_SERVICES_APR_FC" hidden="1">"c8428"</definedName>
    <definedName name="IQ_IMPORTS_GOODS_NONFACTOR_SERVICES_FC" hidden="1">"c7768"</definedName>
    <definedName name="IQ_IMPORTS_GOODS_NONFACTOR_SERVICES_POP" hidden="1">"c7108"</definedName>
    <definedName name="IQ_IMPORTS_GOODS_NONFACTOR_SERVICES_POP_FC" hidden="1">"c7988"</definedName>
    <definedName name="IQ_IMPORTS_GOODS_NONFACTOR_SERVICES_YOY" hidden="1">"c7328"</definedName>
    <definedName name="IQ_IMPORTS_GOODS_NONFACTOR_SERVICES_YOY_FC" hidden="1">"c8208"</definedName>
    <definedName name="IQ_IMPORTS_GOODS_POP" hidden="1">"c7107"</definedName>
    <definedName name="IQ_IMPORTS_GOODS_POP_FC" hidden="1">"c7987"</definedName>
    <definedName name="IQ_IMPORTS_GOODS_REAL" hidden="1">"c11950"</definedName>
    <definedName name="IQ_IMPORTS_GOODS_REAL_APR" hidden="1">"c11953"</definedName>
    <definedName name="IQ_IMPORTS_GOODS_REAL_POP" hidden="1">"c11951"</definedName>
    <definedName name="IQ_IMPORTS_GOODS_REAL_SAAR_APR_FC_UNUSED" hidden="1">"c8523"</definedName>
    <definedName name="IQ_IMPORTS_GOODS_REAL_SAAR_APR_UNUSED" hidden="1">"c7643"</definedName>
    <definedName name="IQ_IMPORTS_GOODS_REAL_SAAR_FC_UNUSED" hidden="1">"c7863"</definedName>
    <definedName name="IQ_IMPORTS_GOODS_REAL_SAAR_POP_FC_UNUSED" hidden="1">"c8083"</definedName>
    <definedName name="IQ_IMPORTS_GOODS_REAL_SAAR_POP_UNUSED" hidden="1">"c7203"</definedName>
    <definedName name="IQ_IMPORTS_GOODS_REAL_SAAR_UNUSED" hidden="1">"c6983"</definedName>
    <definedName name="IQ_IMPORTS_GOODS_REAL_SAAR_YOY_FC_UNUSED" hidden="1">"c8303"</definedName>
    <definedName name="IQ_IMPORTS_GOODS_REAL_SAAR_YOY_UNUSED" hidden="1">"c7423"</definedName>
    <definedName name="IQ_IMPORTS_GOODS_REAL_YOY" hidden="1">"c11952"</definedName>
    <definedName name="IQ_IMPORTS_GOODS_SAAR" hidden="1">"c6891"</definedName>
    <definedName name="IQ_IMPORTS_GOODS_SAAR_APR" hidden="1">"c7551"</definedName>
    <definedName name="IQ_IMPORTS_GOODS_SAAR_APR_FC" hidden="1">"c8431"</definedName>
    <definedName name="IQ_IMPORTS_GOODS_SAAR_FC" hidden="1">"c7771"</definedName>
    <definedName name="IQ_IMPORTS_GOODS_SAAR_POP" hidden="1">"c7111"</definedName>
    <definedName name="IQ_IMPORTS_GOODS_SAAR_POP_FC" hidden="1">"c7991"</definedName>
    <definedName name="IQ_IMPORTS_GOODS_SAAR_USD_APR_FC" hidden="1">"c11849"</definedName>
    <definedName name="IQ_IMPORTS_GOODS_SAAR_USD_FC" hidden="1">"c11846"</definedName>
    <definedName name="IQ_IMPORTS_GOODS_SAAR_USD_POP_FC" hidden="1">"c11847"</definedName>
    <definedName name="IQ_IMPORTS_GOODS_SAAR_USD_YOY_FC" hidden="1">"c11848"</definedName>
    <definedName name="IQ_IMPORTS_GOODS_SAAR_YOY" hidden="1">"c7331"</definedName>
    <definedName name="IQ_IMPORTS_GOODS_SAAR_YOY_FC" hidden="1">"c8211"</definedName>
    <definedName name="IQ_IMPORTS_GOODS_SERVICES_APR_FC_UNUSED" hidden="1">"c8429"</definedName>
    <definedName name="IQ_IMPORTS_GOODS_SERVICES_APR_UNUSED" hidden="1">"c7549"</definedName>
    <definedName name="IQ_IMPORTS_GOODS_SERVICES_FC_UNUSED" hidden="1">"c7769"</definedName>
    <definedName name="IQ_IMPORTS_GOODS_SERVICES_POP_FC_UNUSED" hidden="1">"c7989"</definedName>
    <definedName name="IQ_IMPORTS_GOODS_SERVICES_POP_UNUSED" hidden="1">"c7109"</definedName>
    <definedName name="IQ_IMPORTS_GOODS_SERVICES_REAL" hidden="1">"c6985"</definedName>
    <definedName name="IQ_IMPORTS_GOODS_SERVICES_REAL_APR" hidden="1">"c7645"</definedName>
    <definedName name="IQ_IMPORTS_GOODS_SERVICES_REAL_APR_FC" hidden="1">"c8525"</definedName>
    <definedName name="IQ_IMPORTS_GOODS_SERVICES_REAL_FC" hidden="1">"c7865"</definedName>
    <definedName name="IQ_IMPORTS_GOODS_SERVICES_REAL_POP" hidden="1">"c7205"</definedName>
    <definedName name="IQ_IMPORTS_GOODS_SERVICES_REAL_POP_FC" hidden="1">"c8085"</definedName>
    <definedName name="IQ_IMPORTS_GOODS_SERVICES_REAL_SAAR" hidden="1">"c11958"</definedName>
    <definedName name="IQ_IMPORTS_GOODS_SERVICES_REAL_SAAR_APR" hidden="1">"c11961"</definedName>
    <definedName name="IQ_IMPORTS_GOODS_SERVICES_REAL_SAAR_APR_FC_UNUSED" hidden="1">"c8524"</definedName>
    <definedName name="IQ_IMPORTS_GOODS_SERVICES_REAL_SAAR_APR_UNUSED" hidden="1">"c7644"</definedName>
    <definedName name="IQ_IMPORTS_GOODS_SERVICES_REAL_SAAR_FC_UNUSED" hidden="1">"c7864"</definedName>
    <definedName name="IQ_IMPORTS_GOODS_SERVICES_REAL_SAAR_POP" hidden="1">"c11959"</definedName>
    <definedName name="IQ_IMPORTS_GOODS_SERVICES_REAL_SAAR_POP_FC_UNUSED" hidden="1">"c8084"</definedName>
    <definedName name="IQ_IMPORTS_GOODS_SERVICES_REAL_SAAR_POP_UNUSED" hidden="1">"c7204"</definedName>
    <definedName name="IQ_IMPORTS_GOODS_SERVICES_REAL_SAAR_UNUSED" hidden="1">"c6984"</definedName>
    <definedName name="IQ_IMPORTS_GOODS_SERVICES_REAL_SAAR_USD" hidden="1">"c11962"</definedName>
    <definedName name="IQ_IMPORTS_GOODS_SERVICES_REAL_SAAR_USD_APR" hidden="1">"c11965"</definedName>
    <definedName name="IQ_IMPORTS_GOODS_SERVICES_REAL_SAAR_USD_APR_FC" hidden="1">"c11969"</definedName>
    <definedName name="IQ_IMPORTS_GOODS_SERVICES_REAL_SAAR_USD_FC" hidden="1">"c11966"</definedName>
    <definedName name="IQ_IMPORTS_GOODS_SERVICES_REAL_SAAR_USD_POP" hidden="1">"c11963"</definedName>
    <definedName name="IQ_IMPORTS_GOODS_SERVICES_REAL_SAAR_USD_POP_FC" hidden="1">"c11967"</definedName>
    <definedName name="IQ_IMPORTS_GOODS_SERVICES_REAL_SAAR_USD_YOY" hidden="1">"c11964"</definedName>
    <definedName name="IQ_IMPORTS_GOODS_SERVICES_REAL_SAAR_USD_YOY_FC" hidden="1">"c11968"</definedName>
    <definedName name="IQ_IMPORTS_GOODS_SERVICES_REAL_SAAR_YOY" hidden="1">"c11960"</definedName>
    <definedName name="IQ_IMPORTS_GOODS_SERVICES_REAL_SAAR_YOY_FC_UNUSED" hidden="1">"c8304"</definedName>
    <definedName name="IQ_IMPORTS_GOODS_SERVICES_REAL_SAAR_YOY_UNUSED" hidden="1">"c7424"</definedName>
    <definedName name="IQ_IMPORTS_GOODS_SERVICES_REAL_USD" hidden="1">"c11954"</definedName>
    <definedName name="IQ_IMPORTS_GOODS_SERVICES_REAL_USD_APR" hidden="1">"c11957"</definedName>
    <definedName name="IQ_IMPORTS_GOODS_SERVICES_REAL_USD_POP" hidden="1">"c11955"</definedName>
    <definedName name="IQ_IMPORTS_GOODS_SERVICES_REAL_USD_YOY" hidden="1">"c11956"</definedName>
    <definedName name="IQ_IMPORTS_GOODS_SERVICES_REAL_YOY" hidden="1">"c7425"</definedName>
    <definedName name="IQ_IMPORTS_GOODS_SERVICES_REAL_YOY_FC" hidden="1">"c8305"</definedName>
    <definedName name="IQ_IMPORTS_GOODS_SERVICES_SAAR" hidden="1">"c6890"</definedName>
    <definedName name="IQ_IMPORTS_GOODS_SERVICES_SAAR_APR" hidden="1">"c7550"</definedName>
    <definedName name="IQ_IMPORTS_GOODS_SERVICES_SAAR_APR_FC" hidden="1">"c8430"</definedName>
    <definedName name="IQ_IMPORTS_GOODS_SERVICES_SAAR_FC" hidden="1">"c7770"</definedName>
    <definedName name="IQ_IMPORTS_GOODS_SERVICES_SAAR_POP" hidden="1">"c7110"</definedName>
    <definedName name="IQ_IMPORTS_GOODS_SERVICES_SAAR_POP_FC" hidden="1">"c7990"</definedName>
    <definedName name="IQ_IMPORTS_GOODS_SERVICES_SAAR_YOY" hidden="1">"c7330"</definedName>
    <definedName name="IQ_IMPORTS_GOODS_SERVICES_SAAR_YOY_FC" hidden="1">"c8210"</definedName>
    <definedName name="IQ_IMPORTS_GOODS_SERVICES_UNUSED" hidden="1">"c6889"</definedName>
    <definedName name="IQ_IMPORTS_GOODS_SERVICES_USD" hidden="1">"c11842"</definedName>
    <definedName name="IQ_IMPORTS_GOODS_SERVICES_USD_APR" hidden="1">"c11845"</definedName>
    <definedName name="IQ_IMPORTS_GOODS_SERVICES_USD_POP" hidden="1">"c11843"</definedName>
    <definedName name="IQ_IMPORTS_GOODS_SERVICES_USD_YOY" hidden="1">"c11844"</definedName>
    <definedName name="IQ_IMPORTS_GOODS_SERVICES_YOY_FC_UNUSED" hidden="1">"c8209"</definedName>
    <definedName name="IQ_IMPORTS_GOODS_SERVICES_YOY_UNUSED" hidden="1">"c7329"</definedName>
    <definedName name="IQ_IMPORTS_GOODS_USD_APR_FC" hidden="1">"c11841"</definedName>
    <definedName name="IQ_IMPORTS_GOODS_USD_FC" hidden="1">"c11838"</definedName>
    <definedName name="IQ_IMPORTS_GOODS_USD_POP_FC" hidden="1">"c11839"</definedName>
    <definedName name="IQ_IMPORTS_GOODS_USD_YOY_FC" hidden="1">"c11840"</definedName>
    <definedName name="IQ_IMPORTS_GOODS_YOY" hidden="1">"c7327"</definedName>
    <definedName name="IQ_IMPORTS_GOODS_YOY_FC" hidden="1">"c8207"</definedName>
    <definedName name="IQ_IMPORTS_NONFACTOR_SERVICES" hidden="1">"c6892"</definedName>
    <definedName name="IQ_IMPORTS_NONFACTOR_SERVICES_APR" hidden="1">"c7552"</definedName>
    <definedName name="IQ_IMPORTS_NONFACTOR_SERVICES_APR_FC" hidden="1">"c8432"</definedName>
    <definedName name="IQ_IMPORTS_NONFACTOR_SERVICES_FC" hidden="1">"c7772"</definedName>
    <definedName name="IQ_IMPORTS_NONFACTOR_SERVICES_POP" hidden="1">"c7112"</definedName>
    <definedName name="IQ_IMPORTS_NONFACTOR_SERVICES_POP_FC" hidden="1">"c7992"</definedName>
    <definedName name="IQ_IMPORTS_NONFACTOR_SERVICES_SAAR" hidden="1">"c6893"</definedName>
    <definedName name="IQ_IMPORTS_NONFACTOR_SERVICES_SAAR_APR" hidden="1">"c7553"</definedName>
    <definedName name="IQ_IMPORTS_NONFACTOR_SERVICES_SAAR_APR_FC" hidden="1">"c8433"</definedName>
    <definedName name="IQ_IMPORTS_NONFACTOR_SERVICES_SAAR_FC" hidden="1">"c7773"</definedName>
    <definedName name="IQ_IMPORTS_NONFACTOR_SERVICES_SAAR_POP" hidden="1">"c7113"</definedName>
    <definedName name="IQ_IMPORTS_NONFACTOR_SERVICES_SAAR_POP_FC" hidden="1">"c7993"</definedName>
    <definedName name="IQ_IMPORTS_NONFACTOR_SERVICES_SAAR_USD_APR_FC" hidden="1">"c11857"</definedName>
    <definedName name="IQ_IMPORTS_NONFACTOR_SERVICES_SAAR_USD_FC" hidden="1">"c11854"</definedName>
    <definedName name="IQ_IMPORTS_NONFACTOR_SERVICES_SAAR_USD_POP_FC" hidden="1">"c11855"</definedName>
    <definedName name="IQ_IMPORTS_NONFACTOR_SERVICES_SAAR_USD_YOY_FC" hidden="1">"c11856"</definedName>
    <definedName name="IQ_IMPORTS_NONFACTOR_SERVICES_SAAR_YOY" hidden="1">"c7333"</definedName>
    <definedName name="IQ_IMPORTS_NONFACTOR_SERVICES_SAAR_YOY_FC" hidden="1">"c8213"</definedName>
    <definedName name="IQ_IMPORTS_NONFACTOR_SERVICES_USD_APR_FC" hidden="1">"c11853"</definedName>
    <definedName name="IQ_IMPORTS_NONFACTOR_SERVICES_USD_FC" hidden="1">"c11850"</definedName>
    <definedName name="IQ_IMPORTS_NONFACTOR_SERVICES_USD_POP_FC" hidden="1">"c11851"</definedName>
    <definedName name="IQ_IMPORTS_NONFACTOR_SERVICES_USD_YOY_FC" hidden="1">"c11852"</definedName>
    <definedName name="IQ_IMPORTS_NONFACTOR_SERVICES_YOY" hidden="1">"c7332"</definedName>
    <definedName name="IQ_IMPORTS_NONFACTOR_SERVICES_YOY_FC" hidden="1">"c8212"</definedName>
    <definedName name="IQ_IMPORTS_SERVICES" hidden="1">"c11858"</definedName>
    <definedName name="IQ_IMPORTS_SERVICES_APR" hidden="1">"c11861"</definedName>
    <definedName name="IQ_IMPORTS_SERVICES_POP" hidden="1">"c11859"</definedName>
    <definedName name="IQ_IMPORTS_SERVICES_REAL" hidden="1">"c6986"</definedName>
    <definedName name="IQ_IMPORTS_SERVICES_REAL_APR" hidden="1">"c7646"</definedName>
    <definedName name="IQ_IMPORTS_SERVICES_REAL_APR_FC" hidden="1">"c8526"</definedName>
    <definedName name="IQ_IMPORTS_SERVICES_REAL_FC" hidden="1">"c7866"</definedName>
    <definedName name="IQ_IMPORTS_SERVICES_REAL_POP" hidden="1">"c7206"</definedName>
    <definedName name="IQ_IMPORTS_SERVICES_REAL_POP_FC" hidden="1">"c8086"</definedName>
    <definedName name="IQ_IMPORTS_SERVICES_REAL_YOY" hidden="1">"c7426"</definedName>
    <definedName name="IQ_IMPORTS_SERVICES_REAL_YOY_FC" hidden="1">"c8306"</definedName>
    <definedName name="IQ_IMPORTS_SERVICES_YOY" hidden="1">"c11860"</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DOM_LOANS_FFIEC" hidden="1">"c12975"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 hidden="1">"c6222"</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CIDENTAL_CHANGES_BUSINESS_COMBINATIONS_FDIC" hidden="1">"c6502"</definedName>
    <definedName name="IQ_INCOME_BEFORE_EXTRA_FDIC" hidden="1">"c6585"</definedName>
    <definedName name="IQ_INCOME_CHECKS_FFIEC" hidden="1">"c13040"</definedName>
    <definedName name="IQ_INCOME_EARNED_FDIC" hidden="1">"c6359"</definedName>
    <definedName name="IQ_INCOME_FIDUCIARY_ACTIVITIES_FFIEC" hidden="1">"c13002"</definedName>
    <definedName name="IQ_INCOME_LEASE_FINANCING_REC_FFIEC" hidden="1">"c12980"</definedName>
    <definedName name="IQ_INCOME_LOANS_LEASES_TAX_EXEMPT_FFIEC" hidden="1">"c13038"</definedName>
    <definedName name="IQ_INCOME_OTHER_INSURANCE_ACTIVITIES_FFIEC" hidden="1">"c13009"</definedName>
    <definedName name="IQ_INCOME_SALE_MUTUAL_FUNDS_DOM_FFIEC" hidden="1">"c13069"</definedName>
    <definedName name="IQ_INCOME_SECURITIES_TAX_EXEMPT_FFIEC" hidden="1">"c13039"</definedName>
    <definedName name="IQ_INCOME_TAXES_FDIC" hidden="1">"c6582"</definedName>
    <definedName name="IQ_INCOME_TAXES_FFIEC" hidden="1">"c13030"</definedName>
    <definedName name="IQ_INCREASE_INT_INCOME_FFIEC" hidden="1">"c13063"</definedName>
    <definedName name="IQ_INDEX_LEADING_IND" hidden="1">"c6894"</definedName>
    <definedName name="IQ_INDEX_LEADING_IND_APR" hidden="1">"c7554"</definedName>
    <definedName name="IQ_INDEX_LEADING_IND_APR_FC" hidden="1">"c8434"</definedName>
    <definedName name="IQ_INDEX_LEADING_IND_FC" hidden="1">"c7774"</definedName>
    <definedName name="IQ_INDEX_LEADING_IND_POP" hidden="1">"c7114"</definedName>
    <definedName name="IQ_INDEX_LEADING_IND_POP_FC" hidden="1">"c7994"</definedName>
    <definedName name="IQ_INDEX_LEADING_IND_YOY" hidden="1">"c7334"</definedName>
    <definedName name="IQ_INDEX_LEADING_IND_YOY_FC" hidden="1">"c8214"</definedName>
    <definedName name="IQ_INDICATED_ATTRIB_ORE_RESOURCES_ALUM" hidden="1">"c9238"</definedName>
    <definedName name="IQ_INDICATED_ATTRIB_ORE_RESOURCES_COP" hidden="1">"c9182"</definedName>
    <definedName name="IQ_INDICATED_ATTRIB_ORE_RESOURCES_DIAM" hidden="1">"c9662"</definedName>
    <definedName name="IQ_INDICATED_ATTRIB_ORE_RESOURCES_GOLD" hidden="1">"c9023"</definedName>
    <definedName name="IQ_INDICATED_ATTRIB_ORE_RESOURCES_IRON" hidden="1">"c9397"</definedName>
    <definedName name="IQ_INDICATED_ATTRIB_ORE_RESOURCES_LEAD" hidden="1">"c9450"</definedName>
    <definedName name="IQ_INDICATED_ATTRIB_ORE_RESOURCES_MANG" hidden="1">"c9503"</definedName>
    <definedName name="IQ_INDICATED_ATTRIB_ORE_RESOURCES_MOLYB" hidden="1">"c9715"</definedName>
    <definedName name="IQ_INDICATED_ATTRIB_ORE_RESOURCES_NICK" hidden="1">"c9291"</definedName>
    <definedName name="IQ_INDICATED_ATTRIB_ORE_RESOURCES_PLAT" hidden="1">"c9129"</definedName>
    <definedName name="IQ_INDICATED_ATTRIB_ORE_RESOURCES_SILVER" hidden="1">"c9076"</definedName>
    <definedName name="IQ_INDICATED_ATTRIB_ORE_RESOURCES_TITAN" hidden="1">"c9556"</definedName>
    <definedName name="IQ_INDICATED_ATTRIB_ORE_RESOURCES_URAN" hidden="1">"c9609"</definedName>
    <definedName name="IQ_INDICATED_ATTRIB_ORE_RESOURCES_ZINC" hidden="1">"c9344"</definedName>
    <definedName name="IQ_INDICATED_ORE_RESOURCES_ALUM" hidden="1">"c9224"</definedName>
    <definedName name="IQ_INDICATED_ORE_RESOURCES_COP" hidden="1">"c9168"</definedName>
    <definedName name="IQ_INDICATED_ORE_RESOURCES_DIAM" hidden="1">"c9648"</definedName>
    <definedName name="IQ_INDICATED_ORE_RESOURCES_GOLD" hidden="1">"c9009"</definedName>
    <definedName name="IQ_INDICATED_ORE_RESOURCES_IRON" hidden="1">"c9383"</definedName>
    <definedName name="IQ_INDICATED_ORE_RESOURCES_LEAD" hidden="1">"c9436"</definedName>
    <definedName name="IQ_INDICATED_ORE_RESOURCES_MANG" hidden="1">"c9489"</definedName>
    <definedName name="IQ_INDICATED_ORE_RESOURCES_MOLYB" hidden="1">"c9701"</definedName>
    <definedName name="IQ_INDICATED_ORE_RESOURCES_NICK" hidden="1">"c9277"</definedName>
    <definedName name="IQ_INDICATED_ORE_RESOURCES_PLAT" hidden="1">"c9115"</definedName>
    <definedName name="IQ_INDICATED_ORE_RESOURCES_SILVER" hidden="1">"c9062"</definedName>
    <definedName name="IQ_INDICATED_ORE_RESOURCES_TITAN" hidden="1">"c9542"</definedName>
    <definedName name="IQ_INDICATED_ORE_RESOURCES_URAN" hidden="1">"c9595"</definedName>
    <definedName name="IQ_INDICATED_ORE_RESOURCES_ZINC" hidden="1">"c9330"</definedName>
    <definedName name="IQ_INDICATED_RECOV_ATTRIB_RESOURCES_ALUM" hidden="1">"c9243"</definedName>
    <definedName name="IQ_INDICATED_RECOV_ATTRIB_RESOURCES_COAL" hidden="1">"c9817"</definedName>
    <definedName name="IQ_INDICATED_RECOV_ATTRIB_RESOURCES_COP" hidden="1">"c9187"</definedName>
    <definedName name="IQ_INDICATED_RECOV_ATTRIB_RESOURCES_DIAM" hidden="1">"c9667"</definedName>
    <definedName name="IQ_INDICATED_RECOV_ATTRIB_RESOURCES_GOLD" hidden="1">"c9028"</definedName>
    <definedName name="IQ_INDICATED_RECOV_ATTRIB_RESOURCES_IRON" hidden="1">"c9402"</definedName>
    <definedName name="IQ_INDICATED_RECOV_ATTRIB_RESOURCES_LEAD" hidden="1">"c9455"</definedName>
    <definedName name="IQ_INDICATED_RECOV_ATTRIB_RESOURCES_MANG" hidden="1">"c9508"</definedName>
    <definedName name="IQ_INDICATED_RECOV_ATTRIB_RESOURCES_MET_COAL" hidden="1">"c9757"</definedName>
    <definedName name="IQ_INDICATED_RECOV_ATTRIB_RESOURCES_MOLYB" hidden="1">"c9720"</definedName>
    <definedName name="IQ_INDICATED_RECOV_ATTRIB_RESOURCES_NICK" hidden="1">"c9296"</definedName>
    <definedName name="IQ_INDICATED_RECOV_ATTRIB_RESOURCES_PLAT" hidden="1">"c9134"</definedName>
    <definedName name="IQ_INDICATED_RECOV_ATTRIB_RESOURCES_SILVER" hidden="1">"c9081"</definedName>
    <definedName name="IQ_INDICATED_RECOV_ATTRIB_RESOURCES_STEAM" hidden="1">"c9787"</definedName>
    <definedName name="IQ_INDICATED_RECOV_ATTRIB_RESOURCES_TITAN" hidden="1">"c9561"</definedName>
    <definedName name="IQ_INDICATED_RECOV_ATTRIB_RESOURCES_URAN" hidden="1">"c9614"</definedName>
    <definedName name="IQ_INDICATED_RECOV_ATTRIB_RESOURCES_ZINC" hidden="1">"c9349"</definedName>
    <definedName name="IQ_INDICATED_RECOV_RESOURCES_ALUM" hidden="1">"c9233"</definedName>
    <definedName name="IQ_INDICATED_RECOV_RESOURCES_COAL" hidden="1">"c9812"</definedName>
    <definedName name="IQ_INDICATED_RECOV_RESOURCES_COP" hidden="1">"c9177"</definedName>
    <definedName name="IQ_INDICATED_RECOV_RESOURCES_DIAM" hidden="1">"c9657"</definedName>
    <definedName name="IQ_INDICATED_RECOV_RESOURCES_GOLD" hidden="1">"c9018"</definedName>
    <definedName name="IQ_INDICATED_RECOV_RESOURCES_IRON" hidden="1">"c9392"</definedName>
    <definedName name="IQ_INDICATED_RECOV_RESOURCES_LEAD" hidden="1">"c9445"</definedName>
    <definedName name="IQ_INDICATED_RECOV_RESOURCES_MANG" hidden="1">"c9498"</definedName>
    <definedName name="IQ_INDICATED_RECOV_RESOURCES_MET_COAL" hidden="1">"c9752"</definedName>
    <definedName name="IQ_INDICATED_RECOV_RESOURCES_MOLYB" hidden="1">"c9710"</definedName>
    <definedName name="IQ_INDICATED_RECOV_RESOURCES_NICK" hidden="1">"c9286"</definedName>
    <definedName name="IQ_INDICATED_RECOV_RESOURCES_PLAT" hidden="1">"c9124"</definedName>
    <definedName name="IQ_INDICATED_RECOV_RESOURCES_SILVER" hidden="1">"c9071"</definedName>
    <definedName name="IQ_INDICATED_RECOV_RESOURCES_STEAM" hidden="1">"c9782"</definedName>
    <definedName name="IQ_INDICATED_RECOV_RESOURCES_TITAN" hidden="1">"c9551"</definedName>
    <definedName name="IQ_INDICATED_RECOV_RESOURCES_URAN" hidden="1">"c9604"</definedName>
    <definedName name="IQ_INDICATED_RECOV_RESOURCES_ZINC" hidden="1">"c9339"</definedName>
    <definedName name="IQ_INDICATED_RESOURCES_CALORIFIC_VALUE_COAL" hidden="1">"c9807"</definedName>
    <definedName name="IQ_INDICATED_RESOURCES_CALORIFIC_VALUE_MET_COAL" hidden="1">"c9747"</definedName>
    <definedName name="IQ_INDICATED_RESOURCES_CALORIFIC_VALUE_STEAM" hidden="1">"c9777"</definedName>
    <definedName name="IQ_INDICATED_RESOURCES_GRADE_ALUM" hidden="1">"c9225"</definedName>
    <definedName name="IQ_INDICATED_RESOURCES_GRADE_COP" hidden="1">"c9169"</definedName>
    <definedName name="IQ_INDICATED_RESOURCES_GRADE_DIAM" hidden="1">"c9649"</definedName>
    <definedName name="IQ_INDICATED_RESOURCES_GRADE_GOLD" hidden="1">"c9010"</definedName>
    <definedName name="IQ_INDICATED_RESOURCES_GRADE_IRON" hidden="1">"c9384"</definedName>
    <definedName name="IQ_INDICATED_RESOURCES_GRADE_LEAD" hidden="1">"c9437"</definedName>
    <definedName name="IQ_INDICATED_RESOURCES_GRADE_MANG" hidden="1">"c9490"</definedName>
    <definedName name="IQ_INDICATED_RESOURCES_GRADE_MOLYB" hidden="1">"c9702"</definedName>
    <definedName name="IQ_INDICATED_RESOURCES_GRADE_NICK" hidden="1">"c9278"</definedName>
    <definedName name="IQ_INDICATED_RESOURCES_GRADE_PLAT" hidden="1">"c9116"</definedName>
    <definedName name="IQ_INDICATED_RESOURCES_GRADE_SILVER" hidden="1">"c9063"</definedName>
    <definedName name="IQ_INDICATED_RESOURCES_GRADE_TITAN" hidden="1">"c9543"</definedName>
    <definedName name="IQ_INDICATED_RESOURCES_GRADE_URAN" hidden="1">"c9596"</definedName>
    <definedName name="IQ_INDICATED_RESOURCES_GRADE_ZINC" hidden="1">"c9331"</definedName>
    <definedName name="IQ_INDIVIDUALS_CHARGE_OFFS_FDIC" hidden="1">"c6599"</definedName>
    <definedName name="IQ_INDIVIDUALS_GROSS_LOANS_FFIEC" hidden="1">"c13411"</definedName>
    <definedName name="IQ_INDIVIDUALS_LOANS_FDIC" hidden="1">"c6318"</definedName>
    <definedName name="IQ_INDIVIDUALS_NET_CHARGE_OFFS_FDIC" hidden="1">"c6637"</definedName>
    <definedName name="IQ_INDIVIDUALS_OTHER_LOANS_FDIC" hidden="1">"c6321"</definedName>
    <definedName name="IQ_INDIVIDUALS_PARTNERSHIPS_CORP_DEPOSITS_FOREIGN_FDIC" hidden="1">"c6479"</definedName>
    <definedName name="IQ_INDIVIDUALS_PARTNERSHIPS_CORP_NONTRANSACTION_ACCOUNTS_FDIC" hidden="1">"c6545"</definedName>
    <definedName name="IQ_INDIVIDUALS_PARTNERSHIPS_CORP_TOTAL_DEPOSITS_FDIC" hidden="1">"c6471"</definedName>
    <definedName name="IQ_INDIVIDUALS_PARTNERSHIPS_CORP_TRANSACTION_ACCOUNTS_FDIC" hidden="1">"c6537"</definedName>
    <definedName name="IQ_INDIVIDUALS_RECOVERIES_FDIC" hidden="1">"c6618"</definedName>
    <definedName name="IQ_INDIVIDUALS_RISK_BASED_FFIEC" hidden="1">"c13432"</definedName>
    <definedName name="IQ_INDUSTRIAL_PROD" hidden="1">"c6895"</definedName>
    <definedName name="IQ_INDUSTRIAL_PROD_APR" hidden="1">"c7555"</definedName>
    <definedName name="IQ_INDUSTRIAL_PROD_APR_FC" hidden="1">"c8435"</definedName>
    <definedName name="IQ_INDUSTRIAL_PROD_FC" hidden="1">"c7775"</definedName>
    <definedName name="IQ_INDUSTRIAL_PROD_POP" hidden="1">"c7115"</definedName>
    <definedName name="IQ_INDUSTRIAL_PROD_POP_FC" hidden="1">"c7995"</definedName>
    <definedName name="IQ_INDUSTRIAL_PROD_YOY" hidden="1">"c7335"</definedName>
    <definedName name="IQ_INDUSTRIAL_PROD_YOY_FC" hidden="1">"c8215"</definedName>
    <definedName name="IQ_INDUSTRY" hidden="1">"c3601"</definedName>
    <definedName name="IQ_INDUSTRY_GROUP" hidden="1">"c3602"</definedName>
    <definedName name="IQ_INDUSTRY_SECTOR" hidden="1">"c3603"</definedName>
    <definedName name="IQ_INFERRED_ATTRIB_ORE_RESOURCES_ALUM" hidden="1">"c9240"</definedName>
    <definedName name="IQ_INFERRED_ATTRIB_ORE_RESOURCES_COP" hidden="1">"c9184"</definedName>
    <definedName name="IQ_INFERRED_ATTRIB_ORE_RESOURCES_DIAM" hidden="1">"c9664"</definedName>
    <definedName name="IQ_INFERRED_ATTRIB_ORE_RESOURCES_GOLD" hidden="1">"c9025"</definedName>
    <definedName name="IQ_INFERRED_ATTRIB_ORE_RESOURCES_IRON" hidden="1">"c9399"</definedName>
    <definedName name="IQ_INFERRED_ATTRIB_ORE_RESOURCES_LEAD" hidden="1">"c9452"</definedName>
    <definedName name="IQ_INFERRED_ATTRIB_ORE_RESOURCES_MANG" hidden="1">"c9505"</definedName>
    <definedName name="IQ_INFERRED_ATTRIB_ORE_RESOURCES_MOLYB" hidden="1">"c9717"</definedName>
    <definedName name="IQ_INFERRED_ATTRIB_ORE_RESOURCES_NICK" hidden="1">"c9293"</definedName>
    <definedName name="IQ_INFERRED_ATTRIB_ORE_RESOURCES_PLAT" hidden="1">"c9131"</definedName>
    <definedName name="IQ_INFERRED_ATTRIB_ORE_RESOURCES_SILVER" hidden="1">"c9078"</definedName>
    <definedName name="IQ_INFERRED_ATTRIB_ORE_RESOURCES_TITAN" hidden="1">"c9558"</definedName>
    <definedName name="IQ_INFERRED_ATTRIB_ORE_RESOURCES_URAN" hidden="1">"c9611"</definedName>
    <definedName name="IQ_INFERRED_ATTRIB_ORE_RESOURCES_ZINC" hidden="1">"c9346"</definedName>
    <definedName name="IQ_INFERRED_ORE_RESOURCES_ALUM" hidden="1">"c9228"</definedName>
    <definedName name="IQ_INFERRED_ORE_RESOURCES_COP" hidden="1">"c9172"</definedName>
    <definedName name="IQ_INFERRED_ORE_RESOURCES_DIAM" hidden="1">"c9652"</definedName>
    <definedName name="IQ_INFERRED_ORE_RESOURCES_GOLD" hidden="1">"c9013"</definedName>
    <definedName name="IQ_INFERRED_ORE_RESOURCES_IRON" hidden="1">"c9387"</definedName>
    <definedName name="IQ_INFERRED_ORE_RESOURCES_LEAD" hidden="1">"c9440"</definedName>
    <definedName name="IQ_INFERRED_ORE_RESOURCES_MANG" hidden="1">"c9493"</definedName>
    <definedName name="IQ_INFERRED_ORE_RESOURCES_MOLYB" hidden="1">"c9705"</definedName>
    <definedName name="IQ_INFERRED_ORE_RESOURCES_NICK" hidden="1">"c9281"</definedName>
    <definedName name="IQ_INFERRED_ORE_RESOURCES_PLAT" hidden="1">"c9119"</definedName>
    <definedName name="IQ_INFERRED_ORE_RESOURCES_SILVER" hidden="1">"c9066"</definedName>
    <definedName name="IQ_INFERRED_ORE_RESOURCES_TITAN" hidden="1">"c9546"</definedName>
    <definedName name="IQ_INFERRED_ORE_RESOURCES_URAN" hidden="1">"c9599"</definedName>
    <definedName name="IQ_INFERRED_ORE_RESOURCES_ZINC" hidden="1">"c9334"</definedName>
    <definedName name="IQ_INFERRED_RECOV_ATTRIB_RESOURCES_ALUM" hidden="1">"c9245"</definedName>
    <definedName name="IQ_INFERRED_RECOV_ATTRIB_RESOURCES_COAL" hidden="1">"c9819"</definedName>
    <definedName name="IQ_INFERRED_RECOV_ATTRIB_RESOURCES_COP" hidden="1">"c9189"</definedName>
    <definedName name="IQ_INFERRED_RECOV_ATTRIB_RESOURCES_DIAM" hidden="1">"c9669"</definedName>
    <definedName name="IQ_INFERRED_RECOV_ATTRIB_RESOURCES_GOLD" hidden="1">"c9030"</definedName>
    <definedName name="IQ_INFERRED_RECOV_ATTRIB_RESOURCES_IRON" hidden="1">"c9404"</definedName>
    <definedName name="IQ_INFERRED_RECOV_ATTRIB_RESOURCES_LEAD" hidden="1">"c9457"</definedName>
    <definedName name="IQ_INFERRED_RECOV_ATTRIB_RESOURCES_MANG" hidden="1">"c9510"</definedName>
    <definedName name="IQ_INFERRED_RECOV_ATTRIB_RESOURCES_MET_COAL" hidden="1">"c9759"</definedName>
    <definedName name="IQ_INFERRED_RECOV_ATTRIB_RESOURCES_MOLYB" hidden="1">"c9722"</definedName>
    <definedName name="IQ_INFERRED_RECOV_ATTRIB_RESOURCES_NICK" hidden="1">"c9298"</definedName>
    <definedName name="IQ_INFERRED_RECOV_ATTRIB_RESOURCES_PLAT" hidden="1">"c9136"</definedName>
    <definedName name="IQ_INFERRED_RECOV_ATTRIB_RESOURCES_SILVER" hidden="1">"c9083"</definedName>
    <definedName name="IQ_INFERRED_RECOV_ATTRIB_RESOURCES_STEAM" hidden="1">"c9789"</definedName>
    <definedName name="IQ_INFERRED_RECOV_ATTRIB_RESOURCES_TITAN" hidden="1">"c9563"</definedName>
    <definedName name="IQ_INFERRED_RECOV_ATTRIB_RESOURCES_URAN" hidden="1">"c9616"</definedName>
    <definedName name="IQ_INFERRED_RECOV_ATTRIB_RESOURCES_ZINC" hidden="1">"c9351"</definedName>
    <definedName name="IQ_INFERRED_RECOV_RESOURCES_ALUM" hidden="1">"c9235"</definedName>
    <definedName name="IQ_INFERRED_RECOV_RESOURCES_COAL" hidden="1">"c9814"</definedName>
    <definedName name="IQ_INFERRED_RECOV_RESOURCES_COP" hidden="1">"c9179"</definedName>
    <definedName name="IQ_INFERRED_RECOV_RESOURCES_DIAM" hidden="1">"c9659"</definedName>
    <definedName name="IQ_INFERRED_RECOV_RESOURCES_GOLD" hidden="1">"c9020"</definedName>
    <definedName name="IQ_INFERRED_RECOV_RESOURCES_IRON" hidden="1">"c9394"</definedName>
    <definedName name="IQ_INFERRED_RECOV_RESOURCES_LEAD" hidden="1">"c9447"</definedName>
    <definedName name="IQ_INFERRED_RECOV_RESOURCES_MANG" hidden="1">"c9500"</definedName>
    <definedName name="IQ_INFERRED_RECOV_RESOURCES_MET_COAL" hidden="1">"c9754"</definedName>
    <definedName name="IQ_INFERRED_RECOV_RESOURCES_MOLYB" hidden="1">"c9712"</definedName>
    <definedName name="IQ_INFERRED_RECOV_RESOURCES_NICK" hidden="1">"c9288"</definedName>
    <definedName name="IQ_INFERRED_RECOV_RESOURCES_PLAT" hidden="1">"c9126"</definedName>
    <definedName name="IQ_INFERRED_RECOV_RESOURCES_SILVER" hidden="1">"c9073"</definedName>
    <definedName name="IQ_INFERRED_RECOV_RESOURCES_STEAM" hidden="1">"c9784"</definedName>
    <definedName name="IQ_INFERRED_RECOV_RESOURCES_TITAN" hidden="1">"c9553"</definedName>
    <definedName name="IQ_INFERRED_RECOV_RESOURCES_URAN" hidden="1">"c9606"</definedName>
    <definedName name="IQ_INFERRED_RECOV_RESOURCES_ZINC" hidden="1">"c9341"</definedName>
    <definedName name="IQ_INFERRED_RESOURCES_CALORIFIC_VALUE_COAL" hidden="1">"c9809"</definedName>
    <definedName name="IQ_INFERRED_RESOURCES_CALORIFIC_VALUE_MET_COAL" hidden="1">"c9749"</definedName>
    <definedName name="IQ_INFERRED_RESOURCES_CALORIFIC_VALUE_STEAM" hidden="1">"c9779"</definedName>
    <definedName name="IQ_INFERRED_RESOURCES_GRADE_ALUM" hidden="1">"c9229"</definedName>
    <definedName name="IQ_INFERRED_RESOURCES_GRADE_COP" hidden="1">"c9173"</definedName>
    <definedName name="IQ_INFERRED_RESOURCES_GRADE_DIAM" hidden="1">"c9653"</definedName>
    <definedName name="IQ_INFERRED_RESOURCES_GRADE_GOLD" hidden="1">"c9014"</definedName>
    <definedName name="IQ_INFERRED_RESOURCES_GRADE_IRON" hidden="1">"c9388"</definedName>
    <definedName name="IQ_INFERRED_RESOURCES_GRADE_LEAD" hidden="1">"c9441"</definedName>
    <definedName name="IQ_INFERRED_RESOURCES_GRADE_MANG" hidden="1">"c9494"</definedName>
    <definedName name="IQ_INFERRED_RESOURCES_GRADE_MOLYB" hidden="1">"c9706"</definedName>
    <definedName name="IQ_INFERRED_RESOURCES_GRADE_NICK" hidden="1">"c9282"</definedName>
    <definedName name="IQ_INFERRED_RESOURCES_GRADE_PLAT" hidden="1">"c9120"</definedName>
    <definedName name="IQ_INFERRED_RESOURCES_GRADE_SILVER" hidden="1">"c9067"</definedName>
    <definedName name="IQ_INFERRED_RESOURCES_GRADE_TITAN" hidden="1">"c9547"</definedName>
    <definedName name="IQ_INFERRED_RESOURCES_GRADE_URAN" hidden="1">"c9600"</definedName>
    <definedName name="IQ_INFERRED_RESOURCES_GRADE_ZINC" hidden="1">"c9335"</definedName>
    <definedName name="IQ_INFLATION_RATE" hidden="1">"c6899"</definedName>
    <definedName name="IQ_INFLATION_RATE_CORE" hidden="1">"c11783"</definedName>
    <definedName name="IQ_INFLATION_RATE_CORE_POP" hidden="1">"c11784"</definedName>
    <definedName name="IQ_INFLATION_RATE_CORE_YOY" hidden="1">"c11785"</definedName>
    <definedName name="IQ_INFLATION_RATE_FC" hidden="1">"c7779"</definedName>
    <definedName name="IQ_INFLATION_RATE_POP" hidden="1">"c7119"</definedName>
    <definedName name="IQ_INFLATION_RATE_POP_FC" hidden="1">"c7999"</definedName>
    <definedName name="IQ_INFLATION_RATE_YOY" hidden="1">"c7339"</definedName>
    <definedName name="IQ_INFLATION_RATE_YOY_FC" hidden="1">"c8219"</definedName>
    <definedName name="IQ_INITIAL_CLAIMS" hidden="1">"c6900"</definedName>
    <definedName name="IQ_INITIAL_CLAIMS_APR" hidden="1">"c7560"</definedName>
    <definedName name="IQ_INITIAL_CLAIMS_APR_FC" hidden="1">"c8440"</definedName>
    <definedName name="IQ_INITIAL_CLAIMS_FC" hidden="1">"c7780"</definedName>
    <definedName name="IQ_INITIAL_CLAIMS_POP" hidden="1">"c7120"</definedName>
    <definedName name="IQ_INITIAL_CLAIMS_POP_FC" hidden="1">"c8000"</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 hidden="1">"c6223"</definedName>
    <definedName name="IQ_INS_SETTLE_REIT" hidden="1">"c575"</definedName>
    <definedName name="IQ_INS_SETTLE_SUPPLE" hidden="1">"c13814"</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LOANS_FDIC" hidden="1">"c6365"</definedName>
    <definedName name="IQ_INSIDER_OVER_TOTAL" hidden="1">"c1581"</definedName>
    <definedName name="IQ_INSIDER_OWNER" hidden="1">"c577"</definedName>
    <definedName name="IQ_INSIDER_PERCENT" hidden="1">"c578"</definedName>
    <definedName name="IQ_INSIDER_SHARES" hidden="1">"c579"</definedName>
    <definedName name="IQ_INST_DEPOSITS" hidden="1">"c89"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TITUTIONS_EARNINGS_GAINS_FDIC" hidden="1">"c6723"</definedName>
    <definedName name="IQ_INSUR_RECEIV" hidden="1">"c1600"</definedName>
    <definedName name="IQ_INSURANCE_COMMISSION_FEES_FDIC" hidden="1">"c6670"</definedName>
    <definedName name="IQ_INSURANCE_REINSURANCE_UNDERWRITING_INCOME_FFIEC" hidden="1">"c13008"</definedName>
    <definedName name="IQ_INSURANCE_REV_OPERATING_INC_FFIEC" hidden="1">"c13387"</definedName>
    <definedName name="IQ_INSURANCE_UNDERWRITING_INCOME_FDIC" hidden="1">"c6671"</definedName>
    <definedName name="IQ_INT_BEARING_DEPOSITS" hidden="1">"c1166"</definedName>
    <definedName name="IQ_INT_BEARING_FUNDS_AVG_ASSETS_FFIEC" hidden="1">"c13355"</definedName>
    <definedName name="IQ_INT_BEARING_LIABILITIES_REPRICE_ASSETS_TOT_FFIEC" hidden="1">"c13452"</definedName>
    <definedName name="IQ_INT_BORROW" hidden="1">"c583"</definedName>
    <definedName name="IQ_INT_DEMAND_NOTES_FDIC" hidden="1">"c6567"</definedName>
    <definedName name="IQ_INT_DEPOSITS" hidden="1">"c584"</definedName>
    <definedName name="IQ_INT_DEPOSITS_DOM_FFIEC" hidden="1">"c12852"</definedName>
    <definedName name="IQ_INT_DEPOSITS_DOM_QUARTERLY_AVG_FFIEC" hidden="1">"c13088"</definedName>
    <definedName name="IQ_INT_DEPOSITS_FOREIGN_FFIEC" hidden="1">"c12855"</definedName>
    <definedName name="IQ_INT_DEPOSITS_FOREIGN_QUARTERLY_AVG_FFIEC" hidden="1">"c13089"</definedName>
    <definedName name="IQ_INT_DIV_INC" hidden="1">"c585"</definedName>
    <definedName name="IQ_INT_DIV_INC_MBS_FFIEC" hidden="1">"c12984"</definedName>
    <definedName name="IQ_INT_DIV_INC_SECURITIES_FFIEC" hidden="1">"c12982"</definedName>
    <definedName name="IQ_INT_DIV_INC_SECURITIES_OTHER_FFIEC" hidden="1">"c12985"</definedName>
    <definedName name="IQ_INT_DIV_INC_TREASURY_SECURITIES_FFIEC" hidden="1">"c12983"</definedName>
    <definedName name="IQ_INT_DOMESTIC_DEPOSITS_FDIC" hidden="1">"c6564"</definedName>
    <definedName name="IQ_INT_EXP_AVG_ASSETS_FFIEC" hidden="1">"c13357"</definedName>
    <definedName name="IQ_INT_EXP_BR" hidden="1">"c586"</definedName>
    <definedName name="IQ_INT_EXP_COVERAGE" hidden="1">"c587"</definedName>
    <definedName name="IQ_INT_EXP_EARNING_ASSETS_FFIEC" hidden="1">"c13376"</definedName>
    <definedName name="IQ_INT_EXP_FED_FUNDS_PURCHASED_FFIEC" hidden="1">"c12996"</definedName>
    <definedName name="IQ_INT_EXP_FIN" hidden="1">"c588"</definedName>
    <definedName name="IQ_INT_EXP_INCL_CAP" hidden="1">"c2988"</definedName>
    <definedName name="IQ_INT_EXP_INS" hidden="1">"c589"</definedName>
    <definedName name="IQ_INT_EXP_LTD" hidden="1">"c2086"</definedName>
    <definedName name="IQ_INT_EXP_RE" hidden="1">"c6224"</definedName>
    <definedName name="IQ_INT_EXP_REIT" hidden="1">"c590"</definedName>
    <definedName name="IQ_INT_EXP_TOTAL" hidden="1">"c591"</definedName>
    <definedName name="IQ_INT_EXP_TOTAL_BNK_SUBTOTAL_AP" hidden="1">"c8977"</definedName>
    <definedName name="IQ_INT_EXP_TOTAL_FDIC" hidden="1">"c6569"</definedName>
    <definedName name="IQ_INT_EXP_UTI" hidden="1">"c592"</definedName>
    <definedName name="IQ_INT_FED_FUNDS_FDIC" hidden="1">"c6566"</definedName>
    <definedName name="IQ_INT_FEE_INC_LOANS_1_4_DOM_FFIEC" hidden="1">"c12976"</definedName>
    <definedName name="IQ_INT_FEE_INC_LOANS_DOM_FFIEC" hidden="1">"c13335"</definedName>
    <definedName name="IQ_INT_FEE_INC_LOANS_FOREIGN_FFIEC" hidden="1">"c12979"</definedName>
    <definedName name="IQ_INT_FEE_INC_LOANS_OTHER_DOM_FFIEC" hidden="1">"c12978"</definedName>
    <definedName name="IQ_INT_FEE_INC_SECURED_RE_DOM_FFIEC" hidden="1">"c12977"</definedName>
    <definedName name="IQ_INT_FEE_INCOME_FFIEC" hidden="1">"c12974"</definedName>
    <definedName name="IQ_INT_FOREIGN_DEPOSITS_FDIC" hidden="1">"c6565"</definedName>
    <definedName name="IQ_INT_INC_AVG_ASSETS_FFIEC" hidden="1">"c13356"</definedName>
    <definedName name="IQ_INT_INC_BR" hidden="1">"c593"</definedName>
    <definedName name="IQ_INT_INC_DEPOSITORY_INST_FDIC" hidden="1">"c6558"</definedName>
    <definedName name="IQ_INT_INC_DOM_LOANS_FDIC" hidden="1">"c6555"</definedName>
    <definedName name="IQ_INT_INC_DUE_DEPOSITORY_INSTITUTIONS_FFIEC" hidden="1">"c12981"</definedName>
    <definedName name="IQ_INT_INC_EARNING_ASSETS_FFIEC" hidden="1">"c13375"</definedName>
    <definedName name="IQ_INT_INC_FED_FUNDS_FDIC" hidden="1">"c6561"</definedName>
    <definedName name="IQ_INT_INC_FED_FUNDS_SOLD_FFIEC" hidden="1">"c12987"</definedName>
    <definedName name="IQ_INT_INC_FIN" hidden="1">"c594"</definedName>
    <definedName name="IQ_INT_INC_FOREIGN_LOANS_FDIC" hidden="1">"c6556"</definedName>
    <definedName name="IQ_INT_INC_INVEST" hidden="1">"c595"</definedName>
    <definedName name="IQ_INT_INC_LEASE_RECEIVABLES_FDIC" hidden="1">"c6557"</definedName>
    <definedName name="IQ_INT_INC_LOANS" hidden="1">"c596"</definedName>
    <definedName name="IQ_INT_INC_OTHER_FDIC" hidden="1">"c6562"</definedName>
    <definedName name="IQ_INT_INC_RE" hidden="1">"c6225"</definedName>
    <definedName name="IQ_INT_INC_REIT" hidden="1">"c597"</definedName>
    <definedName name="IQ_INT_INC_SECURITIES_FDIC" hidden="1">"c6559"</definedName>
    <definedName name="IQ_INT_INC_TE_AVG_ASSETS_FFIEC" hidden="1">"c13358"</definedName>
    <definedName name="IQ_INT_INC_TE_EARNING_ASSETS_FFIEC" hidden="1">"c13377"</definedName>
    <definedName name="IQ_INT_INC_TOTAL" hidden="1">"c598"</definedName>
    <definedName name="IQ_INT_INC_TOTAL_BNK_SUBTOTAL_AP" hidden="1">"c8976"</definedName>
    <definedName name="IQ_INT_INC_TOTAL_FDIC" hidden="1">"c6563"</definedName>
    <definedName name="IQ_INT_INC_TRADING_ACCOUNTS_FDIC" hidden="1">"c6560"</definedName>
    <definedName name="IQ_INT_INC_TRADING_ASSETS_FFIEC" hidden="1">"c12986"</definedName>
    <definedName name="IQ_INT_INC_UTI" hidden="1">"c599"</definedName>
    <definedName name="IQ_INT_INCOME_FTE_AVG_ASSETS_FFIEC" hidden="1">"c13856"</definedName>
    <definedName name="IQ_INT_INCOME_FTE_AVG_EARNING_ASSETS_FFIEC" hidden="1">"c13857"</definedName>
    <definedName name="IQ_INT_INCOME_FTE_FFIEC" hidden="1">"c13852"</definedName>
    <definedName name="IQ_INT_INV_INC" hidden="1">"c600"</definedName>
    <definedName name="IQ_INT_INV_INC_RE" hidden="1">"c6226"</definedName>
    <definedName name="IQ_INT_INV_INC_REIT" hidden="1">"c601"</definedName>
    <definedName name="IQ_INT_INV_INC_UTI" hidden="1">"c602"</definedName>
    <definedName name="IQ_INT_ON_BORROWING_COVERAGE" hidden="1">"c603"</definedName>
    <definedName name="IQ_INT_ON_DEPOSITS_DOM_FFIEC" hidden="1">"c12991"</definedName>
    <definedName name="IQ_INT_ON_DEPOSITS_FFIEC" hidden="1">"c12990"</definedName>
    <definedName name="IQ_INT_ON_DEPOSITS_FOREIGN_FFIEC" hidden="1">"c12995"</definedName>
    <definedName name="IQ_INT_RATE_EXPOSURE_FFIEC" hidden="1">"c13058"</definedName>
    <definedName name="IQ_INT_RATE_SPREAD" hidden="1">"c604"</definedName>
    <definedName name="IQ_INT_SUB_NOTES_FDIC" hidden="1">"c6568"</definedName>
    <definedName name="IQ_INT_SUB_NOTES_FFIEC" hidden="1">"c12998"</definedName>
    <definedName name="IQ_INT_TIME_DEPOSITS_LESS_THAN_100K_DOM_FFIEC" hidden="1">"c12993"</definedName>
    <definedName name="IQ_INT_TIME_DEPOSITS_MORE_THAN_100K_DOM_FFIEC" hidden="1">"c12992"</definedName>
    <definedName name="IQ_INT_TRADING_LIABILITIES_FFIEC" hidden="1">"c12997"</definedName>
    <definedName name="IQ_INTANGIBLES_NET" hidden="1">"c1407"</definedName>
    <definedName name="IQ_INTEREST_BEARING_BALANCES_FDIC" hidden="1">"c6371"</definedName>
    <definedName name="IQ_INTEREST_BEARING_CASH_FOREIGN_FFIEC" hidden="1">"c12776"</definedName>
    <definedName name="IQ_INTEREST_BEARING_CASH_US_FFIEC" hidden="1">"c12775"</definedName>
    <definedName name="IQ_INTEREST_BEARING_DEPOSITS_DOMESTIC_FDIC" hidden="1">"c6478"</definedName>
    <definedName name="IQ_INTEREST_BEARING_DEPOSITS_FDIC" hidden="1">"c6373"</definedName>
    <definedName name="IQ_INTEREST_BEARING_DEPOSITS_FOREIGN_FDIC" hidden="1">"c6485"</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TEREST_RATE_CONTRACTS_FDIC" hidden="1">"c6512"</definedName>
    <definedName name="IQ_INTEREST_RATE_EXPOSURES_FDIC" hidden="1">"c6662"</definedName>
    <definedName name="IQ_INV_10YR_ANN_CAGR" hidden="1">"c6164"</definedName>
    <definedName name="IQ_INV_10YR_ANN_GROWTH" hidden="1">"c1930"</definedName>
    <definedName name="IQ_INV_1YR_ANN_GROWTH" hidden="1">"c1925"</definedName>
    <definedName name="IQ_INV_2YR_ANN_CAGR" hidden="1">"c6160"</definedName>
    <definedName name="IQ_INV_2YR_ANN_GROWTH" hidden="1">"c1926"</definedName>
    <definedName name="IQ_INV_3YR_ANN_CAGR" hidden="1">"c6161"</definedName>
    <definedName name="IQ_INV_3YR_ANN_GROWTH" hidden="1">"c1927"</definedName>
    <definedName name="IQ_INV_5YR_ANN_CAGR" hidden="1">"c6162"</definedName>
    <definedName name="IQ_INV_5YR_ANN_GROWTH" hidden="1">"c1928"</definedName>
    <definedName name="IQ_INV_7YR_ANN_CAGR" hidden="1">"c6163"</definedName>
    <definedName name="IQ_INV_7YR_ANN_GROWTH" hidden="1">"c1929"</definedName>
    <definedName name="IQ_INV_BANKING_FEE" hidden="1">"c620"</definedName>
    <definedName name="IQ_INV_METHOD" hidden="1">"c621"</definedName>
    <definedName name="IQ_INVENTORIES" hidden="1">"c6901"</definedName>
    <definedName name="IQ_INVENTORIES_APR" hidden="1">"c7561"</definedName>
    <definedName name="IQ_INVENTORIES_APR_FC" hidden="1">"c8441"</definedName>
    <definedName name="IQ_INVENTORIES_FC" hidden="1">"c7781"</definedName>
    <definedName name="IQ_INVENTORIES_POP" hidden="1">"c7121"</definedName>
    <definedName name="IQ_INVENTORIES_POP_FC" hidden="1">"c8001"</definedName>
    <definedName name="IQ_INVENTORIES_YOY" hidden="1">"c7341"</definedName>
    <definedName name="IQ_INVENTORIES_YOY_FC" hidden="1">"c8221"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GOV_SECURITY" hidden="1">"c5510"</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 hidden="1">"c6227"</definedName>
    <definedName name="IQ_INVEST_LOANS_CF_REIT" hidden="1">"c633"</definedName>
    <definedName name="IQ_INVEST_LOANS_CF_UTI" hidden="1">"c634"</definedName>
    <definedName name="IQ_INVEST_MUNI_SECURITY" hidden="1">"c5512"</definedName>
    <definedName name="IQ_INVEST_REAL_ESTATE" hidden="1">"c635"</definedName>
    <definedName name="IQ_INVEST_SECURITIES_ASSETS_TOT_FFIEC" hidden="1">"c13440"</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 hidden="1">"c6228"</definedName>
    <definedName name="IQ_INVEST_SECURITY_CF_REIT" hidden="1">"c642"</definedName>
    <definedName name="IQ_INVEST_SECURITY_CF_UTI" hidden="1">"c643"</definedName>
    <definedName name="IQ_INVEST_SECURITY_SUPPL" hidden="1">"c5511"</definedName>
    <definedName name="IQ_INVEST_UNCONSOLIDATED_SUBS_FFIEC" hidden="1">"c12834"</definedName>
    <definedName name="IQ_INVESTMENT_BANKING_BROKERAGE_FEES_FFIEC" hidden="1">"c13627"</definedName>
    <definedName name="IQ_INVESTMENT_BANKING_FEES_COMMISSIONS_FFIEC" hidden="1">"c13006"</definedName>
    <definedName name="IQ_INVESTMENT_BANKING_OTHER_FEES_FDIC" hidden="1">"c6666"</definedName>
    <definedName name="IQ_IPRD" hidden="1">"c644"</definedName>
    <definedName name="IQ_IPRD_SUPPLE" hidden="1">"c13813"</definedName>
    <definedName name="IQ_IRA_KEOGH_ACCOUNTS_FDIC" hidden="1">"c6496"</definedName>
    <definedName name="IQ_ISIN" hidden="1">"c12041"</definedName>
    <definedName name="IQ_ISM_INDEX" hidden="1">"c6902"</definedName>
    <definedName name="IQ_ISM_INDEX_APR" hidden="1">"c7562"</definedName>
    <definedName name="IQ_ISM_INDEX_APR_FC" hidden="1">"c8442"</definedName>
    <definedName name="IQ_ISM_INDEX_FC" hidden="1">"c7782"</definedName>
    <definedName name="IQ_ISM_INDEX_POP" hidden="1">"c7122"</definedName>
    <definedName name="IQ_ISM_INDEX_POP_FC" hidden="1">"c8002"</definedName>
    <definedName name="IQ_ISM_INDEX_YOY" hidden="1">"c7342"</definedName>
    <definedName name="IQ_ISM_INDEX_YOY_FC" hidden="1">"c8222"</definedName>
    <definedName name="IQ_ISM_SERVICES_APR_FC_UNUSED" hidden="1">"c8443"</definedName>
    <definedName name="IQ_ISM_SERVICES_APR_UNUSED" hidden="1">"c7563"</definedName>
    <definedName name="IQ_ISM_SERVICES_FC_UNUSED" hidden="1">"c7783"</definedName>
    <definedName name="IQ_ISM_SERVICES_INDEX" hidden="1">"c11862"</definedName>
    <definedName name="IQ_ISM_SERVICES_INDEX_APR" hidden="1">"c11865"</definedName>
    <definedName name="IQ_ISM_SERVICES_INDEX_POP" hidden="1">"c11863"</definedName>
    <definedName name="IQ_ISM_SERVICES_INDEX_YOY" hidden="1">"c11864"</definedName>
    <definedName name="IQ_ISM_SERVICES_POP_FC_UNUSED" hidden="1">"c8003"</definedName>
    <definedName name="IQ_ISM_SERVICES_POP_UNUSED" hidden="1">"c7123"</definedName>
    <definedName name="IQ_ISM_SERVICES_UNUSED" hidden="1">"c6903"</definedName>
    <definedName name="IQ_ISM_SERVICES_YOY_FC_UNUSED" hidden="1">"c8223"</definedName>
    <definedName name="IQ_ISM_SERVICES_YOY_UNUSED" hidden="1">"c7343"</definedName>
    <definedName name="IQ_ISS_DEBT_NET" hidden="1">"c1391"</definedName>
    <definedName name="IQ_ISS_STOCK_NET" hidden="1">"c1601"</definedName>
    <definedName name="IQ_ISSUE_CURRENCY" hidden="1">"c2156"</definedName>
    <definedName name="IQ_ISSUE_NAME" hidden="1">"c2142"</definedName>
    <definedName name="IQ_ISSUED_GUARANTEED_US_FDIC" hidden="1">"c6404"</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KEY_DEV_COMPANY_ID" hidden="1">"c13830"</definedName>
    <definedName name="IQ_KEY_DEV_COMPANY_NAME" hidden="1">"c13829"</definedName>
    <definedName name="IQ_KEY_DEV_DATE" hidden="1">"c13763"</definedName>
    <definedName name="IQ_KEY_DEV_HEADLINE" hidden="1">"c13761"</definedName>
    <definedName name="IQ_KEY_DEV_ID" hidden="1">"c13760"</definedName>
    <definedName name="IQ_KEY_DEV_ID_INCL_SUBS" hidden="1">"c13832"</definedName>
    <definedName name="IQ_KEY_DEV_SITUATION" hidden="1">"c13762"</definedName>
    <definedName name="IQ_KEY_DEV_SOURCE" hidden="1">"c13765"</definedName>
    <definedName name="IQ_KEY_DEV_TIME" hidden="1">"c13833"</definedName>
    <definedName name="IQ_KEY_DEV_TRANSACTION_ID" hidden="1">"c13766"</definedName>
    <definedName name="IQ_KEY_DEV_TYPE" hidden="1">"c13764"</definedName>
    <definedName name="IQ_LAND" hidden="1">"c645"</definedName>
    <definedName name="IQ_LARGE_CAP_LABOR_COST_INDEX" hidden="1">"c6904"</definedName>
    <definedName name="IQ_LARGE_CAP_LABOR_COST_INDEX_APR" hidden="1">"c7564"</definedName>
    <definedName name="IQ_LARGE_CAP_LABOR_COST_INDEX_APR_FC" hidden="1">"c8444"</definedName>
    <definedName name="IQ_LARGE_CAP_LABOR_COST_INDEX_FC" hidden="1">"c7784"</definedName>
    <definedName name="IQ_LARGE_CAP_LABOR_COST_INDEX_POP" hidden="1">"c7124"</definedName>
    <definedName name="IQ_LARGE_CAP_LABOR_COST_INDEX_POP_FC" hidden="1">"c8004"</definedName>
    <definedName name="IQ_LARGE_CAP_LABOR_COST_INDEX_YOY" hidden="1">"c7344"</definedName>
    <definedName name="IQ_LARGE_CAP_LABOR_COST_INDEX_YOY_FC" hidden="1">"c8224"</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_MONTHLY_FACTOR" hidden="1">"c8971"</definedName>
    <definedName name="IQ_LATEST_MONTHLY_FACTOR_DATE" hidden="1">"c8972"</definedName>
    <definedName name="IQ_LATESTK" hidden="1">1000</definedName>
    <definedName name="IQ_LATESTQ" hidden="1">500</definedName>
    <definedName name="IQ_LEAD_UNDERWRITER" hidden="1">"c8957"</definedName>
    <definedName name="IQ_LEASE_FIN_RECEIVABLES_NON_US_CHARGE_OFFS_FFIEC" hidden="1">"c13631"</definedName>
    <definedName name="IQ_LEASE_FIN_RECEIVABLES_NON_US_RECOV_FFIEC" hidden="1">"c13635"</definedName>
    <definedName name="IQ_LEASE_FIN_RECEIVABLES_US_CHARGE_OFFS_FFIEC" hidden="1">"c13630"</definedName>
    <definedName name="IQ_LEASE_FIN_RECEIVABLES_US_RECOV_FFIEC" hidden="1">"c13634"</definedName>
    <definedName name="IQ_LEASE_FINANCE" hidden="1">"c5654"</definedName>
    <definedName name="IQ_LEASE_FINANCING_REC_DUE_30_89_FFIEC" hidden="1">"c13276"</definedName>
    <definedName name="IQ_LEASE_FINANCING_REC_DUE_90_FFIEC" hidden="1">"c13302"</definedName>
    <definedName name="IQ_LEASE_FINANCING_REC_NON_ACCRUAL_FFIEC" hidden="1">"c13328"</definedName>
    <definedName name="IQ_LEASE_FINANCING_RECEIVABLES_CHARGE_OFFS_FDIC" hidden="1">"c6602"</definedName>
    <definedName name="IQ_LEASE_FINANCING_RECEIVABLES_DOM_FFIEC" hidden="1">"c12915"</definedName>
    <definedName name="IQ_LEASE_FINANCING_RECEIVABLES_FDIC" hidden="1">"c6433"</definedName>
    <definedName name="IQ_LEASE_FINANCING_RECEIVABLES_NET_CHARGE_OFFS_FDIC" hidden="1">"c6640"</definedName>
    <definedName name="IQ_LEASE_FINANCING_RECEIVABLES_RECOVERIES_FDIC" hidden="1">"c6621"</definedName>
    <definedName name="IQ_LEASE_FINANCING_RECEIVABLES_TOTAL_LOANS_FOREIGN_FDIC" hidden="1">"c6449"</definedName>
    <definedName name="IQ_LEASE_RECEIVABLES_FOREIGN_FFIEC" hidden="1">"c13483"</definedName>
    <definedName name="IQ_LEASES_INDIVIDUALS_CHARGE_OFFS_FFIEC" hidden="1">"c13184"</definedName>
    <definedName name="IQ_LEASES_INDIVIDUALS_RECOV_FFIEC" hidden="1">"c13206"</definedName>
    <definedName name="IQ_LEASES_PERSONAL_EXP_DUE_30_89_FFIEC" hidden="1">"c13277"</definedName>
    <definedName name="IQ_LEASES_PERSONAL_EXP_DUE_90_FFIEC" hidden="1">"c13303"</definedName>
    <definedName name="IQ_LEASES_PERSONAL_EXP_NON_ACCRUAL_FFIEC" hidden="1">"c13329"</definedName>
    <definedName name="IQ_LEGAL_FEES_FFIEC" hidden="1">"c13052"</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 hidden="1">"c6229"</definedName>
    <definedName name="IQ_LEGAL_SETTLE_REIT" hidden="1">"c652"</definedName>
    <definedName name="IQ_LEGAL_SETTLE_SUPPLE" hidden="1">"c13815"</definedName>
    <definedName name="IQ_LEGAL_SETTLE_UTI" hidden="1">"c653"</definedName>
    <definedName name="IQ_LEVERAGE_RATIO" hidden="1">"c654"</definedName>
    <definedName name="IQ_LEVERED_FCF" hidden="1">"c1907"</definedName>
    <definedName name="IQ_LFCF_10YR_ANN_CAGR" hidden="1">"c6174"</definedName>
    <definedName name="IQ_LFCF_10YR_ANN_GROWTH" hidden="1">"c1942"</definedName>
    <definedName name="IQ_LFCF_1YR_ANN_GROWTH" hidden="1">"c1937"</definedName>
    <definedName name="IQ_LFCF_2YR_ANN_CAGR" hidden="1">"c6170"</definedName>
    <definedName name="IQ_LFCF_2YR_ANN_GROWTH" hidden="1">"c1938"</definedName>
    <definedName name="IQ_LFCF_3YR_ANN_CAGR" hidden="1">"c6171"</definedName>
    <definedName name="IQ_LFCF_3YR_ANN_GROWTH" hidden="1">"c1939"</definedName>
    <definedName name="IQ_LFCF_5YR_ANN_CAGR" hidden="1">"c6172"</definedName>
    <definedName name="IQ_LFCF_5YR_ANN_GROWTH" hidden="1">"c1940"</definedName>
    <definedName name="IQ_LFCF_7YR_ANN_CAGR" hidden="1">"c6173"</definedName>
    <definedName name="IQ_LFCF_7YR_ANN_GROWTH" hidden="1">"c1941"</definedName>
    <definedName name="IQ_LFCF_MARGIN" hidden="1">"c1961"</definedName>
    <definedName name="IQ_LH_STATUTORY_SURPLUS" hidden="1">"c2771"</definedName>
    <definedName name="IQ_LIAB_AP" hidden="1">"c8886"</definedName>
    <definedName name="IQ_LIAB_AP_ABS" hidden="1">"c8905"</definedName>
    <definedName name="IQ_LIAB_NAME_AP" hidden="1">"c8924"</definedName>
    <definedName name="IQ_LIAB_NAME_AP_ABS" hidden="1">"c8943"</definedName>
    <definedName name="IQ_LIABILITIES_FAIR_VALUE" hidden="1">"c13848"</definedName>
    <definedName name="IQ_LIABILITIES_LEVEL_1" hidden="1">"c13844"</definedName>
    <definedName name="IQ_LIABILITIES_LEVEL_2" hidden="1">"c13845"</definedName>
    <definedName name="IQ_LIABILITIES_LEVEL_3" hidden="1">"c13846"</definedName>
    <definedName name="IQ_LIABILITIES_NETTING_OTHER_ADJUSTMENTS" hidden="1">"c13847"</definedName>
    <definedName name="IQ_LIABILITY_ACCEPTANCES_OUT_FFIEC" hidden="1">"c12866"</definedName>
    <definedName name="IQ_LIABILITY_SHORT_POSITIONS_DOM_FFIEC" hidden="1">"c12941"</definedName>
    <definedName name="IQ_LICENSED_POPS" hidden="1">"c2123"</definedName>
    <definedName name="IQ_LIFE_EARNED" hidden="1">"c2739"</definedName>
    <definedName name="IQ_LIFE_INSURANCE_ASSETS_FDIC" hidden="1">"c6372"</definedName>
    <definedName name="IQ_LIFE_INSURANCE_ASSETS_FFIEC" hidden="1">"c12847"</definedName>
    <definedName name="IQ_LIFOR" hidden="1">"c655"</definedName>
    <definedName name="IQ_LIQUID_ASSETS_ASSETS_TOT_FFIEC" hidden="1">"c13439"</definedName>
    <definedName name="IQ_LIQUID_ASSETS_NONCORE_FUNDING_FFIEC" hidden="1">"c13339"</definedName>
    <definedName name="IQ_LIQUIDATION_VALUE_PREFERRED_CONVERT" hidden="1">"c13835"</definedName>
    <definedName name="IQ_LIQUIDATION_VALUE_PREFERRED_NON_REDEEM" hidden="1">"c13836"</definedName>
    <definedName name="IQ_LIQUIDATION_VALUE_PREFERRED_REDEEM" hidden="1">"c13837"</definedName>
    <definedName name="IQ_LL" hidden="1">"c656"</definedName>
    <definedName name="IQ_LOAN_ALLOW_GROSS_LOANS_FFIEC" hidden="1">"c13415"</definedName>
    <definedName name="IQ_LOAN_ALLOWANCE_GROSS_LOSSES_FFIEC" hidden="1">"c13352"</definedName>
    <definedName name="IQ_LOAN_ALLOWANCE_NET_LOANS_FFIEC" hidden="1">"c13472"</definedName>
    <definedName name="IQ_LOAN_ALLOWANCE_NONACCRUAL_ASSETS_FFIEC" hidden="1">"c13473"</definedName>
    <definedName name="IQ_LOAN_ALLOWANCE_PAST_DUE_NONACCRUAL_FFIEC" hidden="1">"c13474"</definedName>
    <definedName name="IQ_LOAN_COMMITMENTS_FAIR_VALUE_TOT_FFIEC" hidden="1">"c13216"</definedName>
    <definedName name="IQ_LOAN_COMMITMENTS_LEVEL_1_FFIEC" hidden="1">"c13224"</definedName>
    <definedName name="IQ_LOAN_COMMITMENTS_LEVEL_2_FFIEC" hidden="1">"c13232"</definedName>
    <definedName name="IQ_LOAN_COMMITMENTS_LEVEL_3_FFIEC" hidden="1">"c13240"</definedName>
    <definedName name="IQ_LOAN_COMMITMENTS_REVOLVING_FDIC" hidden="1">"c6524"</definedName>
    <definedName name="IQ_LOAN_LEASE_RECEIV" hidden="1">"c657"</definedName>
    <definedName name="IQ_LOAN_LOSS" hidden="1">"c1386"</definedName>
    <definedName name="IQ_LOAN_LOSS_ALLOW_FDIC" hidden="1">"c6326"</definedName>
    <definedName name="IQ_LOAN_LOSS_ALLOWANCE_NON_PERF_ASSETS_FFIEC" hidden="1">"c13912"</definedName>
    <definedName name="IQ_LOAN_LOSS_ALLOWANCE_NONCURRENT_LOANS_FDIC" hidden="1">"c6740"</definedName>
    <definedName name="IQ_LOAN_LOSSES_AVERAGE_LOANS_FFIEC" hidden="1">"c13350"</definedName>
    <definedName name="IQ_LOAN_LOSSES_FDIC" hidden="1">"c6580"</definedName>
    <definedName name="IQ_LOAN_SERVICE_REV" hidden="1">"c658"</definedName>
    <definedName name="IQ_LOANS_AGRICULTURAL_PROD_LL_REC_FFIEC" hidden="1">"c12886"</definedName>
    <definedName name="IQ_LOANS_AND_LEASES_HELD_FDIC" hidden="1">"c6367"</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 hidden="1">"c6230"</definedName>
    <definedName name="IQ_LOANS_CF_REIT" hidden="1">"c664"</definedName>
    <definedName name="IQ_LOANS_CF_UTI" hidden="1">"c665"</definedName>
    <definedName name="IQ_LOANS_DEPOSITORY_INST_US_LL_REC_FFIEC" hidden="1">"c12884"</definedName>
    <definedName name="IQ_LOANS_DEPOSITORY_INSTITUTIONS_FDIC" hidden="1">"c6382"</definedName>
    <definedName name="IQ_LOANS_DOM_QUARTERLY_AVG_FFIEC" hidden="1">"c13084"</definedName>
    <definedName name="IQ_LOANS_FARMERS_CHARGE_OFFS_FFIEC" hidden="1">"c13177"</definedName>
    <definedName name="IQ_LOANS_FARMERS_RECOV_FFIEC" hidden="1">"c13199"</definedName>
    <definedName name="IQ_LOANS_FINANCE_AGRICULTURAL_DUE_30_89_FFIEC" hidden="1">"c13270"</definedName>
    <definedName name="IQ_LOANS_FINANCE_AGRICULTURAL_DUE_90_FFIEC" hidden="1">"c13296"</definedName>
    <definedName name="IQ_LOANS_FINANCE_AGRICULTURAL_NON_ACCRUAL_FFIEC" hidden="1">"c13322"</definedName>
    <definedName name="IQ_LOANS_FINANCE_AGRICULTURAL_PROD_LL_REC_DOM_FFIEC" hidden="1">"c12909"</definedName>
    <definedName name="IQ_LOANS_FOR_SALE" hidden="1">"c666"</definedName>
    <definedName name="IQ_LOANS_FOREIGN_GOV_CHARGE_OFFS_FFIEC" hidden="1">"c13182"</definedName>
    <definedName name="IQ_LOANS_FOREIGN_GOV_DUE_30_89_FFIEC" hidden="1">"c13274"</definedName>
    <definedName name="IQ_LOANS_FOREIGN_GOV_DUE_90_FFIEC" hidden="1">"c13300"</definedName>
    <definedName name="IQ_LOANS_FOREIGN_GOV_LL_REC_DOM_FFIEC" hidden="1">"c12912"</definedName>
    <definedName name="IQ_LOANS_FOREIGN_GOV_NON_ACCRUAL_FFIEC" hidden="1">"c13326"</definedName>
    <definedName name="IQ_LOANS_FOREIGN_GOV_RECOV_FFIEC" hidden="1">"c13204"</definedName>
    <definedName name="IQ_LOANS_FOREIGN_INST_CHARGE_OFFS_FFIEC" hidden="1">"c13176"</definedName>
    <definedName name="IQ_LOANS_FOREIGN_INST_RECOV_FFIEC" hidden="1">"c13198"</definedName>
    <definedName name="IQ_LOANS_FOREIGN_LL_REC_FFIEC" hidden="1">"c12885"</definedName>
    <definedName name="IQ_LOANS_GOV_GUARANTEED_DUE_30_89_FFIEC" hidden="1">"c13281"</definedName>
    <definedName name="IQ_LOANS_GOV_GUARANTEED_DUE_90_FFIEC" hidden="1">"c13307"</definedName>
    <definedName name="IQ_LOANS_GOV_GUARANTEED_EXCL_GNMA_DUE_30_89_FFIEC" hidden="1">"c13282"</definedName>
    <definedName name="IQ_LOANS_GOV_GUARANTEED_EXCL_GNMA_DUE_90_FFIEC" hidden="1">"c13308"</definedName>
    <definedName name="IQ_LOANS_GOV_GUARANTEED_EXCL_GNMA_NON_ACCRUAL_FFIEC" hidden="1">"c13333"</definedName>
    <definedName name="IQ_LOANS_GOV_GUARANTEED_NON_ACCRUAL_FFIEC" hidden="1">"c13332"</definedName>
    <definedName name="IQ_LOANS_HELD_FOREIGN_FDIC" hidden="1">"c6315"</definedName>
    <definedName name="IQ_LOANS_INDIVIDUALS_FOREIGN_FFIEC" hidden="1">"c13480"</definedName>
    <definedName name="IQ_LOANS_LEASES_ASSETS_TOT_FFIEC" hidden="1">"c13437"</definedName>
    <definedName name="IQ_LOANS_LEASES_FAIR_VALUE_TOT_FFIEC" hidden="1">"c13209"</definedName>
    <definedName name="IQ_LOANS_LEASES_FOREIGN_FDIC" hidden="1">"c6383"</definedName>
    <definedName name="IQ_LOANS_LEASES_GROSS_FDIC" hidden="1">"c6323"</definedName>
    <definedName name="IQ_LOANS_LEASES_GROSS_FOREIGN_FDIC" hidden="1">"c6384"</definedName>
    <definedName name="IQ_LOANS_LEASES_HELD_SALE_FFIEC" hidden="1">"c12808"</definedName>
    <definedName name="IQ_LOANS_LEASES_LEVEL_1_FFIEC" hidden="1">"c13217"</definedName>
    <definedName name="IQ_LOANS_LEASES_LEVEL_2_FFIEC" hidden="1">"c13225"</definedName>
    <definedName name="IQ_LOANS_LEASES_LEVEL_3_FFIEC" hidden="1">"c13233"</definedName>
    <definedName name="IQ_LOANS_LEASES_NET_FDIC" hidden="1">"c6327"</definedName>
    <definedName name="IQ_LOANS_LEASES_NET_UNEARNED_FDIC" hidden="1">"c6325"</definedName>
    <definedName name="IQ_LOANS_LEASES_NET_UNEARNED_INC_ALLOWANCE_FFIEC" hidden="1">"c12811"</definedName>
    <definedName name="IQ_LOANS_LEASES_NET_UNEARNED_INCOME_FFIEC" hidden="1">"c12809"</definedName>
    <definedName name="IQ_LOANS_LEASES_QUARTERLY_AVG_FFIEC" hidden="1">"c13081"</definedName>
    <definedName name="IQ_LOANS_LOC_ASSETS_TOT_FFIEC" hidden="1">"c13441"</definedName>
    <definedName name="IQ_LOANS_NOT_SECURED_RE_FDIC" hidden="1">"c6381"</definedName>
    <definedName name="IQ_LOANS_PAST_DUE" hidden="1">"c667"</definedName>
    <definedName name="IQ_LOANS_PURCHASING_CARRYING_SECURITIES_LL_REC_DOM_FFIEC" hidden="1">"c12913"</definedName>
    <definedName name="IQ_LOANS_RECEIV_CURRENT" hidden="1">"c668"</definedName>
    <definedName name="IQ_LOANS_RECEIV_LT" hidden="1">"c669"</definedName>
    <definedName name="IQ_LOANS_RECEIV_LT_UTI" hidden="1">"c670"</definedName>
    <definedName name="IQ_LOANS_SEC_RE_FOREIGN_CHARGE_OFFS_FFIEC" hidden="1">"c13174"</definedName>
    <definedName name="IQ_LOANS_SEC_RE_FOREIGN_RECOV_FFIEC" hidden="1">"c13196"</definedName>
    <definedName name="IQ_LOANS_SECURED_1_4_DOM_QUARTERLY_AVG_FFIEC" hidden="1">"c13082"</definedName>
    <definedName name="IQ_LOANS_SECURED_BY_RE_CHARGE_OFFS_FDIC" hidden="1">"c6588"</definedName>
    <definedName name="IQ_LOANS_SECURED_BY_RE_RECOVERIES_FDIC" hidden="1">"c6607"</definedName>
    <definedName name="IQ_LOANS_SECURED_CONSTRUCTION_TRADING_DOM_FFIEC" hidden="1">"c12925"</definedName>
    <definedName name="IQ_LOANS_SECURED_FARMLAND_TRADING_DOM_FFIEC" hidden="1">"c12926"</definedName>
    <definedName name="IQ_LOANS_SECURED_NON_US_FDIC" hidden="1">"c6380"</definedName>
    <definedName name="IQ_LOANS_SECURED_RE_DOM_QUARTERLY_AVG_FFIEC" hidden="1">"c13083"</definedName>
    <definedName name="IQ_LOANS_SECURED_RE_FFIEC" hidden="1">"c12820"</definedName>
    <definedName name="IQ_LOANS_SECURED_RE_LL_REC_FFIEC" hidden="1">"c12883"</definedName>
    <definedName name="IQ_LOANS_SECURED_RE_NET_CHARGE_OFFS_FDIC" hidden="1">"c6626"</definedName>
    <definedName name="IQ_LOANS_TO_DEPOSITORY_INSTITUTIONS_FOREIGN_FDIC" hidden="1">"c6453"</definedName>
    <definedName name="IQ_LOANS_TO_FOREIGN_GOVERNMENTS_FDIC" hidden="1">"c6448"</definedName>
    <definedName name="IQ_LOANS_TO_INDIVIDUALS_FOREIGN_FDIC" hidden="1">"c6452"</definedName>
    <definedName name="IQ_LOANS_US_INST_CHARGE_OFFS_FFIEC" hidden="1">"c13175"</definedName>
    <definedName name="IQ_LOANS_US_INST_RECOV_FFIEC" hidden="1">"c13197"</definedName>
    <definedName name="IQ_LONG_TERM_ASSETS_FDIC" hidden="1">"c6361"</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ALLOWANCE_LOANS_FDIC" hidden="1">"c6739"</definedName>
    <definedName name="IQ_LOSS_AVAIL_SALE_EQUITY_SEC_T1_FFIEC" hidden="1">"c13132"</definedName>
    <definedName name="IQ_LOSS_LOSS_EXP" hidden="1">"c672"</definedName>
    <definedName name="IQ_LOSS_TO_NET_EARNED" hidden="1">"c2751"</definedName>
    <definedName name="IQ_LOW_TARGET_PRICE" hidden="1">"c1652"</definedName>
    <definedName name="IQ_LOW_TARGET_PRICE_CIQ" hidden="1">"c4660"</definedName>
    <definedName name="IQ_LOWPRICE" hidden="1">"c673"</definedName>
    <definedName name="IQ_LT_ASSETS_AP" hidden="1">"c8882"</definedName>
    <definedName name="IQ_LT_ASSETS_AP_ABS" hidden="1">"c8901"</definedName>
    <definedName name="IQ_LT_ASSETS_NAME_AP" hidden="1">"c8920"</definedName>
    <definedName name="IQ_LT_ASSETS_NAME_AP_ABS" hidden="1">"c8939"</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 hidden="1">"c6231"</definedName>
    <definedName name="IQ_LT_DEBT_ISSUED_REIT" hidden="1">"c686"</definedName>
    <definedName name="IQ_LT_DEBT_ISSUED_UTI" hidden="1">"c687"</definedName>
    <definedName name="IQ_LT_DEBT_MATURING_1YR_INT_SENSITIVITY_FFIEC" hidden="1">"c13097"</definedName>
    <definedName name="IQ_LT_DEBT_RE" hidden="1">"c6232"</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 hidden="1">"c6233"</definedName>
    <definedName name="IQ_LT_DEBT_REPAID_REIT" hidden="1">"c694"</definedName>
    <definedName name="IQ_LT_DEBT_REPAID_UTI" hidden="1">"c695"</definedName>
    <definedName name="IQ_LT_DEBT_REPRICE_ASSETS_TOT_FFIEC" hidden="1">"c13453"</definedName>
    <definedName name="IQ_LT_DEBT_REPRICING_WITHIN_1_YR_INT_SENSITIVITY_FFIEC" hidden="1">"c13095"</definedName>
    <definedName name="IQ_LT_DEBT_UTI" hidden="1">"c696"</definedName>
    <definedName name="IQ_LT_INVEST" hidden="1">"c697"</definedName>
    <definedName name="IQ_LT_INVEST_BR" hidden="1">"c698"</definedName>
    <definedName name="IQ_LT_INVEST_FIN" hidden="1">"c699"</definedName>
    <definedName name="IQ_LT_INVEST_RE" hidden="1">"c6234"</definedName>
    <definedName name="IQ_LT_INVEST_REIT" hidden="1">"c700"</definedName>
    <definedName name="IQ_LT_INVEST_UTI" hidden="1">"c701"</definedName>
    <definedName name="IQ_LT_LIAB_AP" hidden="1">"c8885"</definedName>
    <definedName name="IQ_LT_LIAB_AP_ABS" hidden="1">"c8904"</definedName>
    <definedName name="IQ_LT_LIAB_NAME_AP" hidden="1">"c8923"</definedName>
    <definedName name="IQ_LT_LIAB_NAME_AP_ABS" hidden="1">"c8942"</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2000</definedName>
    <definedName name="IQ_LTM_REVENUE_OVER_EMPLOYEES" hidden="1">"c1437"</definedName>
    <definedName name="IQ_LTMMONTH" hidden="1">120000</definedName>
    <definedName name="IQ_M1" hidden="1">"c6906"</definedName>
    <definedName name="IQ_M1_APR" hidden="1">"c7566"</definedName>
    <definedName name="IQ_M1_APR_FC" hidden="1">"c8446"</definedName>
    <definedName name="IQ_M1_FC" hidden="1">"c7786"</definedName>
    <definedName name="IQ_M1_POP" hidden="1">"c7126"</definedName>
    <definedName name="IQ_M1_POP_FC" hidden="1">"c8006"</definedName>
    <definedName name="IQ_M1_YOY" hidden="1">"c7346"</definedName>
    <definedName name="IQ_M1_YOY_FC" hidden="1">"c8226"</definedName>
    <definedName name="IQ_M2" hidden="1">"c6907"</definedName>
    <definedName name="IQ_M2_APR" hidden="1">"c7567"</definedName>
    <definedName name="IQ_M2_APR_FC" hidden="1">"c8447"</definedName>
    <definedName name="IQ_M2_FC" hidden="1">"c7787"</definedName>
    <definedName name="IQ_M2_POP" hidden="1">"c7127"</definedName>
    <definedName name="IQ_M2_POP_FC" hidden="1">"c8007"</definedName>
    <definedName name="IQ_M2_YOY" hidden="1">"c7347"</definedName>
    <definedName name="IQ_M2_YOY_FC" hidden="1">"c8227"</definedName>
    <definedName name="IQ_M3" hidden="1">"c6908"</definedName>
    <definedName name="IQ_M3_APR" hidden="1">"c7568"</definedName>
    <definedName name="IQ_M3_APR_FC" hidden="1">"c8448"</definedName>
    <definedName name="IQ_M3_FC" hidden="1">"c7788"</definedName>
    <definedName name="IQ_M3_POP" hidden="1">"c7128"</definedName>
    <definedName name="IQ_M3_POP_FC" hidden="1">"c8008"</definedName>
    <definedName name="IQ_M3_YOY" hidden="1">"c7348"</definedName>
    <definedName name="IQ_M3_YOY_FC" hidden="1">"c8228"</definedName>
    <definedName name="IQ_MACHINERY" hidden="1">"c711"</definedName>
    <definedName name="IQ_MAINT_CAPEX" hidden="1">"c2947"</definedName>
    <definedName name="IQ_MAINT_CAPEX_ACT_OR_EST_CIQ" hidden="1">"c4987"</definedName>
    <definedName name="IQ_MAINT_REPAIR" hidden="1">"c2087"</definedName>
    <definedName name="IQ_MAKE_WHOLE_END_DATE" hidden="1">"c2493"</definedName>
    <definedName name="IQ_MAKE_WHOLE_SPREAD" hidden="1">"c2494"</definedName>
    <definedName name="IQ_MAKE_WHOLE_START_DATE" hidden="1">"c2492"</definedName>
    <definedName name="IQ_MAN_INVENTORIES" hidden="1">"c6913"</definedName>
    <definedName name="IQ_MAN_INVENTORIES_APR" hidden="1">"c7573"</definedName>
    <definedName name="IQ_MAN_INVENTORIES_APR_FC" hidden="1">"c8453"</definedName>
    <definedName name="IQ_MAN_INVENTORIES_FC" hidden="1">"c7793"</definedName>
    <definedName name="IQ_MAN_INVENTORIES_POP" hidden="1">"c7133"</definedName>
    <definedName name="IQ_MAN_INVENTORIES_POP_FC" hidden="1">"c8013"</definedName>
    <definedName name="IQ_MAN_INVENTORIES_YOY" hidden="1">"c7353"</definedName>
    <definedName name="IQ_MAN_INVENTORIES_YOY_FC" hidden="1">"c8233"</definedName>
    <definedName name="IQ_MAN_IS_RATIO" hidden="1">"c6912"</definedName>
    <definedName name="IQ_MAN_IS_RATIO_APR" hidden="1">"c7572"</definedName>
    <definedName name="IQ_MAN_IS_RATIO_APR_FC" hidden="1">"c8452"</definedName>
    <definedName name="IQ_MAN_IS_RATIO_FC" hidden="1">"c7792"</definedName>
    <definedName name="IQ_MAN_IS_RATIO_POP" hidden="1">"c7132"</definedName>
    <definedName name="IQ_MAN_IS_RATIO_POP_FC" hidden="1">"c8012"</definedName>
    <definedName name="IQ_MAN_IS_RATIO_YOY" hidden="1">"c7352"</definedName>
    <definedName name="IQ_MAN_IS_RATIO_YOY_FC" hidden="1">"c8232"</definedName>
    <definedName name="IQ_MAN_ORDERS" hidden="1">"c6914"</definedName>
    <definedName name="IQ_MAN_ORDERS_APR" hidden="1">"c7574"</definedName>
    <definedName name="IQ_MAN_ORDERS_APR_FC" hidden="1">"c8454"</definedName>
    <definedName name="IQ_MAN_ORDERS_FC" hidden="1">"c7794"</definedName>
    <definedName name="IQ_MAN_ORDERS_POP" hidden="1">"c7134"</definedName>
    <definedName name="IQ_MAN_ORDERS_POP_FC" hidden="1">"c8014"</definedName>
    <definedName name="IQ_MAN_ORDERS_YOY" hidden="1">"c7354"</definedName>
    <definedName name="IQ_MAN_ORDERS_YOY_FC" hidden="1">"c8234"</definedName>
    <definedName name="IQ_MAN_OUTPUT_HR" hidden="1">"c6915"</definedName>
    <definedName name="IQ_MAN_OUTPUT_HR_APR" hidden="1">"c7575"</definedName>
    <definedName name="IQ_MAN_OUTPUT_HR_APR_FC" hidden="1">"c8455"</definedName>
    <definedName name="IQ_MAN_OUTPUT_HR_FC" hidden="1">"c7795"</definedName>
    <definedName name="IQ_MAN_OUTPUT_HR_POP" hidden="1">"c7135"</definedName>
    <definedName name="IQ_MAN_OUTPUT_HR_POP_FC" hidden="1">"c8015"</definedName>
    <definedName name="IQ_MAN_OUTPUT_HR_YOY" hidden="1">"c7355"</definedName>
    <definedName name="IQ_MAN_OUTPUT_HR_YOY_FC" hidden="1">"c8235"</definedName>
    <definedName name="IQ_MAN_PAYROLLS" hidden="1">"c6916"</definedName>
    <definedName name="IQ_MAN_PAYROLLS_APR" hidden="1">"c7576"</definedName>
    <definedName name="IQ_MAN_PAYROLLS_APR_FC" hidden="1">"c8456"</definedName>
    <definedName name="IQ_MAN_PAYROLLS_FC" hidden="1">"c7796"</definedName>
    <definedName name="IQ_MAN_PAYROLLS_POP" hidden="1">"c7136"</definedName>
    <definedName name="IQ_MAN_PAYROLLS_POP_FC" hidden="1">"c8016"</definedName>
    <definedName name="IQ_MAN_PAYROLLS_YOY" hidden="1">"c7356"</definedName>
    <definedName name="IQ_MAN_PAYROLLS_YOY_FC" hidden="1">"c8236"</definedName>
    <definedName name="IQ_MAN_SHIPMENTS" hidden="1">"c6917"</definedName>
    <definedName name="IQ_MAN_SHIPMENTS_APR" hidden="1">"c7577"</definedName>
    <definedName name="IQ_MAN_SHIPMENTS_APR_FC" hidden="1">"c8457"</definedName>
    <definedName name="IQ_MAN_SHIPMENTS_FC" hidden="1">"c7797"</definedName>
    <definedName name="IQ_MAN_SHIPMENTS_POP" hidden="1">"c7137"</definedName>
    <definedName name="IQ_MAN_SHIPMENTS_POP_FC" hidden="1">"c8017"</definedName>
    <definedName name="IQ_MAN_SHIPMENTS_YOY" hidden="1">"c7357"</definedName>
    <definedName name="IQ_MAN_SHIPMENTS_YOY_FC" hidden="1">"c8237"</definedName>
    <definedName name="IQ_MAN_TOTAL_HR" hidden="1">"c6918"</definedName>
    <definedName name="IQ_MAN_TOTAL_HR_APR" hidden="1">"c7578"</definedName>
    <definedName name="IQ_MAN_TOTAL_HR_APR_FC" hidden="1">"c8458"</definedName>
    <definedName name="IQ_MAN_TOTAL_HR_FC" hidden="1">"c7798"</definedName>
    <definedName name="IQ_MAN_TOTAL_HR_POP" hidden="1">"c7138"</definedName>
    <definedName name="IQ_MAN_TOTAL_HR_POP_FC" hidden="1">"c8018"</definedName>
    <definedName name="IQ_MAN_TOTAL_HR_YOY" hidden="1">"c7358"</definedName>
    <definedName name="IQ_MAN_TOTAL_HR_YOY_FC" hidden="1">"c8238"</definedName>
    <definedName name="IQ_MAN_TRADE_INVENTORIES" hidden="1">"c6910"</definedName>
    <definedName name="IQ_MAN_TRADE_INVENTORIES_APR" hidden="1">"c7570"</definedName>
    <definedName name="IQ_MAN_TRADE_INVENTORIES_APR_FC" hidden="1">"c8450"</definedName>
    <definedName name="IQ_MAN_TRADE_INVENTORIES_FC" hidden="1">"c7790"</definedName>
    <definedName name="IQ_MAN_TRADE_INVENTORIES_POP" hidden="1">"c7130"</definedName>
    <definedName name="IQ_MAN_TRADE_INVENTORIES_POP_FC" hidden="1">"c8010"</definedName>
    <definedName name="IQ_MAN_TRADE_INVENTORIES_YOY" hidden="1">"c7350"</definedName>
    <definedName name="IQ_MAN_TRADE_INVENTORIES_YOY_FC" hidden="1">"c8230"</definedName>
    <definedName name="IQ_MAN_TRADE_IS_RATIO" hidden="1">"c6909"</definedName>
    <definedName name="IQ_MAN_TRADE_IS_RATIO_FC" hidden="1">"c7789"</definedName>
    <definedName name="IQ_MAN_TRADE_IS_RATIO_POP" hidden="1">"c7129"</definedName>
    <definedName name="IQ_MAN_TRADE_IS_RATIO_POP_FC" hidden="1">"c8009"</definedName>
    <definedName name="IQ_MAN_TRADE_IS_RATIO_YOY" hidden="1">"c7349"</definedName>
    <definedName name="IQ_MAN_TRADE_IS_RATIO_YOY_FC" hidden="1">"c8229"</definedName>
    <definedName name="IQ_MAN_TRADE_SALES" hidden="1">"c6911"</definedName>
    <definedName name="IQ_MAN_TRADE_SALES_APR" hidden="1">"c7571"</definedName>
    <definedName name="IQ_MAN_TRADE_SALES_APR_FC" hidden="1">"c8451"</definedName>
    <definedName name="IQ_MAN_TRADE_SALES_FC" hidden="1">"c7791"</definedName>
    <definedName name="IQ_MAN_TRADE_SALES_POP" hidden="1">"c7131"</definedName>
    <definedName name="IQ_MAN_TRADE_SALES_POP_FC" hidden="1">"c8011"</definedName>
    <definedName name="IQ_MAN_TRADE_SALES_YOY" hidden="1">"c7351"</definedName>
    <definedName name="IQ_MAN_TRADE_SALES_YOY_FC" hidden="1">"c8231"</definedName>
    <definedName name="IQ_MAN_WAGES" hidden="1">"c6919"</definedName>
    <definedName name="IQ_MAN_WAGES_APR" hidden="1">"c7579"</definedName>
    <definedName name="IQ_MAN_WAGES_APR_FC" hidden="1">"c8459"</definedName>
    <definedName name="IQ_MAN_WAGES_FC" hidden="1">"c7799"</definedName>
    <definedName name="IQ_MAN_WAGES_POP" hidden="1">"c7139"</definedName>
    <definedName name="IQ_MAN_WAGES_POP_FC" hidden="1">"c8019"</definedName>
    <definedName name="IQ_MAN_WAGES_YOY" hidden="1">"c7359"</definedName>
    <definedName name="IQ_MAN_WAGES_YOY_FC" hidden="1">"c8239"</definedName>
    <definedName name="IQ_MANAGED_PROP" hidden="1">"c8763"</definedName>
    <definedName name="IQ_MANAGED_SQ_FT" hidden="1">"c8779"</definedName>
    <definedName name="IQ_MANAGED_UNITS" hidden="1">"c8771"</definedName>
    <definedName name="IQ_MARGIN_ANNUAL_PREMIUM_EQUIVALENT_NEW_BUSINESS" hidden="1">"c9970"</definedName>
    <definedName name="IQ_MARGIN_PV_PREMIUMS_NEW_BUSINESS" hidden="1">"c9971"</definedName>
    <definedName name="IQ_MARKET_CAP_LFCF" hidden="1">"c2209"</definedName>
    <definedName name="IQ_MARKETCAP" hidden="1">"c712"</definedName>
    <definedName name="IQ_MARKETING" hidden="1">"c2239"</definedName>
    <definedName name="IQ_MATURITY_DATE" hidden="1">"c2146"</definedName>
    <definedName name="IQ_MATURITY_ONE_YEAR_LESS_FDIC" hidden="1">"c6425"</definedName>
    <definedName name="IQ_MBS_INVEST_SECURITIES_FFIEC" hidden="1">"c13460"</definedName>
    <definedName name="IQ_MBS_OTHER_ISSUED_FNMA_OTHERS_AVAIL_SALE_FFIEC" hidden="1">"c12799"</definedName>
    <definedName name="IQ_MBS_OTHER_ISSUED_FNMA_OTHERS_FFIEC" hidden="1">"c12785"</definedName>
    <definedName name="IQ_MBS_PASS_THROUGH_FNMA_AVAIL_SALE_FFIEC" hidden="1">"c12797"</definedName>
    <definedName name="IQ_MBS_PASS_THROUGH_FNMA_FFIEC" hidden="1">"c12783"</definedName>
    <definedName name="IQ_MBS_PASS_THROUGH_GNMA_AVAIL_SALE_FFIEC" hidden="1">"c12796"</definedName>
    <definedName name="IQ_MBS_PASS_THROUGH_GNMA_FFIEC" hidden="1">"c12782"</definedName>
    <definedName name="IQ_MBS_PASS_THROUGH_ISSUED_FNMA_GNMA_TRADING_DOM_FFIEC" hidden="1">"c12921"</definedName>
    <definedName name="IQ_MBS_PASS_THROUGH_OTHER_AVAIL_SALE_FFIEC" hidden="1">"c12798"</definedName>
    <definedName name="IQ_MBS_PASS_THROUGH_OTHER_FFIEC" hidden="1">"c12784"</definedName>
    <definedName name="IQ_MC_ASO_COVERED_LIVES" hidden="1">"c9918"</definedName>
    <definedName name="IQ_MC_ASO_MEMBERSHIP" hidden="1">"c9921"</definedName>
    <definedName name="IQ_MC_CLAIMS_RESERVES" hidden="1">"c9941"</definedName>
    <definedName name="IQ_MC_COMBINED_RATIO" hidden="1">"c9933"</definedName>
    <definedName name="IQ_MC_DAYS_CLAIMS_PAYABLE" hidden="1">"c9937"</definedName>
    <definedName name="IQ_MC_DAYS_CLAIMS_PAYABLE_EXCL_CAPITATION" hidden="1">"c9938"</definedName>
    <definedName name="IQ_MC_MEDICAL_COSTS_PMPM" hidden="1">"c9925"</definedName>
    <definedName name="IQ_MC_PARENT_CASH" hidden="1">"c9942"</definedName>
    <definedName name="IQ_MC_PREMIUMS_PMPM" hidden="1">"c9924"</definedName>
    <definedName name="IQ_MC_RATIO" hidden="1">"c2783"</definedName>
    <definedName name="IQ_MC_RECEIPT_CYCLE_TIME_DAYS" hidden="1">"c9939"</definedName>
    <definedName name="IQ_MC_RECEIPT_CYCLE_TIME_MONTHS" hidden="1">"c9940"</definedName>
    <definedName name="IQ_MC_RISK_COVERED_LIVES" hidden="1">"c9917"</definedName>
    <definedName name="IQ_MC_RISK_MEMBERSHIP" hidden="1">"c9920"</definedName>
    <definedName name="IQ_MC_SELLILNG_COSTS_RATIO" hidden="1">"c9928"</definedName>
    <definedName name="IQ_MC_SGA_PMPM" hidden="1">"c9926"</definedName>
    <definedName name="IQ_MC_STATUTORY_SURPLUS" hidden="1">"c2772"</definedName>
    <definedName name="IQ_MC_TOTAL_COVERED_LIVES" hidden="1">"c9919"</definedName>
    <definedName name="IQ_MC_TOTAL_MEMBERSHIP" hidden="1">"c9922"</definedName>
    <definedName name="IQ_MC_TOTAL_MEMBERSHIP_CAPITATION" hidden="1">"c9923"</definedName>
    <definedName name="IQ_MC_UNPROCESSED_CLAIMS_INVENTORY_DAYS" hidden="1">"c9936"</definedName>
    <definedName name="IQ_MC_UNPROCESSED_CLAIMS_INVENTORY_NUMBER" hidden="1">"c9934"</definedName>
    <definedName name="IQ_MC_UNPROCESSED_CLAIMS_INVENTORY_VALUE" hidden="1">"c9935"</definedName>
    <definedName name="IQ_MEASURED_ATTRIB_ORE_RESOURCES_ALUM" hidden="1">"c9237"</definedName>
    <definedName name="IQ_MEASURED_ATTRIB_ORE_RESOURCES_COP" hidden="1">"c9181"</definedName>
    <definedName name="IQ_MEASURED_ATTRIB_ORE_RESOURCES_DIAM" hidden="1">"c9661"</definedName>
    <definedName name="IQ_MEASURED_ATTRIB_ORE_RESOURCES_GOLD" hidden="1">"c9022"</definedName>
    <definedName name="IQ_MEASURED_ATTRIB_ORE_RESOURCES_IRON" hidden="1">"c9396"</definedName>
    <definedName name="IQ_MEASURED_ATTRIB_ORE_RESOURCES_LEAD" hidden="1">"c9449"</definedName>
    <definedName name="IQ_MEASURED_ATTRIB_ORE_RESOURCES_MANG" hidden="1">"c9502"</definedName>
    <definedName name="IQ_MEASURED_ATTRIB_ORE_RESOURCES_MOLYB" hidden="1">"c9714"</definedName>
    <definedName name="IQ_MEASURED_ATTRIB_ORE_RESOURCES_NICK" hidden="1">"c9290"</definedName>
    <definedName name="IQ_MEASURED_ATTRIB_ORE_RESOURCES_PLAT" hidden="1">"c9128"</definedName>
    <definedName name="IQ_MEASURED_ATTRIB_ORE_RESOURCES_SILVER" hidden="1">"c9075"</definedName>
    <definedName name="IQ_MEASURED_ATTRIB_ORE_RESOURCES_TITAN" hidden="1">"c9555"</definedName>
    <definedName name="IQ_MEASURED_ATTRIB_ORE_RESOURCES_URAN" hidden="1">"c9608"</definedName>
    <definedName name="IQ_MEASURED_ATTRIB_ORE_RESOURCES_ZINC" hidden="1">"c9343"</definedName>
    <definedName name="IQ_MEASURED_INDICATED_ATTRIB_ORE_RESOURCES_ALUM" hidden="1">"c9239"</definedName>
    <definedName name="IQ_MEASURED_INDICATED_ATTRIB_ORE_RESOURCES_COP" hidden="1">"c9183"</definedName>
    <definedName name="IQ_MEASURED_INDICATED_ATTRIB_ORE_RESOURCES_DIAM" hidden="1">"c9663"</definedName>
    <definedName name="IQ_MEASURED_INDICATED_ATTRIB_ORE_RESOURCES_GOLD" hidden="1">"c9024"</definedName>
    <definedName name="IQ_MEASURED_INDICATED_ATTRIB_ORE_RESOURCES_IRON" hidden="1">"c9398"</definedName>
    <definedName name="IQ_MEASURED_INDICATED_ATTRIB_ORE_RESOURCES_LEAD" hidden="1">"c9451"</definedName>
    <definedName name="IQ_MEASURED_INDICATED_ATTRIB_ORE_RESOURCES_MANG" hidden="1">"c9504"</definedName>
    <definedName name="IQ_MEASURED_INDICATED_ATTRIB_ORE_RESOURCES_MOLYB" hidden="1">"c9716"</definedName>
    <definedName name="IQ_MEASURED_INDICATED_ATTRIB_ORE_RESOURCES_NICK" hidden="1">"c9292"</definedName>
    <definedName name="IQ_MEASURED_INDICATED_ATTRIB_ORE_RESOURCES_PLAT" hidden="1">"c9130"</definedName>
    <definedName name="IQ_MEASURED_INDICATED_ATTRIB_ORE_RESOURCES_SILVER" hidden="1">"c9077"</definedName>
    <definedName name="IQ_MEASURED_INDICATED_ATTRIB_ORE_RESOURCES_TITAN" hidden="1">"c9557"</definedName>
    <definedName name="IQ_MEASURED_INDICATED_ATTRIB_ORE_RESOURCES_URAN" hidden="1">"c9610"</definedName>
    <definedName name="IQ_MEASURED_INDICATED_ATTRIB_ORE_RESOURCES_ZINC" hidden="1">"c9345"</definedName>
    <definedName name="IQ_MEASURED_INDICATED_ORE_RESOURCES_ALUM" hidden="1">"c9226"</definedName>
    <definedName name="IQ_MEASURED_INDICATED_ORE_RESOURCES_COP" hidden="1">"c9170"</definedName>
    <definedName name="IQ_MEASURED_INDICATED_ORE_RESOURCES_DIAM" hidden="1">"c9650"</definedName>
    <definedName name="IQ_MEASURED_INDICATED_ORE_RESOURCES_GOLD" hidden="1">"c9011"</definedName>
    <definedName name="IQ_MEASURED_INDICATED_ORE_RESOURCES_IRON" hidden="1">"c9385"</definedName>
    <definedName name="IQ_MEASURED_INDICATED_ORE_RESOURCES_LEAD" hidden="1">"c9438"</definedName>
    <definedName name="IQ_MEASURED_INDICATED_ORE_RESOURCES_MANG" hidden="1">"c9491"</definedName>
    <definedName name="IQ_MEASURED_INDICATED_ORE_RESOURCES_MOLYB" hidden="1">"c9703"</definedName>
    <definedName name="IQ_MEASURED_INDICATED_ORE_RESOURCES_NICK" hidden="1">"c9279"</definedName>
    <definedName name="IQ_MEASURED_INDICATED_ORE_RESOURCES_PLAT" hidden="1">"c9117"</definedName>
    <definedName name="IQ_MEASURED_INDICATED_ORE_RESOURCES_SILVER" hidden="1">"c9064"</definedName>
    <definedName name="IQ_MEASURED_INDICATED_ORE_RESOURCES_TITAN" hidden="1">"c9544"</definedName>
    <definedName name="IQ_MEASURED_INDICATED_ORE_RESOURCES_URAN" hidden="1">"c9597"</definedName>
    <definedName name="IQ_MEASURED_INDICATED_ORE_RESOURCES_ZINC" hidden="1">"c9332"</definedName>
    <definedName name="IQ_MEASURED_INDICATED_RECOV_RESOURCES_ALUM" hidden="1">"c9234"</definedName>
    <definedName name="IQ_MEASURED_INDICATED_RECOV_RESOURCES_COAL" hidden="1">"c9813"</definedName>
    <definedName name="IQ_MEASURED_INDICATED_RECOV_RESOURCES_COP" hidden="1">"c9178"</definedName>
    <definedName name="IQ_MEASURED_INDICATED_RECOV_RESOURCES_DIAM" hidden="1">"c9658"</definedName>
    <definedName name="IQ_MEASURED_INDICATED_RECOV_RESOURCES_GOLD" hidden="1">"c9019"</definedName>
    <definedName name="IQ_MEASURED_INDICATED_RECOV_RESOURCES_IRON" hidden="1">"c9393"</definedName>
    <definedName name="IQ_MEASURED_INDICATED_RECOV_RESOURCES_LEAD" hidden="1">"c9446"</definedName>
    <definedName name="IQ_MEASURED_INDICATED_RECOV_RESOURCES_MANG" hidden="1">"c9499"</definedName>
    <definedName name="IQ_MEASURED_INDICATED_RECOV_RESOURCES_MET_COAL" hidden="1">"c9753"</definedName>
    <definedName name="IQ_MEASURED_INDICATED_RECOV_RESOURCES_MOLYB" hidden="1">"c9711"</definedName>
    <definedName name="IQ_MEASURED_INDICATED_RECOV_RESOURCES_NICK" hidden="1">"c9287"</definedName>
    <definedName name="IQ_MEASURED_INDICATED_RECOV_RESOURCES_PLAT" hidden="1">"c9125"</definedName>
    <definedName name="IQ_MEASURED_INDICATED_RECOV_RESOURCES_SILVER" hidden="1">"c9072"</definedName>
    <definedName name="IQ_MEASURED_INDICATED_RECOV_RESOURCES_STEAM" hidden="1">"c9783"</definedName>
    <definedName name="IQ_MEASURED_INDICATED_RECOV_RESOURCES_TITAN" hidden="1">"c9552"</definedName>
    <definedName name="IQ_MEASURED_INDICATED_RECOV_RESOURCES_URAN" hidden="1">"c9605"</definedName>
    <definedName name="IQ_MEASURED_INDICATED_RECOV_RESOURCES_ZINC" hidden="1">"c9340"</definedName>
    <definedName name="IQ_MEASURED_INDICATED_RESOURCES_GRADE_ALUM" hidden="1">"c9227"</definedName>
    <definedName name="IQ_MEASURED_INDICATED_RESOURCES_GRADE_COP" hidden="1">"c9171"</definedName>
    <definedName name="IQ_MEASURED_INDICATED_RESOURCES_GRADE_DIAM" hidden="1">"c9651"</definedName>
    <definedName name="IQ_MEASURED_INDICATED_RESOURCES_GRADE_GOLD" hidden="1">"c9012"</definedName>
    <definedName name="IQ_MEASURED_INDICATED_RESOURCES_GRADE_IRON" hidden="1">"c9386"</definedName>
    <definedName name="IQ_MEASURED_INDICATED_RESOURCES_GRADE_LEAD" hidden="1">"c9439"</definedName>
    <definedName name="IQ_MEASURED_INDICATED_RESOURCES_GRADE_MANG" hidden="1">"c9492"</definedName>
    <definedName name="IQ_MEASURED_INDICATED_RESOURCES_GRADE_MOLYB" hidden="1">"c9704"</definedName>
    <definedName name="IQ_MEASURED_INDICATED_RESOURCES_GRADE_NICK" hidden="1">"c9280"</definedName>
    <definedName name="IQ_MEASURED_INDICATED_RESOURCES_GRADE_PLAT" hidden="1">"c9118"</definedName>
    <definedName name="IQ_MEASURED_INDICATED_RESOURCES_GRADE_SILVER" hidden="1">"c9065"</definedName>
    <definedName name="IQ_MEASURED_INDICATED_RESOURCES_GRADE_TITAN" hidden="1">"c9545"</definedName>
    <definedName name="IQ_MEASURED_INDICATED_RESOURCES_GRADE_URAN" hidden="1">"c9598"</definedName>
    <definedName name="IQ_MEASURED_INDICATED_RESOURCES_GRADE_ZINC" hidden="1">"c9333"</definedName>
    <definedName name="IQ_MEASURED_ORE_RESOURCES_ALUM" hidden="1">"c9222"</definedName>
    <definedName name="IQ_MEASURED_ORE_RESOURCES_COP" hidden="1">"c9166"</definedName>
    <definedName name="IQ_MEASURED_ORE_RESOURCES_DIAM" hidden="1">"c9646"</definedName>
    <definedName name="IQ_MEASURED_ORE_RESOURCES_GOLD" hidden="1">"c9007"</definedName>
    <definedName name="IQ_MEASURED_ORE_RESOURCES_IRON" hidden="1">"c9381"</definedName>
    <definedName name="IQ_MEASURED_ORE_RESOURCES_LEAD" hidden="1">"c9434"</definedName>
    <definedName name="IQ_MEASURED_ORE_RESOURCES_MANG" hidden="1">"c9487"</definedName>
    <definedName name="IQ_MEASURED_ORE_RESOURCES_MOLYB" hidden="1">"c9699"</definedName>
    <definedName name="IQ_MEASURED_ORE_RESOURCES_NICK" hidden="1">"c9275"</definedName>
    <definedName name="IQ_MEASURED_ORE_RESOURCES_PLAT" hidden="1">"c9113"</definedName>
    <definedName name="IQ_MEASURED_ORE_RESOURCES_SILVER" hidden="1">"c9060"</definedName>
    <definedName name="IQ_MEASURED_ORE_RESOURCES_TITAN" hidden="1">"c9540"</definedName>
    <definedName name="IQ_MEASURED_ORE_RESOURCES_URAN" hidden="1">"c9593"</definedName>
    <definedName name="IQ_MEASURED_ORE_RESOURCES_ZINC" hidden="1">"c9328"</definedName>
    <definedName name="IQ_MEASURED_RECOV_ATTRIB_RESOURCES_ALUM" hidden="1">"c9242"</definedName>
    <definedName name="IQ_MEASURED_RECOV_ATTRIB_RESOURCES_COAL" hidden="1">"c9816"</definedName>
    <definedName name="IQ_MEASURED_RECOV_ATTRIB_RESOURCES_COP" hidden="1">"c9186"</definedName>
    <definedName name="IQ_MEASURED_RECOV_ATTRIB_RESOURCES_DIAM" hidden="1">"c9666"</definedName>
    <definedName name="IQ_MEASURED_RECOV_ATTRIB_RESOURCES_GOLD" hidden="1">"c9027"</definedName>
    <definedName name="IQ_MEASURED_RECOV_ATTRIB_RESOURCES_IRON" hidden="1">"c9401"</definedName>
    <definedName name="IQ_MEASURED_RECOV_ATTRIB_RESOURCES_LEAD" hidden="1">"c9454"</definedName>
    <definedName name="IQ_MEASURED_RECOV_ATTRIB_RESOURCES_MANG" hidden="1">"c9507"</definedName>
    <definedName name="IQ_MEASURED_RECOV_ATTRIB_RESOURCES_MET_COAL" hidden="1">"c9756"</definedName>
    <definedName name="IQ_MEASURED_RECOV_ATTRIB_RESOURCES_MOLYB" hidden="1">"c9719"</definedName>
    <definedName name="IQ_MEASURED_RECOV_ATTRIB_RESOURCES_NICK" hidden="1">"c9295"</definedName>
    <definedName name="IQ_MEASURED_RECOV_ATTRIB_RESOURCES_PLAT" hidden="1">"c9133"</definedName>
    <definedName name="IQ_MEASURED_RECOV_ATTRIB_RESOURCES_SILVER" hidden="1">"c9080"</definedName>
    <definedName name="IQ_MEASURED_RECOV_ATTRIB_RESOURCES_STEAM" hidden="1">"c9786"</definedName>
    <definedName name="IQ_MEASURED_RECOV_ATTRIB_RESOURCES_TITAN" hidden="1">"c9560"</definedName>
    <definedName name="IQ_MEASURED_RECOV_ATTRIB_RESOURCES_URAN" hidden="1">"c9613"</definedName>
    <definedName name="IQ_MEASURED_RECOV_ATTRIB_RESOURCES_ZINC" hidden="1">"c9348"</definedName>
    <definedName name="IQ_MEASURED_RECOV_RESOURCES_ALUM" hidden="1">"c9232"</definedName>
    <definedName name="IQ_MEASURED_RECOV_RESOURCES_COAL" hidden="1">"c9811"</definedName>
    <definedName name="IQ_MEASURED_RECOV_RESOURCES_COP" hidden="1">"c9176"</definedName>
    <definedName name="IQ_MEASURED_RECOV_RESOURCES_DIAM" hidden="1">"c9656"</definedName>
    <definedName name="IQ_MEASURED_RECOV_RESOURCES_GOLD" hidden="1">"c9017"</definedName>
    <definedName name="IQ_MEASURED_RECOV_RESOURCES_IRON" hidden="1">"c9391"</definedName>
    <definedName name="IQ_MEASURED_RECOV_RESOURCES_LEAD" hidden="1">"c9444"</definedName>
    <definedName name="IQ_MEASURED_RECOV_RESOURCES_MANG" hidden="1">"c9497"</definedName>
    <definedName name="IQ_MEASURED_RECOV_RESOURCES_MET_COAL" hidden="1">"c9751"</definedName>
    <definedName name="IQ_MEASURED_RECOV_RESOURCES_MOLYB" hidden="1">"c9709"</definedName>
    <definedName name="IQ_MEASURED_RECOV_RESOURCES_NICK" hidden="1">"c9285"</definedName>
    <definedName name="IQ_MEASURED_RECOV_RESOURCES_PLAT" hidden="1">"c9123"</definedName>
    <definedName name="IQ_MEASURED_RECOV_RESOURCES_SILVER" hidden="1">"c9070"</definedName>
    <definedName name="IQ_MEASURED_RECOV_RESOURCES_STEAM" hidden="1">"c9781"</definedName>
    <definedName name="IQ_MEASURED_RECOV_RESOURCES_TITAN" hidden="1">"c9550"</definedName>
    <definedName name="IQ_MEASURED_RECOV_RESOURCES_URAN" hidden="1">"c9603"</definedName>
    <definedName name="IQ_MEASURED_RECOV_RESOURCES_ZINC" hidden="1">"c9338"</definedName>
    <definedName name="IQ_MEASURED_RESOURCES_CALORIFIC_VALUE_COAL" hidden="1">"c9806"</definedName>
    <definedName name="IQ_MEASURED_RESOURCES_CALORIFIC_VALUE_MET_COAL" hidden="1">"c9746"</definedName>
    <definedName name="IQ_MEASURED_RESOURCES_CALORIFIC_VALUE_STEAM" hidden="1">"c9776"</definedName>
    <definedName name="IQ_MEASURED_RESOURCES_GRADE_ALUM" hidden="1">"c9223"</definedName>
    <definedName name="IQ_MEASURED_RESOURCES_GRADE_COP" hidden="1">"c9167"</definedName>
    <definedName name="IQ_MEASURED_RESOURCES_GRADE_DIAM" hidden="1">"c9647"</definedName>
    <definedName name="IQ_MEASURED_RESOURCES_GRADE_GOLD" hidden="1">"c9008"</definedName>
    <definedName name="IQ_MEASURED_RESOURCES_GRADE_IRON" hidden="1">"c9382"</definedName>
    <definedName name="IQ_MEASURED_RESOURCES_GRADE_LEAD" hidden="1">"c9435"</definedName>
    <definedName name="IQ_MEASURED_RESOURCES_GRADE_MANG" hidden="1">"c9488"</definedName>
    <definedName name="IQ_MEASURED_RESOURCES_GRADE_MOLYB" hidden="1">"c9700"</definedName>
    <definedName name="IQ_MEASURED_RESOURCES_GRADE_NICK" hidden="1">"c9276"</definedName>
    <definedName name="IQ_MEASURED_RESOURCES_GRADE_PLAT" hidden="1">"c9114"</definedName>
    <definedName name="IQ_MEASURED_RESOURCES_GRADE_SILVER" hidden="1">"c9061"</definedName>
    <definedName name="IQ_MEASURED_RESOURCES_GRADE_TITAN" hidden="1">"c9541"</definedName>
    <definedName name="IQ_MEASURED_RESOURCES_GRADE_URAN" hidden="1">"c9594"</definedName>
    <definedName name="IQ_MEASURED_RESOURCES_GRADE_ZINC" hidden="1">"c9329"</definedName>
    <definedName name="IQ_MEDIAN_NEW_HOME_SALES_APR_FC_UNUSED" hidden="1">"c8460"</definedName>
    <definedName name="IQ_MEDIAN_NEW_HOME_SALES_APR_UNUSED" hidden="1">"c7580"</definedName>
    <definedName name="IQ_MEDIAN_NEW_HOME_SALES_FC_UNUSED" hidden="1">"c7800"</definedName>
    <definedName name="IQ_MEDIAN_NEW_HOME_SALES_POP_FC_UNUSED" hidden="1">"c8020"</definedName>
    <definedName name="IQ_MEDIAN_NEW_HOME_SALES_POP_UNUSED" hidden="1">"c7140"</definedName>
    <definedName name="IQ_MEDIAN_NEW_HOME_SALES_UNUSED" hidden="1">"c6920"</definedName>
    <definedName name="IQ_MEDIAN_NEW_HOME_SALES_YOY_FC_UNUSED" hidden="1">"c8240"</definedName>
    <definedName name="IQ_MEDIAN_NEW_HOME_SALES_YOY_UNUSED" hidden="1">"c7360"</definedName>
    <definedName name="IQ_MEDIAN_TARGET_PRICE" hidden="1">"c1650"</definedName>
    <definedName name="IQ_MEDIAN_TARGET_PRICE_CIQ" hidden="1">"c4658"</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 hidden="1">"c6235"</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 hidden="1">"c6236"</definedName>
    <definedName name="IQ_MERGER_RESTRUCTURE_REIT" hidden="1">"c724"</definedName>
    <definedName name="IQ_MERGER_RESTRUCTURE_UTI" hidden="1">"c725"</definedName>
    <definedName name="IQ_MERGER_SUPPLE" hidden="1">"c13810"</definedName>
    <definedName name="IQ_MERGER_UTI" hidden="1">"c726"</definedName>
    <definedName name="IQ_MI_RECOV_ATTRIB_RESOURCES_ALUM" hidden="1">"c9244"</definedName>
    <definedName name="IQ_MI_RECOV_ATTRIB_RESOURCES_COAL" hidden="1">"c9818"</definedName>
    <definedName name="IQ_MI_RECOV_ATTRIB_RESOURCES_COP" hidden="1">"c9188"</definedName>
    <definedName name="IQ_MI_RECOV_ATTRIB_RESOURCES_DIAM" hidden="1">"c9668"</definedName>
    <definedName name="IQ_MI_RECOV_ATTRIB_RESOURCES_GOLD" hidden="1">"c9029"</definedName>
    <definedName name="IQ_MI_RECOV_ATTRIB_RESOURCES_IRON" hidden="1">"c9403"</definedName>
    <definedName name="IQ_MI_RECOV_ATTRIB_RESOURCES_LEAD" hidden="1">"c9456"</definedName>
    <definedName name="IQ_MI_RECOV_ATTRIB_RESOURCES_MANG" hidden="1">"c9509"</definedName>
    <definedName name="IQ_MI_RECOV_ATTRIB_RESOURCES_MET_COAL" hidden="1">"c9758"</definedName>
    <definedName name="IQ_MI_RECOV_ATTRIB_RESOURCES_MOLYB" hidden="1">"c9721"</definedName>
    <definedName name="IQ_MI_RECOV_ATTRIB_RESOURCES_NICK" hidden="1">"c9297"</definedName>
    <definedName name="IQ_MI_RECOV_ATTRIB_RESOURCES_PLAT" hidden="1">"c9135"</definedName>
    <definedName name="IQ_MI_RECOV_ATTRIB_RESOURCES_SILVER" hidden="1">"c9082"</definedName>
    <definedName name="IQ_MI_RECOV_ATTRIB_RESOURCES_STEAM" hidden="1">"c9788"</definedName>
    <definedName name="IQ_MI_RECOV_ATTRIB_RESOURCES_TITAN" hidden="1">"c9562"</definedName>
    <definedName name="IQ_MI_RECOV_ATTRIB_RESOURCES_URAN" hidden="1">"c9615"</definedName>
    <definedName name="IQ_MI_RECOV_ATTRIB_RESOURCES_ZINC" hidden="1">"c9350"</definedName>
    <definedName name="IQ_MI_RESOURCES_CALORIFIC_VALUE_COAL" hidden="1">"c9808"</definedName>
    <definedName name="IQ_MI_RESOURCES_CALORIFIC_VALUE_MET_COAL" hidden="1">"c9748"</definedName>
    <definedName name="IQ_MI_RESOURCES_CALORIFIC_VALUE_STEAM" hidden="1">"c9778"</definedName>
    <definedName name="IQ_MINORITY_INT_AVG_ASSETS_FFIEC" hidden="1">"c13367"</definedName>
    <definedName name="IQ_MINORITY_INT_BS_FFIEC" hidden="1">"c12874"</definedName>
    <definedName name="IQ_MINORITY_INT_FFIEC" hidden="1">"c13031"</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 hidden="1">"c6237"</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KTCAP_TOTAL_REV_FWD_CIQ" hidden="1">"c4041"</definedName>
    <definedName name="IQ_MM_ACCOUNT" hidden="1">"c743"</definedName>
    <definedName name="IQ_MM_ACCRETION_EXPENSE" hidden="1">"c9845"</definedName>
    <definedName name="IQ_MM_ARO_BEG" hidden="1">"c9842"</definedName>
    <definedName name="IQ_MM_ARO_TOTAL" hidden="1">"c9850"</definedName>
    <definedName name="IQ_MM_CURRENT_PORT_ARO" hidden="1">"c9851"</definedName>
    <definedName name="IQ_MM_DEVELOPED_ACREAGE" hidden="1">"c9832"</definedName>
    <definedName name="IQ_MM_DEVELOPED_SQ_KMS" hidden="1">"c9831"</definedName>
    <definedName name="IQ_MM_DEVELOPED_SQ_MILES" hidden="1">"c9833"</definedName>
    <definedName name="IQ_MM_EXPLORATION_EXPENDITURE_TOT" hidden="1">"c9840"</definedName>
    <definedName name="IQ_MM_FX_ADJUSTMENT" hidden="1">"c9847"</definedName>
    <definedName name="IQ_MM_LIABILITIES_INCURRED_ACQUIRED" hidden="1">"c9843"</definedName>
    <definedName name="IQ_MM_LIABILITIES_REL_SPIN_OFFS" hidden="1">"c9848"</definedName>
    <definedName name="IQ_MM_LIABILITIES_SETTLED_DISPOSED" hidden="1">"c9844"</definedName>
    <definedName name="IQ_MM_NON_CURRENT_PORT_ARO" hidden="1">"c9852"</definedName>
    <definedName name="IQ_MM_NUMBER_MINES" hidden="1">"c9839"</definedName>
    <definedName name="IQ_MM_OTHER_ADJUSTMENTS_ARO" hidden="1">"c9849"</definedName>
    <definedName name="IQ_MM_REMAINING_MINE_LIFE" hidden="1">"c9838"</definedName>
    <definedName name="IQ_MM_RESOURCES_INCL_EXCL_RESERVES" hidden="1">"c9841"</definedName>
    <definedName name="IQ_MM_REVISIONS_ESTIMATE" hidden="1">"c9846"</definedName>
    <definedName name="IQ_MM_STRIPPING_RATIO" hidden="1">"c9837"</definedName>
    <definedName name="IQ_MM_UNDEVELOPED_ACREAGE" hidden="1">"c9835"</definedName>
    <definedName name="IQ_MM_UNDEVELOPED_SQ_KMS" hidden="1">"c9834"</definedName>
    <definedName name="IQ_MM_UNDEVELOPED_SQ_MILES" hidden="1">"c9836"</definedName>
    <definedName name="IQ_MMDA_SAVINGS_TOT_DEPOSITS_FFIEC" hidden="1">"c13905"</definedName>
    <definedName name="IQ_MONEY_MARKET_ACCOUNTS_COMMERCIAL_BANK_SUBS_FFIEC" hidden="1">"c12947"</definedName>
    <definedName name="IQ_MONEY_MARKET_ACCOUNTS_OTHER_INSTITUTIONS_FFIEC" hidden="1">"c12952"</definedName>
    <definedName name="IQ_MONEY_MARKET_DEPOSIT_ACCOUNTS_FDIC" hidden="1">"c6553"</definedName>
    <definedName name="IQ_MONTH">15000</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BACKED_SECURITIES_FDIC" hidden="1">"c6402"</definedName>
    <definedName name="IQ_MORTGAGE_SERV_RIGHTS" hidden="1">"c2242"</definedName>
    <definedName name="IQ_MORTGAGE_SERVICING_ASSETS_FFIEC" hidden="1">"c12838"</definedName>
    <definedName name="IQ_MORTGAGE_SERVICING_FDIC" hidden="1">"c6335"</definedName>
    <definedName name="IQ_MULTI_RES_PROPERTIES_TRADING_DOM_FFIEC" hidden="1">"c12930"</definedName>
    <definedName name="IQ_MULTIFAM_5_LOANS_TOT_LOANS_FFIEC" hidden="1">"c13869"</definedName>
    <definedName name="IQ_MULTIFAMILY_LOANS_GROSS_LOANS_FFIEC" hidden="1">"c13404"</definedName>
    <definedName name="IQ_MULTIFAMILY_LOANS_RISK_BASED_FFIEC" hidden="1">"c13425"</definedName>
    <definedName name="IQ_MULTIFAMILY_RESIDENTIAL_LOANS_FDIC" hidden="1">"c6311"</definedName>
    <definedName name="IQ_MUNICIPAL_INVEST_SECURITIES_FFIEC" hidden="1">"c13459"</definedName>
    <definedName name="IQ_NAMES_REVISION_DATE_" hidden="1">40687.6617939815</definedName>
    <definedName name="IQ_NAPM_BUS_CONDITIONS" hidden="1">"c6921"</definedName>
    <definedName name="IQ_NAPM_BUS_CONDITIONS_APR" hidden="1">"c7581"</definedName>
    <definedName name="IQ_NAPM_BUS_CONDITIONS_APR_FC" hidden="1">"c8461"</definedName>
    <definedName name="IQ_NAPM_BUS_CONDITIONS_FC" hidden="1">"c7801"</definedName>
    <definedName name="IQ_NAPM_BUS_CONDITIONS_POP" hidden="1">"c7141"</definedName>
    <definedName name="IQ_NAPM_BUS_CONDITIONS_POP_FC" hidden="1">"c8021"</definedName>
    <definedName name="IQ_NAPM_BUS_CONDITIONS_YOY" hidden="1">"c7361"</definedName>
    <definedName name="IQ_NAPM_BUS_CONDITIONS_YOY_FC" hidden="1">"c8241"</definedName>
    <definedName name="IQ_NATIVE_COMPANY_NAME" hidden="1">"c13822"</definedName>
    <definedName name="IQ_NCLS_CLOSED_END_1_4_FAM_LOANS_TOT_LOANS_FFIEC" hidden="1">"c13891"</definedName>
    <definedName name="IQ_NCLS_COMM_IND_LOANS_TOT_LOANS_FFIEC" hidden="1">"c13898"</definedName>
    <definedName name="IQ_NCLS_COMM_RE_FARM_LOANS_TOT_LOANS_FFIEC" hidden="1">"c13897"</definedName>
    <definedName name="IQ_NCLS_COMM_RE_NONFARM_NONRES_TOT_LOANS_FFIEC" hidden="1">"c13896"</definedName>
    <definedName name="IQ_NCLS_CONST_LAND_DEV_LOANS_TOT_LOANS_FFIEC" hidden="1">"c13890"</definedName>
    <definedName name="IQ_NCLS_CONSUMER_LOANS_TOT_LOANS_FFIEC" hidden="1">"c13899"</definedName>
    <definedName name="IQ_NCLS_FARM_LOANS_TOT_LOANS_FFIEC" hidden="1">"c13895"</definedName>
    <definedName name="IQ_NCLS_HOME_EQUITY_LOANS_TOT_LOANS_FFIEC" hidden="1">"c13892"</definedName>
    <definedName name="IQ_NCLS_MULTIFAM_5_LOANS_TOT_LOANS_FFIEC" hidden="1">"c13894"</definedName>
    <definedName name="IQ_NCLS_TOT_1_4_FAM_LOANS_TOT_LOANS_FFIEC" hidden="1">"c13893"</definedName>
    <definedName name="IQ_NCLS_TOT_LEASES_TOT_LOANS_FFIEC" hidden="1">"c13900"</definedName>
    <definedName name="IQ_NCLS_TOT_LOANS_TOT_LOANS_FFIEC" hidden="1">"c13901"</definedName>
    <definedName name="IQ_NCOS_CLOSED_END_1_4_FAM_LOANS_TOT_LOANS_FFIEC" hidden="1">"c13879"</definedName>
    <definedName name="IQ_NCOS_COMM_IND_LOANS_TOT_LOANS_FFIEC" hidden="1">"c13886"</definedName>
    <definedName name="IQ_NCOS_COMM_RE_FARM_LOANS_TOT_LOANS_FFIEC" hidden="1">"c13885"</definedName>
    <definedName name="IQ_NCOS_COMM_RE_NONFARM_NONRES_TOT_LOANS_FFIEC" hidden="1">"c13884"</definedName>
    <definedName name="IQ_NCOS_CONST_LAND_DEV_LOANS_TOT_LOANS_FFIEC" hidden="1">"c13878"</definedName>
    <definedName name="IQ_NCOS_CONSUMER_LOANS_TOT_LOANS_FFIEC" hidden="1">"c13887"</definedName>
    <definedName name="IQ_NCOS_FARM_LOANS_TOT_LOANS_FFIEC" hidden="1">"c13883"</definedName>
    <definedName name="IQ_NCOS_HOME_EQUITY_LOANS_TOT_LOANS_FFIEC" hidden="1">"c13880"</definedName>
    <definedName name="IQ_NCOS_MULTIFAM_5_LOANS_TOT_LOANS_FFIEC" hidden="1">"c13882"</definedName>
    <definedName name="IQ_NCOS_TOT_1_4_FAM_LOANS_TOT_LOANS_FFIEC" hidden="1">"c13881"</definedName>
    <definedName name="IQ_NCOS_TOT_LEASES_TOT_LOANS_FFIEC" hidden="1">"c13888"</definedName>
    <definedName name="IQ_NCOS_TOT_LOANS_TOT_LOANS_FFIEC" hidden="1">"c13889"</definedName>
    <definedName name="IQ_NEGATIVE_FAIR_VALUE_DERIVATIVES_BENEFICIARY_FFIEC" hidden="1">"c13124"</definedName>
    <definedName name="IQ_NEGATIVE_FAIR_VALUE_DERIVATIVES_GUARANTOR_FFIEC" hidden="1">"c13117"</definedName>
    <definedName name="IQ_NET_CHANGE" hidden="1">"c749"</definedName>
    <definedName name="IQ_NET_CHARGE_OFFS_FDIC" hidden="1">"c6641"</definedName>
    <definedName name="IQ_NET_CHARGE_OFFS_LOANS_FDIC" hidden="1">"c6751"</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EBITDA" hidden="1">"c750"</definedName>
    <definedName name="IQ_NET_DEBT_EBITDA_CAPEX" hidden="1">"c2949"</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 hidden="1">"c6238"</definedName>
    <definedName name="IQ_NET_DEBT_ISSUED_REIT" hidden="1">"c756"</definedName>
    <definedName name="IQ_NET_DEBT_ISSUED_UTI" hidden="1">"c757"</definedName>
    <definedName name="IQ_NET_EARNED" hidden="1">"c2734"</definedName>
    <definedName name="IQ_NET_FUNDS_PURCHASED_ASSETS_TOT_FFIEC" hidden="1">"c13448"</definedName>
    <definedName name="IQ_NET_INC" hidden="1">"c1394"</definedName>
    <definedName name="IQ_NET_INC_BEFORE" hidden="1">"c1368"</definedName>
    <definedName name="IQ_NET_INC_CF" hidden="1">"c1397"</definedName>
    <definedName name="IQ_NET_INC_MARGIN" hidden="1">"c1398"</definedName>
    <definedName name="IQ_NET_INCOME_FDIC" hidden="1">"c6587"</definedName>
    <definedName name="IQ_NET_INCOME_LH_FFIEC" hidden="1">"c13110"</definedName>
    <definedName name="IQ_NET_INCOME_PC_FFIEC" hidden="1">"c13103"</definedName>
    <definedName name="IQ_NET_INCOME_SHE_FFIEC" hidden="1">"c12960"</definedName>
    <definedName name="IQ_NET_INT_INC_10YR_ANN_CAGR" hidden="1">"c6100"</definedName>
    <definedName name="IQ_NET_INT_INC_10YR_ANN_GROWTH" hidden="1">"c758"</definedName>
    <definedName name="IQ_NET_INT_INC_1YR_ANN_GROWTH" hidden="1">"c759"</definedName>
    <definedName name="IQ_NET_INT_INC_2YR_ANN_CAGR" hidden="1">"c6101"</definedName>
    <definedName name="IQ_NET_INT_INC_2YR_ANN_GROWTH" hidden="1">"c760"</definedName>
    <definedName name="IQ_NET_INT_INC_3YR_ANN_CAGR" hidden="1">"c6102"</definedName>
    <definedName name="IQ_NET_INT_INC_3YR_ANN_GROWTH" hidden="1">"c761"</definedName>
    <definedName name="IQ_NET_INT_INC_5YR_ANN_CAGR" hidden="1">"c6103"</definedName>
    <definedName name="IQ_NET_INT_INC_5YR_ANN_GROWTH" hidden="1">"c762"</definedName>
    <definedName name="IQ_NET_INT_INC_7YR_ANN_CAGR" hidden="1">"c6104"</definedName>
    <definedName name="IQ_NET_INT_INC_7YR_ANN_GROWTH" hidden="1">"c763"</definedName>
    <definedName name="IQ_NET_INT_INC_AFTER_LL_BNK_SUBTOTAL_AP" hidden="1">"c8979"</definedName>
    <definedName name="IQ_NET_INT_INC_BNK" hidden="1">"c764"</definedName>
    <definedName name="IQ_NET_INT_INC_BNK_AP" hidden="1">"c8874"</definedName>
    <definedName name="IQ_NET_INT_INC_BNK_AP_ABS" hidden="1">"c8893"</definedName>
    <definedName name="IQ_NET_INT_INC_BNK_FDIC" hidden="1">"c6570"</definedName>
    <definedName name="IQ_NET_INT_INC_BNK_NAME_AP" hidden="1">"c8912"</definedName>
    <definedName name="IQ_NET_INT_INC_BNK_NAME_AP_ABS" hidden="1">"c8931"</definedName>
    <definedName name="IQ_NET_INT_INC_BNK_SUBTOTAL_AP" hidden="1">"c8978"</definedName>
    <definedName name="IQ_NET_INT_INC_BR" hidden="1">"c765"</definedName>
    <definedName name="IQ_NET_INT_INC_FIN" hidden="1">"c766"</definedName>
    <definedName name="IQ_NET_INT_INC_TOTAL_REV" hidden="1">"c767"</definedName>
    <definedName name="IQ_NET_INT_INCOME_FFIEC" hidden="1">"c13001"</definedName>
    <definedName name="IQ_NET_INT_INCOME_FTE_FFIEC" hidden="1">"c13036"</definedName>
    <definedName name="IQ_NET_INT_MARGIN" hidden="1">"c768"</definedName>
    <definedName name="IQ_NET_INTEREST_EXP" hidden="1">"c769"</definedName>
    <definedName name="IQ_NET_INTEREST_EXP_RE" hidden="1">"c6239"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INTEREST_MARGIN_FDIC" hidden="1">"c6726"</definedName>
    <definedName name="IQ_NET_LIFE_INS_IN_FORCE" hidden="1">"c2769"</definedName>
    <definedName name="IQ_NET_LOANS" hidden="1">"c772"</definedName>
    <definedName name="IQ_NET_LOANS_10YR_ANN_CAGR" hidden="1">"c6105"</definedName>
    <definedName name="IQ_NET_LOANS_10YR_ANN_GROWTH" hidden="1">"c773"</definedName>
    <definedName name="IQ_NET_LOANS_1YR_ANN_GROWTH" hidden="1">"c774"</definedName>
    <definedName name="IQ_NET_LOANS_2YR_ANN_CAGR" hidden="1">"c6106"</definedName>
    <definedName name="IQ_NET_LOANS_2YR_ANN_GROWTH" hidden="1">"c775"</definedName>
    <definedName name="IQ_NET_LOANS_3YR_ANN_CAGR" hidden="1">"c6107"</definedName>
    <definedName name="IQ_NET_LOANS_3YR_ANN_GROWTH" hidden="1">"c776"</definedName>
    <definedName name="IQ_NET_LOANS_5YR_ANN_CAGR" hidden="1">"c6108"</definedName>
    <definedName name="IQ_NET_LOANS_5YR_ANN_GROWTH" hidden="1">"c777"</definedName>
    <definedName name="IQ_NET_LOANS_7YR_ANN_CAGR" hidden="1">"c6109"</definedName>
    <definedName name="IQ_NET_LOANS_7YR_ANN_GROWTH" hidden="1">"c778"</definedName>
    <definedName name="IQ_NET_LOANS_CORE_DEPOSITS_FFIEC" hidden="1">"c13341"</definedName>
    <definedName name="IQ_NET_LOANS_DEPOSITS_FFIEC" hidden="1">"c13340"</definedName>
    <definedName name="IQ_NET_LOANS_EQUITY_FFIEC" hidden="1">"c13347"</definedName>
    <definedName name="IQ_NET_LOANS_LEASES_CORE_DEPOSITS_FDIC" hidden="1">"c6743"</definedName>
    <definedName name="IQ_NET_LOANS_LEASES_DEPOSITS_FDIC" hidden="1">"c6742"</definedName>
    <definedName name="IQ_NET_LOANS_TOTAL_DEPOSITS" hidden="1">"c779"</definedName>
    <definedName name="IQ_NET_OPERATING_INCOME_ASSETS_FDIC" hidden="1">"c6729"</definedName>
    <definedName name="IQ_NET_RENTAL_EXP_FN" hidden="1">"c780"</definedName>
    <definedName name="IQ_NET_SECURITIZATION_INCOME_FDIC" hidden="1">"c6669"</definedName>
    <definedName name="IQ_NET_SERVICING_FEES_FDIC" hidden="1">"c6668"</definedName>
    <definedName name="IQ_NET_TO_GROSS_EARNED" hidden="1">"c2750"</definedName>
    <definedName name="IQ_NET_TO_GROSS_WRITTEN" hidden="1">"c2729"</definedName>
    <definedName name="IQ_NET_WORKING_CAP" hidden="1">"c3493"</definedName>
    <definedName name="IQ_NET_WRITTEN" hidden="1">"c2728"</definedName>
    <definedName name="IQ_NEW_PREM" hidden="1">"c2785"</definedName>
    <definedName name="IQ_NEWS" hidden="1">"c13743"</definedName>
    <definedName name="IQ_NEWS_DATE" hidden="1">"c13746"</definedName>
    <definedName name="IQ_NEWS_SOURCE" hidden="1">"c13745"</definedName>
    <definedName name="IQ_NEWS_TIME" hidden="1">"c13759"</definedName>
    <definedName name="IQ_NEWS_URL" hidden="1">"c13744"</definedName>
    <definedName name="IQ_NEXT_CALL_DATE" hidden="1">"c2198"</definedName>
    <definedName name="IQ_NEXT_CALL_PRICE" hidden="1">"c2199"</definedName>
    <definedName name="IQ_NEXT_EARNINGS_DATE" hidden="1">"c13592"</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EXT_YR_PROD_EST_MAX_ALUM" hidden="1">"c9251"</definedName>
    <definedName name="IQ_NEXT_YR_PROD_EST_MAX_CATHODE_COP" hidden="1">"c9198"</definedName>
    <definedName name="IQ_NEXT_YR_PROD_EST_MAX_COP" hidden="1">"c9196"</definedName>
    <definedName name="IQ_NEXT_YR_PROD_EST_MAX_DIAM" hidden="1">"c9675"</definedName>
    <definedName name="IQ_NEXT_YR_PROD_EST_MAX_GOLD" hidden="1">"c9036"</definedName>
    <definedName name="IQ_NEXT_YR_PROD_EST_MAX_IRON" hidden="1">"c9410"</definedName>
    <definedName name="IQ_NEXT_YR_PROD_EST_MAX_LEAD" hidden="1">"c9463"</definedName>
    <definedName name="IQ_NEXT_YR_PROD_EST_MAX_MANG" hidden="1">"c9516"</definedName>
    <definedName name="IQ_NEXT_YR_PROD_EST_MAX_MOLYB" hidden="1">"c9728"</definedName>
    <definedName name="IQ_NEXT_YR_PROD_EST_MAX_NICK" hidden="1">"c9304"</definedName>
    <definedName name="IQ_NEXT_YR_PROD_EST_MAX_PLAT" hidden="1">"c9142"</definedName>
    <definedName name="IQ_NEXT_YR_PROD_EST_MAX_SILVER" hidden="1">"c9089"</definedName>
    <definedName name="IQ_NEXT_YR_PROD_EST_MAX_TITAN" hidden="1">"c9569"</definedName>
    <definedName name="IQ_NEXT_YR_PROD_EST_MAX_URAN" hidden="1">"c9622"</definedName>
    <definedName name="IQ_NEXT_YR_PROD_EST_MAX_ZINC" hidden="1">"c9357"</definedName>
    <definedName name="IQ_NEXT_YR_PROD_EST_MIN_ALUM" hidden="1">"c9250"</definedName>
    <definedName name="IQ_NEXT_YR_PROD_EST_MIN_CATHODE_COP" hidden="1">"c9197"</definedName>
    <definedName name="IQ_NEXT_YR_PROD_EST_MIN_COP" hidden="1">"c9195"</definedName>
    <definedName name="IQ_NEXT_YR_PROD_EST_MIN_DIAM" hidden="1">"c9674"</definedName>
    <definedName name="IQ_NEXT_YR_PROD_EST_MIN_GOLD" hidden="1">"c9035"</definedName>
    <definedName name="IQ_NEXT_YR_PROD_EST_MIN_IRON" hidden="1">"c9409"</definedName>
    <definedName name="IQ_NEXT_YR_PROD_EST_MIN_LEAD" hidden="1">"c9462"</definedName>
    <definedName name="IQ_NEXT_YR_PROD_EST_MIN_MANG" hidden="1">"c9515"</definedName>
    <definedName name="IQ_NEXT_YR_PROD_EST_MIN_MOLYB" hidden="1">"c9727"</definedName>
    <definedName name="IQ_NEXT_YR_PROD_EST_MIN_NICK" hidden="1">"c9303"</definedName>
    <definedName name="IQ_NEXT_YR_PROD_EST_MIN_PLAT" hidden="1">"c9141"</definedName>
    <definedName name="IQ_NEXT_YR_PROD_EST_MIN_SILVER" hidden="1">"c9088"</definedName>
    <definedName name="IQ_NEXT_YR_PROD_EST_MIN_TITAN" hidden="1">"c9568"</definedName>
    <definedName name="IQ_NEXT_YR_PROD_EST_MIN_URAN" hidden="1">"c9621"</definedName>
    <definedName name="IQ_NEXT_YR_PROD_EST_MIN_ZINC" hidden="1">"c9356"</definedName>
    <definedName name="IQ_NI" hidden="1">"c781"</definedName>
    <definedName name="IQ_NI_10YR_ANN_CAGR" hidden="1">"c6110"</definedName>
    <definedName name="IQ_NI_10YR_ANN_GROWTH" hidden="1">"c782"</definedName>
    <definedName name="IQ_NI_1YR_ANN_GROWTH" hidden="1">"c783"</definedName>
    <definedName name="IQ_NI_2YR_ANN_CAGR" hidden="1">"c6111"</definedName>
    <definedName name="IQ_NI_2YR_ANN_GROWTH" hidden="1">"c784"</definedName>
    <definedName name="IQ_NI_3YR_ANN_CAGR" hidden="1">"c6112"</definedName>
    <definedName name="IQ_NI_3YR_ANN_GROWTH" hidden="1">"c785"</definedName>
    <definedName name="IQ_NI_5YR_ANN_CAGR" hidden="1">"c6113"</definedName>
    <definedName name="IQ_NI_5YR_ANN_GROWTH" hidden="1">"c786"</definedName>
    <definedName name="IQ_NI_7YR_ANN_CAGR" hidden="1">"c6114"</definedName>
    <definedName name="IQ_NI_7YR_ANN_GROWTH" hidden="1">"c787"</definedName>
    <definedName name="IQ_NI_AFTER_CAPITALIZED" hidden="1">"c788"</definedName>
    <definedName name="IQ_NI_AVAIL_EXCL" hidden="1">"c789"</definedName>
    <definedName name="IQ_NI_AVAIL_EXCL_MARGIN" hidden="1">"c790"</definedName>
    <definedName name="IQ_NI_AVAIL_INCL" hidden="1">"c791"</definedName>
    <definedName name="IQ_NI_AVAIL_SUBTOTAL_AP" hidden="1">"c8984"</definedName>
    <definedName name="IQ_NI_AVG_ASSETS_FFIEC" hidden="1">"c13370"</definedName>
    <definedName name="IQ_NI_BEFORE_CAPITALIZED" hidden="1">"c792"</definedName>
    <definedName name="IQ_NI_CF" hidden="1">"c793"</definedName>
    <definedName name="IQ_NI_CHARGES_AP" hidden="1">"c8879"</definedName>
    <definedName name="IQ_NI_CHARGES_AP_ABS" hidden="1">"c8898"</definedName>
    <definedName name="IQ_NI_CHARGES_NAME_AP" hidden="1">"c8917"</definedName>
    <definedName name="IQ_NI_CHARGES_NAME_AP_ABS" hidden="1">"c8936"</definedName>
    <definedName name="IQ_NI_FFIEC" hidden="1">"c13034"</definedName>
    <definedName name="IQ_NI_MARGIN" hidden="1">"c794"</definedName>
    <definedName name="IQ_NI_NORM" hidden="1">"c1901"</definedName>
    <definedName name="IQ_NI_NORM_10YR_ANN_CAGR" hidden="1">"c6189"</definedName>
    <definedName name="IQ_NI_NORM_10YR_ANN_GROWTH" hidden="1">"c1960"</definedName>
    <definedName name="IQ_NI_NORM_1YR_ANN_GROWTH" hidden="1">"c1955"</definedName>
    <definedName name="IQ_NI_NORM_2YR_ANN_CAGR" hidden="1">"c6185"</definedName>
    <definedName name="IQ_NI_NORM_2YR_ANN_GROWTH" hidden="1">"c1956"</definedName>
    <definedName name="IQ_NI_NORM_3YR_ANN_CAGR" hidden="1">"c6186"</definedName>
    <definedName name="IQ_NI_NORM_3YR_ANN_GROWTH" hidden="1">"c1957"</definedName>
    <definedName name="IQ_NI_NORM_5YR_ANN_CAGR" hidden="1">"c6187"</definedName>
    <definedName name="IQ_NI_NORM_5YR_ANN_GROWTH" hidden="1">"c1958"</definedName>
    <definedName name="IQ_NI_NORM_7YR_ANN_CAGR" hidden="1">"c6188"</definedName>
    <definedName name="IQ_NI_NORM_7YR_ANN_GROWTH" hidden="1">"c1959"</definedName>
    <definedName name="IQ_NI_NORM_MARGIN" hidden="1">"c1964"</definedName>
    <definedName name="IQ_NI_SBC_ACT_OR_EST_CIQ" hidden="1">"c5012"</definedName>
    <definedName name="IQ_NI_SBC_GW_ACT_OR_EST_CIQ" hidden="1">"c5016"</definedName>
    <definedName name="IQ_NI_SFAS" hidden="1">"c795"</definedName>
    <definedName name="IQ_NI_SUBTOTAL_AP" hidden="1">"c8983"</definedName>
    <definedName name="IQ_NLA_PCT_LEASED_CONSOL" hidden="1">"c8815"</definedName>
    <definedName name="IQ_NLA_PCT_LEASED_MANAGED" hidden="1">"c8817"</definedName>
    <definedName name="IQ_NLA_PCT_LEASED_OTHER" hidden="1">"c8818"</definedName>
    <definedName name="IQ_NLA_PCT_LEASED_TOTAL" hidden="1">"c8819"</definedName>
    <definedName name="IQ_NLA_PCT_LEASED_UNCONSOL" hidden="1">"c8816"</definedName>
    <definedName name="IQ_NLA_SQ_FT_CONSOL" hidden="1">"c8800"</definedName>
    <definedName name="IQ_NLA_SQ_FT_MANAGED" hidden="1">"c8802"</definedName>
    <definedName name="IQ_NLA_SQ_FT_OTHER" hidden="1">"c8803"</definedName>
    <definedName name="IQ_NLA_SQ_FT_TOTAL" hidden="1">"c8804"</definedName>
    <definedName name="IQ_NLA_SQ_FT_UNCONSOL" hidden="1">"c8801"</definedName>
    <definedName name="IQ_NLA_SQ_METER_CONSOL" hidden="1">"c8805"</definedName>
    <definedName name="IQ_NLA_SQ_METER_MANAGED" hidden="1">"c8807"</definedName>
    <definedName name="IQ_NLA_SQ_METER_OTHER" hidden="1">"c8808"</definedName>
    <definedName name="IQ_NLA_SQ_METER_TOTAL" hidden="1">"c8809"</definedName>
    <definedName name="IQ_NLA_SQ_METER_UNCONSOL" hidden="1">"c8806"</definedName>
    <definedName name="IQ_NOL_CF_1YR" hidden="1">"c3465"</definedName>
    <definedName name="IQ_NOL_CF_2YR" hidden="1">"c3466"</definedName>
    <definedName name="IQ_NOL_CF_3YR" hidden="1">"c3467"</definedName>
    <definedName name="IQ_NOL_CF_4YR" hidden="1">"c3468"</definedName>
    <definedName name="IQ_NOL_CF_5YR" hidden="1">"c3469"</definedName>
    <definedName name="IQ_NOL_CF_AFTER_FIVE" hidden="1">"c3470"</definedName>
    <definedName name="IQ_NOL_CF_MAX_YEAR" hidden="1">"c3473"</definedName>
    <definedName name="IQ_NOL_CF_NO_EXP" hidden="1">"c3471"</definedName>
    <definedName name="IQ_NOL_CF_TOTAL" hidden="1">"c3472"</definedName>
    <definedName name="IQ_NON_ACCRU_ALLOW_RECEIVABLES_FFIEC" hidden="1">"c13353"</definedName>
    <definedName name="IQ_NON_ACCRUAL_LOANS" hidden="1">"c796"</definedName>
    <definedName name="IQ_NON_CASH" hidden="1">"c1399"</definedName>
    <definedName name="IQ_NON_CASH_ITEMS" hidden="1">"c797"</definedName>
    <definedName name="IQ_NON_CURRENT_LOANS_FFIEC" hidden="1">"c13860"</definedName>
    <definedName name="IQ_NON_FARM_NONRES_PROPERTIES_TRADING_DOM_FFIEC" hidden="1">"c12931"</definedName>
    <definedName name="IQ_NON_INS_EXP" hidden="1">"c798"</definedName>
    <definedName name="IQ_NON_INS_REV" hidden="1">"c799"</definedName>
    <definedName name="IQ_NON_INT_BAL_OTHER_INSTITUTIONS_FFIEC" hidden="1">"c12950"</definedName>
    <definedName name="IQ_NON_INT_BEAR_CD" hidden="1">"c11750"</definedName>
    <definedName name="IQ_NON_INT_BEARING_DEPOSITS" hidden="1">"c800"</definedName>
    <definedName name="IQ_NON_INT_DEPOSITS_DOM_FFIEC" hidden="1">"c12851"</definedName>
    <definedName name="IQ_NON_INT_DEPOSITS_FOREIGN_FFIEC" hidden="1">"c12854"</definedName>
    <definedName name="IQ_NON_INT_EXP" hidden="1">"c801"</definedName>
    <definedName name="IQ_NON_INT_EXP_BNK_AP" hidden="1">"c8877"</definedName>
    <definedName name="IQ_NON_INT_EXP_BNK_AP_ABS" hidden="1">"c8896"</definedName>
    <definedName name="IQ_NON_INT_EXP_BNK_NAME_AP" hidden="1">"c8915"</definedName>
    <definedName name="IQ_NON_INT_EXP_BNK_NAME_AP_ABS" hidden="1">"c8934"</definedName>
    <definedName name="IQ_NON_INT_EXP_BNK_SUBTOTAL_AP" hidden="1">"c8981"</definedName>
    <definedName name="IQ_NON_INT_EXP_FDIC" hidden="1">"c6579"</definedName>
    <definedName name="IQ_NON_INT_EXPENSE_FFIEC" hidden="1">"c13028"</definedName>
    <definedName name="IQ_NON_INT_INC" hidden="1">"c802"</definedName>
    <definedName name="IQ_NON_INT_INC_10YR_ANN_CAGR" hidden="1">"c6115"</definedName>
    <definedName name="IQ_NON_INT_INC_10YR_ANN_GROWTH" hidden="1">"c803"</definedName>
    <definedName name="IQ_NON_INT_INC_1YR_ANN_GROWTH" hidden="1">"c804"</definedName>
    <definedName name="IQ_NON_INT_INC_2YR_ANN_CAGR" hidden="1">"c6116"</definedName>
    <definedName name="IQ_NON_INT_INC_2YR_ANN_GROWTH" hidden="1">"c805"</definedName>
    <definedName name="IQ_NON_INT_INC_3YR_ANN_CAGR" hidden="1">"c6117"</definedName>
    <definedName name="IQ_NON_INT_INC_3YR_ANN_GROWTH" hidden="1">"c806"</definedName>
    <definedName name="IQ_NON_INT_INC_5YR_ANN_CAGR" hidden="1">"c6118"</definedName>
    <definedName name="IQ_NON_INT_INC_5YR_ANN_GROWTH" hidden="1">"c807"</definedName>
    <definedName name="IQ_NON_INT_INC_7YR_ANN_CAGR" hidden="1">"c6119"</definedName>
    <definedName name="IQ_NON_INT_INC_7YR_ANN_GROWTH" hidden="1">"c808"</definedName>
    <definedName name="IQ_NON_INT_INC_AVG_ASSETS_FFIEC" hidden="1">"c13359"</definedName>
    <definedName name="IQ_NON_INT_INC_BNK_AP" hidden="1">"c8876"</definedName>
    <definedName name="IQ_NON_INT_INC_BNK_AP_ABS" hidden="1">"c8895"</definedName>
    <definedName name="IQ_NON_INT_INC_BNK_NAME_AP" hidden="1">"c8914"</definedName>
    <definedName name="IQ_NON_INT_INC_BNK_NAME_AP_ABS" hidden="1">"c8933"</definedName>
    <definedName name="IQ_NON_INT_INC_BNK_SUBTOTAL_AP" hidden="1">"c8980"</definedName>
    <definedName name="IQ_NON_INT_INC_FDIC" hidden="1">"c6575"</definedName>
    <definedName name="IQ_NON_INT_INC_OPERATING_INC_FFIEC" hidden="1">"c13382"</definedName>
    <definedName name="IQ_NON_INT_INCOME_FFIEC" hidden="1">"c13017"</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CAGR" hidden="1">"c6120"</definedName>
    <definedName name="IQ_NON_PERF_ASSETS_10YR_ANN_GROWTH" hidden="1">"c811"</definedName>
    <definedName name="IQ_NON_PERF_ASSETS_1YR_ANN_GROWTH" hidden="1">"c812"</definedName>
    <definedName name="IQ_NON_PERF_ASSETS_2YR_ANN_CAGR" hidden="1">"c6121"</definedName>
    <definedName name="IQ_NON_PERF_ASSETS_2YR_ANN_GROWTH" hidden="1">"c813"</definedName>
    <definedName name="IQ_NON_PERF_ASSETS_3YR_ANN_CAGR" hidden="1">"c6122"</definedName>
    <definedName name="IQ_NON_PERF_ASSETS_3YR_ANN_GROWTH" hidden="1">"c814"</definedName>
    <definedName name="IQ_NON_PERF_ASSETS_5YR_ANN_CAGR" hidden="1">"c6123"</definedName>
    <definedName name="IQ_NON_PERF_ASSETS_5YR_ANN_GROWTH" hidden="1">"c815"</definedName>
    <definedName name="IQ_NON_PERF_ASSETS_7YR_ANN_CAGR" hidden="1">"c6124"</definedName>
    <definedName name="IQ_NON_PERF_ASSETS_7YR_ANN_GROWTH" hidden="1">"c816"</definedName>
    <definedName name="IQ_NON_PERF_ASSETS_TOTAL_ASSETS" hidden="1">"c817"</definedName>
    <definedName name="IQ_NON_PERF_LOANS_10YR_ANN_CAGR" hidden="1">"c6125"</definedName>
    <definedName name="IQ_NON_PERF_LOANS_10YR_ANN_GROWTH" hidden="1">"c818"</definedName>
    <definedName name="IQ_NON_PERF_LOANS_1YR_ANN_GROWTH" hidden="1">"c819"</definedName>
    <definedName name="IQ_NON_PERF_LOANS_2YR_ANN_CAGR" hidden="1">"c6126"</definedName>
    <definedName name="IQ_NON_PERF_LOANS_2YR_ANN_GROWTH" hidden="1">"c820"</definedName>
    <definedName name="IQ_NON_PERF_LOANS_3YR_ANN_CAGR" hidden="1">"c6127"</definedName>
    <definedName name="IQ_NON_PERF_LOANS_3YR_ANN_GROWTH" hidden="1">"c821"</definedName>
    <definedName name="IQ_NON_PERF_LOANS_5YR_ANN_CAGR" hidden="1">"c6128"</definedName>
    <definedName name="IQ_NON_PERF_LOANS_5YR_ANN_GROWTH" hidden="1">"c822"</definedName>
    <definedName name="IQ_NON_PERF_LOANS_7YR_ANN_CAGR" hidden="1">"c6129"</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ASSETS_FFIEC" hidden="1">"c13859"</definedName>
    <definedName name="IQ_NON_PERFORMING_LOANS" hidden="1">"c827"</definedName>
    <definedName name="IQ_NON_PERFORMING_LOANS_FFIEC" hidden="1">"c13861"</definedName>
    <definedName name="IQ_NON_US_ADDRESS_LEASE_FIN_REC_FFIEC" hidden="1">"c13625"</definedName>
    <definedName name="IQ_NON_US_ADDRESSEES_TOTAL_LOANS_FOREIGN_FDIC" hidden="1">"c6443"</definedName>
    <definedName name="IQ_NON_US_CHARGE_OFFS_AND_RECOVERIES_FDIC" hidden="1">"c6650"</definedName>
    <definedName name="IQ_NON_US_CHARGE_OFFS_FDIC" hidden="1">"c6648"</definedName>
    <definedName name="IQ_NON_US_COMMERCIAL_INDUSTRIAL_CHARGE_OFFS_FDIC" hidden="1">"c6651"</definedName>
    <definedName name="IQ_NON_US_NET_LOANS_FDIC" hidden="1">"c6376"</definedName>
    <definedName name="IQ_NON_US_RECOVERIES_FDIC" hidden="1">"c6649"</definedName>
    <definedName name="IQ_NONCASH_INCOME_AMORT_CLOSED_END_LOANS_FFIEC" hidden="1">"c13078"</definedName>
    <definedName name="IQ_NONCASH_PENSION_EXP" hidden="1">"c3000"</definedName>
    <definedName name="IQ_NONCORE_ASSETS_TOT_FFIEC" hidden="1">"c13443"</definedName>
    <definedName name="IQ_NONCURRENT_LOANS_1_4_FAMILY_FDIC" hidden="1">"c6770"</definedName>
    <definedName name="IQ_NONCURRENT_LOANS_COMMERCIAL_INDUSTRIAL_FDIC" hidden="1">"c6773"</definedName>
    <definedName name="IQ_NONCURRENT_LOANS_COMMERCIAL_RE_FDIC" hidden="1">"c6768"</definedName>
    <definedName name="IQ_NONCURRENT_LOANS_COMMERCIAL_RE_NOT_SECURED_FDIC" hidden="1">"c6778"</definedName>
    <definedName name="IQ_NONCURRENT_LOANS_CONSTRUCTION_LAND_DEV_FDIC" hidden="1">"c6767"</definedName>
    <definedName name="IQ_NONCURRENT_LOANS_CREDIT_CARD_FDIC" hidden="1">"c6775"</definedName>
    <definedName name="IQ_NONCURRENT_LOANS_GUARANTEED_FDIC" hidden="1">"c6358"</definedName>
    <definedName name="IQ_NONCURRENT_LOANS_HOME_EQUITY_FDIC" hidden="1">"c6771"</definedName>
    <definedName name="IQ_NONCURRENT_LOANS_INDIVIDUALS_FDIC" hidden="1">"c6774"</definedName>
    <definedName name="IQ_NONCURRENT_LOANS_LEASES_FDIC" hidden="1">"c6357"</definedName>
    <definedName name="IQ_NONCURRENT_LOANS_MULTIFAMILY_FDIC" hidden="1">"c6769"</definedName>
    <definedName name="IQ_NONCURRENT_LOANS_OTHER_FAMILY_FDIC" hidden="1">"c6772"</definedName>
    <definedName name="IQ_NONCURRENT_LOANS_OTHER_INDIVIDUAL_FDIC" hidden="1">"c6776"</definedName>
    <definedName name="IQ_NONCURRENT_LOANS_OTHER_LOANS_FDIC" hidden="1">"c6777"</definedName>
    <definedName name="IQ_NONCURRENT_LOANS_RE_FDIC" hidden="1">"c6766"</definedName>
    <definedName name="IQ_NONCURRENT_LOANS_TOTAL_LOANS_FDIC" hidden="1">"c6765"</definedName>
    <definedName name="IQ_NONCURRENT_OREO_ASSETS_FDIC" hidden="1">"c6741"</definedName>
    <definedName name="IQ_NONDEF_CAPITAL_GOODS_ORDERS" hidden="1">"c6932"</definedName>
    <definedName name="IQ_NONDEF_CAPITAL_GOODS_ORDERS_APR" hidden="1">"c7592"</definedName>
    <definedName name="IQ_NONDEF_CAPITAL_GOODS_ORDERS_APR_FC" hidden="1">"c8472"</definedName>
    <definedName name="IQ_NONDEF_CAPITAL_GOODS_ORDERS_FC" hidden="1">"c7812"</definedName>
    <definedName name="IQ_NONDEF_CAPITAL_GOODS_ORDERS_POP" hidden="1">"c7152"</definedName>
    <definedName name="IQ_NONDEF_CAPITAL_GOODS_ORDERS_POP_FC" hidden="1">"c8032"</definedName>
    <definedName name="IQ_NONDEF_CAPITAL_GOODS_ORDERS_YOY" hidden="1">"c7372"</definedName>
    <definedName name="IQ_NONDEF_CAPITAL_GOODS_ORDERS_YOY_FC" hidden="1">"c8252"</definedName>
    <definedName name="IQ_NONDEF_CAPITAL_GOODS_SHIPMENTS" hidden="1">"c6933"</definedName>
    <definedName name="IQ_NONDEF_CAPITAL_GOODS_SHIPMENTS_APR" hidden="1">"c7593"</definedName>
    <definedName name="IQ_NONDEF_CAPITAL_GOODS_SHIPMENTS_APR_FC" hidden="1">"c8473"</definedName>
    <definedName name="IQ_NONDEF_CAPITAL_GOODS_SHIPMENTS_FC" hidden="1">"c7813"</definedName>
    <definedName name="IQ_NONDEF_CAPITAL_GOODS_SHIPMENTS_POP" hidden="1">"c7153"</definedName>
    <definedName name="IQ_NONDEF_CAPITAL_GOODS_SHIPMENTS_POP_FC" hidden="1">"c8033"</definedName>
    <definedName name="IQ_NONDEF_CAPITAL_GOODS_SHIPMENTS_YOY" hidden="1">"c7373"</definedName>
    <definedName name="IQ_NONDEF_CAPITAL_GOODS_SHIPMENTS_YOY_FC" hidden="1">"c8253"</definedName>
    <definedName name="IQ_NONDEF_SPENDING_SAAR" hidden="1">"c6934"</definedName>
    <definedName name="IQ_NONDEF_SPENDING_SAAR_APR" hidden="1">"c7594"</definedName>
    <definedName name="IQ_NONDEF_SPENDING_SAAR_APR_FC" hidden="1">"c8474"</definedName>
    <definedName name="IQ_NONDEF_SPENDING_SAAR_FC" hidden="1">"c7814"</definedName>
    <definedName name="IQ_NONDEF_SPENDING_SAAR_POP" hidden="1">"c7154"</definedName>
    <definedName name="IQ_NONDEF_SPENDING_SAAR_POP_FC" hidden="1">"c8034"</definedName>
    <definedName name="IQ_NONDEF_SPENDING_SAAR_YOY" hidden="1">"c7374"</definedName>
    <definedName name="IQ_NONDEF_SPENDING_SAAR_YOY_FC" hidden="1">"c8254"</definedName>
    <definedName name="IQ_NONFARM_EMP_HRS_PCT_CHANGE" hidden="1">"c6935"</definedName>
    <definedName name="IQ_NONFARM_EMP_HRS_PCT_CHANGE_FC" hidden="1">"c7815"</definedName>
    <definedName name="IQ_NONFARM_EMP_HRS_PCT_CHANGE_POP" hidden="1">"c7155"</definedName>
    <definedName name="IQ_NONFARM_EMP_HRS_PCT_CHANGE_POP_FC" hidden="1">"c8035"</definedName>
    <definedName name="IQ_NONFARM_EMP_HRS_PCT_CHANGE_YOY" hidden="1">"c7375"</definedName>
    <definedName name="IQ_NONFARM_EMP_HRS_PCT_CHANGE_YOY_FC" hidden="1">"c8255"</definedName>
    <definedName name="IQ_NONFARM_NONRES_GROSS_LOANS_FFIEC" hidden="1">"c13405"</definedName>
    <definedName name="IQ_NONFARM_NONRES_LL_REC_DOM_FFIEC" hidden="1">"c13626"</definedName>
    <definedName name="IQ_NONFARM_NONRES_RISK_BASED_FFIEC" hidden="1">"c13426"</definedName>
    <definedName name="IQ_NONFARM_OUTPUT_PER_HR" hidden="1">"c6936"</definedName>
    <definedName name="IQ_NONFARM_OUTPUT_PER_HR_APR" hidden="1">"c7596"</definedName>
    <definedName name="IQ_NONFARM_OUTPUT_PER_HR_APR_FC" hidden="1">"c8476"</definedName>
    <definedName name="IQ_NONFARM_OUTPUT_PER_HR_FC" hidden="1">"c7816"</definedName>
    <definedName name="IQ_NONFARM_OUTPUT_PER_HR_POP" hidden="1">"c7156"</definedName>
    <definedName name="IQ_NONFARM_OUTPUT_PER_HR_POP_FC" hidden="1">"c8036"</definedName>
    <definedName name="IQ_NONFARM_OUTPUT_PER_HR_YOY" hidden="1">"c7376"</definedName>
    <definedName name="IQ_NONFARM_OUTPUT_PER_HR_YOY_FC" hidden="1">"c8256"</definedName>
    <definedName name="IQ_NONFARM_PAYROLLS" hidden="1">"c6926"</definedName>
    <definedName name="IQ_NONFARM_PAYROLLS_APR" hidden="1">"c7586"</definedName>
    <definedName name="IQ_NONFARM_PAYROLLS_APR_FC" hidden="1">"c8466"</definedName>
    <definedName name="IQ_NONFARM_PAYROLLS_FC" hidden="1">"c7806"</definedName>
    <definedName name="IQ_NONFARM_PAYROLLS_POP" hidden="1">"c7146"</definedName>
    <definedName name="IQ_NONFARM_PAYROLLS_POP_FC" hidden="1">"c8026"</definedName>
    <definedName name="IQ_NONFARM_PAYROLLS_YOY" hidden="1">"c7366"</definedName>
    <definedName name="IQ_NONFARM_PAYROLLS_YOY_FC" hidden="1">"c8246"</definedName>
    <definedName name="IQ_NONFARM_TOTAL_HR_INDEX" hidden="1">"c6937"</definedName>
    <definedName name="IQ_NONFARM_TOTAL_HR_INDEX_APR" hidden="1">"c7597"</definedName>
    <definedName name="IQ_NONFARM_TOTAL_HR_INDEX_APR_FC" hidden="1">"c8477"</definedName>
    <definedName name="IQ_NONFARM_TOTAL_HR_INDEX_FC" hidden="1">"c7817"</definedName>
    <definedName name="IQ_NONFARM_TOTAL_HR_INDEX_POP" hidden="1">"c7157"</definedName>
    <definedName name="IQ_NONFARM_TOTAL_HR_INDEX_POP_FC" hidden="1">"c8037"</definedName>
    <definedName name="IQ_NONFARM_TOTAL_HR_INDEX_YOY" hidden="1">"c7377"</definedName>
    <definedName name="IQ_NONFARM_TOTAL_HR_INDEX_YOY_FC" hidden="1">"c8257"</definedName>
    <definedName name="IQ_NONFARM_WAGES" hidden="1">"c6938"</definedName>
    <definedName name="IQ_NONFARM_WAGES_APR" hidden="1">"c7598"</definedName>
    <definedName name="IQ_NONFARM_WAGES_APR_FC" hidden="1">"c8478"</definedName>
    <definedName name="IQ_NONFARM_WAGES_FC" hidden="1">"c7818"</definedName>
    <definedName name="IQ_NONFARM_WAGES_INDEX" hidden="1">"c6939"</definedName>
    <definedName name="IQ_NONFARM_WAGES_INDEX_APR" hidden="1">"c7599"</definedName>
    <definedName name="IQ_NONFARM_WAGES_INDEX_APR_FC" hidden="1">"c8479"</definedName>
    <definedName name="IQ_NONFARM_WAGES_INDEX_FC" hidden="1">"c7819"</definedName>
    <definedName name="IQ_NONFARM_WAGES_INDEX_POP" hidden="1">"c7159"</definedName>
    <definedName name="IQ_NONFARM_WAGES_INDEX_POP_FC" hidden="1">"c8039"</definedName>
    <definedName name="IQ_NONFARM_WAGES_INDEX_YOY" hidden="1">"c7379"</definedName>
    <definedName name="IQ_NONFARM_WAGES_INDEX_YOY_FC" hidden="1">"c8259"</definedName>
    <definedName name="IQ_NONFARM_WAGES_POP" hidden="1">"c7158"</definedName>
    <definedName name="IQ_NONFARM_WAGES_POP_FC" hidden="1">"c8038"</definedName>
    <definedName name="IQ_NONFARM_WAGES_YOY" hidden="1">"c7378"</definedName>
    <definedName name="IQ_NONFARM_WAGES_YOY_FC" hidden="1">"c8258"</definedName>
    <definedName name="IQ_NONINTEREST_BEARING_BALANCES_FDIC" hidden="1">"c6394"</definedName>
    <definedName name="IQ_NONINTEREST_BEARING_CASH_FFIEC" hidden="1">"c12774"</definedName>
    <definedName name="IQ_NONINTEREST_BEARING_DEPOSITS_DOMESTIC_FDIC" hidden="1">"c6477"</definedName>
    <definedName name="IQ_NONINTEREST_BEARING_DEPOSITS_FOREIGN_FDIC" hidden="1">"c6484"</definedName>
    <definedName name="IQ_NONINTEREST_EXPENSE_EARNING_ASSETS_FDIC" hidden="1">"c6728"</definedName>
    <definedName name="IQ_NONINTEREST_INCOME_EARNING_ASSETS_FDIC" hidden="1">"c6727"</definedName>
    <definedName name="IQ_NONMORTGAGE_SERVICING_FDIC" hidden="1">"c6336"</definedName>
    <definedName name="IQ_NONQUALIFYING_PREFERRED_T1_FFIEC" hidden="1">"c13134"</definedName>
    <definedName name="IQ_NONRECOURSE_DEBT" hidden="1">"c2550"</definedName>
    <definedName name="IQ_NONRECOURSE_DEBT_PCT" hidden="1">"c2551"</definedName>
    <definedName name="IQ_NONRES_FIXED_INVEST" hidden="1">"c6931"</definedName>
    <definedName name="IQ_NONRES_FIXED_INVEST_APR" hidden="1">"c7591"</definedName>
    <definedName name="IQ_NONRES_FIXED_INVEST_POP" hidden="1">"c7151"</definedName>
    <definedName name="IQ_NONRES_FIXED_INVEST_PRIV_APR_FC_UNUSED" hidden="1">"c8468"</definedName>
    <definedName name="IQ_NONRES_FIXED_INVEST_PRIV_APR_UNUSED" hidden="1">"c7588"</definedName>
    <definedName name="IQ_NONRES_FIXED_INVEST_PRIV_FC_UNUSED" hidden="1">"c7808"</definedName>
    <definedName name="IQ_NONRES_FIXED_INVEST_PRIV_POP_FC_UNUSED" hidden="1">"c8028"</definedName>
    <definedName name="IQ_NONRES_FIXED_INVEST_PRIV_POP_UNUSED" hidden="1">"c7148"</definedName>
    <definedName name="IQ_NONRES_FIXED_INVEST_PRIV_REAL" hidden="1">"c6989"</definedName>
    <definedName name="IQ_NONRES_FIXED_INVEST_PRIV_REAL_APR" hidden="1">"c7649"</definedName>
    <definedName name="IQ_NONRES_FIXED_INVEST_PRIV_REAL_APR_FC" hidden="1">"c8529"</definedName>
    <definedName name="IQ_NONRES_FIXED_INVEST_PRIV_REAL_FC" hidden="1">"c7869"</definedName>
    <definedName name="IQ_NONRES_FIXED_INVEST_PRIV_REAL_POP" hidden="1">"c7209"</definedName>
    <definedName name="IQ_NONRES_FIXED_INVEST_PRIV_REAL_POP_FC" hidden="1">"c8089"</definedName>
    <definedName name="IQ_NONRES_FIXED_INVEST_PRIV_REAL_SAAR" hidden="1">"c6990"</definedName>
    <definedName name="IQ_NONRES_FIXED_INVEST_PRIV_REAL_SAAR_APR" hidden="1">"c7650"</definedName>
    <definedName name="IQ_NONRES_FIXED_INVEST_PRIV_REAL_SAAR_APR_FC" hidden="1">"c8530"</definedName>
    <definedName name="IQ_NONRES_FIXED_INVEST_PRIV_REAL_SAAR_FC" hidden="1">"c7870"</definedName>
    <definedName name="IQ_NONRES_FIXED_INVEST_PRIV_REAL_SAAR_POP" hidden="1">"c7210"</definedName>
    <definedName name="IQ_NONRES_FIXED_INVEST_PRIV_REAL_SAAR_POP_FC" hidden="1">"c8090"</definedName>
    <definedName name="IQ_NONRES_FIXED_INVEST_PRIV_REAL_SAAR_USD_APR_FC" hidden="1">"c11981"</definedName>
    <definedName name="IQ_NONRES_FIXED_INVEST_PRIV_REAL_SAAR_USD_FC" hidden="1">"c11978"</definedName>
    <definedName name="IQ_NONRES_FIXED_INVEST_PRIV_REAL_SAAR_USD_POP_FC" hidden="1">"c11979"</definedName>
    <definedName name="IQ_NONRES_FIXED_INVEST_PRIV_REAL_SAAR_USD_YOY_FC" hidden="1">"c11980"</definedName>
    <definedName name="IQ_NONRES_FIXED_INVEST_PRIV_REAL_SAAR_YOY" hidden="1">"c7430"</definedName>
    <definedName name="IQ_NONRES_FIXED_INVEST_PRIV_REAL_SAAR_YOY_FC" hidden="1">"c8310"</definedName>
    <definedName name="IQ_NONRES_FIXED_INVEST_PRIV_REAL_USD_APR_FC" hidden="1">"c11977"</definedName>
    <definedName name="IQ_NONRES_FIXED_INVEST_PRIV_REAL_USD_FC" hidden="1">"c11974"</definedName>
    <definedName name="IQ_NONRES_FIXED_INVEST_PRIV_REAL_USD_POP_FC" hidden="1">"c11975"</definedName>
    <definedName name="IQ_NONRES_FIXED_INVEST_PRIV_REAL_USD_YOY_FC" hidden="1">"c11976"</definedName>
    <definedName name="IQ_NONRES_FIXED_INVEST_PRIV_REAL_YOY" hidden="1">"c7429"</definedName>
    <definedName name="IQ_NONRES_FIXED_INVEST_PRIV_REAL_YOY_FC" hidden="1">"c8309"</definedName>
    <definedName name="IQ_NONRES_FIXED_INVEST_PRIV_SAAR" hidden="1">"c6929"</definedName>
    <definedName name="IQ_NONRES_FIXED_INVEST_PRIV_SAAR_APR" hidden="1">"c7589"</definedName>
    <definedName name="IQ_NONRES_FIXED_INVEST_PRIV_SAAR_APR_FC" hidden="1">"c8469"</definedName>
    <definedName name="IQ_NONRES_FIXED_INVEST_PRIV_SAAR_FC" hidden="1">"c7809"</definedName>
    <definedName name="IQ_NONRES_FIXED_INVEST_PRIV_SAAR_POP" hidden="1">"c7149"</definedName>
    <definedName name="IQ_NONRES_FIXED_INVEST_PRIV_SAAR_POP_FC" hidden="1">"c8029"</definedName>
    <definedName name="IQ_NONRES_FIXED_INVEST_PRIV_SAAR_USD_APR_FC" hidden="1">"c11877"</definedName>
    <definedName name="IQ_NONRES_FIXED_INVEST_PRIV_SAAR_USD_FC" hidden="1">"c11874"</definedName>
    <definedName name="IQ_NONRES_FIXED_INVEST_PRIV_SAAR_USD_POP_FC" hidden="1">"c11875"</definedName>
    <definedName name="IQ_NONRES_FIXED_INVEST_PRIV_SAAR_USD_YOY_FC" hidden="1">"c11876"</definedName>
    <definedName name="IQ_NONRES_FIXED_INVEST_PRIV_SAAR_YOY" hidden="1">"c7369"</definedName>
    <definedName name="IQ_NONRES_FIXED_INVEST_PRIV_SAAR_YOY_FC" hidden="1">"c8249"</definedName>
    <definedName name="IQ_NONRES_FIXED_INVEST_PRIV_UNUSED" hidden="1">"c6928"</definedName>
    <definedName name="IQ_NONRES_FIXED_INVEST_PRIV_USD_APR_FC" hidden="1">"c11873"</definedName>
    <definedName name="IQ_NONRES_FIXED_INVEST_PRIV_USD_FC" hidden="1">"c11870"</definedName>
    <definedName name="IQ_NONRES_FIXED_INVEST_PRIV_USD_POP_FC" hidden="1">"c11871"</definedName>
    <definedName name="IQ_NONRES_FIXED_INVEST_PRIV_USD_YOY_FC" hidden="1">"c11872"</definedName>
    <definedName name="IQ_NONRES_FIXED_INVEST_PRIV_YOY_FC_UNUSED" hidden="1">"c8248"</definedName>
    <definedName name="IQ_NONRES_FIXED_INVEST_PRIV_YOY_UNUSED" hidden="1">"c7368"</definedName>
    <definedName name="IQ_NONRES_FIXED_INVEST_REAL" hidden="1">"c6993"</definedName>
    <definedName name="IQ_NONRES_FIXED_INVEST_REAL_APR" hidden="1">"c7653"</definedName>
    <definedName name="IQ_NONRES_FIXED_INVEST_REAL_POP" hidden="1">"c7213"</definedName>
    <definedName name="IQ_NONRES_FIXED_INVEST_REAL_SAAR" hidden="1">"c6987"</definedName>
    <definedName name="IQ_NONRES_FIXED_INVEST_REAL_SAAR_APR" hidden="1">"c7647"</definedName>
    <definedName name="IQ_NONRES_FIXED_INVEST_REAL_SAAR_APR_FC" hidden="1">"c8527"</definedName>
    <definedName name="IQ_NONRES_FIXED_INVEST_REAL_SAAR_FC" hidden="1">"c7867"</definedName>
    <definedName name="IQ_NONRES_FIXED_INVEST_REAL_SAAR_POP" hidden="1">"c7207"</definedName>
    <definedName name="IQ_NONRES_FIXED_INVEST_REAL_SAAR_POP_FC" hidden="1">"c8087"</definedName>
    <definedName name="IQ_NONRES_FIXED_INVEST_REAL_SAAR_YOY" hidden="1">"c7427"</definedName>
    <definedName name="IQ_NONRES_FIXED_INVEST_REAL_SAAR_YOY_FC" hidden="1">"c8307"</definedName>
    <definedName name="IQ_NONRES_FIXED_INVEST_REAL_USD_APR_FC" hidden="1">"c11973"</definedName>
    <definedName name="IQ_NONRES_FIXED_INVEST_REAL_USD_FC" hidden="1">"c11970"</definedName>
    <definedName name="IQ_NONRES_FIXED_INVEST_REAL_USD_POP_FC" hidden="1">"c11971"</definedName>
    <definedName name="IQ_NONRES_FIXED_INVEST_REAL_USD_YOY_FC" hidden="1">"c11972"</definedName>
    <definedName name="IQ_NONRES_FIXED_INVEST_REAL_YOY" hidden="1">"c7433"</definedName>
    <definedName name="IQ_NONRES_FIXED_INVEST_STRUCT" hidden="1">"c6930"</definedName>
    <definedName name="IQ_NONRES_FIXED_INVEST_STRUCT_APR" hidden="1">"c7590"</definedName>
    <definedName name="IQ_NONRES_FIXED_INVEST_STRUCT_APR_FC" hidden="1">"c8470"</definedName>
    <definedName name="IQ_NONRES_FIXED_INVEST_STRUCT_FC" hidden="1">"c7810"</definedName>
    <definedName name="IQ_NONRES_FIXED_INVEST_STRUCT_POP" hidden="1">"c7150"</definedName>
    <definedName name="IQ_NONRES_FIXED_INVEST_STRUCT_POP_FC" hidden="1">"c8030"</definedName>
    <definedName name="IQ_NONRES_FIXED_INVEST_STRUCT_REAL" hidden="1">"c6992"</definedName>
    <definedName name="IQ_NONRES_FIXED_INVEST_STRUCT_REAL_APR" hidden="1">"c7652"</definedName>
    <definedName name="IQ_NONRES_FIXED_INVEST_STRUCT_REAL_APR_FC" hidden="1">"c8532"</definedName>
    <definedName name="IQ_NONRES_FIXED_INVEST_STRUCT_REAL_FC" hidden="1">"c7872"</definedName>
    <definedName name="IQ_NONRES_FIXED_INVEST_STRUCT_REAL_POP" hidden="1">"c7212"</definedName>
    <definedName name="IQ_NONRES_FIXED_INVEST_STRUCT_REAL_POP_FC" hidden="1">"c8092"</definedName>
    <definedName name="IQ_NONRES_FIXED_INVEST_STRUCT_REAL_SAAR" hidden="1">"c6991"</definedName>
    <definedName name="IQ_NONRES_FIXED_INVEST_STRUCT_REAL_SAAR_APR" hidden="1">"c7651"</definedName>
    <definedName name="IQ_NONRES_FIXED_INVEST_STRUCT_REAL_SAAR_APR_FC" hidden="1">"c8531"</definedName>
    <definedName name="IQ_NONRES_FIXED_INVEST_STRUCT_REAL_SAAR_FC" hidden="1">"c7871"</definedName>
    <definedName name="IQ_NONRES_FIXED_INVEST_STRUCT_REAL_SAAR_POP" hidden="1">"c7211"</definedName>
    <definedName name="IQ_NONRES_FIXED_INVEST_STRUCT_REAL_SAAR_POP_FC" hidden="1">"c8091"</definedName>
    <definedName name="IQ_NONRES_FIXED_INVEST_STRUCT_REAL_SAAR_YOY" hidden="1">"c7431"</definedName>
    <definedName name="IQ_NONRES_FIXED_INVEST_STRUCT_REAL_SAAR_YOY_FC" hidden="1">"c8311"</definedName>
    <definedName name="IQ_NONRES_FIXED_INVEST_STRUCT_REAL_USD_APR_FC" hidden="1">"c11985"</definedName>
    <definedName name="IQ_NONRES_FIXED_INVEST_STRUCT_REAL_USD_FC" hidden="1">"c11982"</definedName>
    <definedName name="IQ_NONRES_FIXED_INVEST_STRUCT_REAL_USD_POP_FC" hidden="1">"c11983"</definedName>
    <definedName name="IQ_NONRES_FIXED_INVEST_STRUCT_REAL_USD_YOY_FC" hidden="1">"c11984"</definedName>
    <definedName name="IQ_NONRES_FIXED_INVEST_STRUCT_REAL_YOY" hidden="1">"c7432"</definedName>
    <definedName name="IQ_NONRES_FIXED_INVEST_STRUCT_REAL_YOY_FC" hidden="1">"c8312"</definedName>
    <definedName name="IQ_NONRES_FIXED_INVEST_STRUCT_USD_APR_FC" hidden="1">"c11881"</definedName>
    <definedName name="IQ_NONRES_FIXED_INVEST_STRUCT_USD_FC" hidden="1">"c11878"</definedName>
    <definedName name="IQ_NONRES_FIXED_INVEST_STRUCT_USD_POP_FC" hidden="1">"c11879"</definedName>
    <definedName name="IQ_NONRES_FIXED_INVEST_STRUCT_USD_YOY_FC" hidden="1">"c11880"</definedName>
    <definedName name="IQ_NONRES_FIXED_INVEST_STRUCT_YOY" hidden="1">"c7370"</definedName>
    <definedName name="IQ_NONRES_FIXED_INVEST_STRUCT_YOY_FC" hidden="1">"c8250"</definedName>
    <definedName name="IQ_NONRES_FIXED_INVEST_USD_APR_FC" hidden="1">"c11869"</definedName>
    <definedName name="IQ_NONRES_FIXED_INVEST_USD_FC" hidden="1">"c11866"</definedName>
    <definedName name="IQ_NONRES_FIXED_INVEST_USD_POP_FC" hidden="1">"c11867"</definedName>
    <definedName name="IQ_NONRES_FIXED_INVEST_USD_YOY_FC" hidden="1">"c11868"</definedName>
    <definedName name="IQ_NONRES_FIXED_INVEST_YOY" hidden="1">"c7371"</definedName>
    <definedName name="IQ_NONTRADING_SECURITIES_FAIR_VALUE_TOT_FFIEC" hidden="1">"c13211"</definedName>
    <definedName name="IQ_NONTRADING_SECURITIES_LEVEL_1_FFIEC" hidden="1">"c13219"</definedName>
    <definedName name="IQ_NONTRADING_SECURITIES_LEVEL_2_FFIEC" hidden="1">"c13227"</definedName>
    <definedName name="IQ_NONTRADING_SECURITIES_LEVEL_3_FFIEC" hidden="1">"c13235"</definedName>
    <definedName name="IQ_NONTRANSACTION_ACCOUNTS_FDIC" hidden="1">"c6552"</definedName>
    <definedName name="IQ_NONUTIL_REV" hidden="1">"c2089"</definedName>
    <definedName name="IQ_NORM_EPS_ACT_OR_EST" hidden="1">"c2249"</definedName>
    <definedName name="IQ_NORM_EPS_ACT_OR_EST_CIQ" hidden="1">"c5069"</definedName>
    <definedName name="IQ_NORMAL_INC_AFTER" hidden="1">"c1605"</definedName>
    <definedName name="IQ_NORMAL_INC_AVAIL" hidden="1">"c1606"</definedName>
    <definedName name="IQ_NORMAL_INC_BEFORE" hidden="1">"c1607"</definedName>
    <definedName name="IQ_NOTES_PAY" hidden="1">"c1423"</definedName>
    <definedName name="IQ_NOTIONAL_AMOUNT_CREDIT_DERIVATIVES_FDIC" hidden="1">"c6507"</definedName>
    <definedName name="IQ_NOTIONAL_AMT_DERIVATIVES_BENEFICIARY_FFIEC" hidden="1">"c13118"</definedName>
    <definedName name="IQ_NOTIONAL_AMT_DERIVATIVES_GUARANTOR_FFIEC" hidden="1">"c13111"</definedName>
    <definedName name="IQ_NOTIONAL_VALUE_EXCHANGE_SWAPS_FDIC" hidden="1">"c6516"</definedName>
    <definedName name="IQ_NOTIONAL_VALUE_OTHER_SWAPS_FDIC" hidden="1">"c6521"</definedName>
    <definedName name="IQ_NOTIONAL_VALUE_RATE_SWAPS_FDIC" hidden="1">"c6511"</definedName>
    <definedName name="IQ_NOW_ACCOUNT" hidden="1">"c828"</definedName>
    <definedName name="IQ_NOW_ATS_ACCOUNTS_COMMERCIAL_BANK_SUBS_FFIEC" hidden="1">"c12946"</definedName>
    <definedName name="IQ_NOW_ATS_ACCOUNTS_OTHER_INSTITUTIONS_FFIEC" hidden="1">"c12951"</definedName>
    <definedName name="IQ_NOW_OTHER_TRANS_ACCTS_TOT_DEPOSITS_FFIEC" hidden="1">"c13903"</definedName>
    <definedName name="IQ_NPPE" hidden="1">"c829"</definedName>
    <definedName name="IQ_NPPE_10YR_ANN_CAGR" hidden="1">"c6130"</definedName>
    <definedName name="IQ_NPPE_10YR_ANN_GROWTH" hidden="1">"c830"</definedName>
    <definedName name="IQ_NPPE_1YR_ANN_GROWTH" hidden="1">"c831"</definedName>
    <definedName name="IQ_NPPE_2YR_ANN_CAGR" hidden="1">"c6131"</definedName>
    <definedName name="IQ_NPPE_2YR_ANN_GROWTH" hidden="1">"c832"</definedName>
    <definedName name="IQ_NPPE_3YR_ANN_CAGR" hidden="1">"c6132"</definedName>
    <definedName name="IQ_NPPE_3YR_ANN_GROWTH" hidden="1">"c833"</definedName>
    <definedName name="IQ_NPPE_5YR_ANN_CAGR" hidden="1">"c6133"</definedName>
    <definedName name="IQ_NPPE_5YR_ANN_GROWTH" hidden="1">"c834"</definedName>
    <definedName name="IQ_NPPE_7YR_ANN_CAGR" hidden="1">"c6134"</definedName>
    <definedName name="IQ_NPPE_7YR_ANN_GROWTH" hidden="1">"c835"</definedName>
    <definedName name="IQ_NTM">6000</definedName>
    <definedName name="IQ_NUKE" hidden="1">"c836"</definedName>
    <definedName name="IQ_NUKE_CF" hidden="1">"c837"</definedName>
    <definedName name="IQ_NUKE_CONTR" hidden="1">"c838"</definedName>
    <definedName name="IQ_NUM_BRANCHES" hidden="1">"c2088"</definedName>
    <definedName name="IQ_NUM_CONTRIBUTORS" hidden="1">"c13739"</definedName>
    <definedName name="IQ_NUMBER_ADRHOLDERS" hidden="1">"c1970"</definedName>
    <definedName name="IQ_NUMBER_DAYS" hidden="1">"c1904"</definedName>
    <definedName name="IQ_NUMBER_DEPOSITS_LESS_THAN_100K_FDIC" hidden="1">"c6495"</definedName>
    <definedName name="IQ_NUMBER_DEPOSITS_MORE_THAN_100K_FDIC" hidden="1">"c6493"</definedName>
    <definedName name="IQ_NUMBER_MINES_ALUM" hidden="1">"c9248"</definedName>
    <definedName name="IQ_NUMBER_MINES_COAL" hidden="1">"c9822"</definedName>
    <definedName name="IQ_NUMBER_MINES_COP" hidden="1">"c9193"</definedName>
    <definedName name="IQ_NUMBER_MINES_DIAM" hidden="1">"c9672"</definedName>
    <definedName name="IQ_NUMBER_MINES_GOLD" hidden="1">"c9033"</definedName>
    <definedName name="IQ_NUMBER_MINES_IRON" hidden="1">"c9407"</definedName>
    <definedName name="IQ_NUMBER_MINES_LEAD" hidden="1">"c9460"</definedName>
    <definedName name="IQ_NUMBER_MINES_MANG" hidden="1">"c9513"</definedName>
    <definedName name="IQ_NUMBER_MINES_MOLYB" hidden="1">"c9725"</definedName>
    <definedName name="IQ_NUMBER_MINES_NICK" hidden="1">"c9301"</definedName>
    <definedName name="IQ_NUMBER_MINES_PLAT" hidden="1">"c9139"</definedName>
    <definedName name="IQ_NUMBER_MINES_SILVER" hidden="1">"c9086"</definedName>
    <definedName name="IQ_NUMBER_MINES_TITAN" hidden="1">"c9566"</definedName>
    <definedName name="IQ_NUMBER_MINES_URAN" hidden="1">"c9619"</definedName>
    <definedName name="IQ_NUMBER_MINES_ZINC" hidden="1">"c9354"</definedName>
    <definedName name="IQ_NUMBER_SHAREHOLDERS" hidden="1">"c1967"</definedName>
    <definedName name="IQ_NUMBER_SHAREHOLDERS_CLASSA" hidden="1">"c1968"</definedName>
    <definedName name="IQ_NUMBER_SHAREHOLDERS_OTHER" hidden="1">"c1969"</definedName>
    <definedName name="IQ_OBLIGATIONS_OF_STATES_TOTAL_LOANS_FOREIGN_FDIC" hidden="1">"c6447"</definedName>
    <definedName name="IQ_OBLIGATIONS_STATES_FDIC" hidden="1">"c6431"</definedName>
    <definedName name="IQ_OCCUPANCY_CONSOL" hidden="1">"c8840"</definedName>
    <definedName name="IQ_OCCUPANCY_EXP_AVG_ASSETS_FFIEC" hidden="1">"c13372"</definedName>
    <definedName name="IQ_OCCUPANCY_EXP_OPERATING_INC_FFIEC" hidden="1">"c13380"</definedName>
    <definedName name="IQ_OCCUPANCY_MANAGED" hidden="1">"c8842"</definedName>
    <definedName name="IQ_OCCUPANCY_OTHER" hidden="1">"c8843"</definedName>
    <definedName name="IQ_OCCUPANCY_SAME_PROP" hidden="1">"c8845"</definedName>
    <definedName name="IQ_OCCUPANCY_TOTAL" hidden="1">"c8844"</definedName>
    <definedName name="IQ_OCCUPANCY_UNCONSOL" hidden="1">"c8841"</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GAS_EQUIV_PRODUCTION_MMCFE" hidden="1">"c10061"</definedName>
    <definedName name="IQ_OG_AVG_DAILY_OIL_EQUIV_PRODUCTION_KBOE" hidden="1">"c10060"</definedName>
    <definedName name="IQ_OG_AVG_DAILY_PROD_GAS" hidden="1">"c2910"</definedName>
    <definedName name="IQ_OG_AVG_DAILY_PROD_NGL" hidden="1">"c2911"</definedName>
    <definedName name="IQ_OG_AVG_DAILY_PROD_OIL" hidden="1">"c2909"</definedName>
    <definedName name="IQ_OG_AVG_DAILY_PRODUCTION_GAS_MMCM" hidden="1">"c10059"</definedName>
    <definedName name="IQ_OG_AVG_DAILY_SALES_VOL_EQ_INC_GAS" hidden="1">"c5797"</definedName>
    <definedName name="IQ_OG_AVG_DAILY_SALES_VOL_EQ_INC_NGL" hidden="1">"c5798"</definedName>
    <definedName name="IQ_OG_AVG_DAILY_SALES_VOL_EQ_INC_OIL" hidden="1">"c5796"</definedName>
    <definedName name="IQ_OG_AVG_GAS_PRICE_CBM_HEDGED" hidden="1">"c10054"</definedName>
    <definedName name="IQ_OG_AVG_GAS_PRICE_CBM_UNHEDGED" hidden="1">"c10055"</definedName>
    <definedName name="IQ_OG_AVG_PRODUCTION_COST_BBL" hidden="1">"c10062"</definedName>
    <definedName name="IQ_OG_AVG_PRODUCTION_COST_BOE" hidden="1">"c10064"</definedName>
    <definedName name="IQ_OG_AVG_PRODUCTION_COST_MCF" hidden="1">"c10063"</definedName>
    <definedName name="IQ_OG_AVG_PRODUCTION_COST_MCFE" hidden="1">"c10065"</definedName>
    <definedName name="IQ_OG_CLOSE_BALANCE_GAS" hidden="1">"c2049"</definedName>
    <definedName name="IQ_OG_CLOSE_BALANCE_NGL" hidden="1">"c2920"</definedName>
    <definedName name="IQ_OG_CLOSE_BALANCE_OIL" hidden="1">"c2037"</definedName>
    <definedName name="IQ_OG_DAILY_PRDUCTION_GROWTH_GAS" hidden="1">"c12732"</definedName>
    <definedName name="IQ_OG_DAILY_PRDUCTION_GROWTH_GAS_EQUIVALENT" hidden="1">"c12733"</definedName>
    <definedName name="IQ_OG_DAILY_PRDUCTION_GROWTH_NGL" hidden="1">"c12734"</definedName>
    <definedName name="IQ_OG_DAILY_PRDUCTION_GROWTH_OIL" hidden="1">"c12735"</definedName>
    <definedName name="IQ_OG_DAILY_PRDUCTION_GROWTH_OIL_EQUIVALENT" hidden="1">"c12736"</definedName>
    <definedName name="IQ_OG_DAILY_PRODUCTION_GROWTH_GAS" hidden="1">"c10073"</definedName>
    <definedName name="IQ_OG_DAILY_PRODUCTION_GROWTH_GAS_EQUIVALENT" hidden="1">"c10076"</definedName>
    <definedName name="IQ_OG_DAILY_PRODUCTION_GROWTH_NGL" hidden="1">"c10074"</definedName>
    <definedName name="IQ_OG_DAILY_PRODUCTION_GROWTH_OIL" hidden="1">"c10072"</definedName>
    <definedName name="IQ_OG_DAILY_PRODUCTION_GROWTH_OIL_EQUIVALENT" hidden="1">"c10075"</definedName>
    <definedName name="IQ_OG_DCF_BEFORE_TAXES" hidden="1">"c2023"</definedName>
    <definedName name="IQ_OG_DCF_BEFORE_TAXES_GAS" hidden="1">"c2025"</definedName>
    <definedName name="IQ_OG_DCF_BEFORE_TAXES_OIL" hidden="1">"c2024"</definedName>
    <definedName name="IQ_OG_DEVELOPED_ACRE_GROSS_EQ_INC" hidden="1">"c5802"</definedName>
    <definedName name="IQ_OG_DEVELOPED_ACRE_NET_EQ_INC" hidden="1">"c5803"</definedName>
    <definedName name="IQ_OG_DEVELOPED_RESERVES_GAS" hidden="1">"c2053"</definedName>
    <definedName name="IQ_OG_DEVELOPED_RESERVES_GAS_BCM" hidden="1">"c10045"</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AFFILIATES_RESERVES_GAS_BCM" hidden="1">"c10047"</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PLORATION_DEVELOPMENT_COST" hidden="1">"c10081"</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GROSS_DEVELOPED_AREA_SQ_KM" hidden="1">"c10079"</definedName>
    <definedName name="IQ_OG_GROSS_DEVELOPMENT_DRY_WELLS_DRILLED" hidden="1">"c10098"</definedName>
    <definedName name="IQ_OG_GROSS_DEVELOPMENT_PRODUCTIVE_WELLS_DRILLED" hidden="1">"c10097"</definedName>
    <definedName name="IQ_OG_GROSS_DEVELOPMENT_TOTAL_WELLS_DRILLED" hidden="1">"c10099"</definedName>
    <definedName name="IQ_OG_GROSS_EXPLORATORY_DRY_WELLS_DRILLED" hidden="1">"c10095"</definedName>
    <definedName name="IQ_OG_GROSS_EXPLORATORY_PRODUCTIVE_WELLS_DRILLED" hidden="1">"c10094"</definedName>
    <definedName name="IQ_OG_GROSS_EXPLORATORY_TOTAL_WELLS_DRILLED" hidden="1">"c10096"</definedName>
    <definedName name="IQ_OG_GROSS_OPERATED_WELLS" hidden="1">"c10092"</definedName>
    <definedName name="IQ_OG_GROSS_PRODUCTIVE_WELLS_GAS" hidden="1">"c10087"</definedName>
    <definedName name="IQ_OG_GROSS_PRODUCTIVE_WELLS_OIL" hidden="1">"c10086"</definedName>
    <definedName name="IQ_OG_GROSS_PRODUCTIVE_WELLS_TOTAL" hidden="1">"c10088"</definedName>
    <definedName name="IQ_OG_GROSS_TOTAL_WELLS_DRILLED" hidden="1">"c10100"</definedName>
    <definedName name="IQ_OG_GROSS_UNDEVELOPED_AREA_SQ_KM" hidden="1">"c10077"</definedName>
    <definedName name="IQ_OG_GROSS_WELLS_DRILLING" hidden="1">"c10108"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DEVELOPED_AREA_SQ_KM" hidden="1">"c10080"</definedName>
    <definedName name="IQ_OG_NET_DEVELOPMENT_DRY_WELLS_DRILLED" hidden="1">"c10105"</definedName>
    <definedName name="IQ_OG_NET_DEVELOPMENT_PRODUCTIVE_WELLS_DRILLED" hidden="1">"c10104"</definedName>
    <definedName name="IQ_OG_NET_DEVELOPMENT_TOTAL_WELLS_DRILLED" hidden="1">"c10106"</definedName>
    <definedName name="IQ_OG_NET_EXPLORATORY_DRY_WELLS_DRILLED" hidden="1">"c10102"</definedName>
    <definedName name="IQ_OG_NET_EXPLORATORY_PRODUCTIVE_WELLS_DRILLED" hidden="1">"c10101"</definedName>
    <definedName name="IQ_OG_NET_EXPLORATORY_TOTAL_WELLS_DRILLED" hidden="1">"c10103"</definedName>
    <definedName name="IQ_OG_NET_FUTURE_CASH_FLOWS" hidden="1">"c1996"</definedName>
    <definedName name="IQ_OG_NET_FUTURE_CASH_FLOWS_GAS" hidden="1">"c2016"</definedName>
    <definedName name="IQ_OG_NET_FUTURE_CASH_FLOWS_OIL" hidden="1">"c2006"</definedName>
    <definedName name="IQ_OG_NET_OPERATED_WELLS" hidden="1">"c10093"</definedName>
    <definedName name="IQ_OG_NET_PRODUCTIVE_WELLS_GAS" hidden="1">"c10090"</definedName>
    <definedName name="IQ_OG_NET_PRODUCTIVE_WELLS_OIL" hidden="1">"c10089"</definedName>
    <definedName name="IQ_OG_NET_PRODUCTIVE_WELLS_TOTAL" hidden="1">"c10091"</definedName>
    <definedName name="IQ_OG_NET_TOTAL_WELLS_DRILLED" hidden="1">"c10107"</definedName>
    <definedName name="IQ_OG_NET_UNDEVELOPED_AREA_SQ_KM" hidden="1">"c10078"</definedName>
    <definedName name="IQ_OG_NET_WELLS_DRILLING" hidden="1">"c10109"</definedName>
    <definedName name="IQ_OG_NUMBER_WELLS_NEW" hidden="1">"c10085"</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DUCTION_GROWTH_GAS" hidden="1">"c12737"</definedName>
    <definedName name="IQ_OG_PRDUCTION_GROWTH_GAS_EQUIVALENT" hidden="1">"c12738"</definedName>
    <definedName name="IQ_OG_PRDUCTION_GROWTH_NGL" hidden="1">"c12739"</definedName>
    <definedName name="IQ_OG_PRDUCTION_GROWTH_OIL" hidden="1">"c12740"</definedName>
    <definedName name="IQ_OG_PRDUCTION_GROWTH_OIL_EQUIVALENT" hidden="1">"c12741"</definedName>
    <definedName name="IQ_OG_PRDUCTION_GROWTH_TOAL" hidden="1">"c12742"</definedName>
    <definedName name="IQ_OG_PRODUCTION_GAS" hidden="1">"c2047"</definedName>
    <definedName name="IQ_OG_PRODUCTION_GROWTH_GAS" hidden="1">"c10067"</definedName>
    <definedName name="IQ_OG_PRODUCTION_GROWTH_GAS_EQUIVALENT" hidden="1">"c10070"</definedName>
    <definedName name="IQ_OG_PRODUCTION_GROWTH_NGL" hidden="1">"c10068"</definedName>
    <definedName name="IQ_OG_PRODUCTION_GROWTH_OIL" hidden="1">"c10066"</definedName>
    <definedName name="IQ_OG_PRODUCTION_GROWTH_OIL_EQUIVALENT" hidden="1">"c10069"</definedName>
    <definedName name="IQ_OG_PRODUCTION_GROWTH_TOTAL" hidden="1">"c10071"</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SERVE_REPLACEMENT_RATIO" hidden="1">"c5799"</definedName>
    <definedName name="IQ_OG_REVISIONS_GAS" hidden="1">"c2042"</definedName>
    <definedName name="IQ_OG_REVISIONS_NGL" hidden="1">"c2913"</definedName>
    <definedName name="IQ_OG_REVISIONS_OIL" hidden="1">"c2030"</definedName>
    <definedName name="IQ_OG_RIGS_NON_OPERATED" hidden="1">"c10083"</definedName>
    <definedName name="IQ_OG_RIGS_OPERATED" hidden="1">"c10082"</definedName>
    <definedName name="IQ_OG_RIGS_TOTAL" hidden="1">"c10084"</definedName>
    <definedName name="IQ_OG_SALES_IN_PLACE_GAS" hidden="1">"c2046"</definedName>
    <definedName name="IQ_OG_SALES_IN_PLACE_NGL" hidden="1">"c2917"</definedName>
    <definedName name="IQ_OG_SALES_IN_PLACE_OIL" hidden="1">"c2034"</definedName>
    <definedName name="IQ_OG_SALES_VOL_EQ_INC_GAS" hidden="1">"c5794"</definedName>
    <definedName name="IQ_OG_SALES_VOL_EQ_INC_NGL" hidden="1">"c5795"</definedName>
    <definedName name="IQ_OG_SALES_VOL_EQ_INC_OIL" hidden="1">"c5793"</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EQUIV_PRODUCTION_BCFE" hidden="1">"c10058"</definedName>
    <definedName name="IQ_OG_TOTAL_GAS_PRODUCTION" hidden="1">"c2060"</definedName>
    <definedName name="IQ_OG_TOTAL_LIQUID_GAS_PRODUCTION" hidden="1">"c2235"</definedName>
    <definedName name="IQ_OG_TOTAL_OIL_EQUIV_PRODUCTION_MMBOE" hidden="1">"c10057"</definedName>
    <definedName name="IQ_OG_TOTAL_OIL_PRODUCTION" hidden="1">"c2059"</definedName>
    <definedName name="IQ_OG_TOTAL_POSSIBLE_RESERVES_GAS_BCF" hidden="1">"c10050"</definedName>
    <definedName name="IQ_OG_TOTAL_POSSIBLE_RESERVES_GAS_BCM" hidden="1">"c10051"</definedName>
    <definedName name="IQ_OG_TOTAL_POSSIBLE_RESERVES_OIL_MMBBLS" hidden="1">"c10053"</definedName>
    <definedName name="IQ_OG_TOTAL_PROBABLE_RESERVES_GAS_BCF" hidden="1">"c10048"</definedName>
    <definedName name="IQ_OG_TOTAL_PROBABLE_RESERVES_GAS_BCM" hidden="1">"c10049"</definedName>
    <definedName name="IQ_OG_TOTAL_PROBABLE_RESERVES_OIL_MMBBLS" hidden="1">"c10052"</definedName>
    <definedName name="IQ_OG_TOTAL_PRODUCTION_GAS_BCM" hidden="1">"c10056"</definedName>
    <definedName name="IQ_OG_TOTAL_PROVED_RESERVES_GAS_BCM" hidden="1">"c10046"</definedName>
    <definedName name="IQ_OG_UNDEVELOPED_ACRE_GROSS_EQ_INC" hidden="1">"c5800"</definedName>
    <definedName name="IQ_OG_UNDEVELOPED_ACRE_NET_EQ_INC" hidden="1">"c5801"</definedName>
    <definedName name="IQ_OG_UNDEVELOPED_RESERVES_GAS" hidden="1">"c2051"</definedName>
    <definedName name="IQ_OG_UNDEVELOPED_RESERVES_GAS_BCM" hidden="1">"c10044"</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B_ACCRUED_LIAB" hidden="1">"c3308"</definedName>
    <definedName name="IQ_OPEB_ACCRUED_LIAB_DOM" hidden="1">"c3306"</definedName>
    <definedName name="IQ_OPEB_ACCRUED_LIAB_FOREIGN" hidden="1">"c3307"</definedName>
    <definedName name="IQ_OPEB_ACCUM_OTHER_CI" hidden="1">"c3314"</definedName>
    <definedName name="IQ_OPEB_ACCUM_OTHER_CI_DOM" hidden="1">"c3312"</definedName>
    <definedName name="IQ_OPEB_ACCUM_OTHER_CI_FOREIGN" hidden="1">"c3313"</definedName>
    <definedName name="IQ_OPEB_ACT_NEXT" hidden="1">"c5774"</definedName>
    <definedName name="IQ_OPEB_ACT_NEXT_DOM" hidden="1">"c5772"</definedName>
    <definedName name="IQ_OPEB_ACT_NEXT_FOREIGN" hidden="1">"c5773"</definedName>
    <definedName name="IQ_OPEB_AMT_RECOG_NEXT" hidden="1">"c5783"</definedName>
    <definedName name="IQ_OPEB_AMT_RECOG_NEXT_DOM" hidden="1">"c5781"</definedName>
    <definedName name="IQ_OPEB_AMT_RECOG_NEXT_FOREIGN" hidden="1">"c5782"</definedName>
    <definedName name="IQ_OPEB_ASSETS" hidden="1">"c3356"</definedName>
    <definedName name="IQ_OPEB_ASSETS_ACQ" hidden="1">"c3347"</definedName>
    <definedName name="IQ_OPEB_ASSETS_ACQ_DOM" hidden="1">"c3345"</definedName>
    <definedName name="IQ_OPEB_ASSETS_ACQ_FOREIGN" hidden="1">"c3346"</definedName>
    <definedName name="IQ_OPEB_ASSETS_ACTUAL_RETURN" hidden="1">"c3332"</definedName>
    <definedName name="IQ_OPEB_ASSETS_ACTUAL_RETURN_DOM" hidden="1">"c3330"</definedName>
    <definedName name="IQ_OPEB_ASSETS_ACTUAL_RETURN_FOREIGN" hidden="1">"c3331"</definedName>
    <definedName name="IQ_OPEB_ASSETS_BEG" hidden="1">"c3329"</definedName>
    <definedName name="IQ_OPEB_ASSETS_BEG_DOM" hidden="1">"c3327"</definedName>
    <definedName name="IQ_OPEB_ASSETS_BEG_FOREIGN" hidden="1">"c3328"</definedName>
    <definedName name="IQ_OPEB_ASSETS_BENEFITS_PAID" hidden="1">"c3341"</definedName>
    <definedName name="IQ_OPEB_ASSETS_BENEFITS_PAID_DOM" hidden="1">"c3339"</definedName>
    <definedName name="IQ_OPEB_ASSETS_BENEFITS_PAID_FOREIGN" hidden="1">"c3340"</definedName>
    <definedName name="IQ_OPEB_ASSETS_CURTAIL" hidden="1">"c3350"</definedName>
    <definedName name="IQ_OPEB_ASSETS_CURTAIL_DOM" hidden="1">"c3348"</definedName>
    <definedName name="IQ_OPEB_ASSETS_CURTAIL_FOREIGN" hidden="1">"c3349"</definedName>
    <definedName name="IQ_OPEB_ASSETS_DOM" hidden="1">"c3354"</definedName>
    <definedName name="IQ_OPEB_ASSETS_EMPLOYER_CONTRIBUTIONS" hidden="1">"c3335"</definedName>
    <definedName name="IQ_OPEB_ASSETS_EMPLOYER_CONTRIBUTIONS_DOM" hidden="1">"c3333"</definedName>
    <definedName name="IQ_OPEB_ASSETS_EMPLOYER_CONTRIBUTIONS_FOREIGN" hidden="1">"c3334"</definedName>
    <definedName name="IQ_OPEB_ASSETS_FOREIGN" hidden="1">"c3355"</definedName>
    <definedName name="IQ_OPEB_ASSETS_FX_ADJ" hidden="1">"c3344"</definedName>
    <definedName name="IQ_OPEB_ASSETS_FX_ADJ_DOM" hidden="1">"c3342"</definedName>
    <definedName name="IQ_OPEB_ASSETS_FX_ADJ_FOREIGN" hidden="1">"c3343"</definedName>
    <definedName name="IQ_OPEB_ASSETS_OTHER_PLAN_ADJ" hidden="1">"c3353"</definedName>
    <definedName name="IQ_OPEB_ASSETS_OTHER_PLAN_ADJ_DOM" hidden="1">"c3351"</definedName>
    <definedName name="IQ_OPEB_ASSETS_OTHER_PLAN_ADJ_FOREIGN" hidden="1">"c3352"</definedName>
    <definedName name="IQ_OPEB_ASSETS_PARTICIP_CONTRIBUTIONS" hidden="1">"c3338"</definedName>
    <definedName name="IQ_OPEB_ASSETS_PARTICIP_CONTRIBUTIONS_DOM" hidden="1">"c3336"</definedName>
    <definedName name="IQ_OPEB_ASSETS_PARTICIP_CONTRIBUTIONS_FOREIGN" hidden="1">"c3337"</definedName>
    <definedName name="IQ_OPEB_BENEFIT_INFO_DATE" hidden="1">"c3410"</definedName>
    <definedName name="IQ_OPEB_BENEFIT_INFO_DATE_DOM" hidden="1">"c3408"</definedName>
    <definedName name="IQ_OPEB_BENEFIT_INFO_DATE_FOREIGN" hidden="1">"c3409"</definedName>
    <definedName name="IQ_OPEB_BREAKDOWN_EQ" hidden="1">"c3275"</definedName>
    <definedName name="IQ_OPEB_BREAKDOWN_EQ_DOM" hidden="1">"c3273"</definedName>
    <definedName name="IQ_OPEB_BREAKDOWN_EQ_FOREIGN" hidden="1">"c3274"</definedName>
    <definedName name="IQ_OPEB_BREAKDOWN_FI" hidden="1">"c3278"</definedName>
    <definedName name="IQ_OPEB_BREAKDOWN_FI_DOM" hidden="1">"c3276"</definedName>
    <definedName name="IQ_OPEB_BREAKDOWN_FI_FOREIGN" hidden="1">"c3277"</definedName>
    <definedName name="IQ_OPEB_BREAKDOWN_OTHER" hidden="1">"c3284"</definedName>
    <definedName name="IQ_OPEB_BREAKDOWN_OTHER_DOM" hidden="1">"c3282"</definedName>
    <definedName name="IQ_OPEB_BREAKDOWN_OTHER_FOREIGN" hidden="1">"c3283"</definedName>
    <definedName name="IQ_OPEB_BREAKDOWN_PCT_EQ" hidden="1">"c3263"</definedName>
    <definedName name="IQ_OPEB_BREAKDOWN_PCT_EQ_DOM" hidden="1">"c3261"</definedName>
    <definedName name="IQ_OPEB_BREAKDOWN_PCT_EQ_FOREIGN" hidden="1">"c3262"</definedName>
    <definedName name="IQ_OPEB_BREAKDOWN_PCT_FI" hidden="1">"c3266"</definedName>
    <definedName name="IQ_OPEB_BREAKDOWN_PCT_FI_DOM" hidden="1">"c3264"</definedName>
    <definedName name="IQ_OPEB_BREAKDOWN_PCT_FI_FOREIGN" hidden="1">"c3265"</definedName>
    <definedName name="IQ_OPEB_BREAKDOWN_PCT_OTHER" hidden="1">"c3272"</definedName>
    <definedName name="IQ_OPEB_BREAKDOWN_PCT_OTHER_DOM" hidden="1">"c3270"</definedName>
    <definedName name="IQ_OPEB_BREAKDOWN_PCT_OTHER_FOREIGN" hidden="1">"c3271"</definedName>
    <definedName name="IQ_OPEB_BREAKDOWN_PCT_RE" hidden="1">"c3269"</definedName>
    <definedName name="IQ_OPEB_BREAKDOWN_PCT_RE_DOM" hidden="1">"c3267"</definedName>
    <definedName name="IQ_OPEB_BREAKDOWN_PCT_RE_FOREIGN" hidden="1">"c3268"</definedName>
    <definedName name="IQ_OPEB_BREAKDOWN_RE" hidden="1">"c3281"</definedName>
    <definedName name="IQ_OPEB_BREAKDOWN_RE_DOM" hidden="1">"c3279"</definedName>
    <definedName name="IQ_OPEB_BREAKDOWN_RE_FOREIGN" hidden="1">"c3280"</definedName>
    <definedName name="IQ_OPEB_CI_ACT" hidden="1">"c5759"</definedName>
    <definedName name="IQ_OPEB_CI_ACT_DOM" hidden="1">"c5757"</definedName>
    <definedName name="IQ_OPEB_CI_ACT_FOREIGN" hidden="1">"c5758"</definedName>
    <definedName name="IQ_OPEB_CI_NET_AMT_RECOG" hidden="1">"c5771"</definedName>
    <definedName name="IQ_OPEB_CI_NET_AMT_RECOG_DOM" hidden="1">"c5769"</definedName>
    <definedName name="IQ_OPEB_CI_NET_AMT_RECOG_FOREIGN" hidden="1">"c5770"</definedName>
    <definedName name="IQ_OPEB_CI_OTHER_MISC_ADJ" hidden="1">"c5768"</definedName>
    <definedName name="IQ_OPEB_CI_OTHER_MISC_ADJ_DOM" hidden="1">"c5766"</definedName>
    <definedName name="IQ_OPEB_CI_OTHER_MISC_ADJ_FOREIGN" hidden="1">"c5767"</definedName>
    <definedName name="IQ_OPEB_CI_PRIOR_SERVICE" hidden="1">"c5762"</definedName>
    <definedName name="IQ_OPEB_CI_PRIOR_SERVICE_DOM" hidden="1">"c5760"</definedName>
    <definedName name="IQ_OPEB_CI_PRIOR_SERVICE_FOREIGN" hidden="1">"c5761"</definedName>
    <definedName name="IQ_OPEB_CI_TRANSITION" hidden="1">"c5765"</definedName>
    <definedName name="IQ_OPEB_CI_TRANSITION_DOM" hidden="1">"c5763"</definedName>
    <definedName name="IQ_OPEB_CI_TRANSITION_FOREIGN" hidden="1">"c5764"</definedName>
    <definedName name="IQ_OPEB_CL" hidden="1">"c5789"</definedName>
    <definedName name="IQ_OPEB_CL_DOM" hidden="1">"c5787"</definedName>
    <definedName name="IQ_OPEB_CL_FOREIGN" hidden="1">"c5788"</definedName>
    <definedName name="IQ_OPEB_DECREASE_EFFECT_PBO" hidden="1">"c3458"</definedName>
    <definedName name="IQ_OPEB_DECREASE_EFFECT_PBO_DOM" hidden="1">"c3456"</definedName>
    <definedName name="IQ_OPEB_DECREASE_EFFECT_PBO_FOREIGN" hidden="1">"c3457"</definedName>
    <definedName name="IQ_OPEB_DECREASE_EFFECT_SERVICE_INT_COST" hidden="1">"c3455"</definedName>
    <definedName name="IQ_OPEB_DECREASE_EFFECT_SERVICE_INT_COST_DOM" hidden="1">"c3453"</definedName>
    <definedName name="IQ_OPEB_DECREASE_EFFECT_SERVICE_INT_COST_FOREIGN" hidden="1">"c3454"</definedName>
    <definedName name="IQ_OPEB_DISC_RATE_MAX" hidden="1">"c3422"</definedName>
    <definedName name="IQ_OPEB_DISC_RATE_MAX_DOM" hidden="1">"c3420"</definedName>
    <definedName name="IQ_OPEB_DISC_RATE_MAX_FOREIGN" hidden="1">"c3421"</definedName>
    <definedName name="IQ_OPEB_DISC_RATE_MIN" hidden="1">"c3419"</definedName>
    <definedName name="IQ_OPEB_DISC_RATE_MIN_DOM" hidden="1">"c3417"</definedName>
    <definedName name="IQ_OPEB_DISC_RATE_MIN_FOREIGN" hidden="1">"c3418"</definedName>
    <definedName name="IQ_OPEB_EST_BENEFIT_1YR" hidden="1">"c3287"</definedName>
    <definedName name="IQ_OPEB_EST_BENEFIT_1YR_DOM" hidden="1">"c3285"</definedName>
    <definedName name="IQ_OPEB_EST_BENEFIT_1YR_FOREIGN" hidden="1">"c3286"</definedName>
    <definedName name="IQ_OPEB_EST_BENEFIT_2YR" hidden="1">"c3290"</definedName>
    <definedName name="IQ_OPEB_EST_BENEFIT_2YR_DOM" hidden="1">"c3288"</definedName>
    <definedName name="IQ_OPEB_EST_BENEFIT_2YR_FOREIGN" hidden="1">"c3289"</definedName>
    <definedName name="IQ_OPEB_EST_BENEFIT_3YR" hidden="1">"c3293"</definedName>
    <definedName name="IQ_OPEB_EST_BENEFIT_3YR_DOM" hidden="1">"c3291"</definedName>
    <definedName name="IQ_OPEB_EST_BENEFIT_3YR_FOREIGN" hidden="1">"c3292"</definedName>
    <definedName name="IQ_OPEB_EST_BENEFIT_4YR" hidden="1">"c3296"</definedName>
    <definedName name="IQ_OPEB_EST_BENEFIT_4YR_DOM" hidden="1">"c3294"</definedName>
    <definedName name="IQ_OPEB_EST_BENEFIT_4YR_FOREIGN" hidden="1">"c3295"</definedName>
    <definedName name="IQ_OPEB_EST_BENEFIT_5YR" hidden="1">"c3299"</definedName>
    <definedName name="IQ_OPEB_EST_BENEFIT_5YR_DOM" hidden="1">"c3297"</definedName>
    <definedName name="IQ_OPEB_EST_BENEFIT_5YR_FOREIGN" hidden="1">"c3298"</definedName>
    <definedName name="IQ_OPEB_EST_BENEFIT_AFTER5" hidden="1">"c3302"</definedName>
    <definedName name="IQ_OPEB_EST_BENEFIT_AFTER5_DOM" hidden="1">"c3300"</definedName>
    <definedName name="IQ_OPEB_EST_BENEFIT_AFTER5_FOREIGN" hidden="1">"c3301"</definedName>
    <definedName name="IQ_OPEB_EXP_RATE_RETURN_MAX" hidden="1">"c3434"</definedName>
    <definedName name="IQ_OPEB_EXP_RATE_RETURN_MAX_DOM" hidden="1">"c3432"</definedName>
    <definedName name="IQ_OPEB_EXP_RATE_RETURN_MAX_FOREIGN" hidden="1">"c3433"</definedName>
    <definedName name="IQ_OPEB_EXP_RATE_RETURN_MIN" hidden="1">"c3431"</definedName>
    <definedName name="IQ_OPEB_EXP_RATE_RETURN_MIN_DOM" hidden="1">"c3429"</definedName>
    <definedName name="IQ_OPEB_EXP_RATE_RETURN_MIN_FOREIGN" hidden="1">"c3430"</definedName>
    <definedName name="IQ_OPEB_EXP_RETURN" hidden="1">"c3398"</definedName>
    <definedName name="IQ_OPEB_EXP_RETURN_DOM" hidden="1">"c3396"</definedName>
    <definedName name="IQ_OPEB_EXP_RETURN_FOREIGN" hidden="1">"c3397"</definedName>
    <definedName name="IQ_OPEB_HEALTH_COST_TREND_INITIAL" hidden="1">"c3413"</definedName>
    <definedName name="IQ_OPEB_HEALTH_COST_TREND_INITIAL_DOM" hidden="1">"c3411"</definedName>
    <definedName name="IQ_OPEB_HEALTH_COST_TREND_INITIAL_FOREIGN" hidden="1">"c3412"</definedName>
    <definedName name="IQ_OPEB_HEALTH_COST_TREND_ULTIMATE" hidden="1">"c3416"</definedName>
    <definedName name="IQ_OPEB_HEALTH_COST_TREND_ULTIMATE_DOM" hidden="1">"c3414"</definedName>
    <definedName name="IQ_OPEB_HEALTH_COST_TREND_ULTIMATE_FOREIGN" hidden="1">"c3415"</definedName>
    <definedName name="IQ_OPEB_INCREASE_EFFECT_PBO" hidden="1">"c3452"</definedName>
    <definedName name="IQ_OPEB_INCREASE_EFFECT_PBO_DOM" hidden="1">"c3450"</definedName>
    <definedName name="IQ_OPEB_INCREASE_EFFECT_PBO_FOREIGN" hidden="1">"c3451"</definedName>
    <definedName name="IQ_OPEB_INCREASE_EFFECT_SERVICE_INT_COST" hidden="1">"c3449"</definedName>
    <definedName name="IQ_OPEB_INCREASE_EFFECT_SERVICE_INT_COST_DOM" hidden="1">"c3447"</definedName>
    <definedName name="IQ_OPEB_INCREASE_EFFECT_SERVICE_INT_COST_FOREIGN" hidden="1">"c3448"</definedName>
    <definedName name="IQ_OPEB_INTAN_ASSETS" hidden="1">"c3311"</definedName>
    <definedName name="IQ_OPEB_INTAN_ASSETS_DOM" hidden="1">"c3309"</definedName>
    <definedName name="IQ_OPEB_INTAN_ASSETS_FOREIGN" hidden="1">"c3310"</definedName>
    <definedName name="IQ_OPEB_INTEREST_COST" hidden="1">"c3395"</definedName>
    <definedName name="IQ_OPEB_INTEREST_COST_DOM" hidden="1">"c3393"</definedName>
    <definedName name="IQ_OPEB_INTEREST_COST_FOREIGN" hidden="1">"c3394"</definedName>
    <definedName name="IQ_OPEB_LT_ASSETS" hidden="1">"c5786"</definedName>
    <definedName name="IQ_OPEB_LT_ASSETS_DOM" hidden="1">"c5784"</definedName>
    <definedName name="IQ_OPEB_LT_ASSETS_FOREIGN" hidden="1">"c5785"</definedName>
    <definedName name="IQ_OPEB_LT_LIAB" hidden="1">"c5792"</definedName>
    <definedName name="IQ_OPEB_LT_LIAB_DOM" hidden="1">"c5790"</definedName>
    <definedName name="IQ_OPEB_LT_LIAB_FOREIGN" hidden="1">"c5791"</definedName>
    <definedName name="IQ_OPEB_NET_ASSET_RECOG" hidden="1">"c3326"</definedName>
    <definedName name="IQ_OPEB_NET_ASSET_RECOG_DOM" hidden="1">"c3324"</definedName>
    <definedName name="IQ_OPEB_NET_ASSET_RECOG_FOREIGN" hidden="1">"c3325"</definedName>
    <definedName name="IQ_OPEB_OBLIGATION_ACCUMULATED" hidden="1">"c3407"</definedName>
    <definedName name="IQ_OPEB_OBLIGATION_ACCUMULATED_DOM" hidden="1">"c3405"</definedName>
    <definedName name="IQ_OPEB_OBLIGATION_ACCUMULATED_FOREIGN" hidden="1">"c3406"</definedName>
    <definedName name="IQ_OPEB_OBLIGATION_ACQ" hidden="1">"c3380"</definedName>
    <definedName name="IQ_OPEB_OBLIGATION_ACQ_DOM" hidden="1">"c3378"</definedName>
    <definedName name="IQ_OPEB_OBLIGATION_ACQ_FOREIGN" hidden="1">"c3379"</definedName>
    <definedName name="IQ_OPEB_OBLIGATION_ACTUARIAL_GAIN_LOSS" hidden="1">"c3371"</definedName>
    <definedName name="IQ_OPEB_OBLIGATION_ACTUARIAL_GAIN_LOSS_DOM" hidden="1">"c3369"</definedName>
    <definedName name="IQ_OPEB_OBLIGATION_ACTUARIAL_GAIN_LOSS_FOREIGN" hidden="1">"c3370"</definedName>
    <definedName name="IQ_OPEB_OBLIGATION_BEG" hidden="1">"c3359"</definedName>
    <definedName name="IQ_OPEB_OBLIGATION_BEG_DOM" hidden="1">"c3357"</definedName>
    <definedName name="IQ_OPEB_OBLIGATION_BEG_FOREIGN" hidden="1">"c3358"</definedName>
    <definedName name="IQ_OPEB_OBLIGATION_CURTAIL" hidden="1">"c3383"</definedName>
    <definedName name="IQ_OPEB_OBLIGATION_CURTAIL_DOM" hidden="1">"c3381"</definedName>
    <definedName name="IQ_OPEB_OBLIGATION_CURTAIL_FOREIGN" hidden="1">"c3382"</definedName>
    <definedName name="IQ_OPEB_OBLIGATION_EMPLOYEE_CONTRIBUTIONS" hidden="1">"c3368"</definedName>
    <definedName name="IQ_OPEB_OBLIGATION_EMPLOYEE_CONTRIBUTIONS_DOM" hidden="1">"c3366"</definedName>
    <definedName name="IQ_OPEB_OBLIGATION_EMPLOYEE_CONTRIBUTIONS_FOREIGN" hidden="1">"c3367"</definedName>
    <definedName name="IQ_OPEB_OBLIGATION_FX_ADJ" hidden="1">"c3377"</definedName>
    <definedName name="IQ_OPEB_OBLIGATION_FX_ADJ_DOM" hidden="1">"c3375"</definedName>
    <definedName name="IQ_OPEB_OBLIGATION_FX_ADJ_FOREIGN" hidden="1">"c3376"</definedName>
    <definedName name="IQ_OPEB_OBLIGATION_INTEREST_COST" hidden="1">"c3365"</definedName>
    <definedName name="IQ_OPEB_OBLIGATION_INTEREST_COST_DOM" hidden="1">"c3363"</definedName>
    <definedName name="IQ_OPEB_OBLIGATION_INTEREST_COST_FOREIGN" hidden="1">"c3364"</definedName>
    <definedName name="IQ_OPEB_OBLIGATION_OTHER_PLAN_ADJ" hidden="1">"c3386"</definedName>
    <definedName name="IQ_OPEB_OBLIGATION_OTHER_PLAN_ADJ_DOM" hidden="1">"c3384"</definedName>
    <definedName name="IQ_OPEB_OBLIGATION_OTHER_PLAN_ADJ_FOREIGN" hidden="1">"c3385"</definedName>
    <definedName name="IQ_OPEB_OBLIGATION_PAID" hidden="1">"c3374"</definedName>
    <definedName name="IQ_OPEB_OBLIGATION_PAID_DOM" hidden="1">"c3372"</definedName>
    <definedName name="IQ_OPEB_OBLIGATION_PAID_FOREIGN" hidden="1">"c3373"</definedName>
    <definedName name="IQ_OPEB_OBLIGATION_PROJECTED" hidden="1">"c3389"</definedName>
    <definedName name="IQ_OPEB_OBLIGATION_PROJECTED_DOM" hidden="1">"c3387"</definedName>
    <definedName name="IQ_OPEB_OBLIGATION_PROJECTED_FOREIGN" hidden="1">"c3388"</definedName>
    <definedName name="IQ_OPEB_OBLIGATION_SERVICE_COST" hidden="1">"c3362"</definedName>
    <definedName name="IQ_OPEB_OBLIGATION_SERVICE_COST_DOM" hidden="1">"c3360"</definedName>
    <definedName name="IQ_OPEB_OBLIGATION_SERVICE_COST_FOREIGN" hidden="1">"c3361"</definedName>
    <definedName name="IQ_OPEB_OTHER" hidden="1">"c3317"</definedName>
    <definedName name="IQ_OPEB_OTHER_ADJ" hidden="1">"c3323"</definedName>
    <definedName name="IQ_OPEB_OTHER_ADJ_DOM" hidden="1">"c3321"</definedName>
    <definedName name="IQ_OPEB_OTHER_ADJ_FOREIGN" hidden="1">"c3322"</definedName>
    <definedName name="IQ_OPEB_OTHER_COST" hidden="1">"c3401"</definedName>
    <definedName name="IQ_OPEB_OTHER_COST_DOM" hidden="1">"c3399"</definedName>
    <definedName name="IQ_OPEB_OTHER_COST_FOREIGN" hidden="1">"c3400"</definedName>
    <definedName name="IQ_OPEB_OTHER_DOM" hidden="1">"c3315"</definedName>
    <definedName name="IQ_OPEB_OTHER_FOREIGN" hidden="1">"c3316"</definedName>
    <definedName name="IQ_OPEB_PBO_ASSUMED_RATE_RET_MAX" hidden="1">"c3440"</definedName>
    <definedName name="IQ_OPEB_PBO_ASSUMED_RATE_RET_MAX_DOM" hidden="1">"c3438"</definedName>
    <definedName name="IQ_OPEB_PBO_ASSUMED_RATE_RET_MAX_FOREIGN" hidden="1">"c3439"</definedName>
    <definedName name="IQ_OPEB_PBO_ASSUMED_RATE_RET_MIN" hidden="1">"c3437"</definedName>
    <definedName name="IQ_OPEB_PBO_ASSUMED_RATE_RET_MIN_DOM" hidden="1">"c3435"</definedName>
    <definedName name="IQ_OPEB_PBO_ASSUMED_RATE_RET_MIN_FOREIGN" hidden="1">"c3436"</definedName>
    <definedName name="IQ_OPEB_PBO_RATE_COMP_INCREASE_MAX" hidden="1">"c3446"</definedName>
    <definedName name="IQ_OPEB_PBO_RATE_COMP_INCREASE_MAX_DOM" hidden="1">"c3444"</definedName>
    <definedName name="IQ_OPEB_PBO_RATE_COMP_INCREASE_MAX_FOREIGN" hidden="1">"c3445"</definedName>
    <definedName name="IQ_OPEB_PBO_RATE_COMP_INCREASE_MIN" hidden="1">"c3443"</definedName>
    <definedName name="IQ_OPEB_PBO_RATE_COMP_INCREASE_MIN_DOM" hidden="1">"c3441"</definedName>
    <definedName name="IQ_OPEB_PBO_RATE_COMP_INCREASE_MIN_FOREIGN" hidden="1">"c3442"</definedName>
    <definedName name="IQ_OPEB_PREPAID_COST" hidden="1">"c3305"</definedName>
    <definedName name="IQ_OPEB_PREPAID_COST_DOM" hidden="1">"c3303"</definedName>
    <definedName name="IQ_OPEB_PREPAID_COST_FOREIGN" hidden="1">"c3304"</definedName>
    <definedName name="IQ_OPEB_PRIOR_SERVICE_NEXT" hidden="1">"c5777"</definedName>
    <definedName name="IQ_OPEB_PRIOR_SERVICE_NEXT_DOM" hidden="1">"c5775"</definedName>
    <definedName name="IQ_OPEB_PRIOR_SERVICE_NEXT_FOREIGN" hidden="1">"c5776"</definedName>
    <definedName name="IQ_OPEB_RATE_COMP_INCREASE_MAX" hidden="1">"c3428"</definedName>
    <definedName name="IQ_OPEB_RATE_COMP_INCREASE_MAX_DOM" hidden="1">"c3426"</definedName>
    <definedName name="IQ_OPEB_RATE_COMP_INCREASE_MAX_FOREIGN" hidden="1">"c3427"</definedName>
    <definedName name="IQ_OPEB_RATE_COMP_INCREASE_MIN" hidden="1">"c3425"</definedName>
    <definedName name="IQ_OPEB_RATE_COMP_INCREASE_MIN_DOM" hidden="1">"c3423"</definedName>
    <definedName name="IQ_OPEB_RATE_COMP_INCREASE_MIN_FOREIGN" hidden="1">"c3424"</definedName>
    <definedName name="IQ_OPEB_SERVICE_COST" hidden="1">"c3392"</definedName>
    <definedName name="IQ_OPEB_SERVICE_COST_DOM" hidden="1">"c3390"</definedName>
    <definedName name="IQ_OPEB_SERVICE_COST_FOREIGN" hidden="1">"c3391"</definedName>
    <definedName name="IQ_OPEB_TOTAL_COST" hidden="1">"c3404"</definedName>
    <definedName name="IQ_OPEB_TOTAL_COST_DOM" hidden="1">"c3402"</definedName>
    <definedName name="IQ_OPEB_TOTAL_COST_FOREIGN" hidden="1">"c3403"</definedName>
    <definedName name="IQ_OPEB_TRANSITION_NEXT" hidden="1">"c5780"</definedName>
    <definedName name="IQ_OPEB_TRANSITION_NEXT_DOM" hidden="1">"c5778"</definedName>
    <definedName name="IQ_OPEB_TRANSITION_NEXT_FOREIGN" hidden="1">"c5779"</definedName>
    <definedName name="IQ_OPEB_UNRECOG_PRIOR" hidden="1">"c3320"</definedName>
    <definedName name="IQ_OPEB_UNRECOG_PRIOR_DOM" hidden="1">"c3318"</definedName>
    <definedName name="IQ_OPEB_UNRECOG_PRIOR_FOREIGN" hidden="1">"c3319"</definedName>
    <definedName name="IQ_OPENPRICE" hidden="1">"c848"</definedName>
    <definedName name="IQ_OPER_INC" hidden="1">"c849"</definedName>
    <definedName name="IQ_OPER_INC_BR" hidden="1">"c850"</definedName>
    <definedName name="IQ_OPER_INC_FIN" hidden="1">"c851"</definedName>
    <definedName name="IQ_OPER_INC_INS" hidden="1">"c852"</definedName>
    <definedName name="IQ_OPER_INC_MARGIN" hidden="1">"c1448"</definedName>
    <definedName name="IQ_OPER_INC_RE" hidden="1">"c6240"</definedName>
    <definedName name="IQ_OPER_INC_REIT" hidden="1">"c853"</definedName>
    <definedName name="IQ_OPER_INC_UTI" hidden="1">"c854"</definedName>
    <definedName name="IQ_OPERATING_EXP_AVG_ASSETS_FFIEC" hidden="1">"c13373"</definedName>
    <definedName name="IQ_OPERATING_INC_AVG_ASSETS_FFIEC" hidden="1">"c13368"</definedName>
    <definedName name="IQ_OPERATING_INC_TE_AVG_ASSETS_FFIEC" hidden="1">"c13360"</definedName>
    <definedName name="IQ_OPERATIONS_EXP" hidden="1">"c855"</definedName>
    <definedName name="IQ_OPTIONS_BEG_OS" hidden="1">"c1572"</definedName>
    <definedName name="IQ_OPTIONS_CANCELLED" hidden="1">"c856"</definedName>
    <definedName name="IQ_OPTIONS_END_OS" hidden="1">"c1573"</definedName>
    <definedName name="IQ_OPTIONS_EXERCISABLE_END_OS" hidden="1">"c5804"</definedName>
    <definedName name="IQ_OPTIONS_EXERCISED" hidden="1">"c2116"</definedName>
    <definedName name="IQ_OPTIONS_GRANTED" hidden="1">"c2673"</definedName>
    <definedName name="IQ_OPTIONS_ISSUED" hidden="1">"c857"</definedName>
    <definedName name="IQ_OPTIONS_STRIKE_PRICE_BEG_OS" hidden="1">"c5805"</definedName>
    <definedName name="IQ_OPTIONS_STRIKE_PRICE_CANCELLED" hidden="1">"c5807"</definedName>
    <definedName name="IQ_OPTIONS_STRIKE_PRICE_EXERCISABLE" hidden="1">"c5808"</definedName>
    <definedName name="IQ_OPTIONS_STRIKE_PRICE_EXERCISED" hidden="1">"c5806"</definedName>
    <definedName name="IQ_OPTIONS_STRIKE_PRICE_GRANTED" hidden="1">"c2678"</definedName>
    <definedName name="IQ_OPTIONS_STRIKE_PRICE_OS" hidden="1">"c2677"</definedName>
    <definedName name="IQ_ORDER_BACKLOG" hidden="1">"c2090"</definedName>
    <definedName name="IQ_OREO_1_4_RESIDENTIAL_FDIC" hidden="1">"c6454"</definedName>
    <definedName name="IQ_OREO_COMMERCIAL_RE_FDIC" hidden="1">"c6456"</definedName>
    <definedName name="IQ_OREO_CONSTRUCTION_DEVELOPMENT_FDIC" hidden="1">"c6457"</definedName>
    <definedName name="IQ_OREO_FARMLAND_FDIC" hidden="1">"c6458"</definedName>
    <definedName name="IQ_OREO_FFIEC" hidden="1">"c12831"</definedName>
    <definedName name="IQ_OREO_FOREIGN_FDIC" hidden="1">"c6460"</definedName>
    <definedName name="IQ_OREO_MULTI_FAMILY_RESIDENTIAL_FDIC" hidden="1">"c6455"</definedName>
    <definedName name="IQ_OREO_OTHER_FFIEC" hidden="1">"c12833"</definedName>
    <definedName name="IQ_OTHER_ADDITIONS_T1_FFIEC" hidden="1">"c13142"</definedName>
    <definedName name="IQ_OTHER_ADDITIONS_T2_FFIEC" hidden="1">"c13148"</definedName>
    <definedName name="IQ_OTHER_ADJUST_GROSS_LOANS" hidden="1">"c859"</definedName>
    <definedName name="IQ_OTHER_ADJUSTMENTS_COVERED" hidden="1">"c9961"</definedName>
    <definedName name="IQ_OTHER_ADJUSTMENTS_FFIEC" hidden="1">"c12972"</definedName>
    <definedName name="IQ_OTHER_ADJUSTMENTS_GROUP" hidden="1">"c9947"</definedName>
    <definedName name="IQ_OTHER_AMORT" hidden="1">"c5563"</definedName>
    <definedName name="IQ_OTHER_AMORT_BNK" hidden="1">"c5565"</definedName>
    <definedName name="IQ_OTHER_AMORT_BR" hidden="1">"c5566"</definedName>
    <definedName name="IQ_OTHER_AMORT_FIN" hidden="1">"c5567"</definedName>
    <definedName name="IQ_OTHER_AMORT_INS" hidden="1">"c5568"</definedName>
    <definedName name="IQ_OTHER_AMORT_RE" hidden="1">"c6287"</definedName>
    <definedName name="IQ_OTHER_AMORT_REIT" hidden="1">"c5569"</definedName>
    <definedName name="IQ_OTHER_AMORT_UTI" hidden="1">"c5570"</definedName>
    <definedName name="IQ_OTHER_ASSETS" hidden="1">"c860"</definedName>
    <definedName name="IQ_OTHER_ASSETS_BNK" hidden="1">"c861"</definedName>
    <definedName name="IQ_OTHER_ASSETS_BR" hidden="1">"c862"</definedName>
    <definedName name="IQ_OTHER_ASSETS_FDIC" hidden="1">"c6338"</definedName>
    <definedName name="IQ_OTHER_ASSETS_FFIEC" hidden="1">"c12848"</definedName>
    <definedName name="IQ_OTHER_ASSETS_FIN" hidden="1">"c863"</definedName>
    <definedName name="IQ_OTHER_ASSETS_INS" hidden="1">"c864"</definedName>
    <definedName name="IQ_OTHER_ASSETS_RE" hidden="1">"c6241"</definedName>
    <definedName name="IQ_OTHER_ASSETS_REIT" hidden="1">"c865"</definedName>
    <definedName name="IQ_OTHER_ASSETS_SERV_RIGHTS" hidden="1">"c2243"</definedName>
    <definedName name="IQ_OTHER_ASSETS_TOTAL_FFIEC" hidden="1">"c12841"</definedName>
    <definedName name="IQ_OTHER_ASSETS_UTI" hidden="1">"c866"</definedName>
    <definedName name="IQ_OTHER_BEARING_LIAB" hidden="1">"c1608"</definedName>
    <definedName name="IQ_OTHER_BEDS" hidden="1">"c8784"</definedName>
    <definedName name="IQ_OTHER_BENEFITS_OBLIGATION" hidden="1">"c867"</definedName>
    <definedName name="IQ_OTHER_BORROWED_FUNDS_FDIC" hidden="1">"c6345"</definedName>
    <definedName name="IQ_OTHER_BORROWED_MONEY_FFIEC" hidden="1">"c12862"</definedName>
    <definedName name="IQ_OTHER_BORROWED_MONEY_LT_FFIEC" hidden="1">"c12865"</definedName>
    <definedName name="IQ_OTHER_BORROWED_MONEY_ST_FFIEC" hidden="1">"c12864"</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 hidden="1">"c6242"</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INS" hidden="1">"c6021"</definedName>
    <definedName name="IQ_OTHER_CL_SUPPL_RE" hidden="1">"c6243"</definedName>
    <definedName name="IQ_OTHER_CL_SUPPL_REIT" hidden="1">"c882"</definedName>
    <definedName name="IQ_OTHER_CL_SUPPL_UTI" hidden="1">"c883"</definedName>
    <definedName name="IQ_OTHER_CL_UTI" hidden="1">"c884"</definedName>
    <definedName name="IQ_OTHER_COMPREHENSIVE_INCOME_FDIC" hidden="1">"c6503"</definedName>
    <definedName name="IQ_OTHER_COMPREHENSIVE_INCOME_FFIEC" hidden="1">"c12970"</definedName>
    <definedName name="IQ_OTHER_CONSTRUCTION_GROSS_LOANS_FFIEC" hidden="1">"c13403"</definedName>
    <definedName name="IQ_OTHER_CONSTRUCTION_LOANS_DUE_30_89_FFIEC" hidden="1">"c13258"</definedName>
    <definedName name="IQ_OTHER_CONSTRUCTION_LOANS_DUE_90_FFIEC" hidden="1">"c13286"</definedName>
    <definedName name="IQ_OTHER_CONSTRUCTION_LOANS_NON_ACCRUAL_FFIEC" hidden="1">"c13312"</definedName>
    <definedName name="IQ_OTHER_CONSTRUCTION_LOANS_UNUSED_FFIEC" hidden="1">"c13245"</definedName>
    <definedName name="IQ_OTHER_CONSTRUCTION_RISK_BASED_FFIEC" hidden="1">"c13424"</definedName>
    <definedName name="IQ_OTHER_CONSUMER_LL_REC_FFIEC" hidden="1">"c12891"</definedName>
    <definedName name="IQ_OTHER_CONSUMER_LOANS_FFIEC" hidden="1">"c12824"</definedName>
    <definedName name="IQ_OTHER_CONSUMER_LOANS_TRADING_DOM_FFIEC" hidden="1">"c12935"</definedName>
    <definedName name="IQ_OTHER_CURRENT_ASSETS" hidden="1">"c1403"</definedName>
    <definedName name="IQ_OTHER_CURRENT_LIAB" hidden="1">"c1404"</definedName>
    <definedName name="IQ_OTHER_DEBT" hidden="1">"c2507"</definedName>
    <definedName name="IQ_OTHER_DEBT_PCT" hidden="1">"c2508"</definedName>
    <definedName name="IQ_OTHER_DEBT_SEC_DOM_AVAIL_SALE_FFIEC" hidden="1">"c12803"</definedName>
    <definedName name="IQ_OTHER_DEBT_SEC_FOREIGN_AVAIL_SALE_FFIEC" hidden="1">"c12804"</definedName>
    <definedName name="IQ_OTHER_DEBT_SEC_INVEST_SECURITIES_FFIEC" hidden="1">"c13462"</definedName>
    <definedName name="IQ_OTHER_DEBT_SEC_TRADING_DOM_FFIEC" hidden="1">"c12924"</definedName>
    <definedName name="IQ_OTHER_DEBT_SEC_TRADING_FFIEC" hidden="1">"c12819"</definedName>
    <definedName name="IQ_OTHER_DEBT_SECURITIES_DOM_FFIEC" hidden="1">"c12789"</definedName>
    <definedName name="IQ_OTHER_DEBT_SECURITIES_FOREIGN_FFIEC" hidden="1">"c12790"</definedName>
    <definedName name="IQ_OTHER_DEDUCTIONS_LEVERAGE_RATIO_FFIEC" hidden="1">"c13158"</definedName>
    <definedName name="IQ_OTHER_DEP" hidden="1">"c885"</definedName>
    <definedName name="IQ_OTHER_DEPOSITORY_INSTITUTIONS_LOANS_FDIC" hidden="1">"c6436"</definedName>
    <definedName name="IQ_OTHER_DEPOSITORY_INSTITUTIONS_TOTAL_LOANS_FOREIGN_FDIC" hidden="1">"c6442"</definedName>
    <definedName name="IQ_OTHER_DEPOSITS_FFIEC" hidden="1">"c12994"</definedName>
    <definedName name="IQ_OTHER_DERIVATIVES_BENEFICIARY_FFIEC" hidden="1">"c13122"</definedName>
    <definedName name="IQ_OTHER_DERIVATIVES_GUARANTOR_FFIEC" hidden="1">"c13115"</definedName>
    <definedName name="IQ_OTHER_DOMESTIC_DEBT_SECURITIES_FDIC" hidden="1">"c6302"</definedName>
    <definedName name="IQ_OTHER_EARNING" hidden="1">"c1609"</definedName>
    <definedName name="IQ_OTHER_EQUITY" hidden="1">"c886"</definedName>
    <definedName name="IQ_OTHER_EQUITY_BNK" hidden="1">"c887"</definedName>
    <definedName name="IQ_OTHER_EQUITY_BR" hidden="1">"c888"</definedName>
    <definedName name="IQ_OTHER_EQUITY_CAPITAL_COMPS_FFIEC" hidden="1">"c12880"</definedName>
    <definedName name="IQ_OTHER_EQUITY_FFIEC" hidden="1">"c12879"</definedName>
    <definedName name="IQ_OTHER_EQUITY_FIN" hidden="1">"c889"</definedName>
    <definedName name="IQ_OTHER_EQUITY_INS" hidden="1">"c890"</definedName>
    <definedName name="IQ_OTHER_EQUITY_RE" hidden="1">"c6244"</definedName>
    <definedName name="IQ_OTHER_EQUITY_REIT" hidden="1">"c891"</definedName>
    <definedName name="IQ_OTHER_EQUITY_UTI" hidden="1">"c892"</definedName>
    <definedName name="IQ_OTHER_EXP_OPERATING_INC_FFIEC" hidden="1">"c13381"</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 hidden="1">"c6245"</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 hidden="1">"c6246"</definedName>
    <definedName name="IQ_OTHER_FINANCE_ACT_SUPPL_REIT" hidden="1">"c904"</definedName>
    <definedName name="IQ_OTHER_FINANCE_ACT_SUPPL_UTI" hidden="1">"c905"</definedName>
    <definedName name="IQ_OTHER_FINANCE_ACT_UTI" hidden="1">"c906"</definedName>
    <definedName name="IQ_OTHER_FOREIGN_LOANS_FOREIGN_FFIEC" hidden="1">"c13482"</definedName>
    <definedName name="IQ_OTHER_INSURANCE_FEES_FDIC" hidden="1">"c6672"</definedName>
    <definedName name="IQ_OTHER_INSURANCE_PREMIUMS_FFIEC" hidden="1">"c13071"</definedName>
    <definedName name="IQ_OTHER_INT_EXPENSE_FFIEC" hidden="1">"c12999"</definedName>
    <definedName name="IQ_OTHER_INT_INCOME_FFIEC" hidden="1">"c12988"</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 hidden="1">"c6247"</definedName>
    <definedName name="IQ_OTHER_INTAN_REIT" hidden="1">"c912"</definedName>
    <definedName name="IQ_OTHER_INTAN_UTI" hidden="1">"c913"</definedName>
    <definedName name="IQ_OTHER_INTANGIBLE_ASSETS_FFIEC" hidden="1">"c12837"</definedName>
    <definedName name="IQ_OTHER_INTANGIBLE_ASSETS_TOT_FFIEC" hidden="1">"c12840"</definedName>
    <definedName name="IQ_OTHER_INTANGIBLE_FDIC" hidden="1">"c6337"</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 hidden="1">"c6248"</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 hidden="1">"c6249"</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EASES_DUE_30_89_FFIEC" hidden="1">"c13278"</definedName>
    <definedName name="IQ_OTHER_LEASES_DUE_90_FFIEC" hidden="1">"c13304"</definedName>
    <definedName name="IQ_OTHER_LEASES_LL_REC_FFIEC" hidden="1">"c12896"</definedName>
    <definedName name="IQ_OTHER_LEASES_NON_ACCRUAL_FFIEC" hidden="1">"c13330"</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 hidden="1">"c6250"</definedName>
    <definedName name="IQ_OTHER_LIAB_LT_REIT" hidden="1">"c940"</definedName>
    <definedName name="IQ_OTHER_LIAB_LT_UTI" hidden="1">"c941"</definedName>
    <definedName name="IQ_OTHER_LIAB_RE" hidden="1">"c6251"</definedName>
    <definedName name="IQ_OTHER_LIAB_REIT" hidden="1">"c942"</definedName>
    <definedName name="IQ_OTHER_LIAB_UTI" hidden="1">"c943"</definedName>
    <definedName name="IQ_OTHER_LIAB_WRITTEN" hidden="1">"c944"</definedName>
    <definedName name="IQ_OTHER_LIABILITIES_FDIC" hidden="1">"c6347"</definedName>
    <definedName name="IQ_OTHER_LIABILITIES_FFIEC" hidden="1">"c12872"</definedName>
    <definedName name="IQ_OTHER_LIABILITIES_TOTAL_FFIEC" hidden="1">"c12869"</definedName>
    <definedName name="IQ_OTHER_LL_REC_FFIEC" hidden="1">"c12894"</definedName>
    <definedName name="IQ_OTHER_LOANS" hidden="1">"c945"</definedName>
    <definedName name="IQ_OTHER_LOANS_CHARGE_OFFS_FDIC" hidden="1">"c6601"</definedName>
    <definedName name="IQ_OTHER_LOANS_DUE_30_89_FFIEC" hidden="1">"c13275"</definedName>
    <definedName name="IQ_OTHER_LOANS_DUE_90_FFIEC" hidden="1">"c13301"</definedName>
    <definedName name="IQ_OTHER_LOANS_FFIEC" hidden="1">"c12825"</definedName>
    <definedName name="IQ_OTHER_LOANS_FOREIGN_FDIC" hidden="1">"c6446"</definedName>
    <definedName name="IQ_OTHER_LOANS_GROSS_LOANS_FFIEC" hidden="1">"c13414"</definedName>
    <definedName name="IQ_OTHER_LOANS_INDIVIDUALS_CHARGE_OFFS_FFIEC" hidden="1">"c13181"</definedName>
    <definedName name="IQ_OTHER_LOANS_INDIVIDUALS_DUE_30_89_FFIEC" hidden="1">"c13273"</definedName>
    <definedName name="IQ_OTHER_LOANS_INDIVIDUALS_DUE_90_FFIEC" hidden="1">"c13299"</definedName>
    <definedName name="IQ_OTHER_LOANS_INDIVIDUALS_NON_ACCRUAL_FFIEC" hidden="1">"c13325"</definedName>
    <definedName name="IQ_OTHER_LOANS_INDIVIDUALS_RECOV_FFIEC" hidden="1">"c13203"</definedName>
    <definedName name="IQ_OTHER_LOANS_LEASES_FDIC" hidden="1">"c6322"</definedName>
    <definedName name="IQ_OTHER_LOANS_LL_REC_DOM_FFIEC" hidden="1">"c12914"</definedName>
    <definedName name="IQ_OTHER_LOANS_NET_CHARGE_OFFS_FDIC" hidden="1">"c6639"</definedName>
    <definedName name="IQ_OTHER_LOANS_NON_ACCRUAL_FFIEC" hidden="1">"c13327"</definedName>
    <definedName name="IQ_OTHER_LOANS_RECOVERIES_FDIC" hidden="1">"c6620"</definedName>
    <definedName name="IQ_OTHER_LOANS_RISK_BASED_FFIEC" hidden="1">"c13435"</definedName>
    <definedName name="IQ_OTHER_LOANS_TOTAL_FDIC" hidden="1">"c6432"</definedName>
    <definedName name="IQ_OTHER_LOANS_TRADING_DOM_FFIEC" hidden="1">"c12936"</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 hidden="1">"c6252"</definedName>
    <definedName name="IQ_OTHER_LT_ASSETS_REIT" hidden="1">"c951"</definedName>
    <definedName name="IQ_OTHER_LT_ASSETS_UTI" hidden="1">"c952"</definedName>
    <definedName name="IQ_OTHER_MBS_AVAIL_SALE_FFIEC" hidden="1">"c12801"</definedName>
    <definedName name="IQ_OTHER_MBS_FFIEC" hidden="1">"c12787"</definedName>
    <definedName name="IQ_OTHER_MBS_ISSUED_FNMA_GNMA_TRADING_DOM_FFIEC" hidden="1">"c12922"</definedName>
    <definedName name="IQ_OTHER_MBS_ISSUED_FNMA_GNMA_TRADING_FFIEC" hidden="1">"c12817"</definedName>
    <definedName name="IQ_OTHER_MBS_TRADING_DOM_FFIEC" hidden="1">"c12923"</definedName>
    <definedName name="IQ_OTHER_MBS_TRADING_FFIEC" hidden="1">"c12818"</definedName>
    <definedName name="IQ_OTHER_NET" hidden="1">"c1453"</definedName>
    <definedName name="IQ_OTHER_NON_INT_ALLOCATIONS_FFIEC" hidden="1">"c13065"</definedName>
    <definedName name="IQ_OTHER_NON_INT_EXP" hidden="1">"c953"</definedName>
    <definedName name="IQ_OTHER_NON_INT_EXP_FDIC" hidden="1">"c6578"</definedName>
    <definedName name="IQ_OTHER_NON_INT_EXP_FFIEC" hidden="1">"c13027"</definedName>
    <definedName name="IQ_OTHER_NON_INT_EXP_TOTAL" hidden="1">"c954"</definedName>
    <definedName name="IQ_OTHER_NON_INT_EXPENSE_FDIC" hidden="1">"c6679"</definedName>
    <definedName name="IQ_OTHER_NON_INT_INC" hidden="1">"c955"</definedName>
    <definedName name="IQ_OTHER_NON_INT_INC_FDIC" hidden="1">"c6676"</definedName>
    <definedName name="IQ_OTHER_NON_INT_INC_OPERATING_INC_FFIEC" hidden="1">"c13392"</definedName>
    <definedName name="IQ_OTHER_NON_INT_INCOME_FFIEC" hidden="1">"c13016"</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 hidden="1">"c6253"</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 hidden="1">"c6254"</definedName>
    <definedName name="IQ_OTHER_NON_OPER_EXP_SUPPL_REIT" hidden="1">"c965"</definedName>
    <definedName name="IQ_OTHER_NON_OPER_EXP_SUPPL_UTI" hidden="1">"c966"</definedName>
    <definedName name="IQ_OTHER_NON_OPER_EXP_UTI" hidden="1">"c967"</definedName>
    <definedName name="IQ_OTHER_NONFARM_NONRES_GROSS_LOANS_FFIEC" hidden="1">"c13407"</definedName>
    <definedName name="IQ_OTHER_NONFARM_NONRES_LL_REC_DOM_FFIEC" hidden="1">"c12907"</definedName>
    <definedName name="IQ_OTHER_NONFARM_NONRES_RISK_BASED_FFIEC" hidden="1">"c13428"</definedName>
    <definedName name="IQ_OTHER_OFF_BS_ITEMS_FFIEC" hidden="1">"c13126"</definedName>
    <definedName name="IQ_OTHER_OFF_BS_LIAB_FDIC" hidden="1">"c6533"</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 hidden="1">"c6255"</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 hidden="1">"c6256"</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 hidden="1">"c6257"</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 hidden="1">"c6258"</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ABLE_END_OS" hidden="1">"c5814"</definedName>
    <definedName name="IQ_OTHER_OPTIONS_EXERCISED" hidden="1">"c2688"</definedName>
    <definedName name="IQ_OTHER_OPTIONS_GRANTED" hidden="1">"c2687"</definedName>
    <definedName name="IQ_OTHER_OPTIONS_STRIKE_PRICE_BEG_OS" hidden="1">"c5815"</definedName>
    <definedName name="IQ_OTHER_OPTIONS_STRIKE_PRICE_CANCELLED" hidden="1">"c5817"</definedName>
    <definedName name="IQ_OTHER_OPTIONS_STRIKE_PRICE_EXERCISABLE" hidden="1">"c5818"</definedName>
    <definedName name="IQ_OTHER_OPTIONS_STRIKE_PRICE_EXERCISED" hidden="1">"c5816"</definedName>
    <definedName name="IQ_OTHER_OPTIONS_STRIKE_PRICE_OS" hidden="1">"c2691"</definedName>
    <definedName name="IQ_OTHER_OUTSTANDING_BS_DATE" hidden="1">"c1972"</definedName>
    <definedName name="IQ_OTHER_OUTSTANDING_FILING_DATE" hidden="1">"c1974"</definedName>
    <definedName name="IQ_OTHER_OVER_TOTAL" hidden="1">"c13770"</definedName>
    <definedName name="IQ_OTHER_PC_WRITTEN" hidden="1">"c1006"</definedName>
    <definedName name="IQ_OTHER_PROP" hidden="1">"c8764"</definedName>
    <definedName name="IQ_OTHER_RE_OWNED_FDIC" hidden="1">"c6330"</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 hidden="1">"c6259"</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 hidden="1">"c6260"</definedName>
    <definedName name="IQ_OTHER_REV_SUPPL_REIT" hidden="1">"c1019"</definedName>
    <definedName name="IQ_OTHER_REV_SUPPL_UTI" hidden="1">"c1020"</definedName>
    <definedName name="IQ_OTHER_REV_UTI" hidden="1">"c1021"</definedName>
    <definedName name="IQ_OTHER_REVENUE" hidden="1">"c1410"</definedName>
    <definedName name="IQ_OTHER_REVOL_CREDIT_CONSUMER_LOANS_FFIEC" hidden="1">"c12823"</definedName>
    <definedName name="IQ_OTHER_REVOLVING_CREDIT_LL_REC_FFIEC" hidden="1">"c12890"</definedName>
    <definedName name="IQ_OTHER_REVOLVING_CREDIT_LOANS_TRADING_DOM_FFIEC" hidden="1">"c12934"</definedName>
    <definedName name="IQ_OTHER_ROOMS" hidden="1">"c8788"</definedName>
    <definedName name="IQ_OTHER_SAVINGS_DEPOSITS_FDIC" hidden="1">"c6554"</definedName>
    <definedName name="IQ_OTHER_SQ_FT" hidden="1">"c8780"</definedName>
    <definedName name="IQ_OTHER_STRIKE_PRICE_GRANTED" hidden="1">"c2692"</definedName>
    <definedName name="IQ_OTHER_TAX_EQUIVALENT_ADJUSTMENTS_FFIEC" hidden="1">"c13855"</definedName>
    <definedName name="IQ_OTHER_TRADING_ASSETS_FFIEC" hidden="1">"c12826"</definedName>
    <definedName name="IQ_OTHER_TRADING_ASSETS_TOTAL_FFIEC" hidden="1">"c12937"</definedName>
    <definedName name="IQ_OTHER_TRADING_LIABILITIES_FFIEC" hidden="1">"c12860"</definedName>
    <definedName name="IQ_OTHER_TRANSACTIONS_FDIC" hidden="1">"c6504"</definedName>
    <definedName name="IQ_OTHER_UNDRAWN" hidden="1">"c2522"</definedName>
    <definedName name="IQ_OTHER_UNITS" hidden="1">"c8772"</definedName>
    <definedName name="IQ_OTHER_UNUSED_COMMITMENTS_FDIC" hidden="1">"c6530"</definedName>
    <definedName name="IQ_OTHER_UNUSED_FFIEC" hidden="1">"c13248"</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 hidden="1">"c6282"</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 hidden="1">"c6281"</definedName>
    <definedName name="IQ_OTHER_UNUSUAL_SUPPL_REIT" hidden="1">"c1499"</definedName>
    <definedName name="IQ_OTHER_UNUSUAL_SUPPL_UTI" hidden="1">"c1500"</definedName>
    <definedName name="IQ_OTHER_UNUSUAL_SUPPLE" hidden="1">"c13816"</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"c1023"</definedName>
    <definedName name="IQ_OVER_FIFETEEN_YEAR_MORTGAGE_PASS_THROUGHS_FDIC" hidden="1">"c6416"</definedName>
    <definedName name="IQ_OVER_FIFTEEN_YEAR_FIXED_AND_FLOATING_RATE_FDIC" hidden="1">"c6424"</definedName>
    <definedName name="IQ_OVER_THREE_YEARS_FDIC" hidden="1">"c6418"</definedName>
    <definedName name="IQ_OVERHEAD_EXP_AVG_ASSETS_FFIEC" hidden="1">"c13361"</definedName>
    <definedName name="IQ_OVERHEAD_EXP_REV_FFIEC" hidden="1">"c13494"</definedName>
    <definedName name="IQ_OVERHEAD_NON_INT_INC_AVG_ASSETS_FFIEC" hidden="1">"c13374"</definedName>
    <definedName name="IQ_OVERHEAD_NON_INT_OPERATING_INC_FFIEC" hidden="1">"c13393"</definedName>
    <definedName name="IQ_OVERHEAD_OPERATING_INC_FFIEC" hidden="1">"c13378"</definedName>
    <definedName name="IQ_OWNER_OCCUPIED_GROSS_LOANS_FFIEC" hidden="1">"c13406"</definedName>
    <definedName name="IQ_OWNER_OCCUPIED_LOANS_RISK_BASED_FFIEC" hidden="1">"c13427"</definedName>
    <definedName name="IQ_OWNER_OCCUPIED_NONFARM_NONRES_LL_REC_DOM_FFIEC" hidden="1">"c12906"</definedName>
    <definedName name="IQ_OWNERSHIP" hidden="1">"c2160"</definedName>
    <definedName name="IQ_PART_TIME" hidden="1">"c1024"</definedName>
    <definedName name="IQ_PARTICIPATION_POOLS_RESIDENTIAL_MORTGAGES_FDIC" hidden="1">"c6403"</definedName>
    <definedName name="IQ_PARTICIPATIONS_ACCEPTANCES_FFIEC" hidden="1">"c13254"</definedName>
    <definedName name="IQ_PARTNERSHIP_INC_RE" hidden="1">"c12039"</definedName>
    <definedName name="IQ_PASS_THROUGH_FNMA_GNMA_TRADING_FFIEC" hidden="1">"c12816"</definedName>
    <definedName name="IQ_PAST_DUE_30_1_4_FAMILY_LOANS_FDIC" hidden="1">"c6693"</definedName>
    <definedName name="IQ_PAST_DUE_30_AUTO_LOANS_FDIC" hidden="1">"c6687"</definedName>
    <definedName name="IQ_PAST_DUE_30_CL_LOANS_FDIC" hidden="1">"c6688"</definedName>
    <definedName name="IQ_PAST_DUE_30_CREDIT_CARDS_RECEIVABLES_FDIC" hidden="1">"c6690"</definedName>
    <definedName name="IQ_PAST_DUE_30_HOME_EQUITY_LINES_FDIC" hidden="1">"c6691"</definedName>
    <definedName name="IQ_PAST_DUE_30_OTHER_CONSUMER_LOANS_FDIC" hidden="1">"c6689"</definedName>
    <definedName name="IQ_PAST_DUE_30_OTHER_LOANS_FDIC" hidden="1">"c6692"</definedName>
    <definedName name="IQ_PAST_DUE_90_1_4_FAMILY_LOANS_FDIC" hidden="1">"c6700"</definedName>
    <definedName name="IQ_PAST_DUE_90_AUTO_LOANS_FDIC" hidden="1">"c6694"</definedName>
    <definedName name="IQ_PAST_DUE_90_CL_LOANS_FDIC" hidden="1">"c6695"</definedName>
    <definedName name="IQ_PAST_DUE_90_CREDIT_CARDS_RECEIVABLES_FDIC" hidden="1">"c6697"</definedName>
    <definedName name="IQ_PAST_DUE_90_HOME_EQUITY_LINES_FDIC" hidden="1">"c6698"</definedName>
    <definedName name="IQ_PAST_DUE_90_OTHER_CONSUMER_LOANS_FDIC" hidden="1">"c6696"</definedName>
    <definedName name="IQ_PAST_DUE_90_OTHER_LOANS_FDIC" hidden="1">"c6699"</definedName>
    <definedName name="IQ_PAST_DUE_ALLOW_GROSS_LOANS_FFIEC" hidden="1">"c13416"</definedName>
    <definedName name="IQ_PAY_ACCRUED" hidden="1">"c1457"</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EXCL_FWD" hidden="1">"c1030"</definedName>
    <definedName name="IQ_PE_EXCL_FWD_CIQ" hidden="1">"c4042"</definedName>
    <definedName name="IQ_PE_NORMALIZED" hidden="1">"c2207"</definedName>
    <definedName name="IQ_PE_RATIO" hidden="1">"c1610"</definedName>
    <definedName name="IQ_PEG_FWD" hidden="1">"c1863"</definedName>
    <definedName name="IQ_PEG_FWD_CIQ" hidden="1">"c4045"</definedName>
    <definedName name="IQ_PENSION" hidden="1">"c1031"</definedName>
    <definedName name="IQ_PENSION_ACCRUED_LIAB" hidden="1">"c3134"</definedName>
    <definedName name="IQ_PENSION_ACCRUED_LIAB_DOM" hidden="1">"c3132"</definedName>
    <definedName name="IQ_PENSION_ACCRUED_LIAB_FOREIGN" hidden="1">"c3133"</definedName>
    <definedName name="IQ_PENSION_ACCUM_OTHER_CI" hidden="1">"c3140"</definedName>
    <definedName name="IQ_PENSION_ACCUM_OTHER_CI_DOM" hidden="1">"c3138"</definedName>
    <definedName name="IQ_PENSION_ACCUM_OTHER_CI_FOREIGN" hidden="1">"c3139"</definedName>
    <definedName name="IQ_PENSION_ACCUMULATED_OBLIGATION" hidden="1">"c3570"</definedName>
    <definedName name="IQ_PENSION_ACCUMULATED_OBLIGATION_DOMESTIC" hidden="1">"c3568"</definedName>
    <definedName name="IQ_PENSION_ACCUMULATED_OBLIGATION_FOREIGN" hidden="1">"c3569"</definedName>
    <definedName name="IQ_PENSION_ACT_NEXT" hidden="1">"c5738"</definedName>
    <definedName name="IQ_PENSION_ACT_NEXT_DOM" hidden="1">"c5736"</definedName>
    <definedName name="IQ_PENSION_ACT_NEXT_FOREIGN" hidden="1">"c5737"</definedName>
    <definedName name="IQ_PENSION_AMT_RECOG_NEXT_DOM" hidden="1">"c5745"</definedName>
    <definedName name="IQ_PENSION_AMT_RECOG_NEXT_FOREIGN" hidden="1">"c5746"</definedName>
    <definedName name="IQ_PENSION_AMT_RECOG_PERIOD" hidden="1">"c5747"</definedName>
    <definedName name="IQ_PENSION_ASSETS" hidden="1">"c3182"</definedName>
    <definedName name="IQ_PENSION_ASSETS_ACQ" hidden="1">"c3173"</definedName>
    <definedName name="IQ_PENSION_ASSETS_ACQ_DOM" hidden="1">"c3171"</definedName>
    <definedName name="IQ_PENSION_ASSETS_ACQ_FOREIGN" hidden="1">"c3172"</definedName>
    <definedName name="IQ_PENSION_ASSETS_ACTUAL_RETURN" hidden="1">"c3158"</definedName>
    <definedName name="IQ_PENSION_ASSETS_ACTUAL_RETURN_DOM" hidden="1">"c3156"</definedName>
    <definedName name="IQ_PENSION_ASSETS_ACTUAL_RETURN_FOREIGN" hidden="1">"c3157"</definedName>
    <definedName name="IQ_PENSION_ASSETS_BEG" hidden="1">"c3155"</definedName>
    <definedName name="IQ_PENSION_ASSETS_BEG_DOM" hidden="1">"c3153"</definedName>
    <definedName name="IQ_PENSION_ASSETS_BEG_FOREIGN" hidden="1">"c3154"</definedName>
    <definedName name="IQ_PENSION_ASSETS_BENEFITS_PAID" hidden="1">"c3167"</definedName>
    <definedName name="IQ_PENSION_ASSETS_BENEFITS_PAID_DOM" hidden="1">"c3165"</definedName>
    <definedName name="IQ_PENSION_ASSETS_BENEFITS_PAID_FOREIGN" hidden="1">"c3166"</definedName>
    <definedName name="IQ_PENSION_ASSETS_CURTAIL" hidden="1">"c3176"</definedName>
    <definedName name="IQ_PENSION_ASSETS_CURTAIL_DOM" hidden="1">"c3174"</definedName>
    <definedName name="IQ_PENSION_ASSETS_CURTAIL_FOREIGN" hidden="1">"c3175"</definedName>
    <definedName name="IQ_PENSION_ASSETS_DOM" hidden="1">"c3180"</definedName>
    <definedName name="IQ_PENSION_ASSETS_EMPLOYER_CONTRIBUTIONS" hidden="1">"c3161"</definedName>
    <definedName name="IQ_PENSION_ASSETS_EMPLOYER_CONTRIBUTIONS_DOM" hidden="1">"c3159"</definedName>
    <definedName name="IQ_PENSION_ASSETS_EMPLOYER_CONTRIBUTIONS_FOREIGN" hidden="1">"c3160"</definedName>
    <definedName name="IQ_PENSION_ASSETS_FOREIGN" hidden="1">"c3181"</definedName>
    <definedName name="IQ_PENSION_ASSETS_FX_ADJ" hidden="1">"c3170"</definedName>
    <definedName name="IQ_PENSION_ASSETS_FX_ADJ_DOM" hidden="1">"c3168"</definedName>
    <definedName name="IQ_PENSION_ASSETS_FX_ADJ_FOREIGN" hidden="1">"c3169"</definedName>
    <definedName name="IQ_PENSION_ASSETS_OTHER_PLAN_ADJ" hidden="1">"c3179"</definedName>
    <definedName name="IQ_PENSION_ASSETS_OTHER_PLAN_ADJ_DOM" hidden="1">"c3177"</definedName>
    <definedName name="IQ_PENSION_ASSETS_OTHER_PLAN_ADJ_FOREIGN" hidden="1">"c3178"</definedName>
    <definedName name="IQ_PENSION_ASSETS_PARTICIP_CONTRIBUTIONS" hidden="1">"c3164"</definedName>
    <definedName name="IQ_PENSION_ASSETS_PARTICIP_CONTRIBUTIONS_DOM" hidden="1">"c3162"</definedName>
    <definedName name="IQ_PENSION_ASSETS_PARTICIP_CONTRIBUTIONS_FOREIGN" hidden="1">"c3163"</definedName>
    <definedName name="IQ_PENSION_BENEFIT_INFO_DATE" hidden="1">"c3230"</definedName>
    <definedName name="IQ_PENSION_BENEFIT_INFO_DATE_DOM" hidden="1">"c3228"</definedName>
    <definedName name="IQ_PENSION_BENEFIT_INFO_DATE_FOREIGN" hidden="1">"c3229"</definedName>
    <definedName name="IQ_PENSION_BREAKDOWN_EQ" hidden="1">"c3101"</definedName>
    <definedName name="IQ_PENSION_BREAKDOWN_EQ_DOM" hidden="1">"c3099"</definedName>
    <definedName name="IQ_PENSION_BREAKDOWN_EQ_FOREIGN" hidden="1">"c3100"</definedName>
    <definedName name="IQ_PENSION_BREAKDOWN_FI" hidden="1">"c3104"</definedName>
    <definedName name="IQ_PENSION_BREAKDOWN_FI_DOM" hidden="1">"c3102"</definedName>
    <definedName name="IQ_PENSION_BREAKDOWN_FI_FOREIGN" hidden="1">"c3103"</definedName>
    <definedName name="IQ_PENSION_BREAKDOWN_OTHER" hidden="1">"c3110"</definedName>
    <definedName name="IQ_PENSION_BREAKDOWN_OTHER_DOM" hidden="1">"c3108"</definedName>
    <definedName name="IQ_PENSION_BREAKDOWN_OTHER_FOREIGN" hidden="1">"c3109"</definedName>
    <definedName name="IQ_PENSION_BREAKDOWN_PCT_EQ" hidden="1">"c3089"</definedName>
    <definedName name="IQ_PENSION_BREAKDOWN_PCT_EQ_DOM" hidden="1">"c3087"</definedName>
    <definedName name="IQ_PENSION_BREAKDOWN_PCT_EQ_FOREIGN" hidden="1">"c3088"</definedName>
    <definedName name="IQ_PENSION_BREAKDOWN_PCT_FI" hidden="1">"c3092"</definedName>
    <definedName name="IQ_PENSION_BREAKDOWN_PCT_FI_DOM" hidden="1">"c3090"</definedName>
    <definedName name="IQ_PENSION_BREAKDOWN_PCT_FI_FOREIGN" hidden="1">"c3091"</definedName>
    <definedName name="IQ_PENSION_BREAKDOWN_PCT_OTHER" hidden="1">"c3098"</definedName>
    <definedName name="IQ_PENSION_BREAKDOWN_PCT_OTHER_DOM" hidden="1">"c3096"</definedName>
    <definedName name="IQ_PENSION_BREAKDOWN_PCT_OTHER_FOREIGN" hidden="1">"c3097"</definedName>
    <definedName name="IQ_PENSION_BREAKDOWN_PCT_RE" hidden="1">"c3095"</definedName>
    <definedName name="IQ_PENSION_BREAKDOWN_PCT_RE_DOM" hidden="1">"c3093"</definedName>
    <definedName name="IQ_PENSION_BREAKDOWN_PCT_RE_FOREIGN" hidden="1">"c3094"</definedName>
    <definedName name="IQ_PENSION_BREAKDOWN_RE" hidden="1">"c3107"</definedName>
    <definedName name="IQ_PENSION_BREAKDOWN_RE_DOM" hidden="1">"c3105"</definedName>
    <definedName name="IQ_PENSION_BREAKDOWN_RE_FOREIGN" hidden="1">"c3106"</definedName>
    <definedName name="IQ_PENSION_CI_ACT" hidden="1">"c5723"</definedName>
    <definedName name="IQ_PENSION_CI_ACT_DOM" hidden="1">"c5721"</definedName>
    <definedName name="IQ_PENSION_CI_ACT_FOREIGN" hidden="1">"c5722"</definedName>
    <definedName name="IQ_PENSION_CI_NET_AMT_RECOG" hidden="1">"c5735"</definedName>
    <definedName name="IQ_PENSION_CI_NET_AMT_RECOG_DOM" hidden="1">"c5733"</definedName>
    <definedName name="IQ_PENSION_CI_NET_AMT_RECOG_FOREIGN" hidden="1">"c5734"</definedName>
    <definedName name="IQ_PENSION_CI_OTHER_MISC_ADJ" hidden="1">"c5732"</definedName>
    <definedName name="IQ_PENSION_CI_OTHER_MISC_ADJ_DOM" hidden="1">"c5730"</definedName>
    <definedName name="IQ_PENSION_CI_OTHER_MISC_ADJ_FOREIGN" hidden="1">"c5731"</definedName>
    <definedName name="IQ_PENSION_CI_PRIOR_SERVICE" hidden="1">"c5726"</definedName>
    <definedName name="IQ_PENSION_CI_PRIOR_SERVICE_DOM" hidden="1">"c5724"</definedName>
    <definedName name="IQ_PENSION_CI_PRIOR_SERVICE_FOREIGN" hidden="1">"c5725"</definedName>
    <definedName name="IQ_PENSION_CI_TRANSITION" hidden="1">"c5729"</definedName>
    <definedName name="IQ_PENSION_CI_TRANSITION_DOM" hidden="1">"c5727"</definedName>
    <definedName name="IQ_PENSION_CI_TRANSITION_FOREIGN" hidden="1">"c5728"</definedName>
    <definedName name="IQ_PENSION_CL" hidden="1">"c5753"</definedName>
    <definedName name="IQ_PENSION_CL_DOM" hidden="1">"c5751"</definedName>
    <definedName name="IQ_PENSION_CL_FOREIGN" hidden="1">"c5752"</definedName>
    <definedName name="IQ_PENSION_CONTRIBUTION_TOTAL_COST" hidden="1">"c3559"</definedName>
    <definedName name="IQ_PENSION_DISC_RATE_MAX" hidden="1">"c3236"</definedName>
    <definedName name="IQ_PENSION_DISC_RATE_MAX_DOM" hidden="1">"c3234"</definedName>
    <definedName name="IQ_PENSION_DISC_RATE_MAX_FOREIGN" hidden="1">"c3235"</definedName>
    <definedName name="IQ_PENSION_DISC_RATE_MIN" hidden="1">"c3233"</definedName>
    <definedName name="IQ_PENSION_DISC_RATE_MIN_DOM" hidden="1">"c3231"</definedName>
    <definedName name="IQ_PENSION_DISC_RATE_MIN_FOREIGN" hidden="1">"c3232"</definedName>
    <definedName name="IQ_PENSION_DISCOUNT_RATE_DOMESTIC" hidden="1">"c3573"</definedName>
    <definedName name="IQ_PENSION_DISCOUNT_RATE_FOREIGN" hidden="1">"c3574"</definedName>
    <definedName name="IQ_PENSION_EST_BENEFIT_1YR" hidden="1">"c3113"</definedName>
    <definedName name="IQ_PENSION_EST_BENEFIT_1YR_DOM" hidden="1">"c3111"</definedName>
    <definedName name="IQ_PENSION_EST_BENEFIT_1YR_FOREIGN" hidden="1">"c3112"</definedName>
    <definedName name="IQ_PENSION_EST_BENEFIT_2YR" hidden="1">"c3116"</definedName>
    <definedName name="IQ_PENSION_EST_BENEFIT_2YR_DOM" hidden="1">"c3114"</definedName>
    <definedName name="IQ_PENSION_EST_BENEFIT_2YR_FOREIGN" hidden="1">"c3115"</definedName>
    <definedName name="IQ_PENSION_EST_BENEFIT_3YR" hidden="1">"c3119"</definedName>
    <definedName name="IQ_PENSION_EST_BENEFIT_3YR_DOM" hidden="1">"c3117"</definedName>
    <definedName name="IQ_PENSION_EST_BENEFIT_3YR_FOREIGN" hidden="1">"c3118"</definedName>
    <definedName name="IQ_PENSION_EST_BENEFIT_4YR" hidden="1">"c3122"</definedName>
    <definedName name="IQ_PENSION_EST_BENEFIT_4YR_DOM" hidden="1">"c3120"</definedName>
    <definedName name="IQ_PENSION_EST_BENEFIT_4YR_FOREIGN" hidden="1">"c3121"</definedName>
    <definedName name="IQ_PENSION_EST_BENEFIT_5YR" hidden="1">"c3125"</definedName>
    <definedName name="IQ_PENSION_EST_BENEFIT_5YR_DOM" hidden="1">"c3123"</definedName>
    <definedName name="IQ_PENSION_EST_BENEFIT_5YR_FOREIGN" hidden="1">"c3124"</definedName>
    <definedName name="IQ_PENSION_EST_BENEFIT_AFTER5" hidden="1">"c3128"</definedName>
    <definedName name="IQ_PENSION_EST_BENEFIT_AFTER5_DOM" hidden="1">"c3126"</definedName>
    <definedName name="IQ_PENSION_EST_BENEFIT_AFTER5_FOREIGN" hidden="1">"c3127"</definedName>
    <definedName name="IQ_PENSION_EST_CONTRIBUTIONS_NEXTYR" hidden="1">"c3218"</definedName>
    <definedName name="IQ_PENSION_EST_CONTRIBUTIONS_NEXTYR_DOM" hidden="1">"c3216"</definedName>
    <definedName name="IQ_PENSION_EST_CONTRIBUTIONS_NEXTYR_FOREIGN" hidden="1">"c3217"</definedName>
    <definedName name="IQ_PENSION_EXP_RATE_RETURN_MAX" hidden="1">"c3248"</definedName>
    <definedName name="IQ_PENSION_EXP_RATE_RETURN_MAX_DOM" hidden="1">"c3246"</definedName>
    <definedName name="IQ_PENSION_EXP_RATE_RETURN_MAX_FOREIGN" hidden="1">"c3247"</definedName>
    <definedName name="IQ_PENSION_EXP_RATE_RETURN_MIN" hidden="1">"c3245"</definedName>
    <definedName name="IQ_PENSION_EXP_RATE_RETURN_MIN_DOM" hidden="1">"c3243"</definedName>
    <definedName name="IQ_PENSION_EXP_RATE_RETURN_MIN_FOREIGN" hidden="1">"c3244"</definedName>
    <definedName name="IQ_PENSION_EXP_RETURN_DOMESTIC" hidden="1">"c3571"</definedName>
    <definedName name="IQ_PENSION_EXP_RETURN_FOREIGN" hidden="1">"c3572"</definedName>
    <definedName name="IQ_PENSION_INTAN_ASSETS" hidden="1">"c3137"</definedName>
    <definedName name="IQ_PENSION_INTAN_ASSETS_DOM" hidden="1">"c3135"</definedName>
    <definedName name="IQ_PENSION_INTAN_ASSETS_FOREIGN" hidden="1">"c3136"</definedName>
    <definedName name="IQ_PENSION_INTEREST_COST" hidden="1">"c3582"</definedName>
    <definedName name="IQ_PENSION_INTEREST_COST_DOM" hidden="1">"c3580"</definedName>
    <definedName name="IQ_PENSION_INTEREST_COST_FOREIGN" hidden="1">"c3581"</definedName>
    <definedName name="IQ_PENSION_LT_ASSETS" hidden="1">"c5750"</definedName>
    <definedName name="IQ_PENSION_LT_ASSETS_DOM" hidden="1">"c5748"</definedName>
    <definedName name="IQ_PENSION_LT_ASSETS_FOREIGN" hidden="1">"c5749"</definedName>
    <definedName name="IQ_PENSION_LT_LIAB" hidden="1">"c5756"</definedName>
    <definedName name="IQ_PENSION_LT_LIAB_DOM" hidden="1">"c5754"</definedName>
    <definedName name="IQ_PENSION_LT_LIAB_FOREIGN" hidden="1">"c5755"</definedName>
    <definedName name="IQ_PENSION_NET_ASSET_RECOG" hidden="1">"c3152"</definedName>
    <definedName name="IQ_PENSION_NET_ASSET_RECOG_DOM" hidden="1">"c3150"</definedName>
    <definedName name="IQ_PENSION_NET_ASSET_RECOG_FOREIGN" hidden="1">"c3151"</definedName>
    <definedName name="IQ_PENSION_OBLIGATION_ACQ" hidden="1">"c3206"</definedName>
    <definedName name="IQ_PENSION_OBLIGATION_ACQ_DOM" hidden="1">"c3204"</definedName>
    <definedName name="IQ_PENSION_OBLIGATION_ACQ_FOREIGN" hidden="1">"c3205"</definedName>
    <definedName name="IQ_PENSION_OBLIGATION_ACTUARIAL_GAIN_LOSS" hidden="1">"c3197"</definedName>
    <definedName name="IQ_PENSION_OBLIGATION_ACTUARIAL_GAIN_LOSS_DOM" hidden="1">"c3195"</definedName>
    <definedName name="IQ_PENSION_OBLIGATION_ACTUARIAL_GAIN_LOSS_FOREIGN" hidden="1">"c3196"</definedName>
    <definedName name="IQ_PENSION_OBLIGATION_BEG" hidden="1">"c3185"</definedName>
    <definedName name="IQ_PENSION_OBLIGATION_BEG_DOM" hidden="1">"c3183"</definedName>
    <definedName name="IQ_PENSION_OBLIGATION_BEG_FOREIGN" hidden="1">"c3184"</definedName>
    <definedName name="IQ_PENSION_OBLIGATION_CURTAIL" hidden="1">"c3209"</definedName>
    <definedName name="IQ_PENSION_OBLIGATION_CURTAIL_DOM" hidden="1">"c3207"</definedName>
    <definedName name="IQ_PENSION_OBLIGATION_CURTAIL_FOREIGN" hidden="1">"c3208"</definedName>
    <definedName name="IQ_PENSION_OBLIGATION_EMPLOYEE_CONTRIBUTIONS" hidden="1">"c3194"</definedName>
    <definedName name="IQ_PENSION_OBLIGATION_EMPLOYEE_CONTRIBUTIONS_DOM" hidden="1">"c3192"</definedName>
    <definedName name="IQ_PENSION_OBLIGATION_EMPLOYEE_CONTRIBUTIONS_FOREIGN" hidden="1">"c3193"</definedName>
    <definedName name="IQ_PENSION_OBLIGATION_FX_ADJ" hidden="1">"c3203"</definedName>
    <definedName name="IQ_PENSION_OBLIGATION_FX_ADJ_DOM" hidden="1">"c3201"</definedName>
    <definedName name="IQ_PENSION_OBLIGATION_FX_ADJ_FOREIGN" hidden="1">"c3202"</definedName>
    <definedName name="IQ_PENSION_OBLIGATION_INTEREST_COST" hidden="1">"c3191"</definedName>
    <definedName name="IQ_PENSION_OBLIGATION_INTEREST_COST_DOM" hidden="1">"c3189"</definedName>
    <definedName name="IQ_PENSION_OBLIGATION_INTEREST_COST_FOREIGN" hidden="1">"c3190"</definedName>
    <definedName name="IQ_PENSION_OBLIGATION_OTHER_COST" hidden="1">"c3555"</definedName>
    <definedName name="IQ_PENSION_OBLIGATION_OTHER_COST_DOM" hidden="1">"c3553"</definedName>
    <definedName name="IQ_PENSION_OBLIGATION_OTHER_COST_FOREIGN" hidden="1">"c3554"</definedName>
    <definedName name="IQ_PENSION_OBLIGATION_OTHER_PLAN_ADJ" hidden="1">"c3212"</definedName>
    <definedName name="IQ_PENSION_OBLIGATION_OTHER_PLAN_ADJ_DOM" hidden="1">"c3210"</definedName>
    <definedName name="IQ_PENSION_OBLIGATION_OTHER_PLAN_ADJ_FOREIGN" hidden="1">"c3211"</definedName>
    <definedName name="IQ_PENSION_OBLIGATION_PAID" hidden="1">"c3200"</definedName>
    <definedName name="IQ_PENSION_OBLIGATION_PAID_DOM" hidden="1">"c3198"</definedName>
    <definedName name="IQ_PENSION_OBLIGATION_PAID_FOREIGN" hidden="1">"c3199"</definedName>
    <definedName name="IQ_PENSION_OBLIGATION_PROJECTED" hidden="1">"c3215"</definedName>
    <definedName name="IQ_PENSION_OBLIGATION_PROJECTED_DOM" hidden="1">"c3213"</definedName>
    <definedName name="IQ_PENSION_OBLIGATION_PROJECTED_FOREIGN" hidden="1">"c3214"</definedName>
    <definedName name="IQ_PENSION_OBLIGATION_ROA" hidden="1">"c3552"</definedName>
    <definedName name="IQ_PENSION_OBLIGATION_ROA_DOM" hidden="1">"c3550"</definedName>
    <definedName name="IQ_PENSION_OBLIGATION_ROA_FOREIGN" hidden="1">"c3551"</definedName>
    <definedName name="IQ_PENSION_OBLIGATION_SERVICE_COST" hidden="1">"c3188"</definedName>
    <definedName name="IQ_PENSION_OBLIGATION_SERVICE_COST_DOM" hidden="1">"c3186"</definedName>
    <definedName name="IQ_PENSION_OBLIGATION_SERVICE_COST_FOREIGN" hidden="1">"c3187"</definedName>
    <definedName name="IQ_PENSION_OBLIGATION_TOTAL_COST" hidden="1">"c3558"</definedName>
    <definedName name="IQ_PENSION_OBLIGATION_TOTAL_COST_DOM" hidden="1">"c3556"</definedName>
    <definedName name="IQ_PENSION_OBLIGATION_TOTAL_COST_FOREIGN" hidden="1">"c3557"</definedName>
    <definedName name="IQ_PENSION_OTHER" hidden="1">"c3143"</definedName>
    <definedName name="IQ_PENSION_OTHER_ADJ" hidden="1">"c3149"</definedName>
    <definedName name="IQ_PENSION_OTHER_ADJ_DOM" hidden="1">"c3147"</definedName>
    <definedName name="IQ_PENSION_OTHER_ADJ_FOREIGN" hidden="1">"c3148"</definedName>
    <definedName name="IQ_PENSION_OTHER_DOM" hidden="1">"c3141"</definedName>
    <definedName name="IQ_PENSION_OTHER_FOREIGN" hidden="1">"c3142"</definedName>
    <definedName name="IQ_PENSION_PBO_ASSUMED_RATE_RET_MAX" hidden="1">"c3254"</definedName>
    <definedName name="IQ_PENSION_PBO_ASSUMED_RATE_RET_MAX_DOM" hidden="1">"c3252"</definedName>
    <definedName name="IQ_PENSION_PBO_ASSUMED_RATE_RET_MAX_FOREIGN" hidden="1">"c3253"</definedName>
    <definedName name="IQ_PENSION_PBO_ASSUMED_RATE_RET_MIN" hidden="1">"c3251"</definedName>
    <definedName name="IQ_PENSION_PBO_ASSUMED_RATE_RET_MIN_DOM" hidden="1">"c3249"</definedName>
    <definedName name="IQ_PENSION_PBO_ASSUMED_RATE_RET_MIN_FOREIGN" hidden="1">"c3250"</definedName>
    <definedName name="IQ_PENSION_PBO_RATE_COMP_INCREASE_MAX" hidden="1">"c3260"</definedName>
    <definedName name="IQ_PENSION_PBO_RATE_COMP_INCREASE_MAX_DOM" hidden="1">"c3258"</definedName>
    <definedName name="IQ_PENSION_PBO_RATE_COMP_INCREASE_MAX_FOREIGN" hidden="1">"c3259"</definedName>
    <definedName name="IQ_PENSION_PBO_RATE_COMP_INCREASE_MIN" hidden="1">"c3257"</definedName>
    <definedName name="IQ_PENSION_PBO_RATE_COMP_INCREASE_MIN_DOM" hidden="1">"c3255"</definedName>
    <definedName name="IQ_PENSION_PBO_RATE_COMP_INCREASE_MIN_FOREIGN" hidden="1">"c3256"</definedName>
    <definedName name="IQ_PENSION_PREPAID_COST" hidden="1">"c3131"</definedName>
    <definedName name="IQ_PENSION_PREPAID_COST_DOM" hidden="1">"c3129"</definedName>
    <definedName name="IQ_PENSION_PREPAID_COST_FOREIGN" hidden="1">"c3130"</definedName>
    <definedName name="IQ_PENSION_PRIOR_SERVICE_NEXT" hidden="1">"c5741"</definedName>
    <definedName name="IQ_PENSION_PRIOR_SERVICE_NEXT_DOM" hidden="1">"c5739"</definedName>
    <definedName name="IQ_PENSION_PRIOR_SERVICE_NEXT_FOREIGN" hidden="1">"c5740"</definedName>
    <definedName name="IQ_PENSION_PROJECTED_OBLIGATION" hidden="1">"c3566"</definedName>
    <definedName name="IQ_PENSION_PROJECTED_OBLIGATION_DOMESTIC" hidden="1">"c3564"</definedName>
    <definedName name="IQ_PENSION_PROJECTED_OBLIGATION_FOREIGN" hidden="1">"c3565"</definedName>
    <definedName name="IQ_PENSION_QUART_ADDL_CONTRIBUTIONS_EXP" hidden="1">"c3224"</definedName>
    <definedName name="IQ_PENSION_QUART_ADDL_CONTRIBUTIONS_EXP_DOM" hidden="1">"c3222"</definedName>
    <definedName name="IQ_PENSION_QUART_ADDL_CONTRIBUTIONS_EXP_FOREIGN" hidden="1">"c3223"</definedName>
    <definedName name="IQ_PENSION_QUART_EMPLOYER_CONTRIBUTIONS" hidden="1">"c3221"</definedName>
    <definedName name="IQ_PENSION_QUART_EMPLOYER_CONTRIBUTIONS_DOM" hidden="1">"c3219"</definedName>
    <definedName name="IQ_PENSION_QUART_EMPLOYER_CONTRIBUTIONS_FOREIGN" hidden="1">"c3220"</definedName>
    <definedName name="IQ_PENSION_RATE_COMP_GROWTH_DOMESTIC" hidden="1">"c3575"</definedName>
    <definedName name="IQ_PENSION_RATE_COMP_GROWTH_FOREIGN" hidden="1">"c3576"</definedName>
    <definedName name="IQ_PENSION_RATE_COMP_INCREASE_MAX" hidden="1">"c3242"</definedName>
    <definedName name="IQ_PENSION_RATE_COMP_INCREASE_MAX_DOM" hidden="1">"c3240"</definedName>
    <definedName name="IQ_PENSION_RATE_COMP_INCREASE_MAX_FOREIGN" hidden="1">"c3241"</definedName>
    <definedName name="IQ_PENSION_RATE_COMP_INCREASE_MIN" hidden="1">"c3239"</definedName>
    <definedName name="IQ_PENSION_RATE_COMP_INCREASE_MIN_DOM" hidden="1">"c3237"</definedName>
    <definedName name="IQ_PENSION_RATE_COMP_INCREASE_MIN_FOREIGN" hidden="1">"c3238"</definedName>
    <definedName name="IQ_PENSION_SERVICE_COST" hidden="1">"c3579"</definedName>
    <definedName name="IQ_PENSION_SERVICE_COST_DOM" hidden="1">"c3577"</definedName>
    <definedName name="IQ_PENSION_SERVICE_COST_FOREIGN" hidden="1">"c3578"</definedName>
    <definedName name="IQ_PENSION_TOTAL_ASSETS" hidden="1">"c3563"</definedName>
    <definedName name="IQ_PENSION_TOTAL_ASSETS_DOMESTIC" hidden="1">"c3561"</definedName>
    <definedName name="IQ_PENSION_TOTAL_ASSETS_FOREIGN" hidden="1">"c3562"</definedName>
    <definedName name="IQ_PENSION_TOTAL_EXP" hidden="1">"c3560"</definedName>
    <definedName name="IQ_PENSION_TRANSITION_NEXT" hidden="1">"c5744"</definedName>
    <definedName name="IQ_PENSION_TRANSITION_NEXT_DOM" hidden="1">"c5742"</definedName>
    <definedName name="IQ_PENSION_TRANSITION_NEXT_FOREIGN" hidden="1">"c5743"</definedName>
    <definedName name="IQ_PENSION_UNFUNDED_ADDL_MIN_LIAB" hidden="1">"c3227"</definedName>
    <definedName name="IQ_PENSION_UNFUNDED_ADDL_MIN_LIAB_DOM" hidden="1">"c3225"</definedName>
    <definedName name="IQ_PENSION_UNFUNDED_ADDL_MIN_LIAB_FOREIGN" hidden="1">"c3226"</definedName>
    <definedName name="IQ_PENSION_UNRECOG_PRIOR" hidden="1">"c3146"</definedName>
    <definedName name="IQ_PENSION_UNRECOG_PRIOR_DOM" hidden="1">"c3144"</definedName>
    <definedName name="IQ_PENSION_UNRECOG_PRIOR_FOREIGN" hidden="1">"c3145"</definedName>
    <definedName name="IQ_PENSION_UV_LIAB" hidden="1">"c3567"</definedName>
    <definedName name="IQ_PERCENT_CHANGE_EST_5YR_GROWTH_RATE_12MONTHS" hidden="1">"c1852"</definedName>
    <definedName name="IQ_PERCENT_CHANGE_EST_5YR_GROWTH_RATE_12MONTHS_CIQ" hidden="1">"c3790"</definedName>
    <definedName name="IQ_PERCENT_CHANGE_EST_5YR_GROWTH_RATE_18MONTHS" hidden="1">"c1853"</definedName>
    <definedName name="IQ_PERCENT_CHANGE_EST_5YR_GROWTH_RATE_18MONTHS_CIQ" hidden="1">"c3791"</definedName>
    <definedName name="IQ_PERCENT_CHANGE_EST_5YR_GROWTH_RATE_3MONTHS" hidden="1">"c1849"</definedName>
    <definedName name="IQ_PERCENT_CHANGE_EST_5YR_GROWTH_RATE_3MONTHS_CIQ" hidden="1">"c3787"</definedName>
    <definedName name="IQ_PERCENT_CHANGE_EST_5YR_GROWTH_RATE_6MONTHS" hidden="1">"c1850"</definedName>
    <definedName name="IQ_PERCENT_CHANGE_EST_5YR_GROWTH_RATE_6MONTHS_CIQ" hidden="1">"c3788"</definedName>
    <definedName name="IQ_PERCENT_CHANGE_EST_5YR_GROWTH_RATE_9MONTHS" hidden="1">"c1851"</definedName>
    <definedName name="IQ_PERCENT_CHANGE_EST_5YR_GROWTH_RATE_9MONTHS_CIQ" hidden="1">"c3789"</definedName>
    <definedName name="IQ_PERCENT_CHANGE_EST_5YR_GROWTH_RATE_DAY" hidden="1">"c1846"</definedName>
    <definedName name="IQ_PERCENT_CHANGE_EST_5YR_GROWTH_RATE_DAY_CIQ" hidden="1">"c3785"</definedName>
    <definedName name="IQ_PERCENT_CHANGE_EST_5YR_GROWTH_RATE_MONTH" hidden="1">"c1848"</definedName>
    <definedName name="IQ_PERCENT_CHANGE_EST_5YR_GROWTH_RATE_MONTH_CIQ" hidden="1">"c3786"</definedName>
    <definedName name="IQ_PERCENT_CHANGE_EST_5YR_GROWTH_RATE_WEEK" hidden="1">"c1847"</definedName>
    <definedName name="IQ_PERCENT_CHANGE_EST_5YR_GROWTH_RATE_WEEK_CIQ" hidden="1">"c3797"</definedName>
    <definedName name="IQ_PERCENT_CHANGE_EST_EBITDA_12MONTHS" hidden="1">"c1804"</definedName>
    <definedName name="IQ_PERCENT_CHANGE_EST_EBITDA_12MONTHS_CIQ" hidden="1">"c3748"</definedName>
    <definedName name="IQ_PERCENT_CHANGE_EST_EBITDA_18MONTHS" hidden="1">"c1805"</definedName>
    <definedName name="IQ_PERCENT_CHANGE_EST_EBITDA_18MONTHS_CIQ" hidden="1">"c3749"</definedName>
    <definedName name="IQ_PERCENT_CHANGE_EST_EBITDA_3MONTHS" hidden="1">"c1801"</definedName>
    <definedName name="IQ_PERCENT_CHANGE_EST_EBITDA_3MONTHS_CIQ" hidden="1">"c3745"</definedName>
    <definedName name="IQ_PERCENT_CHANGE_EST_EBITDA_6MONTHS" hidden="1">"c1802"</definedName>
    <definedName name="IQ_PERCENT_CHANGE_EST_EBITDA_6MONTHS_CIQ" hidden="1">"c3746"</definedName>
    <definedName name="IQ_PERCENT_CHANGE_EST_EBITDA_9MONTHS" hidden="1">"c1803"</definedName>
    <definedName name="IQ_PERCENT_CHANGE_EST_EBITDA_9MONTHS_CIQ" hidden="1">"c3747"</definedName>
    <definedName name="IQ_PERCENT_CHANGE_EST_EBITDA_DAY" hidden="1">"c1798"</definedName>
    <definedName name="IQ_PERCENT_CHANGE_EST_EBITDA_DAY_CIQ" hidden="1">"c3743"</definedName>
    <definedName name="IQ_PERCENT_CHANGE_EST_EBITDA_MONTH" hidden="1">"c1800"</definedName>
    <definedName name="IQ_PERCENT_CHANGE_EST_EBITDA_MONTH_CIQ" hidden="1">"c3744"</definedName>
    <definedName name="IQ_PERCENT_CHANGE_EST_EBITDA_WEEK" hidden="1">"c1799"</definedName>
    <definedName name="IQ_PERCENT_CHANGE_EST_EBITDA_WEEK_CIQ" hidden="1">"c3792"</definedName>
    <definedName name="IQ_PERCENT_CHANGE_EST_EPS_12MONTHS" hidden="1">"c1788"</definedName>
    <definedName name="IQ_PERCENT_CHANGE_EST_EPS_12MONTHS_CIQ" hidden="1">"c3733"</definedName>
    <definedName name="IQ_PERCENT_CHANGE_EST_EPS_18MONTHS" hidden="1">"c1789"</definedName>
    <definedName name="IQ_PERCENT_CHANGE_EST_EPS_18MONTHS_CIQ" hidden="1">"c3734"</definedName>
    <definedName name="IQ_PERCENT_CHANGE_EST_EPS_3MONTHS" hidden="1">"c1785"</definedName>
    <definedName name="IQ_PERCENT_CHANGE_EST_EPS_3MONTHS_CIQ" hidden="1">"c3730"</definedName>
    <definedName name="IQ_PERCENT_CHANGE_EST_EPS_6MONTHS" hidden="1">"c1786"</definedName>
    <definedName name="IQ_PERCENT_CHANGE_EST_EPS_6MONTHS_CIQ" hidden="1">"c3731"</definedName>
    <definedName name="IQ_PERCENT_CHANGE_EST_EPS_9MONTHS" hidden="1">"c1787"</definedName>
    <definedName name="IQ_PERCENT_CHANGE_EST_EPS_9MONTHS_CIQ" hidden="1">"c3732"</definedName>
    <definedName name="IQ_PERCENT_CHANGE_EST_EPS_DAY" hidden="1">"c1782"</definedName>
    <definedName name="IQ_PERCENT_CHANGE_EST_EPS_DAY_CIQ" hidden="1">"c3727"</definedName>
    <definedName name="IQ_PERCENT_CHANGE_EST_EPS_MONTH" hidden="1">"c1784"</definedName>
    <definedName name="IQ_PERCENT_CHANGE_EST_EPS_MONTH_CIQ" hidden="1">"c3729"</definedName>
    <definedName name="IQ_PERCENT_CHANGE_EST_EPS_WEEK" hidden="1">"c1783"</definedName>
    <definedName name="IQ_PERCENT_CHANGE_EST_EPS_WEEK_CIQ" hidden="1">"c3728"</definedName>
    <definedName name="IQ_PERCENT_CHANGE_EST_PRICE_TARGET_12MONTHS" hidden="1">"c1844"</definedName>
    <definedName name="IQ_PERCENT_CHANGE_EST_PRICE_TARGET_12MONTHS_CIQ" hidden="1">"c3783"</definedName>
    <definedName name="IQ_PERCENT_CHANGE_EST_PRICE_TARGET_18MONTHS" hidden="1">"c1845"</definedName>
    <definedName name="IQ_PERCENT_CHANGE_EST_PRICE_TARGET_18MONTHS_CIQ" hidden="1">"c3784"</definedName>
    <definedName name="IQ_PERCENT_CHANGE_EST_PRICE_TARGET_3MONTHS" hidden="1">"c1841"</definedName>
    <definedName name="IQ_PERCENT_CHANGE_EST_PRICE_TARGET_3MONTHS_CIQ" hidden="1">"c3780"</definedName>
    <definedName name="IQ_PERCENT_CHANGE_EST_PRICE_TARGET_6MONTHS" hidden="1">"c1842"</definedName>
    <definedName name="IQ_PERCENT_CHANGE_EST_PRICE_TARGET_6MONTHS_CIQ" hidden="1">"c3781"</definedName>
    <definedName name="IQ_PERCENT_CHANGE_EST_PRICE_TARGET_9MONTHS" hidden="1">"c1843"</definedName>
    <definedName name="IQ_PERCENT_CHANGE_EST_PRICE_TARGET_9MONTHS_CIQ" hidden="1">"c3782"</definedName>
    <definedName name="IQ_PERCENT_CHANGE_EST_PRICE_TARGET_DAY" hidden="1">"c1838"</definedName>
    <definedName name="IQ_PERCENT_CHANGE_EST_PRICE_TARGET_DAY_CIQ" hidden="1">"c3778"</definedName>
    <definedName name="IQ_PERCENT_CHANGE_EST_PRICE_TARGET_MONTH" hidden="1">"c1840"</definedName>
    <definedName name="IQ_PERCENT_CHANGE_EST_PRICE_TARGET_MONTH_CIQ" hidden="1">"c3779"</definedName>
    <definedName name="IQ_PERCENT_CHANGE_EST_PRICE_TARGET_WEEK" hidden="1">"c1839"</definedName>
    <definedName name="IQ_PERCENT_CHANGE_EST_PRICE_TARGET_WEEK_CIQ" hidden="1">"c3798"</definedName>
    <definedName name="IQ_PERCENT_CHANGE_EST_RECO_12MONTHS" hidden="1">"c1836"</definedName>
    <definedName name="IQ_PERCENT_CHANGE_EST_RECO_12MONTHS_CIQ" hidden="1">"c3776"</definedName>
    <definedName name="IQ_PERCENT_CHANGE_EST_RECO_18MONTHS" hidden="1">"c1837"</definedName>
    <definedName name="IQ_PERCENT_CHANGE_EST_RECO_18MONTHS_CIQ" hidden="1">"c3777"</definedName>
    <definedName name="IQ_PERCENT_CHANGE_EST_RECO_3MONTHS" hidden="1">"c1833"</definedName>
    <definedName name="IQ_PERCENT_CHANGE_EST_RECO_3MONTHS_CIQ" hidden="1">"c3773"</definedName>
    <definedName name="IQ_PERCENT_CHANGE_EST_RECO_6MONTHS" hidden="1">"c1834"</definedName>
    <definedName name="IQ_PERCENT_CHANGE_EST_RECO_6MONTHS_CIQ" hidden="1">"c3774"</definedName>
    <definedName name="IQ_PERCENT_CHANGE_EST_RECO_9MONTHS" hidden="1">"c1835"</definedName>
    <definedName name="IQ_PERCENT_CHANGE_EST_RECO_9MONTHS_CIQ" hidden="1">"c3775"</definedName>
    <definedName name="IQ_PERCENT_CHANGE_EST_RECO_DAY" hidden="1">"c1830"</definedName>
    <definedName name="IQ_PERCENT_CHANGE_EST_RECO_DAY_CIQ" hidden="1">"c3771"</definedName>
    <definedName name="IQ_PERCENT_CHANGE_EST_RECO_MONTH" hidden="1">"c1832"</definedName>
    <definedName name="IQ_PERCENT_CHANGE_EST_RECO_MONTH_CIQ" hidden="1">"c3772"</definedName>
    <definedName name="IQ_PERCENT_CHANGE_EST_RECO_WEEK" hidden="1">"c1831"</definedName>
    <definedName name="IQ_PERCENT_CHANGE_EST_RECO_WEEK_CIQ" hidden="1">"c3796"</definedName>
    <definedName name="IQ_PERCENT_CHANGE_EST_REV_12MONTHS" hidden="1">"c1796"</definedName>
    <definedName name="IQ_PERCENT_CHANGE_EST_REV_12MONTHS_CIQ" hidden="1">"c3741"</definedName>
    <definedName name="IQ_PERCENT_CHANGE_EST_REV_18MONTHS" hidden="1">"c1797"</definedName>
    <definedName name="IQ_PERCENT_CHANGE_EST_REV_18MONTHS_CIQ" hidden="1">"c3742"</definedName>
    <definedName name="IQ_PERCENT_CHANGE_EST_REV_3MONTHS" hidden="1">"c1793"</definedName>
    <definedName name="IQ_PERCENT_CHANGE_EST_REV_3MONTHS_CIQ" hidden="1">"c3738"</definedName>
    <definedName name="IQ_PERCENT_CHANGE_EST_REV_6MONTHS" hidden="1">"c1794"</definedName>
    <definedName name="IQ_PERCENT_CHANGE_EST_REV_6MONTHS_CIQ" hidden="1">"c3739"</definedName>
    <definedName name="IQ_PERCENT_CHANGE_EST_REV_9MONTHS" hidden="1">"c1795"</definedName>
    <definedName name="IQ_PERCENT_CHANGE_EST_REV_9MONTHS_CIQ" hidden="1">"c3740"</definedName>
    <definedName name="IQ_PERCENT_CHANGE_EST_REV_DAY" hidden="1">"c1790"</definedName>
    <definedName name="IQ_PERCENT_CHANGE_EST_REV_DAY_CIQ" hidden="1">"c3735"</definedName>
    <definedName name="IQ_PERCENT_CHANGE_EST_REV_MONTH" hidden="1">"c1792"</definedName>
    <definedName name="IQ_PERCENT_CHANGE_EST_REV_MONTH_CIQ" hidden="1">"c3737"</definedName>
    <definedName name="IQ_PERCENT_CHANGE_EST_REV_WEEK" hidden="1">"c1791"</definedName>
    <definedName name="IQ_PERCENT_CHANGE_EST_REV_WEEK_CIQ" hidden="1">"c3736"</definedName>
    <definedName name="IQ_PERCENT_INSURED_FDIC" hidden="1">"c6374"</definedName>
    <definedName name="IQ_PERFORMANCE_LOC_FOREIGN_GUARANTEES_FFIEC" hidden="1">"c13251"</definedName>
    <definedName name="IQ_PERIODDATE" hidden="1">"c1414"</definedName>
    <definedName name="IQ_PERIODDATE_AP" hidden="1">"c11745"</definedName>
    <definedName name="IQ_PERIODDATE_BS" hidden="1">"c1032"</definedName>
    <definedName name="IQ_PERIODDATE_CF" hidden="1">"c1033"</definedName>
    <definedName name="IQ_PERIODDATE_FDIC" hidden="1">"c13646"</definedName>
    <definedName name="IQ_PERIODDATE_FFIEC" hidden="1">"c13645"</definedName>
    <definedName name="IQ_PERIODDATE_IS" hidden="1">"c1034"</definedName>
    <definedName name="IQ_PERIODLENGTH_AP" hidden="1">"c11746"</definedName>
    <definedName name="IQ_PERIODLENGTH_CF" hidden="1">"c1502"</definedName>
    <definedName name="IQ_PERIODLENGTH_IS" hidden="1">"c1503"</definedName>
    <definedName name="IQ_PERSONAL_CONSUMER_SPENDING_DURABLE" hidden="1">"c6942"</definedName>
    <definedName name="IQ_PERSONAL_CONSUMER_SPENDING_DURABLE_APR" hidden="1">"c7602"</definedName>
    <definedName name="IQ_PERSONAL_CONSUMER_SPENDING_DURABLE_APR_FC" hidden="1">"c8482"</definedName>
    <definedName name="IQ_PERSONAL_CONSUMER_SPENDING_DURABLE_FC" hidden="1">"c7822"</definedName>
    <definedName name="IQ_PERSONAL_CONSUMER_SPENDING_DURABLE_POP" hidden="1">"c7162"</definedName>
    <definedName name="IQ_PERSONAL_CONSUMER_SPENDING_DURABLE_POP_FC" hidden="1">"c8042"</definedName>
    <definedName name="IQ_PERSONAL_CONSUMER_SPENDING_DURABLE_YOY" hidden="1">"c7382"</definedName>
    <definedName name="IQ_PERSONAL_CONSUMER_SPENDING_DURABLE_YOY_FC" hidden="1">"c8262"</definedName>
    <definedName name="IQ_PERSONAL_CONSUMER_SPENDING_NONDURABLE" hidden="1">"c6940"</definedName>
    <definedName name="IQ_PERSONAL_CONSUMER_SPENDING_NONDURABLE_APR" hidden="1">"c7600"</definedName>
    <definedName name="IQ_PERSONAL_CONSUMER_SPENDING_NONDURABLE_APR_FC" hidden="1">"c8480"</definedName>
    <definedName name="IQ_PERSONAL_CONSUMER_SPENDING_NONDURABLE_FC" hidden="1">"c7820"</definedName>
    <definedName name="IQ_PERSONAL_CONSUMER_SPENDING_NONDURABLE_POP" hidden="1">"c7160"</definedName>
    <definedName name="IQ_PERSONAL_CONSUMER_SPENDING_NONDURABLE_POP_FC" hidden="1">"c8040"</definedName>
    <definedName name="IQ_PERSONAL_CONSUMER_SPENDING_NONDURABLE_YOY" hidden="1">"c7380"</definedName>
    <definedName name="IQ_PERSONAL_CONSUMER_SPENDING_NONDURABLE_YOY_FC" hidden="1">"c8260"</definedName>
    <definedName name="IQ_PERSONAL_CONSUMER_SPENDING_REAL" hidden="1">"c6994"</definedName>
    <definedName name="IQ_PERSONAL_CONSUMER_SPENDING_REAL_APR" hidden="1">"c7654"</definedName>
    <definedName name="IQ_PERSONAL_CONSUMER_SPENDING_REAL_APR_FC" hidden="1">"c8534"</definedName>
    <definedName name="IQ_PERSONAL_CONSUMER_SPENDING_REAL_FC" hidden="1">"c7874"</definedName>
    <definedName name="IQ_PERSONAL_CONSUMER_SPENDING_REAL_POP" hidden="1">"c7214"</definedName>
    <definedName name="IQ_PERSONAL_CONSUMER_SPENDING_REAL_POP_FC" hidden="1">"c8094"</definedName>
    <definedName name="IQ_PERSONAL_CONSUMER_SPENDING_REAL_YOY" hidden="1">"c7434"</definedName>
    <definedName name="IQ_PERSONAL_CONSUMER_SPENDING_REAL_YOY_FC" hidden="1">"c8314"</definedName>
    <definedName name="IQ_PERSONAL_CONSUMER_SPENDING_SERVICES" hidden="1">"c6941"</definedName>
    <definedName name="IQ_PERSONAL_CONSUMER_SPENDING_SERVICES_APR" hidden="1">"c7601"</definedName>
    <definedName name="IQ_PERSONAL_CONSUMER_SPENDING_SERVICES_APR_FC" hidden="1">"c8481"</definedName>
    <definedName name="IQ_PERSONAL_CONSUMER_SPENDING_SERVICES_FC" hidden="1">"c7821"</definedName>
    <definedName name="IQ_PERSONAL_CONSUMER_SPENDING_SERVICES_POP" hidden="1">"c7161"</definedName>
    <definedName name="IQ_PERSONAL_CONSUMER_SPENDING_SERVICES_POP_FC" hidden="1">"c8041"</definedName>
    <definedName name="IQ_PERSONAL_CONSUMER_SPENDING_SERVICES_YOY" hidden="1">"c7381"</definedName>
    <definedName name="IQ_PERSONAL_CONSUMER_SPENDING_SERVICES_YOY_FC" hidden="1">"c8261"</definedName>
    <definedName name="IQ_PERSONAL_INCOME" hidden="1">"c6943"</definedName>
    <definedName name="IQ_PERSONAL_INCOME_APR" hidden="1">"c7603"</definedName>
    <definedName name="IQ_PERSONAL_INCOME_APR_FC" hidden="1">"c8483"</definedName>
    <definedName name="IQ_PERSONAL_INCOME_FC" hidden="1">"c7823"</definedName>
    <definedName name="IQ_PERSONAL_INCOME_POP" hidden="1">"c7163"</definedName>
    <definedName name="IQ_PERSONAL_INCOME_POP_FC" hidden="1">"c8043"</definedName>
    <definedName name="IQ_PERSONAL_INCOME_SAAR" hidden="1">"c6944"</definedName>
    <definedName name="IQ_PERSONAL_INCOME_SAAR_APR" hidden="1">"c7604"</definedName>
    <definedName name="IQ_PERSONAL_INCOME_SAAR_APR_FC" hidden="1">"c8484"</definedName>
    <definedName name="IQ_PERSONAL_INCOME_SAAR_FC" hidden="1">"c7824"</definedName>
    <definedName name="IQ_PERSONAL_INCOME_SAAR_POP" hidden="1">"c7164"</definedName>
    <definedName name="IQ_PERSONAL_INCOME_SAAR_POP_FC" hidden="1">"c8044"</definedName>
    <definedName name="IQ_PERSONAL_INCOME_SAAR_YOY" hidden="1">"c7384"</definedName>
    <definedName name="IQ_PERSONAL_INCOME_SAAR_YOY_FC" hidden="1">"c8264"</definedName>
    <definedName name="IQ_PERSONAL_INCOME_USD_APR_FC" hidden="1">"c11885"</definedName>
    <definedName name="IQ_PERSONAL_INCOME_USD_FC" hidden="1">"c11882"</definedName>
    <definedName name="IQ_PERSONAL_INCOME_USD_POP_FC" hidden="1">"c11883"</definedName>
    <definedName name="IQ_PERSONAL_INCOME_USD_YOY_FC" hidden="1">"c11884"</definedName>
    <definedName name="IQ_PERSONAL_INCOME_YOY" hidden="1">"c7383"</definedName>
    <definedName name="IQ_PERSONAL_INCOME_YOY_FC" hidden="1">"c8263"</definedName>
    <definedName name="IQ_PERSONNEL_EXP_AVG_ASSETS_FFIEC" hidden="1">"c13371"</definedName>
    <definedName name="IQ_PERSONNEL_EXP_OPERATING_INC_FFIEC" hidden="1">"c13379"</definedName>
    <definedName name="IQ_PERTYPE" hidden="1">"c1611"</definedName>
    <definedName name="IQ_PHARMBIO_NUMBER_LICENSED_PATENT_APP" hidden="1">"c10018"</definedName>
    <definedName name="IQ_PHARMBIO_NUMBER_LICENSED_PATENTS" hidden="1">"c10017"</definedName>
    <definedName name="IQ_PHARMBIO_NUMBER_PATENTS" hidden="1">"c10015"</definedName>
    <definedName name="IQ_PHARMBIO_NUMBER_PROD__APPROVED_DURING_PERIOD" hidden="1">"c12750"</definedName>
    <definedName name="IQ_PHARMBIO_NUMBER_PROD__CLINICAL_DEV" hidden="1">"c12745"</definedName>
    <definedName name="IQ_PHARMBIO_NUMBER_PROD__LAUNCHED_DURING_PERIOD" hidden="1">"c12751"</definedName>
    <definedName name="IQ_PHARMBIO_NUMBER_PROD__PHASE_I" hidden="1">"c12746"</definedName>
    <definedName name="IQ_PHARMBIO_NUMBER_PROD__PHASE_II" hidden="1">"c12747"</definedName>
    <definedName name="IQ_PHARMBIO_NUMBER_PROD__PHASE_III" hidden="1">"c12748"</definedName>
    <definedName name="IQ_PHARMBIO_NUMBER_PROD__PRE_CLINICAL_TRIALS" hidden="1">"c12744"</definedName>
    <definedName name="IQ_PHARMBIO_NUMBER_PROD__PRE_REGISTRATION" hidden="1">"c12749"</definedName>
    <definedName name="IQ_PHARMBIO_NUMBER_PROD__RESEARCH_DEV" hidden="1">"c12743"</definedName>
    <definedName name="IQ_PHARMBIO_NUMBER_PROD_APPROVED_DURING_PERIOD" hidden="1">"c10027"</definedName>
    <definedName name="IQ_PHARMBIO_NUMBER_PROD_CLINICAL_DEV" hidden="1">"c10022"</definedName>
    <definedName name="IQ_PHARMBIO_NUMBER_PROD_DISCOVERY_RESEARCH" hidden="1">"c10019"</definedName>
    <definedName name="IQ_PHARMBIO_NUMBER_PROD_LAUNCHED_DURING_PERIOD" hidden="1">"c10028"</definedName>
    <definedName name="IQ_PHARMBIO_NUMBER_PROD_PHASE_I" hidden="1">"c10023"</definedName>
    <definedName name="IQ_PHARMBIO_NUMBER_PROD_PHASE_II" hidden="1">"c10024"</definedName>
    <definedName name="IQ_PHARMBIO_NUMBER_PROD_PHASE_III" hidden="1">"c10025"</definedName>
    <definedName name="IQ_PHARMBIO_NUMBER_PROD_PRE_CLINICAL_TRIALS" hidden="1">"c10021"</definedName>
    <definedName name="IQ_PHARMBIO_NUMBER_PROD_PRE_REGISTRATION" hidden="1">"c10026"</definedName>
    <definedName name="IQ_PHARMBIO_NUMBER_PROD_RESEARCH_DEV" hidden="1">"c10020"</definedName>
    <definedName name="IQ_PHARMBIO_PATENT_APP" hidden="1">"c10016"</definedName>
    <definedName name="IQ_PHILADELPHIA_FED_DIFFUSION_INDEX" hidden="1">"c6945"</definedName>
    <definedName name="IQ_PHILADELPHIA_FED_DIFFUSION_INDEX_APR" hidden="1">"c7605"</definedName>
    <definedName name="IQ_PHILADELPHIA_FED_DIFFUSION_INDEX_APR_FC" hidden="1">"c8485"</definedName>
    <definedName name="IQ_PHILADELPHIA_FED_DIFFUSION_INDEX_FC" hidden="1">"c7825"</definedName>
    <definedName name="IQ_PHILADELPHIA_FED_DIFFUSION_INDEX_POP" hidden="1">"c7165"</definedName>
    <definedName name="IQ_PHILADELPHIA_FED_DIFFUSION_INDEX_POP_FC" hidden="1">"c8045"</definedName>
    <definedName name="IQ_PHILADELPHIA_FED_DIFFUSION_INDEX_YOY" hidden="1">"c7385"</definedName>
    <definedName name="IQ_PHILADELPHIA_FED_DIFFUSION_INDEX_YOY_FC" hidden="1">"c8265"</definedName>
    <definedName name="IQ_PLEDGED_SEC_INVEST_SECURITIES_FFIEC" hidden="1">"c13467"</definedName>
    <definedName name="IQ_PLEDGED_SECURITIES_FDIC" hidden="1">"c6401"</definedName>
    <definedName name="IQ_PLL" hidden="1">"c2114"</definedName>
    <definedName name="IQ_PMAC_DIFFUSION_INDEX" hidden="1">"c6946"</definedName>
    <definedName name="IQ_PMAC_DIFFUSION_INDEX_APR" hidden="1">"c7606"</definedName>
    <definedName name="IQ_PMAC_DIFFUSION_INDEX_APR_FC" hidden="1">"c8486"</definedName>
    <definedName name="IQ_PMAC_DIFFUSION_INDEX_FC" hidden="1">"c7826"</definedName>
    <definedName name="IQ_PMAC_DIFFUSION_INDEX_POP" hidden="1">"c7166"</definedName>
    <definedName name="IQ_PMAC_DIFFUSION_INDEX_POP_FC" hidden="1">"c8046"</definedName>
    <definedName name="IQ_PMAC_DIFFUSION_INDEX_YOY" hidden="1">"c7386"</definedName>
    <definedName name="IQ_PMAC_DIFFUSION_INDEX_YOY_FC" hidden="1">"c8266"</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hidden="1">"c1612"</definedName>
    <definedName name="IQ_POLICY_LOANS" hidden="1">"c1038"</definedName>
    <definedName name="IQ_POLICYHOLDER_BENEFITS_LH_FFIEC" hidden="1">"c13107"</definedName>
    <definedName name="IQ_POOL_AMT_ORIGINAL" hidden="1">"c8970"</definedName>
    <definedName name="IQ_POOL_NAME" hidden="1">"c8967"</definedName>
    <definedName name="IQ_POOL_NUMBER" hidden="1">"c8968"</definedName>
    <definedName name="IQ_POOL_TYPE" hidden="1">"c8969"</definedName>
    <definedName name="IQ_POSITIVE_FAIR_VALUE_DERIVATIVES_BENEFICIARY_FFIEC" hidden="1">"c13123"</definedName>
    <definedName name="IQ_POSITIVE_FAIR_VALUE_DERIVATIVES_GUARANTOR_FFIEC" hidden="1">"c13116"</definedName>
    <definedName name="IQ_POST_RETIRE_EXP" hidden="1">"c1039"</definedName>
    <definedName name="IQ_POSTAGE_FFIEC" hidden="1">"c13051"</definedName>
    <definedName name="IQ_POSTPAID_CHURN" hidden="1">"c2121"</definedName>
    <definedName name="IQ_POSTPAID_SUBS" hidden="1">"c2118"</definedName>
    <definedName name="IQ_POTENTIAL_UPSIDE" hidden="1">"c1855"</definedName>
    <definedName name="IQ_POTENTIAL_UPSIDE_CIQ" hidden="1">"c3799"</definedName>
    <definedName name="IQ_PP_ATTRIB_ORE_RESERVES_ALUM" hidden="1">"c9218"</definedName>
    <definedName name="IQ_PP_ATTRIB_ORE_RESERVES_COP" hidden="1">"c9162"</definedName>
    <definedName name="IQ_PP_ATTRIB_ORE_RESERVES_DIAM" hidden="1">"c9642"</definedName>
    <definedName name="IQ_PP_ATTRIB_ORE_RESERVES_GOLD" hidden="1">"c9003"</definedName>
    <definedName name="IQ_PP_ATTRIB_ORE_RESERVES_IRON" hidden="1">"c9377"</definedName>
    <definedName name="IQ_PP_ATTRIB_ORE_RESERVES_LEAD" hidden="1">"c9430"</definedName>
    <definedName name="IQ_PP_ATTRIB_ORE_RESERVES_MANG" hidden="1">"c9483"</definedName>
    <definedName name="IQ_PP_ATTRIB_ORE_RESERVES_MOLYB" hidden="1">"c9695"</definedName>
    <definedName name="IQ_PP_ATTRIB_ORE_RESERVES_NICK" hidden="1">"c9271"</definedName>
    <definedName name="IQ_PP_ATTRIB_ORE_RESERVES_PLAT" hidden="1">"c9109"</definedName>
    <definedName name="IQ_PP_ATTRIB_ORE_RESERVES_SILVER" hidden="1">"c9056"</definedName>
    <definedName name="IQ_PP_ATTRIB_ORE_RESERVES_TITAN" hidden="1">"c9536"</definedName>
    <definedName name="IQ_PP_ATTRIB_ORE_RESERVES_URAN" hidden="1">"c9589"</definedName>
    <definedName name="IQ_PP_ATTRIB_ORE_RESERVES_ZINC" hidden="1">"c9324"</definedName>
    <definedName name="IQ_PP_ORE_RESERVES_ALUM" hidden="1">"c9211"</definedName>
    <definedName name="IQ_PP_ORE_RESERVES_COP" hidden="1">"c9155"</definedName>
    <definedName name="IQ_PP_ORE_RESERVES_DIAM" hidden="1">"c9635"</definedName>
    <definedName name="IQ_PP_ORE_RESERVES_GOLD" hidden="1">"c8996"</definedName>
    <definedName name="IQ_PP_ORE_RESERVES_IRON" hidden="1">"c9370"</definedName>
    <definedName name="IQ_PP_ORE_RESERVES_LEAD" hidden="1">"c9423"</definedName>
    <definedName name="IQ_PP_ORE_RESERVES_MANG" hidden="1">"c9476"</definedName>
    <definedName name="IQ_PP_ORE_RESERVES_MOLYB" hidden="1">"c9688"</definedName>
    <definedName name="IQ_PP_ORE_RESERVES_NICK" hidden="1">"c9264"</definedName>
    <definedName name="IQ_PP_ORE_RESERVES_PLAT" hidden="1">"c9102"</definedName>
    <definedName name="IQ_PP_ORE_RESERVES_SILVER" hidden="1">"c9049"</definedName>
    <definedName name="IQ_PP_ORE_RESERVES_TITAN" hidden="1">"c9529"</definedName>
    <definedName name="IQ_PP_ORE_RESERVES_URAN" hidden="1">"c9582"</definedName>
    <definedName name="IQ_PP_ORE_RESERVES_ZINC" hidden="1">"c9317"</definedName>
    <definedName name="IQ_PP_RECOV_ATTRIB_RESERVES_ALUM" hidden="1">"c9221"</definedName>
    <definedName name="IQ_PP_RECOV_ATTRIB_RESERVES_COAL" hidden="1">"c9805"</definedName>
    <definedName name="IQ_PP_RECOV_ATTRIB_RESERVES_COP" hidden="1">"c9165"</definedName>
    <definedName name="IQ_PP_RECOV_ATTRIB_RESERVES_DIAM" hidden="1">"c9645"</definedName>
    <definedName name="IQ_PP_RECOV_ATTRIB_RESERVES_GOLD" hidden="1">"c9006"</definedName>
    <definedName name="IQ_PP_RECOV_ATTRIB_RESERVES_IRON" hidden="1">"c9380"</definedName>
    <definedName name="IQ_PP_RECOV_ATTRIB_RESERVES_LEAD" hidden="1">"c9433"</definedName>
    <definedName name="IQ_PP_RECOV_ATTRIB_RESERVES_MANG" hidden="1">"c9486"</definedName>
    <definedName name="IQ_PP_RECOV_ATTRIB_RESERVES_MET_COAL" hidden="1">"c9745"</definedName>
    <definedName name="IQ_PP_RECOV_ATTRIB_RESERVES_MOLYB" hidden="1">"c9698"</definedName>
    <definedName name="IQ_PP_RECOV_ATTRIB_RESERVES_NICK" hidden="1">"c9274"</definedName>
    <definedName name="IQ_PP_RECOV_ATTRIB_RESERVES_PLAT" hidden="1">"c9112"</definedName>
    <definedName name="IQ_PP_RECOV_ATTRIB_RESERVES_SILVER" hidden="1">"c9059"</definedName>
    <definedName name="IQ_PP_RECOV_ATTRIB_RESERVES_STEAM" hidden="1">"c9775"</definedName>
    <definedName name="IQ_PP_RECOV_ATTRIB_RESERVES_TITAN" hidden="1">"c9539"</definedName>
    <definedName name="IQ_PP_RECOV_ATTRIB_RESERVES_URAN" hidden="1">"c9592"</definedName>
    <definedName name="IQ_PP_RECOV_ATTRIB_RESERVES_ZINC" hidden="1">"c9327"</definedName>
    <definedName name="IQ_PP_RECOV_RESERVES_ALUM" hidden="1">"c9215"</definedName>
    <definedName name="IQ_PP_RECOV_RESERVES_COAL" hidden="1">"c9802"</definedName>
    <definedName name="IQ_PP_RECOV_RESERVES_COP" hidden="1">"c9159"</definedName>
    <definedName name="IQ_PP_RECOV_RESERVES_DIAM" hidden="1">"c9639"</definedName>
    <definedName name="IQ_PP_RECOV_RESERVES_GOLD" hidden="1">"c9000"</definedName>
    <definedName name="IQ_PP_RECOV_RESERVES_IRON" hidden="1">"c9374"</definedName>
    <definedName name="IQ_PP_RECOV_RESERVES_LEAD" hidden="1">"c9427"</definedName>
    <definedName name="IQ_PP_RECOV_RESERVES_MANG" hidden="1">"c9480"</definedName>
    <definedName name="IQ_PP_RECOV_RESERVES_MET_COAL" hidden="1">"c9742"</definedName>
    <definedName name="IQ_PP_RECOV_RESERVES_MOLYB" hidden="1">"c9692"</definedName>
    <definedName name="IQ_PP_RECOV_RESERVES_NICK" hidden="1">"c9268"</definedName>
    <definedName name="IQ_PP_RECOV_RESERVES_PLAT" hidden="1">"c9106"</definedName>
    <definedName name="IQ_PP_RECOV_RESERVES_SILVER" hidden="1">"c9053"</definedName>
    <definedName name="IQ_PP_RECOV_RESERVES_STEAM" hidden="1">"c9772"</definedName>
    <definedName name="IQ_PP_RECOV_RESERVES_TITAN" hidden="1">"c9533"</definedName>
    <definedName name="IQ_PP_RECOV_RESERVES_URAN" hidden="1">"c9586"</definedName>
    <definedName name="IQ_PP_RECOV_RESERVES_ZINC" hidden="1">"c9321"</definedName>
    <definedName name="IQ_PP_RESERVES_CALORIFIC_VALUE_COAL" hidden="1">"c9799"</definedName>
    <definedName name="IQ_PP_RESERVES_CALORIFIC_VALUE_MET_COAL" hidden="1">"c9739"</definedName>
    <definedName name="IQ_PP_RESERVES_CALORIFIC_VALUE_STEAM" hidden="1">"c9769"</definedName>
    <definedName name="IQ_PP_RESERVES_GRADE_ALUM" hidden="1">"c9212"</definedName>
    <definedName name="IQ_PP_RESERVES_GRADE_COP" hidden="1">"c9156"</definedName>
    <definedName name="IQ_PP_RESERVES_GRADE_DIAM" hidden="1">"c9636"</definedName>
    <definedName name="IQ_PP_RESERVES_GRADE_GOLD" hidden="1">"c8997"</definedName>
    <definedName name="IQ_PP_RESERVES_GRADE_IRON" hidden="1">"c9371"</definedName>
    <definedName name="IQ_PP_RESERVES_GRADE_LEAD" hidden="1">"c9424"</definedName>
    <definedName name="IQ_PP_RESERVES_GRADE_MANG" hidden="1">"c9477"</definedName>
    <definedName name="IQ_PP_RESERVES_GRADE_MOLYB" hidden="1">"c9689"</definedName>
    <definedName name="IQ_PP_RESERVES_GRADE_NICK" hidden="1">"c9265"</definedName>
    <definedName name="IQ_PP_RESERVES_GRADE_PLAT" hidden="1">"c9103"</definedName>
    <definedName name="IQ_PP_RESERVES_GRADE_SILVER" hidden="1">"c9050"</definedName>
    <definedName name="IQ_PP_RESERVES_GRADE_TITAN" hidden="1">"c9530"</definedName>
    <definedName name="IQ_PP_RESERVES_GRADE_URAN" hidden="1">"c9583"</definedName>
    <definedName name="IQ_PP_RESERVES_GRADE_ZINC" hidden="1">"c9318"</definedName>
    <definedName name="IQ_PPI" hidden="1">"c6810"</definedName>
    <definedName name="IQ_PPI_APR" hidden="1">"c7470"</definedName>
    <definedName name="IQ_PPI_APR_FC" hidden="1">"c8350"</definedName>
    <definedName name="IQ_PPI_CORE" hidden="1">"c6840"</definedName>
    <definedName name="IQ_PPI_CORE_APR" hidden="1">"c7500"</definedName>
    <definedName name="IQ_PPI_CORE_APR_FC" hidden="1">"c8380"</definedName>
    <definedName name="IQ_PPI_CORE_FC" hidden="1">"c7720"</definedName>
    <definedName name="IQ_PPI_CORE_POP" hidden="1">"c7060"</definedName>
    <definedName name="IQ_PPI_CORE_POP_FC" hidden="1">"c7940"</definedName>
    <definedName name="IQ_PPI_CORE_YOY" hidden="1">"c7280"</definedName>
    <definedName name="IQ_PPI_CORE_YOY_FC" hidden="1">"c8160"</definedName>
    <definedName name="IQ_PPI_FC" hidden="1">"c7690"</definedName>
    <definedName name="IQ_PPI_POP" hidden="1">"c7030"</definedName>
    <definedName name="IQ_PPI_POP_FC" hidden="1">"c7910"</definedName>
    <definedName name="IQ_PPI_YOY" hidden="1">"c7250"</definedName>
    <definedName name="IQ_PPI_YOY_FC" hidden="1">"c8130"</definedName>
    <definedName name="IQ_PRE_OPEN_COST" hidden="1">"c1040"</definedName>
    <definedName name="IQ_PRE_TAX_INCOME_FDIC" hidden="1">"c6581"</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 hidden="1">"c6261"</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 hidden="1">"c6262"</definedName>
    <definedName name="IQ_PREF_OTHER_REIT" hidden="1">"c1058"</definedName>
    <definedName name="IQ_PREF_OTHER_UTI" hidden="1">"c6022"</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 hidden="1">"c6263"</definedName>
    <definedName name="IQ_PREF_REP_REIT" hidden="1">"c1065"</definedName>
    <definedName name="IQ_PREF_REP_UTI" hidden="1">"c1066"</definedName>
    <definedName name="IQ_PREF_STOCK" hidden="1">"c1416"</definedName>
    <definedName name="IQ_PREF_STOCK_FFIEC" hidden="1">"c12875"</definedName>
    <definedName name="IQ_PREF_TOT" hidden="1">"c1415"</definedName>
    <definedName name="IQ_PREFERRED_FDIC" hidden="1">"c6349"</definedName>
    <definedName name="IQ_PREFERRED_LIST" hidden="1">"c13506"</definedName>
    <definedName name="IQ_PREMISES_EQUIPMENT_FDIC" hidden="1">"c6577"</definedName>
    <definedName name="IQ_PREMISES_FIXED_ASSETS_CAP_LEASES_FFIEC" hidden="1">"c12830"</definedName>
    <definedName name="IQ_PREMIUM_INSURANCE_CREDIT_FFIEC" hidden="1">"c13070"</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ETAX_OPERATING_INC_AVG_ASSETS_FFIEC" hidden="1">"c13365"</definedName>
    <definedName name="IQ_PRETAX_RETURN_ASSETS_FDIC" hidden="1">"c6731"</definedName>
    <definedName name="IQ_PREV_MONTHLY_FACTOR" hidden="1">"c8973"</definedName>
    <definedName name="IQ_PREV_MONTHLY_FACTOR_DATE" hidden="1">"c8974"</definedName>
    <definedName name="IQ_PRICE_OVER_BVPS" hidden="1">"c1412"</definedName>
    <definedName name="IQ_PRICE_OVER_LTM_EPS" hidden="1">"c1413"</definedName>
    <definedName name="IQ_PRICE_PAID_FARM_INDEX" hidden="1">"c6948"</definedName>
    <definedName name="IQ_PRICE_PAID_FARM_INDEX_APR" hidden="1">"c7608"</definedName>
    <definedName name="IQ_PRICE_PAID_FARM_INDEX_APR_FC" hidden="1">"c8488"</definedName>
    <definedName name="IQ_PRICE_PAID_FARM_INDEX_FC" hidden="1">"c7828"</definedName>
    <definedName name="IQ_PRICE_PAID_FARM_INDEX_POP" hidden="1">"c7168"</definedName>
    <definedName name="IQ_PRICE_PAID_FARM_INDEX_POP_FC" hidden="1">"c8048"</definedName>
    <definedName name="IQ_PRICE_PAID_FARM_INDEX_YOY" hidden="1">"c7388"</definedName>
    <definedName name="IQ_PRICE_PAID_FARM_INDEX_YOY_FC" hidden="1">"c8268"</definedName>
    <definedName name="IQ_PRICE_TARGET" hidden="1">"c82"</definedName>
    <definedName name="IQ_PRICE_TARGET_BOTTOM_UP_CIQ" hidden="1">"c12023"</definedName>
    <definedName name="IQ_PRICE_TARGET_CIQ" hidden="1">"c3613"</definedName>
    <definedName name="IQ_PRICEDATE" hidden="1">"c1069"</definedName>
    <definedName name="IQ_PRICING_DATE" hidden="1">"c1613"</definedName>
    <definedName name="IQ_PRIMARY_INDUSTRY" hidden="1">"c1070"</definedName>
    <definedName name="IQ_PRINCIPAL_AMT" hidden="1">"c2157"</definedName>
    <definedName name="IQ_PRIVATE_CONST_TOTAL_APR_FC_UNUSED" hidden="1">"c8559"</definedName>
    <definedName name="IQ_PRIVATE_CONST_TOTAL_APR_UNUSED" hidden="1">"c7679"</definedName>
    <definedName name="IQ_PRIVATE_CONST_TOTAL_FC_UNUSED" hidden="1">"c7899"</definedName>
    <definedName name="IQ_PRIVATE_CONST_TOTAL_POP_FC_UNUSED" hidden="1">"c8119"</definedName>
    <definedName name="IQ_PRIVATE_CONST_TOTAL_POP_UNUSED" hidden="1">"c7239"</definedName>
    <definedName name="IQ_PRIVATE_CONST_TOTAL_UNUSED" hidden="1">"c7019"</definedName>
    <definedName name="IQ_PRIVATE_CONST_TOTAL_YOY_FC_UNUSED" hidden="1">"c8339"</definedName>
    <definedName name="IQ_PRIVATE_CONST_TOTAL_YOY_UNUSED" hidden="1">"c7459"</definedName>
    <definedName name="IQ_PRIVATE_FIXED_INVEST_TOTAL" hidden="1">"c12006"</definedName>
    <definedName name="IQ_PRIVATE_FIXED_INVEST_TOTAL_APR" hidden="1">"c12009"</definedName>
    <definedName name="IQ_PRIVATE_FIXED_INVEST_TOTAL_POP" hidden="1">"c12007"</definedName>
    <definedName name="IQ_PRIVATE_FIXED_INVEST_TOTAL_YOY" hidden="1">"c12008"</definedName>
    <definedName name="IQ_PRIVATE_NONRES_CONST_IMPROV" hidden="1">"c6949"</definedName>
    <definedName name="IQ_PRIVATE_NONRES_CONST_IMPROV_APR" hidden="1">"c7609"</definedName>
    <definedName name="IQ_PRIVATE_NONRES_CONST_IMPROV_APR_FC" hidden="1">"c8489"</definedName>
    <definedName name="IQ_PRIVATE_NONRES_CONST_IMPROV_FC" hidden="1">"c7829"</definedName>
    <definedName name="IQ_PRIVATE_NONRES_CONST_IMPROV_POP" hidden="1">"c7169"</definedName>
    <definedName name="IQ_PRIVATE_NONRES_CONST_IMPROV_POP_FC" hidden="1">"c8049"</definedName>
    <definedName name="IQ_PRIVATE_NONRES_CONST_IMPROV_YOY" hidden="1">"c7389"</definedName>
    <definedName name="IQ_PRIVATE_NONRES_CONST_IMPROV_YOY_FC" hidden="1">"c8269"</definedName>
    <definedName name="IQ_PRIVATE_RES_CONST_IMPROV" hidden="1">"c6950"</definedName>
    <definedName name="IQ_PRIVATE_RES_CONST_IMPROV_APR" hidden="1">"c7610"</definedName>
    <definedName name="IQ_PRIVATE_RES_CONST_IMPROV_APR_FC" hidden="1">"c8490"</definedName>
    <definedName name="IQ_PRIVATE_RES_CONST_IMPROV_FC" hidden="1">"c7830"</definedName>
    <definedName name="IQ_PRIVATE_RES_CONST_IMPROV_POP" hidden="1">"c7170"</definedName>
    <definedName name="IQ_PRIVATE_RES_CONST_IMPROV_POP_FC" hidden="1">"c8050"</definedName>
    <definedName name="IQ_PRIVATE_RES_CONST_IMPROV_YOY" hidden="1">"c7390"</definedName>
    <definedName name="IQ_PRIVATE_RES_CONST_IMPROV_YOY_FC" hidden="1">"c8270"</definedName>
    <definedName name="IQ_PRIVATE_RES_CONST_REAL_APR_FC_UNUSED" hidden="1">"c8535"</definedName>
    <definedName name="IQ_PRIVATE_RES_CONST_REAL_APR_UNUSED" hidden="1">"c7655"</definedName>
    <definedName name="IQ_PRIVATE_RES_CONST_REAL_FC_UNUSED" hidden="1">"c7875"</definedName>
    <definedName name="IQ_PRIVATE_RES_CONST_REAL_POP_FC_UNUSED" hidden="1">"c8095"</definedName>
    <definedName name="IQ_PRIVATE_RES_CONST_REAL_POP_UNUSED" hidden="1">"c7215"</definedName>
    <definedName name="IQ_PRIVATE_RES_CONST_REAL_UNUSED" hidden="1">"c6995"</definedName>
    <definedName name="IQ_PRIVATE_RES_CONST_REAL_YOY_FC_UNUSED" hidden="1">"c8315"</definedName>
    <definedName name="IQ_PRIVATE_RES_CONST_REAL_YOY_UNUSED" hidden="1">"c7435"</definedName>
    <definedName name="IQ_PRIVATE_RES_FIXED_INVEST_REAL" hidden="1">"c11986"</definedName>
    <definedName name="IQ_PRIVATE_RES_FIXED_INVEST_REAL_APR" hidden="1">"c11989"</definedName>
    <definedName name="IQ_PRIVATE_RES_FIXED_INVEST_REAL_POP" hidden="1">"c11987"</definedName>
    <definedName name="IQ_PRIVATE_RES_FIXED_INVEST_REAL_YOY" hidden="1">"c11988"</definedName>
    <definedName name="IQ_PRIVATELY_ISSUED_MORTGAGE_BACKED_SECURITIES_FDIC" hidden="1">"c6407"</definedName>
    <definedName name="IQ_PRIVATELY_ISSUED_MORTGAGE_PASS_THROUGHS_FDIC" hidden="1">"c6405"</definedName>
    <definedName name="IQ_PRO_FORMA_BASIC_EPS" hidden="1">"c1614"</definedName>
    <definedName name="IQ_PRO_FORMA_DILUT_EPS" hidden="1">"c1615"</definedName>
    <definedName name="IQ_PRO_FORMA_NET_INC" hidden="1">"c1452"</definedName>
    <definedName name="IQ_PROBABLE_ATTRIB_ORE_RESERVES_ALUM" hidden="1">"c9217"</definedName>
    <definedName name="IQ_PROBABLE_ATTRIB_ORE_RESERVES_COP" hidden="1">"c9161"</definedName>
    <definedName name="IQ_PROBABLE_ATTRIB_ORE_RESERVES_DIAM" hidden="1">"c9641"</definedName>
    <definedName name="IQ_PROBABLE_ATTRIB_ORE_RESERVES_GOLD" hidden="1">"c9002"</definedName>
    <definedName name="IQ_PROBABLE_ATTRIB_ORE_RESERVES_IRON" hidden="1">"c9376"</definedName>
    <definedName name="IQ_PROBABLE_ATTRIB_ORE_RESERVES_LEAD" hidden="1">"c9429"</definedName>
    <definedName name="IQ_PROBABLE_ATTRIB_ORE_RESERVES_MANG" hidden="1">"c9482"</definedName>
    <definedName name="IQ_PROBABLE_ATTRIB_ORE_RESERVES_MOLYB" hidden="1">"c9694"</definedName>
    <definedName name="IQ_PROBABLE_ATTRIB_ORE_RESERVES_NICK" hidden="1">"c9270"</definedName>
    <definedName name="IQ_PROBABLE_ATTRIB_ORE_RESERVES_PLAT" hidden="1">"c9108"</definedName>
    <definedName name="IQ_PROBABLE_ATTRIB_ORE_RESERVES_SILVER" hidden="1">"c9055"</definedName>
    <definedName name="IQ_PROBABLE_ATTRIB_ORE_RESERVES_TITAN" hidden="1">"c9535"</definedName>
    <definedName name="IQ_PROBABLE_ATTRIB_ORE_RESERVES_URAN" hidden="1">"c9588"</definedName>
    <definedName name="IQ_PROBABLE_ATTRIB_ORE_RESERVES_ZINC" hidden="1">"c9323"</definedName>
    <definedName name="IQ_PROBABLE_ORE_RESERVES_ALUM" hidden="1">"c9209"</definedName>
    <definedName name="IQ_PROBABLE_ORE_RESERVES_COP" hidden="1">"c9153"</definedName>
    <definedName name="IQ_PROBABLE_ORE_RESERVES_DIAM" hidden="1">"c9633"</definedName>
    <definedName name="IQ_PROBABLE_ORE_RESERVES_GOLD" hidden="1">"c8994"</definedName>
    <definedName name="IQ_PROBABLE_ORE_RESERVES_IRON" hidden="1">"c9368"</definedName>
    <definedName name="IQ_PROBABLE_ORE_RESERVES_LEAD" hidden="1">"c9421"</definedName>
    <definedName name="IQ_PROBABLE_ORE_RESERVES_MANG" hidden="1">"c9474"</definedName>
    <definedName name="IQ_PROBABLE_ORE_RESERVES_MOLYB" hidden="1">"c9686"</definedName>
    <definedName name="IQ_PROBABLE_ORE_RESERVES_NICK" hidden="1">"c9262"</definedName>
    <definedName name="IQ_PROBABLE_ORE_RESERVES_PLAT" hidden="1">"c9100"</definedName>
    <definedName name="IQ_PROBABLE_ORE_RESERVES_SILVER" hidden="1">"c9047"</definedName>
    <definedName name="IQ_PROBABLE_ORE_RESERVES_TITAN" hidden="1">"c9527"</definedName>
    <definedName name="IQ_PROBABLE_ORE_RESERVES_URAN" hidden="1">"c9580"</definedName>
    <definedName name="IQ_PROBABLE_ORE_RESERVES_ZINC" hidden="1">"c9315"</definedName>
    <definedName name="IQ_PROBABLE_RECOV_ATTRIB_RESERVES_ALUM" hidden="1">"c9220"</definedName>
    <definedName name="IQ_PROBABLE_RECOV_ATTRIB_RESERVES_COAL" hidden="1">"c9804"</definedName>
    <definedName name="IQ_PROBABLE_RECOV_ATTRIB_RESERVES_COP" hidden="1">"c9164"</definedName>
    <definedName name="IQ_PROBABLE_RECOV_ATTRIB_RESERVES_DIAM" hidden="1">"c9644"</definedName>
    <definedName name="IQ_PROBABLE_RECOV_ATTRIB_RESERVES_GOLD" hidden="1">"c9005"</definedName>
    <definedName name="IQ_PROBABLE_RECOV_ATTRIB_RESERVES_IRON" hidden="1">"c9379"</definedName>
    <definedName name="IQ_PROBABLE_RECOV_ATTRIB_RESERVES_LEAD" hidden="1">"c9432"</definedName>
    <definedName name="IQ_PROBABLE_RECOV_ATTRIB_RESERVES_MANG" hidden="1">"c9485"</definedName>
    <definedName name="IQ_PROBABLE_RECOV_ATTRIB_RESERVES_MET_COAL" hidden="1">"c9744"</definedName>
    <definedName name="IQ_PROBABLE_RECOV_ATTRIB_RESERVES_MOLYB" hidden="1">"c9697"</definedName>
    <definedName name="IQ_PROBABLE_RECOV_ATTRIB_RESERVES_NICK" hidden="1">"c9273"</definedName>
    <definedName name="IQ_PROBABLE_RECOV_ATTRIB_RESERVES_PLAT" hidden="1">"c9111"</definedName>
    <definedName name="IQ_PROBABLE_RECOV_ATTRIB_RESERVES_SILVER" hidden="1">"c9058"</definedName>
    <definedName name="IQ_PROBABLE_RECOV_ATTRIB_RESERVES_STEAM" hidden="1">"c9774"</definedName>
    <definedName name="IQ_PROBABLE_RECOV_ATTRIB_RESERVES_TITAN" hidden="1">"c9538"</definedName>
    <definedName name="IQ_PROBABLE_RECOV_ATTRIB_RESERVES_URAN" hidden="1">"c9591"</definedName>
    <definedName name="IQ_PROBABLE_RECOV_ATTRIB_RESERVES_ZINC" hidden="1">"c9326"</definedName>
    <definedName name="IQ_PROBABLE_RECOV_RESERVES_ALUM" hidden="1">"c9214"</definedName>
    <definedName name="IQ_PROBABLE_RECOV_RESERVES_COAL" hidden="1">"c9801"</definedName>
    <definedName name="IQ_PROBABLE_RECOV_RESERVES_COP" hidden="1">"c9158"</definedName>
    <definedName name="IQ_PROBABLE_RECOV_RESERVES_DIAM" hidden="1">"c9638"</definedName>
    <definedName name="IQ_PROBABLE_RECOV_RESERVES_GOLD" hidden="1">"c8999"</definedName>
    <definedName name="IQ_PROBABLE_RECOV_RESERVES_IRON" hidden="1">"c9373"</definedName>
    <definedName name="IQ_PROBABLE_RECOV_RESERVES_LEAD" hidden="1">"c9426"</definedName>
    <definedName name="IQ_PROBABLE_RECOV_RESERVES_MANG" hidden="1">"c9479"</definedName>
    <definedName name="IQ_PROBABLE_RECOV_RESERVES_MET_COAL" hidden="1">"c9741"</definedName>
    <definedName name="IQ_PROBABLE_RECOV_RESERVES_MOLYB" hidden="1">"c9691"</definedName>
    <definedName name="IQ_PROBABLE_RECOV_RESERVES_NICK" hidden="1">"c9267"</definedName>
    <definedName name="IQ_PROBABLE_RECOV_RESERVES_PLAT" hidden="1">"c9105"</definedName>
    <definedName name="IQ_PROBABLE_RECOV_RESERVES_SILVER" hidden="1">"c9052"</definedName>
    <definedName name="IQ_PROBABLE_RECOV_RESERVES_STEAM" hidden="1">"c9771"</definedName>
    <definedName name="IQ_PROBABLE_RECOV_RESERVES_TITAN" hidden="1">"c9532"</definedName>
    <definedName name="IQ_PROBABLE_RECOV_RESERVES_URAN" hidden="1">"c9585"</definedName>
    <definedName name="IQ_PROBABLE_RECOV_RESERVES_ZINC" hidden="1">"c9320"</definedName>
    <definedName name="IQ_PROBABLE_RESERVES_CALORIFIC_VALUE_COAL" hidden="1">"c9798"</definedName>
    <definedName name="IQ_PROBABLE_RESERVES_CALORIFIC_VALUE_MET_COAL" hidden="1">"c9738"</definedName>
    <definedName name="IQ_PROBABLE_RESERVES_CALORIFIC_VALUE_STEAM" hidden="1">"c9768"</definedName>
    <definedName name="IQ_PROBABLE_RESERVES_GRADE_ALUM" hidden="1">"c9210"</definedName>
    <definedName name="IQ_PROBABLE_RESERVES_GRADE_COP" hidden="1">"c9154"</definedName>
    <definedName name="IQ_PROBABLE_RESERVES_GRADE_DIAM" hidden="1">"c9634"</definedName>
    <definedName name="IQ_PROBABLE_RESERVES_GRADE_GOLD" hidden="1">"c8995"</definedName>
    <definedName name="IQ_PROBABLE_RESERVES_GRADE_IRON" hidden="1">"c9369"</definedName>
    <definedName name="IQ_PROBABLE_RESERVES_GRADE_LEAD" hidden="1">"c9422"</definedName>
    <definedName name="IQ_PROBABLE_RESERVES_GRADE_MANG" hidden="1">"c9475"</definedName>
    <definedName name="IQ_PROBABLE_RESERVES_GRADE_MOLYB" hidden="1">"c9687"</definedName>
    <definedName name="IQ_PROBABLE_RESERVES_GRADE_NICK" hidden="1">"c9263"</definedName>
    <definedName name="IQ_PROBABLE_RESERVES_GRADE_PLAT" hidden="1">"c9101"</definedName>
    <definedName name="IQ_PROBABLE_RESERVES_GRADE_SILVER" hidden="1">"c9048"</definedName>
    <definedName name="IQ_PROBABLE_RESERVES_GRADE_TITAN" hidden="1">"c9528"</definedName>
    <definedName name="IQ_PROBABLE_RESERVES_GRADE_URAN" hidden="1">"c9581"</definedName>
    <definedName name="IQ_PROBABLE_RESERVES_GRADE_ZINC" hidden="1">"c9316"</definedName>
    <definedName name="IQ_PRODUCTION_COST_ALUM" hidden="1">"c9253"</definedName>
    <definedName name="IQ_PRODUCTION_COST_COAL" hidden="1">"c9826"</definedName>
    <definedName name="IQ_PRODUCTION_COST_COP" hidden="1">"c9200"</definedName>
    <definedName name="IQ_PRODUCTION_COST_DIAM" hidden="1">"c9677"</definedName>
    <definedName name="IQ_PRODUCTION_COST_GOLD" hidden="1">"c9038"</definedName>
    <definedName name="IQ_PRODUCTION_COST_IRON" hidden="1">"c9412"</definedName>
    <definedName name="IQ_PRODUCTION_COST_LEAD" hidden="1">"c9465"</definedName>
    <definedName name="IQ_PRODUCTION_COST_MANG" hidden="1">"c9518"</definedName>
    <definedName name="IQ_PRODUCTION_COST_MET_COAL" hidden="1">"c9763"</definedName>
    <definedName name="IQ_PRODUCTION_COST_MOLYB" hidden="1">"c9730"</definedName>
    <definedName name="IQ_PRODUCTION_COST_NICK" hidden="1">"c9306"</definedName>
    <definedName name="IQ_PRODUCTION_COST_PLAT" hidden="1">"c9144"</definedName>
    <definedName name="IQ_PRODUCTION_COST_SILVER" hidden="1">"c9091"</definedName>
    <definedName name="IQ_PRODUCTION_COST_STEAM" hidden="1">"c9793"</definedName>
    <definedName name="IQ_PRODUCTION_COST_TITAN" hidden="1">"c9571"</definedName>
    <definedName name="IQ_PRODUCTION_COST_URAN" hidden="1">"c9624"</definedName>
    <definedName name="IQ_PRODUCTION_COST_ZINC" hidden="1">"c9359"</definedName>
    <definedName name="IQ_PROFESSIONAL" hidden="1">"c1071"</definedName>
    <definedName name="IQ_PROFESSIONAL_ID" hidden="1">"c13755"</definedName>
    <definedName name="IQ_PROFESSIONAL_TITLE" hidden="1">"c1072"</definedName>
    <definedName name="IQ_PROFIT_AFTER_COST_CAPITAL_NEW_BUSINESS" hidden="1">"c9969"</definedName>
    <definedName name="IQ_PROFIT_BEFORE_COST_CAPITAL_NEW_BUSINESS" hidden="1">"c9967"</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ED_ATTRIB_ORE_RESERVES_ALUM" hidden="1">"c9216"</definedName>
    <definedName name="IQ_PROVED_ATTRIB_ORE_RESERVES_COP" hidden="1">"c9160"</definedName>
    <definedName name="IQ_PROVED_ATTRIB_ORE_RESERVES_DIAM" hidden="1">"c9640"</definedName>
    <definedName name="IQ_PROVED_ATTRIB_ORE_RESERVES_GOLD" hidden="1">"c9001"</definedName>
    <definedName name="IQ_PROVED_ATTRIB_ORE_RESERVES_IRON" hidden="1">"c9375"</definedName>
    <definedName name="IQ_PROVED_ATTRIB_ORE_RESERVES_LEAD" hidden="1">"c9428"</definedName>
    <definedName name="IQ_PROVED_ATTRIB_ORE_RESERVES_MANG" hidden="1">"c9481"</definedName>
    <definedName name="IQ_PROVED_ATTRIB_ORE_RESERVES_MOLYB" hidden="1">"c9693"</definedName>
    <definedName name="IQ_PROVED_ATTRIB_ORE_RESERVES_NICK" hidden="1">"c9269"</definedName>
    <definedName name="IQ_PROVED_ATTRIB_ORE_RESERVES_PLAT" hidden="1">"c9107"</definedName>
    <definedName name="IQ_PROVED_ATTRIB_ORE_RESERVES_SILVER" hidden="1">"c9054"</definedName>
    <definedName name="IQ_PROVED_ATTRIB_ORE_RESERVES_TITAN" hidden="1">"c9534"</definedName>
    <definedName name="IQ_PROVED_ATTRIB_ORE_RESERVES_URAN" hidden="1">"c9587"</definedName>
    <definedName name="IQ_PROVED_ATTRIB_ORE_RESERVES_ZINC" hidden="1">"c9322"</definedName>
    <definedName name="IQ_PROVED_ORE_RESERVES_ALUM" hidden="1">"c9207"</definedName>
    <definedName name="IQ_PROVED_ORE_RESERVES_COP" hidden="1">"c9151"</definedName>
    <definedName name="IQ_PROVED_ORE_RESERVES_DIAM" hidden="1">"c9631"</definedName>
    <definedName name="IQ_PROVED_ORE_RESERVES_GOLD" hidden="1">"c8992"</definedName>
    <definedName name="IQ_PROVED_ORE_RESERVES_IRON" hidden="1">"c9366"</definedName>
    <definedName name="IQ_PROVED_ORE_RESERVES_LEAD" hidden="1">"c9419"</definedName>
    <definedName name="IQ_PROVED_ORE_RESERVES_MANG" hidden="1">"c9472"</definedName>
    <definedName name="IQ_PROVED_ORE_RESERVES_MOLYB" hidden="1">"c9684"</definedName>
    <definedName name="IQ_PROVED_ORE_RESERVES_NICK" hidden="1">"c9260"</definedName>
    <definedName name="IQ_PROVED_ORE_RESERVES_PLAT" hidden="1">"c9098"</definedName>
    <definedName name="IQ_PROVED_ORE_RESERVES_SILVER" hidden="1">"c9045"</definedName>
    <definedName name="IQ_PROVED_ORE_RESERVES_TITAN" hidden="1">"c9525"</definedName>
    <definedName name="IQ_PROVED_ORE_RESERVES_URAN" hidden="1">"c9578"</definedName>
    <definedName name="IQ_PROVED_ORE_RESERVES_ZINC" hidden="1">"c9313"</definedName>
    <definedName name="IQ_PROVED_RECOV_ATTRIB_RESERVES_ALUM" hidden="1">"c9219"</definedName>
    <definedName name="IQ_PROVED_RECOV_ATTRIB_RESERVES_COAL" hidden="1">"c9803"</definedName>
    <definedName name="IQ_PROVED_RECOV_ATTRIB_RESERVES_COP" hidden="1">"c9163"</definedName>
    <definedName name="IQ_PROVED_RECOV_ATTRIB_RESERVES_DIAM" hidden="1">"c9643"</definedName>
    <definedName name="IQ_PROVED_RECOV_ATTRIB_RESERVES_GOLD" hidden="1">"c9004"</definedName>
    <definedName name="IQ_PROVED_RECOV_ATTRIB_RESERVES_IRON" hidden="1">"c9378"</definedName>
    <definedName name="IQ_PROVED_RECOV_ATTRIB_RESERVES_LEAD" hidden="1">"c9431"</definedName>
    <definedName name="IQ_PROVED_RECOV_ATTRIB_RESERVES_MANG" hidden="1">"c9484"</definedName>
    <definedName name="IQ_PROVED_RECOV_ATTRIB_RESERVES_MET_COAL" hidden="1">"c9743"</definedName>
    <definedName name="IQ_PROVED_RECOV_ATTRIB_RESERVES_MOLYB" hidden="1">"c9696"</definedName>
    <definedName name="IQ_PROVED_RECOV_ATTRIB_RESERVES_NICK" hidden="1">"c9272"</definedName>
    <definedName name="IQ_PROVED_RECOV_ATTRIB_RESERVES_PLAT" hidden="1">"c9110"</definedName>
    <definedName name="IQ_PROVED_RECOV_ATTRIB_RESERVES_SILVER" hidden="1">"c9057"</definedName>
    <definedName name="IQ_PROVED_RECOV_ATTRIB_RESERVES_STEAM" hidden="1">"c9773"</definedName>
    <definedName name="IQ_PROVED_RECOV_ATTRIB_RESERVES_TITAN" hidden="1">"c9537"</definedName>
    <definedName name="IQ_PROVED_RECOV_ATTRIB_RESERVES_URAN" hidden="1">"c9590"</definedName>
    <definedName name="IQ_PROVED_RECOV_ATTRIB_RESERVES_ZINC" hidden="1">"c9325"</definedName>
    <definedName name="IQ_PROVED_RECOV_RESERVES_ALUM" hidden="1">"c9213"</definedName>
    <definedName name="IQ_PROVED_RECOV_RESERVES_COAL" hidden="1">"c9800"</definedName>
    <definedName name="IQ_PROVED_RECOV_RESERVES_COP" hidden="1">"c9157"</definedName>
    <definedName name="IQ_PROVED_RECOV_RESERVES_DIAM" hidden="1">"c9637"</definedName>
    <definedName name="IQ_PROVED_RECOV_RESERVES_GOLD" hidden="1">"c8998"</definedName>
    <definedName name="IQ_PROVED_RECOV_RESERVES_IRON" hidden="1">"c9372"</definedName>
    <definedName name="IQ_PROVED_RECOV_RESERVES_LEAD" hidden="1">"c9425"</definedName>
    <definedName name="IQ_PROVED_RECOV_RESERVES_MANG" hidden="1">"c9478"</definedName>
    <definedName name="IQ_PROVED_RECOV_RESERVES_MET_COAL" hidden="1">"c9740"</definedName>
    <definedName name="IQ_PROVED_RECOV_RESERVES_MOLYB" hidden="1">"c9690"</definedName>
    <definedName name="IQ_PROVED_RECOV_RESERVES_NICK" hidden="1">"c9266"</definedName>
    <definedName name="IQ_PROVED_RECOV_RESERVES_PLAT" hidden="1">"c9104"</definedName>
    <definedName name="IQ_PROVED_RECOV_RESERVES_SILVER" hidden="1">"c9051"</definedName>
    <definedName name="IQ_PROVED_RECOV_RESERVES_STEAM" hidden="1">"c9770"</definedName>
    <definedName name="IQ_PROVED_RECOV_RESERVES_TITAN" hidden="1">"c9531"</definedName>
    <definedName name="IQ_PROVED_RECOV_RESERVES_URAN" hidden="1">"c9584"</definedName>
    <definedName name="IQ_PROVED_RECOV_RESERVES_ZINC" hidden="1">"c9319"</definedName>
    <definedName name="IQ_PROVED_RESERVES_CALORIFIC_VALUE_COAL" hidden="1">"c9797"</definedName>
    <definedName name="IQ_PROVED_RESERVES_CALORIFIC_VALUE_MET_COAL" hidden="1">"c9737"</definedName>
    <definedName name="IQ_PROVED_RESERVES_CALORIFIC_VALUE_STEAM" hidden="1">"c9767"</definedName>
    <definedName name="IQ_PROVED_RESERVES_GRADE_ALUM" hidden="1">"c9208"</definedName>
    <definedName name="IQ_PROVED_RESERVES_GRADE_COP" hidden="1">"c9152"</definedName>
    <definedName name="IQ_PROVED_RESERVES_GRADE_DIAM" hidden="1">"c9632"</definedName>
    <definedName name="IQ_PROVED_RESERVES_GRADE_GOLD" hidden="1">"c8993"</definedName>
    <definedName name="IQ_PROVED_RESERVES_GRADE_IRON" hidden="1">"c9367"</definedName>
    <definedName name="IQ_PROVED_RESERVES_GRADE_LEAD" hidden="1">"c9420"</definedName>
    <definedName name="IQ_PROVED_RESERVES_GRADE_MANG" hidden="1">"c9473"</definedName>
    <definedName name="IQ_PROVED_RESERVES_GRADE_MOLYB" hidden="1">"c9685"</definedName>
    <definedName name="IQ_PROVED_RESERVES_GRADE_NICK" hidden="1">"c9261"</definedName>
    <definedName name="IQ_PROVED_RESERVES_GRADE_PLAT" hidden="1">"c9099"</definedName>
    <definedName name="IQ_PROVED_RESERVES_GRADE_SILVER" hidden="1">"c9046"</definedName>
    <definedName name="IQ_PROVED_RESERVES_GRADE_TITAN" hidden="1">"c9526"</definedName>
    <definedName name="IQ_PROVED_RESERVES_GRADE_URAN" hidden="1">"c9579"</definedName>
    <definedName name="IQ_PROVED_RESERVES_GRADE_ZINC" hidden="1">"c9314"</definedName>
    <definedName name="IQ_PROVISION_10YR_ANN_CAGR" hidden="1">"c6135"</definedName>
    <definedName name="IQ_PROVISION_10YR_ANN_GROWTH" hidden="1">"c1077"</definedName>
    <definedName name="IQ_PROVISION_1YR_ANN_GROWTH" hidden="1">"c1078"</definedName>
    <definedName name="IQ_PROVISION_2YR_ANN_CAGR" hidden="1">"c6136"</definedName>
    <definedName name="IQ_PROVISION_2YR_ANN_GROWTH" hidden="1">"c1079"</definedName>
    <definedName name="IQ_PROVISION_3YR_ANN_CAGR" hidden="1">"c6137"</definedName>
    <definedName name="IQ_PROVISION_3YR_ANN_GROWTH" hidden="1">"c1080"</definedName>
    <definedName name="IQ_PROVISION_5YR_ANN_CAGR" hidden="1">"c6138"</definedName>
    <definedName name="IQ_PROVISION_5YR_ANN_GROWTH" hidden="1">"c1081"</definedName>
    <definedName name="IQ_PROVISION_7YR_ANN_CAGR" hidden="1">"c6139"</definedName>
    <definedName name="IQ_PROVISION_7YR_ANN_GROWTH" hidden="1">"c1082"</definedName>
    <definedName name="IQ_PROVISION_CHARGE_OFFS" hidden="1">"c1083"</definedName>
    <definedName name="IQ_PROVISION_LL_FFIEC" hidden="1">"c13019"</definedName>
    <definedName name="IQ_PROVISION_LOSSES_AVG_ASSETS_FFIEC" hidden="1">"c13362"</definedName>
    <definedName name="IQ_PROVISION_LOSSES_AVG_LOANS_FFIEC" hidden="1">"c13470"</definedName>
    <definedName name="IQ_PROVISION_LOSSES_NET_LOSSES_FFIEC" hidden="1">"c13471"</definedName>
    <definedName name="IQ_PTBV" hidden="1">"c1084"</definedName>
    <definedName name="IQ_PTBV_AVG" hidden="1">"c1085"</definedName>
    <definedName name="IQ_PURCHASE_FOREIGN_CURRENCIES_FDIC" hidden="1">"c6513"</definedName>
    <definedName name="IQ_PURCHASE_TREASURY_FFIEC" hidden="1">"c12966"</definedName>
    <definedName name="IQ_PURCHASED_CREDIT_RELS_SERVICING_ASSETS_FFIEC" hidden="1">"c12839"</definedName>
    <definedName name="IQ_PURCHASED_OPTION_CONTRACTS_FDIC" hidden="1">"c6510"</definedName>
    <definedName name="IQ_PURCHASED_OPTION_CONTRACTS_FX_RISK_FDIC" hidden="1">"c6515"</definedName>
    <definedName name="IQ_PURCHASED_OPTION_CONTRACTS_NON_FX_IR_FDIC" hidden="1">"c6520"</definedName>
    <definedName name="IQ_PURCHASES_EQUIP_NONRES_SAAR_APR_FC_UNUSED" hidden="1">"c8491"</definedName>
    <definedName name="IQ_PURCHASES_EQUIP_NONRES_SAAR_APR_UNUSED" hidden="1">"c7611"</definedName>
    <definedName name="IQ_PURCHASES_EQUIP_NONRES_SAAR_FC_UNUSED" hidden="1">"c7831"</definedName>
    <definedName name="IQ_PURCHASES_EQUIP_NONRES_SAAR_POP_FC_UNUSED" hidden="1">"c8051"</definedName>
    <definedName name="IQ_PURCHASES_EQUIP_NONRES_SAAR_POP_UNUSED" hidden="1">"c7171"</definedName>
    <definedName name="IQ_PURCHASES_EQUIP_NONRES_SAAR_UNUSED" hidden="1">"c6951"</definedName>
    <definedName name="IQ_PURCHASES_EQUIP_NONRES_SAAR_YOY_FC_UNUSED" hidden="1">"c8271"</definedName>
    <definedName name="IQ_PURCHASES_EQUIP_NONRES_SAAR_YOY_UNUSED" hidden="1">"c7391"</definedName>
    <definedName name="IQ_PURCHASING_SECURITIES_LL_REC_FFIEC" hidden="1">"c12893"</definedName>
    <definedName name="IQ_PUT_DATE_SCHEDULE" hidden="1">"c2483"</definedName>
    <definedName name="IQ_PUT_NOTIFICATION" hidden="1">"c2485"</definedName>
    <definedName name="IQ_PUT_PRICE_SCHEDULE" hidden="1">"c2484"</definedName>
    <definedName name="IQ_PV_PREMIUMS_NEW_BUSINESS" hidden="1">"c9973"</definedName>
    <definedName name="IQ_QUALIFYING_MINORITY_INT_T1_FFIEC" hidden="1">"c13135"</definedName>
    <definedName name="IQ_QUALIFYING_SUB_DEBT_REDEEM_PREF_T2_FFIEC" hidden="1">"c13144"</definedName>
    <definedName name="IQ_QUALIFYING_TRUST_PREFERRED_T1_FFIEC" hidden="1">"c13136"</definedName>
    <definedName name="IQ_QUICK_COMP" hidden="1">"c13750"</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_1_4_RISK_BASED_FFIEC" hidden="1">"c13418"</definedName>
    <definedName name="IQ_RE_ACQ_SATISFACTION_DEBTS_FFIEC" hidden="1">"c12832"</definedName>
    <definedName name="IQ_RE_DEPR_AMORT" hidden="1">"c8750"</definedName>
    <definedName name="IQ_RE_FARMLAND_GROSS_LOANS_FFIEC" hidden="1">"c13408"</definedName>
    <definedName name="IQ_RE_FARMLAND_RISK_BASED_FFIEC" hidden="1">"c13429"</definedName>
    <definedName name="IQ_RE_FCCR" hidden="1">"c8858"</definedName>
    <definedName name="IQ_RE_FCCR_CONT_OPS" hidden="1">"c8859"</definedName>
    <definedName name="IQ_RE_FCCR_INCL_DISC_OPS" hidden="1">"c8860"</definedName>
    <definedName name="IQ_RE_FCCR_INCL_PREF_DIV" hidden="1">"c8861"</definedName>
    <definedName name="IQ_RE_FCCR_INCL_PREF_DIV_CONT_OPS" hidden="1">"c8862"</definedName>
    <definedName name="IQ_RE_FCCR_INCL_PREF_DIV_INCL_DISC_OPS" hidden="1">"c8863"</definedName>
    <definedName name="IQ_RE_FIXED_CHARGES" hidden="1">"c8856"</definedName>
    <definedName name="IQ_RE_FIXED_CHARGES_INCL_PREF_DIV" hidden="1">"c8857"</definedName>
    <definedName name="IQ_RE_FORECLOSURE_FDIC" hidden="1">"c6332"</definedName>
    <definedName name="IQ_RE_FOREIGN_FFIEC" hidden="1">"c13479"</definedName>
    <definedName name="IQ_RE_GAIN_LOSS_SALE_ASSETS" hidden="1">"c8751"</definedName>
    <definedName name="IQ_RE_INVEST_FDIC" hidden="1">"c6331"</definedName>
    <definedName name="IQ_RE_LOANS_1_4_GROSS_LOANS_FFIEC" hidden="1">"c13397"</definedName>
    <definedName name="IQ_RE_LOANS_DOMESTIC_CHARGE_OFFS_FDIC" hidden="1">"c6589"</definedName>
    <definedName name="IQ_RE_LOANS_DOMESTIC_FDIC" hidden="1">"c6309"</definedName>
    <definedName name="IQ_RE_LOANS_DOMESTIC_NET_CHARGE_OFFS_FDIC" hidden="1">"c6627"</definedName>
    <definedName name="IQ_RE_LOANS_DOMESTIC_RECOVERIES_FDIC" hidden="1">"c6608"</definedName>
    <definedName name="IQ_RE_LOANS_FDIC" hidden="1">"c6308"</definedName>
    <definedName name="IQ_RE_LOANS_FOREIGN_CHARGE_OFFS_FDIC" hidden="1">"c6595"</definedName>
    <definedName name="IQ_RE_LOANS_FOREIGN_NET_CHARGE_OFFS_FDIC" hidden="1">"c6633"</definedName>
    <definedName name="IQ_RE_LOANS_FOREIGN_RECOVERIES_FDIC" hidden="1">"c6614"</definedName>
    <definedName name="IQ_RE_LOANS_GROSS_LOANS_FFIEC" hidden="1">"c13396"</definedName>
    <definedName name="IQ_RE_MAINT_CAPEX" hidden="1">"c8755"</definedName>
    <definedName name="IQ_RE_MINORITY_INTEREST" hidden="1">"c8752"</definedName>
    <definedName name="IQ_RE_NET_INCOME" hidden="1">"c8749"</definedName>
    <definedName name="IQ_RE_NOI" hidden="1">"c8864"</definedName>
    <definedName name="IQ_RE_NOI_GROWTH_SAME_PROP" hidden="1">"c8866"</definedName>
    <definedName name="IQ_RE_NOI_SAME_PROP" hidden="1">"c8865"</definedName>
    <definedName name="IQ_RE_OTHER_ITEMS" hidden="1">"c8753"</definedName>
    <definedName name="IQ_RE_RISK_BASED_FFIEC" hidden="1">"c13417"</definedName>
    <definedName name="IQ_REAL_ESTATE" hidden="1">"c1093"</definedName>
    <definedName name="IQ_REAL_ESTATE_ASSETS" hidden="1">"c1094"</definedName>
    <definedName name="IQ_REALIZED_GAINS_AVAIL_SALE_SEC_FFIEC" hidden="1">"c13022"</definedName>
    <definedName name="IQ_REALIZED_GAINS_HELD_MATURITY_SEC_FFIEC" hidden="1">"c13021"</definedName>
    <definedName name="IQ_REALIZED_GAINS_SEC_TOT_FFIEC" hidden="1">"c13517"</definedName>
    <definedName name="IQ_RECOVERIES_1_4_FAMILY_LOANS_FDIC" hidden="1">"c6707"</definedName>
    <definedName name="IQ_RECOVERIES_AUTO_LOANS_FDIC" hidden="1">"c6701"</definedName>
    <definedName name="IQ_RECOVERIES_AVG_LOANS_FFIEC" hidden="1">"c13476"</definedName>
    <definedName name="IQ_RECOVERIES_CL_LOANS_FDIC" hidden="1">"c6702"</definedName>
    <definedName name="IQ_RECOVERIES_CREDIT_CARDS_RECEIVABLES_FDIC" hidden="1">"c6704"</definedName>
    <definedName name="IQ_RECOVERIES_HOME_EQUITY_LINES_FDIC" hidden="1">"c6705"</definedName>
    <definedName name="IQ_RECOVERIES_OTHER_CONSUMER_LOANS_FDIC" hidden="1">"c6703"</definedName>
    <definedName name="IQ_RECOVERIES_OTHER_LOANS_FDIC" hidden="1">"c6706"</definedName>
    <definedName name="IQ_RECURRING_PROFIT_ACT_OR_EST_CIQ" hidden="1">"c5045"</definedName>
    <definedName name="IQ_RECURRING_PROFIT_SHARE_ACT_OR_EST_CIQ" hidden="1">"c5046"</definedName>
    <definedName name="IQ_REDEEM_PREF_STOCK" hidden="1">"c1417"</definedName>
    <definedName name="IQ_REF_ENTITY" hidden="1">"c6033"</definedName>
    <definedName name="IQ_REF_ENTITY_CIQID" hidden="1">"c6024"</definedName>
    <definedName name="IQ_REF_ENTITY_TICKER" hidden="1">"c6023"</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INSURANCE_RECOVERABLE_ASSETS_LH_FFIEC" hidden="1">"c13104"</definedName>
    <definedName name="IQ_REINSURANCE_RECOVERABLE_ASSETS_PC_FFIEC" hidden="1">"c13098"</definedName>
    <definedName name="IQ_RELATED_PLANS_FDIC" hidden="1">"c6320"</definedName>
    <definedName name="IQ_RENT_OTHER_INC_FROM_OREO_FFIEC" hidden="1">"c13043"</definedName>
    <definedName name="IQ_RENT_PER_SQ_FT_AVG_CONSOL" hidden="1">"c8846"</definedName>
    <definedName name="IQ_RENT_PER_SQ_FT_AVG_MANAGED" hidden="1">"c8848"</definedName>
    <definedName name="IQ_RENT_PER_SQ_FT_AVG_OTHER" hidden="1">"c8849"</definedName>
    <definedName name="IQ_RENT_PER_SQ_FT_AVG_TOTAL" hidden="1">"c8850"</definedName>
    <definedName name="IQ_RENT_PER_SQ_FT_AVG_UNCONSOL" hidden="1">"c8847"</definedName>
    <definedName name="IQ_RENT_PER_SQ_METER_AVG_CONSOL" hidden="1">"c8851"</definedName>
    <definedName name="IQ_RENT_PER_SQ_METER_AVG_MANAGED" hidden="1">"c8853"</definedName>
    <definedName name="IQ_RENT_PER_SQ_METER_AVG_OTHER" hidden="1">"c8854"</definedName>
    <definedName name="IQ_RENT_PER_SQ_METER_AVG_TOTAL" hidden="1">"c8855"</definedName>
    <definedName name="IQ_RENT_PER_SQ_METER_AVG_UNCONSOL" hidden="1">"c8852"</definedName>
    <definedName name="IQ_RENT_SAFE_DEPOSIT_FFIEC" hidden="1">"c13044"</definedName>
    <definedName name="IQ_RENTAL_REV" hidden="1">"c1101"</definedName>
    <definedName name="IQ_REPRICEABLE_EARNING_ASSETS_INT_SENSITIVITY_FFIEC" hidden="1">"c13093"</definedName>
    <definedName name="IQ_REPRICEABLE_INT_DEPOSITS_INT_SENSITIVITY_FFIEC" hidden="1">"c13094"</definedName>
    <definedName name="IQ_REPURCHASED_REBOOKED_GNMA_DUE_30_89_FFIEC" hidden="1">"c13283"</definedName>
    <definedName name="IQ_REPURCHASED_REBOOKED_GNMA_DUE_90_FFIEC" hidden="1">"c13309"</definedName>
    <definedName name="IQ_REPURCHASED_REBOOKED_GNMA_NON_ACCRUAL_FFIEC" hidden="1">"c13334"</definedName>
    <definedName name="IQ_RES_CONST_REAL_APR_FC_UNUSED" hidden="1">"c8536"</definedName>
    <definedName name="IQ_RES_CONST_REAL_APR_UNUSED" hidden="1">"c7656"</definedName>
    <definedName name="IQ_RES_CONST_REAL_FC_UNUSED" hidden="1">"c7876"</definedName>
    <definedName name="IQ_RES_CONST_REAL_POP_FC_UNUSED" hidden="1">"c8096"</definedName>
    <definedName name="IQ_RES_CONST_REAL_POP_UNUSED" hidden="1">"c7216"</definedName>
    <definedName name="IQ_RES_CONST_REAL_SAAR_APR_FC_UNUSED" hidden="1">"c8537"</definedName>
    <definedName name="IQ_RES_CONST_REAL_SAAR_APR_UNUSED" hidden="1">"c7657"</definedName>
    <definedName name="IQ_RES_CONST_REAL_SAAR_FC_UNUSED" hidden="1">"c7877"</definedName>
    <definedName name="IQ_RES_CONST_REAL_SAAR_POP_FC_UNUSED" hidden="1">"c8097"</definedName>
    <definedName name="IQ_RES_CONST_REAL_SAAR_POP_UNUSED" hidden="1">"c7217"</definedName>
    <definedName name="IQ_RES_CONST_REAL_SAAR_UNUSED" hidden="1">"c6997"</definedName>
    <definedName name="IQ_RES_CONST_REAL_SAAR_YOY_FC_UNUSED" hidden="1">"c8317"</definedName>
    <definedName name="IQ_RES_CONST_REAL_SAAR_YOY_UNUSED" hidden="1">"c7437"</definedName>
    <definedName name="IQ_RES_CONST_REAL_UNUSED" hidden="1">"c6996"</definedName>
    <definedName name="IQ_RES_CONST_REAL_YOY_FC_UNUSED" hidden="1">"c8316"</definedName>
    <definedName name="IQ_RES_CONST_REAL_YOY_UNUSED" hidden="1">"c7436"</definedName>
    <definedName name="IQ_RES_CONST_SAAR_APR_FC_UNUSED" hidden="1">"c8540"</definedName>
    <definedName name="IQ_RES_CONST_SAAR_APR_UNUSED" hidden="1">"c7660"</definedName>
    <definedName name="IQ_RES_CONST_SAAR_FC_UNUSED" hidden="1">"c7880"</definedName>
    <definedName name="IQ_RES_CONST_SAAR_POP_FC_UNUSED" hidden="1">"c8100"</definedName>
    <definedName name="IQ_RES_CONST_SAAR_POP_UNUSED" hidden="1">"c7220"</definedName>
    <definedName name="IQ_RES_CONST_SAAR_UNUSED" hidden="1">"c7000"</definedName>
    <definedName name="IQ_RES_CONST_SAAR_YOY_FC_UNUSED" hidden="1">"c8320"</definedName>
    <definedName name="IQ_RES_CONST_SAAR_YOY_UNUSED" hidden="1">"c7440"</definedName>
    <definedName name="IQ_RES_FIXED_INVEST" hidden="1">"c7001"</definedName>
    <definedName name="IQ_RES_FIXED_INVEST_APR" hidden="1">"c7661"</definedName>
    <definedName name="IQ_RES_FIXED_INVEST_APR_FC" hidden="1">"c8541"</definedName>
    <definedName name="IQ_RES_FIXED_INVEST_FC" hidden="1">"c7881"</definedName>
    <definedName name="IQ_RES_FIXED_INVEST_POP" hidden="1">"c7221"</definedName>
    <definedName name="IQ_RES_FIXED_INVEST_POP_FC" hidden="1">"c8101"</definedName>
    <definedName name="IQ_RES_FIXED_INVEST_REAL" hidden="1">"c6998"</definedName>
    <definedName name="IQ_RES_FIXED_INVEST_REAL_APR" hidden="1">"c7658"</definedName>
    <definedName name="IQ_RES_FIXED_INVEST_REAL_APR_FC" hidden="1">"c8538"</definedName>
    <definedName name="IQ_RES_FIXED_INVEST_REAL_FC" hidden="1">"c7878"</definedName>
    <definedName name="IQ_RES_FIXED_INVEST_REAL_POP" hidden="1">"c7218"</definedName>
    <definedName name="IQ_RES_FIXED_INVEST_REAL_POP_FC" hidden="1">"c8098"</definedName>
    <definedName name="IQ_RES_FIXED_INVEST_REAL_YOY" hidden="1">"c7438"</definedName>
    <definedName name="IQ_RES_FIXED_INVEST_REAL_YOY_FC" hidden="1">"c8318"</definedName>
    <definedName name="IQ_RES_FIXED_INVEST_SAAR" hidden="1">"c11994"</definedName>
    <definedName name="IQ_RES_FIXED_INVEST_SAAR_APR" hidden="1">"c11997"</definedName>
    <definedName name="IQ_RES_FIXED_INVEST_SAAR_POP" hidden="1">"c11995"</definedName>
    <definedName name="IQ_RES_FIXED_INVEST_SAAR_REAL" hidden="1">"c11990"</definedName>
    <definedName name="IQ_RES_FIXED_INVEST_SAAR_REAL_APR" hidden="1">"c11993"</definedName>
    <definedName name="IQ_RES_FIXED_INVEST_SAAR_REAL_POP" hidden="1">"c11991"</definedName>
    <definedName name="IQ_RES_FIXED_INVEST_SAAR_REAL_YOY" hidden="1">"c11992"</definedName>
    <definedName name="IQ_RES_FIXED_INVEST_SAAR_YOY" hidden="1">"c11996"</definedName>
    <definedName name="IQ_RES_FIXED_INVEST_YOY" hidden="1">"c7441"</definedName>
    <definedName name="IQ_RES_FIXED_INVEST_YOY_FC" hidden="1">"c8321"</definedName>
    <definedName name="IQ_RESEARCH_DEV" hidden="1">"c1419"</definedName>
    <definedName name="IQ_RESIDENTIAL_LOANS" hidden="1">"c1102"</definedName>
    <definedName name="IQ_REST_ACQUIRED_AFFILIATED_OTHER_RESTAURANTS" hidden="1">"c9873"</definedName>
    <definedName name="IQ_REST_ACQUIRED_FRANCHISE_RESTAURANTS" hidden="1">"c9867"</definedName>
    <definedName name="IQ_REST_ACQUIRED_OWNED_RESTAURANTS" hidden="1">"c9861"</definedName>
    <definedName name="IQ_REST_ACQUIRED_RESTAURANTS" hidden="1">"c9855"</definedName>
    <definedName name="IQ_REST_AFFILIATED_OTHER_RESTAURANTS_BEG" hidden="1">"c9871"</definedName>
    <definedName name="IQ_REST_AVG_VALUE_TRANSACTION" hidden="1">"c9887"</definedName>
    <definedName name="IQ_REST_AVG_VALUE_TRANSACTION_GROWTH" hidden="1">"c9888"</definedName>
    <definedName name="IQ_REST_AVG_WEEKLY_SALES" hidden="1">"c9879"</definedName>
    <definedName name="IQ_REST_AVG_WEEKLY_SALES_FRANCHISE" hidden="1">"c9877"</definedName>
    <definedName name="IQ_REST_AVG_WEEKLY_SALES_OWNED" hidden="1">"c9878"</definedName>
    <definedName name="IQ_REST_CLOSED_AFFILIATED_OTHER_RESTAURANTS" hidden="1">"c9874"</definedName>
    <definedName name="IQ_REST_CLOSED_FRANCHISE_RESTAURANTS" hidden="1">"c9868"</definedName>
    <definedName name="IQ_REST_CLOSED_OWNED_RESTAURANTS" hidden="1">"c9862"</definedName>
    <definedName name="IQ_REST_CLOSED_RESTAURANTS" hidden="1">"c9856"</definedName>
    <definedName name="IQ_REST_FRANCHISE_RESTAURANTS_BEG" hidden="1">"c9865"</definedName>
    <definedName name="IQ_REST_GUEST_COUNT_GROWTH" hidden="1">"c9889"</definedName>
    <definedName name="IQ_REST_OPENED_AFFILIATED_OTHER_RESTAURANTS" hidden="1">"c9872"</definedName>
    <definedName name="IQ_REST_OPENED_FRANCHISE_RESTAURANTS" hidden="1">"c9866"</definedName>
    <definedName name="IQ_REST_OPENED_OWNED_RESTAURANTS" hidden="1">"c9860"</definedName>
    <definedName name="IQ_REST_OPENED_RESTAURANTS" hidden="1">"c9854"</definedName>
    <definedName name="IQ_REST_OPERATING_MARGIN" hidden="1">"c9886"</definedName>
    <definedName name="IQ_REST_OWNED_RESTAURANTS_BEG" hidden="1">"c9859"</definedName>
    <definedName name="IQ_REST_RESTAURANTS_BEG" hidden="1">"c9853"</definedName>
    <definedName name="IQ_REST_SAME_RESTAURANT_SALES" hidden="1">"c9885"</definedName>
    <definedName name="IQ_REST_SAME_RESTAURANT_SALES_FRANCHISE" hidden="1">"c9883"</definedName>
    <definedName name="IQ_REST_SAME_RESTAURANT_SALES_GROWTH" hidden="1">"c9882"</definedName>
    <definedName name="IQ_REST_SAME_RESTAURANT_SALES_GROWTH_FRANCHISE" hidden="1">"c9880"</definedName>
    <definedName name="IQ_REST_SAME_RESTAURANT_SALES_GROWTH_OWNED" hidden="1">"c9881"</definedName>
    <definedName name="IQ_REST_SAME_RESTAURANT_SALES_OWNED" hidden="1">"c9884"</definedName>
    <definedName name="IQ_REST_SOLD_AFFILIATED_OTHER_RESTAURANTS" hidden="1">"c9875"</definedName>
    <definedName name="IQ_REST_SOLD_FRANCHISE_RESTAURANTS" hidden="1">"c9869"</definedName>
    <definedName name="IQ_REST_SOLD_OWNED_RESTAURANTS" hidden="1">"c9863"</definedName>
    <definedName name="IQ_REST_SOLD_RESTAURANTS" hidden="1">"c9857"</definedName>
    <definedName name="IQ_REST_TOTAL_AFFILIATED_OTHER_RESTAURANTS" hidden="1">"c9876"</definedName>
    <definedName name="IQ_REST_TOTAL_FRANCHISE_RESTAURANTS" hidden="1">"c9870"</definedName>
    <definedName name="IQ_REST_TOTAL_OWNED_RESTAURANTS" hidden="1">"c9864"</definedName>
    <definedName name="IQ_REST_TOTAL_RESTAURANTS" hidden="1">"c9858"</definedName>
    <definedName name="IQ_RESTATEMENT_BS" hidden="1">"c1643"</definedName>
    <definedName name="IQ_RESTATEMENT_CF" hidden="1">"c1644"</definedName>
    <definedName name="IQ_RESTATEMENT_IS" hidden="1">"c1642"</definedName>
    <definedName name="IQ_RESTATEMENTS_FFIEC" hidden="1">"c12958"</definedName>
    <definedName name="IQ_RESTATEMENTS_NET_FDIC" hidden="1">"c6500"</definedName>
    <definedName name="IQ_RESTR_STOCK_COMP" hidden="1">"c3506"</definedName>
    <definedName name="IQ_RESTR_STOCK_COMP_PRETAX" hidden="1">"c3504"</definedName>
    <definedName name="IQ_RESTR_STOCK_COMP_TAX" hidden="1">"c3505"</definedName>
    <definedName name="IQ_RESTRICTED_CASH" hidden="1">"c1103"</definedName>
    <definedName name="IQ_RESTRICTED_CASH_NON_CURRENT" hidden="1">"c6192"</definedName>
    <definedName name="IQ_RESTRICTED_CASH_TOTAL" hidden="1">"c6193"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 hidden="1">"c6264"</definedName>
    <definedName name="IQ_RESTRUCTURE_REIT" hidden="1">"c1110"</definedName>
    <definedName name="IQ_RESTRUCTURE_SUPPLE" hidden="1">"c13809"</definedName>
    <definedName name="IQ_RESTRUCTURE_UTI" hidden="1">"c1111"</definedName>
    <definedName name="IQ_RESTRUCTURED_LOANS" hidden="1">"c1112"</definedName>
    <definedName name="IQ_RESTRUCTURED_LOANS_1_4_RESIDENTIAL_FDIC" hidden="1">"c6378"</definedName>
    <definedName name="IQ_RESTRUCTURED_LOANS_LEASES_FDIC" hidden="1">"c6377"</definedName>
    <definedName name="IQ_RESTRUCTURED_LOANS_NON_1_4_FDIC" hidden="1">"c6379"</definedName>
    <definedName name="IQ_RETAIL_ACQUIRED_AFFILIATED_OTHER_STORES" hidden="1">"c9892"</definedName>
    <definedName name="IQ_RETAIL_ACQUIRED_FRANCHISE_STORES" hidden="1">"c2895"</definedName>
    <definedName name="IQ_RETAIL_ACQUIRED_OWNED_STORES" hidden="1">"c2903"</definedName>
    <definedName name="IQ_RETAIL_ACQUIRED_STORES" hidden="1">"c2887"</definedName>
    <definedName name="IQ_RETAIL_AFFILIATED_OTHER_STORES_BEG" hidden="1">"c9890"</definedName>
    <definedName name="IQ_RETAIL_AVG_SQ_METERS_GROSS" hidden="1">"c9908"</definedName>
    <definedName name="IQ_RETAIL_AVG_SQ_METERS_NET" hidden="1">"c9907"</definedName>
    <definedName name="IQ_RETAIL_AVG_STORE_SIZE_GROSS" hidden="1">"c2066"</definedName>
    <definedName name="IQ_RETAIL_AVG_STORE_SIZE_NET" hidden="1">"c2067"</definedName>
    <definedName name="IQ_RETAIL_AVG_VALUE_TRANSACTION" hidden="1">"c9915"</definedName>
    <definedName name="IQ_RETAIL_AVG_VALUE_TRANSACTION_GROWTH" hidden="1">"c9916"</definedName>
    <definedName name="IQ_RETAIL_AVG_WK_SALES" hidden="1">"c2891"</definedName>
    <definedName name="IQ_RETAIL_AVG_WK_SALES_FRANCHISE" hidden="1">"c2899"</definedName>
    <definedName name="IQ_RETAIL_AVG_WK_SALES_OWNED" hidden="1">"c2907"</definedName>
    <definedName name="IQ_RETAIL_CLOSED_AFFILIATED_OTHER_STORES" hidden="1">"c9893"</definedName>
    <definedName name="IQ_RETAIL_CLOSED_FRANCHISE_STORES" hidden="1">"c2896"</definedName>
    <definedName name="IQ_RETAIL_CLOSED_OWNED_STORES" hidden="1">"c2904"</definedName>
    <definedName name="IQ_RETAIL_CLOSED_STORES" hidden="1">"c2063"</definedName>
    <definedName name="IQ_RETAIL_DEPOSITS_FDIC" hidden="1">"c6488"</definedName>
    <definedName name="IQ_RETAIL_FRANCHISE_STORES_BEG" hidden="1">"c2893"</definedName>
    <definedName name="IQ_RETAIL_GROSS_MARGIN" hidden="1">"c9899"</definedName>
    <definedName name="IQ_RETAIL_IS_RATIO" hidden="1">"c7002"</definedName>
    <definedName name="IQ_RETAIL_IS_RATIO_FC" hidden="1">"c7882"</definedName>
    <definedName name="IQ_RETAIL_IS_RATIO_POP" hidden="1">"c7222"</definedName>
    <definedName name="IQ_RETAIL_IS_RATIO_POP_FC" hidden="1">"c8102"</definedName>
    <definedName name="IQ_RETAIL_IS_RATIO_YOY" hidden="1">"c7442"</definedName>
    <definedName name="IQ_RETAIL_IS_RATIO_YOY_FC" hidden="1">"c8322"</definedName>
    <definedName name="IQ_RETAIL_MERCHANDISE_MARGIN" hidden="1">"c9901"</definedName>
    <definedName name="IQ_RETAIL_OPENED_AFFILIATED_OTHER_STORES" hidden="1">"c9891"</definedName>
    <definedName name="IQ_RETAIL_OPENED_FRANCHISE_STORES" hidden="1">"c2894"</definedName>
    <definedName name="IQ_RETAIL_OPENED_OWNED_STORES" hidden="1">"c2902"</definedName>
    <definedName name="IQ_RETAIL_OPENED_STORES" hidden="1">"c2062"</definedName>
    <definedName name="IQ_RETAIL_OPERATING_MARGIN" hidden="1">"c9900"</definedName>
    <definedName name="IQ_RETAIL_OWNED_STORES_BEG" hidden="1">"c2901"</definedName>
    <definedName name="IQ_RETAIL_SALES" hidden="1">"c7003"</definedName>
    <definedName name="IQ_RETAIL_SALES_APR" hidden="1">"c7663"</definedName>
    <definedName name="IQ_RETAIL_SALES_APR_FC" hidden="1">"c8543"</definedName>
    <definedName name="IQ_RETAIL_SALES_CATALOG" hidden="1">"c9903"</definedName>
    <definedName name="IQ_RETAIL_SALES_FC" hidden="1">"c7883"</definedName>
    <definedName name="IQ_RETAIL_SALES_FOOD" hidden="1">"c7004"</definedName>
    <definedName name="IQ_RETAIL_SALES_FOOD_APR" hidden="1">"c7664"</definedName>
    <definedName name="IQ_RETAIL_SALES_FOOD_APR_FC" hidden="1">"c8544"</definedName>
    <definedName name="IQ_RETAIL_SALES_FOOD_EXCL_VEHICLE" hidden="1">"c7005"</definedName>
    <definedName name="IQ_RETAIL_SALES_FOOD_EXCL_VEHICLE_APR" hidden="1">"c7665"</definedName>
    <definedName name="IQ_RETAIL_SALES_FOOD_EXCL_VEHICLE_APR_FC" hidden="1">"c8545"</definedName>
    <definedName name="IQ_RETAIL_SALES_FOOD_EXCL_VEHICLE_FC" hidden="1">"c7885"</definedName>
    <definedName name="IQ_RETAIL_SALES_FOOD_EXCL_VEHICLE_POP" hidden="1">"c7225"</definedName>
    <definedName name="IQ_RETAIL_SALES_FOOD_EXCL_VEHICLE_POP_FC" hidden="1">"c8105"</definedName>
    <definedName name="IQ_RETAIL_SALES_FOOD_EXCL_VEHICLE_YOY" hidden="1">"c7445"</definedName>
    <definedName name="IQ_RETAIL_SALES_FOOD_EXCL_VEHICLE_YOY_FC" hidden="1">"c8325"</definedName>
    <definedName name="IQ_RETAIL_SALES_FOOD_FC" hidden="1">"c7884"</definedName>
    <definedName name="IQ_RETAIL_SALES_FOOD_POP" hidden="1">"c7224"</definedName>
    <definedName name="IQ_RETAIL_SALES_FOOD_POP_FC" hidden="1">"c8104"</definedName>
    <definedName name="IQ_RETAIL_SALES_FOOD_YOY" hidden="1">"c7444"</definedName>
    <definedName name="IQ_RETAIL_SALES_FOOD_YOY_FC" hidden="1">"c8324"</definedName>
    <definedName name="IQ_RETAIL_SALES_ONLINE" hidden="1">"c9904"</definedName>
    <definedName name="IQ_RETAIL_SALES_POP" hidden="1">"c7223"</definedName>
    <definedName name="IQ_RETAIL_SALES_POP_FC" hidden="1">"c8103"</definedName>
    <definedName name="IQ_RETAIL_SALES_RETAIL" hidden="1">"c9902"</definedName>
    <definedName name="IQ_RETAIL_SALES_SAAR" hidden="1">"c7009"</definedName>
    <definedName name="IQ_RETAIL_SALES_SAAR_APR" hidden="1">"c7669"</definedName>
    <definedName name="IQ_RETAIL_SALES_SAAR_APR_FC" hidden="1">"c8549"</definedName>
    <definedName name="IQ_RETAIL_SALES_SAAR_FC" hidden="1">"c7889"</definedName>
    <definedName name="IQ_RETAIL_SALES_SAAR_POP" hidden="1">"c7229"</definedName>
    <definedName name="IQ_RETAIL_SALES_SAAR_POP_FC" hidden="1">"c8109"</definedName>
    <definedName name="IQ_RETAIL_SALES_SAAR_YOY" hidden="1">"c7449"</definedName>
    <definedName name="IQ_RETAIL_SALES_SAAR_YOY_FC" hidden="1">"c8329"</definedName>
    <definedName name="IQ_RETAIL_SALES_SQ_METER_COMPARABLE_GROSS" hidden="1">"c9914"</definedName>
    <definedName name="IQ_RETAIL_SALES_SQ_METER_COMPARABLE_NET" hidden="1">"c9913"</definedName>
    <definedName name="IQ_RETAIL_SALES_SQ_METER_GROSS" hidden="1">"c9910"</definedName>
    <definedName name="IQ_RETAIL_SALES_SQ_METER_NET" hidden="1">"c9909"</definedName>
    <definedName name="IQ_RETAIL_SALES_SQ_METER_OWNED_GROSS" hidden="1">"c9912"</definedName>
    <definedName name="IQ_RETAIL_SALES_SQ_METER_OWNED_NET" hidden="1">"c9911"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ALES_VALUE_INDEX" hidden="1">"c7006"</definedName>
    <definedName name="IQ_RETAIL_SALES_VALUE_INDEX_APR" hidden="1">"c7666"</definedName>
    <definedName name="IQ_RETAIL_SALES_VALUE_INDEX_APR_FC" hidden="1">"c8546"</definedName>
    <definedName name="IQ_RETAIL_SALES_VALUE_INDEX_FC" hidden="1">"c7886"</definedName>
    <definedName name="IQ_RETAIL_SALES_VALUE_INDEX_POP" hidden="1">"c7226"</definedName>
    <definedName name="IQ_RETAIL_SALES_VALUE_INDEX_POP_FC" hidden="1">"c8106"</definedName>
    <definedName name="IQ_RETAIL_SALES_VALUE_INDEX_YOY" hidden="1">"c7446"</definedName>
    <definedName name="IQ_RETAIL_SALES_VALUE_INDEX_YOY_FC" hidden="1">"c8326"</definedName>
    <definedName name="IQ_RETAIL_SALES_VOL_INDEX" hidden="1">"c7007"</definedName>
    <definedName name="IQ_RETAIL_SALES_VOL_INDEX_APR" hidden="1">"c7667"</definedName>
    <definedName name="IQ_RETAIL_SALES_VOL_INDEX_APR_FC" hidden="1">"c8547"</definedName>
    <definedName name="IQ_RETAIL_SALES_VOL_INDEX_EXCL_MOTOR" hidden="1">"c7008"</definedName>
    <definedName name="IQ_RETAIL_SALES_VOL_INDEX_EXCL_MOTOR_APR" hidden="1">"c7668"</definedName>
    <definedName name="IQ_RETAIL_SALES_VOL_INDEX_EXCL_MOTOR_APR_FC" hidden="1">"c8548"</definedName>
    <definedName name="IQ_RETAIL_SALES_VOL_INDEX_EXCL_MOTOR_FC" hidden="1">"c7888"</definedName>
    <definedName name="IQ_RETAIL_SALES_VOL_INDEX_EXCL_MOTOR_POP" hidden="1">"c7228"</definedName>
    <definedName name="IQ_RETAIL_SALES_VOL_INDEX_EXCL_MOTOR_POP_FC" hidden="1">"c8108"</definedName>
    <definedName name="IQ_RETAIL_SALES_VOL_INDEX_EXCL_MOTOR_YOY" hidden="1">"c7448"</definedName>
    <definedName name="IQ_RETAIL_SALES_VOL_INDEX_EXCL_MOTOR_YOY_FC" hidden="1">"c8328"</definedName>
    <definedName name="IQ_RETAIL_SALES_VOL_INDEX_FC" hidden="1">"c7887"</definedName>
    <definedName name="IQ_RETAIL_SALES_VOL_INDEX_POP" hidden="1">"c7227"</definedName>
    <definedName name="IQ_RETAIL_SALES_VOL_INDEX_POP_FC" hidden="1">"c8107"</definedName>
    <definedName name="IQ_RETAIL_SALES_VOL_INDEX_YOY" hidden="1">"c7447"</definedName>
    <definedName name="IQ_RETAIL_SALES_VOL_INDEX_YOY_FC" hidden="1">"c8327"</definedName>
    <definedName name="IQ_RETAIL_SALES_YOY" hidden="1">"c7443"</definedName>
    <definedName name="IQ_RETAIL_SALES_YOY_FC" hidden="1">"c8323"</definedName>
    <definedName name="IQ_RETAIL_SAME_STORE_SALES" hidden="1">"c9898"</definedName>
    <definedName name="IQ_RETAIL_SAME_STORE_SALES_FRANCHISE" hidden="1">"c9896"</definedName>
    <definedName name="IQ_RETAIL_SAME_STORE_SALES_OWNED" hidden="1">"c9897"</definedName>
    <definedName name="IQ_RETAIL_SOLD_AFFILIATED_OTHER_STORES" hidden="1">"c9894"</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AFFILIATED_OTHER_STORES" hidden="1">"c9895"</definedName>
    <definedName name="IQ_RETAIL_TOTAL_FRANCHISE_STORES" hidden="1">"c2898"</definedName>
    <definedName name="IQ_RETAIL_TOTAL_OWNED_STORES" hidden="1">"c2906"</definedName>
    <definedName name="IQ_RETAIL_TOTAL_SQ_METERS_GROSS" hidden="1">"c9906"</definedName>
    <definedName name="IQ_RETAIL_TOTAL_SQ_METERS_NET" hidden="1">"c9905"</definedName>
    <definedName name="IQ_RETAIL_TOTAL_STORES" hidden="1">"c2061"</definedName>
    <definedName name="IQ_RETAINED_EARN" hidden="1">"c1420"</definedName>
    <definedName name="IQ_RETAINED_EARNINGS_AVERAGE_EQUITY_FDIC" hidden="1">"c6733"</definedName>
    <definedName name="IQ_RETAINED_EARNINGS_EQUITY_FFIEC" hidden="1">"c13348"</definedName>
    <definedName name="IQ_RETAINED_EARNINGS_FFIEC" hidden="1">"c12878"</definedName>
    <definedName name="IQ_RETURN_ASSETS" hidden="1">"c1113"</definedName>
    <definedName name="IQ_RETURN_ASSETS_BANK" hidden="1">"c1114"</definedName>
    <definedName name="IQ_RETURN_ASSETS_BROK" hidden="1">"c1115"</definedName>
    <definedName name="IQ_RETURN_ASSETS_FDIC" hidden="1">"c6730"</definedName>
    <definedName name="IQ_RETURN_ASSETS_FS" hidden="1">"c1116"</definedName>
    <definedName name="IQ_RETURN_CAPITAL" hidden="1">"c1117"</definedName>
    <definedName name="IQ_RETURN_COMMON_EQUITY" hidden="1">"c13838"</definedName>
    <definedName name="IQ_RETURN_EMBEDDED_VALUE" hidden="1">"c9974"</definedName>
    <definedName name="IQ_RETURN_EQUITY" hidden="1">"c1118"</definedName>
    <definedName name="IQ_RETURN_EQUITY_BANK" hidden="1">"c1119"</definedName>
    <definedName name="IQ_RETURN_EQUITY_BROK" hidden="1">"c1120"</definedName>
    <definedName name="IQ_RETURN_EQUITY_FDIC" hidden="1">"c6732"</definedName>
    <definedName name="IQ_RETURN_EQUITY_FS" hidden="1">"c1121"</definedName>
    <definedName name="IQ_RETURN_INVESTMENT" hidden="1">"c1421"</definedName>
    <definedName name="IQ_REV" hidden="1">"c1122"</definedName>
    <definedName name="IQ_REV_AP" hidden="1">"c8873"</definedName>
    <definedName name="IQ_REV_AP_ABS" hidden="1">"c8892"</definedName>
    <definedName name="IQ_REV_BEFORE_LL" hidden="1">"c1123"</definedName>
    <definedName name="IQ_REV_NAME_AP" hidden="1">"c8911"</definedName>
    <definedName name="IQ_REV_NAME_AP_ABS" hidden="1">"c8930"</definedName>
    <definedName name="IQ_REV_STDDEV_EST" hidden="1">"c1124"</definedName>
    <definedName name="IQ_REV_STDDEV_EST_CIQ" hidden="1">"c3621"</definedName>
    <definedName name="IQ_REV_UTI" hidden="1">"c1125"</definedName>
    <definedName name="IQ_REVALUATION_GAINS_DERIVATIVE_DOM_FFIEC" hidden="1">"c12828"</definedName>
    <definedName name="IQ_REVALUATION_GAINS_DERIVATIVE_FOREIGN_FFIEC" hidden="1">"c12829"</definedName>
    <definedName name="IQ_REVALUATION_GAINS_FDIC" hidden="1">"c6428"</definedName>
    <definedName name="IQ_REVALUATION_LOSSES_FDIC" hidden="1">"c6429"</definedName>
    <definedName name="IQ_REVENUE" hidden="1">"c1422"</definedName>
    <definedName name="IQ_REVENUE_ACT_OR_EST" hidden="1">"c2214"</definedName>
    <definedName name="IQ_REVENUE_ACT_OR_EST_CIQ" hidden="1">"c5059"</definedName>
    <definedName name="IQ_REVENUE_BEFORE_LL_FFIEC" hidden="1">"c13018"</definedName>
    <definedName name="IQ_REVENUE_EST" hidden="1">"c1126"</definedName>
    <definedName name="IQ_REVENUE_EST_BOTTOM_UP_CIQ" hidden="1">"c12025"</definedName>
    <definedName name="IQ_REVENUE_EST_CIQ" hidden="1">"c3616"</definedName>
    <definedName name="IQ_REVENUE_HIGH_EST" hidden="1">"c1127"</definedName>
    <definedName name="IQ_REVENUE_HIGH_EST_CIQ" hidden="1">"c3618"</definedName>
    <definedName name="IQ_REVENUE_LOW_EST" hidden="1">"c1128"</definedName>
    <definedName name="IQ_REVENUE_LOW_EST_CIQ" hidden="1">"c3619"</definedName>
    <definedName name="IQ_REVENUE_MEDIAN_EST" hidden="1">"c1662"</definedName>
    <definedName name="IQ_REVENUE_MEDIAN_EST_CIQ" hidden="1">"c3617"</definedName>
    <definedName name="IQ_REVENUE_NUM_EST" hidden="1">"c1129"</definedName>
    <definedName name="IQ_REVENUE_NUM_EST_CIQ" hidden="1">"c3620"</definedName>
    <definedName name="IQ_REVISION_DATE_" hidden="1">39993.5884953704</definedName>
    <definedName name="IQ_REVOLV_OPEN_SECURED_1_4_LL_REC_DOM_FFIEC" hidden="1">"c12902"</definedName>
    <definedName name="IQ_REVOLVING_HOME_EQUITY_LINES_UNUSED_FFIEC" hidden="1">"c13241"</definedName>
    <definedName name="IQ_REVOLVING_LOANS_GROSS_LOANS_FFIEC" hidden="1">"c13398"</definedName>
    <definedName name="IQ_REVOLVING_LOANS_RISK_BASED_FFIEC" hidden="1">"c13419"</definedName>
    <definedName name="IQ_REVOLVING_LOANS_SEC_1_4_DOM_CHARGE_OFFS_FFIEC" hidden="1">"c13168"</definedName>
    <definedName name="IQ_REVOLVING_LOANS_SEC_1_4_DOM_RECOV_FFIEC" hidden="1">"c13190"</definedName>
    <definedName name="IQ_REVOLVING_OPEN_END_1_4_TRADING_DOM_FFIEC" hidden="1">"c12927"</definedName>
    <definedName name="IQ_REVOLVING_SECURED_1_4_DUE_30_89_FFIEC" hidden="1">"c13260"</definedName>
    <definedName name="IQ_REVOLVING_SECURED_1_4_DUE_90_FFIEC" hidden="1">"c13288"</definedName>
    <definedName name="IQ_RISK_ADJ_BANK_ASSETS" hidden="1">"c2670"</definedName>
    <definedName name="IQ_RISK_WEIGHTED_ASSETS_FDIC" hidden="1">"c6370"</definedName>
    <definedName name="IQ_RSI" hidden="1">"c12704"</definedName>
    <definedName name="IQ_RSI_ADJ" hidden="1">"c12705"</definedName>
    <definedName name="IQ_SALARIED_WORKFORCE" hidden="1">"c7010"</definedName>
    <definedName name="IQ_SALARIED_WORKFORCE_APR" hidden="1">"c7670"</definedName>
    <definedName name="IQ_SALARIED_WORKFORCE_APR_FC" hidden="1">"c8550"</definedName>
    <definedName name="IQ_SALARIED_WORKFORCE_FC" hidden="1">"c7890"</definedName>
    <definedName name="IQ_SALARIED_WORKFORCE_POP" hidden="1">"c7230"</definedName>
    <definedName name="IQ_SALARIED_WORKFORCE_POP_FC" hidden="1">"c8110"</definedName>
    <definedName name="IQ_SALARIED_WORKFORCE_YOY" hidden="1">"c7450"</definedName>
    <definedName name="IQ_SALARIED_WORKFORCE_YOY_FC" hidden="1">"c8330"</definedName>
    <definedName name="IQ_SALARIES_EMPLOYEE_BENEFITS_FFIEC" hidden="1">"c13023"</definedName>
    <definedName name="IQ_SALARY" hidden="1">"c1130"</definedName>
    <definedName name="IQ_SALARY_FDIC" hidden="1">"c6576"</definedName>
    <definedName name="IQ_SALE_COMMON_GROSS_FFIEC" hidden="1">"c12963"</definedName>
    <definedName name="IQ_SALE_CONVERSION_RETIREMENT_STOCK_FDIC" hidden="1">"c6661"</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 hidden="1">"c6284"</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PREF_FFIEC" hidden="1">"c12961"</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_TREASURY_FFIEC" hidden="1">"c12965"</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AVINGS_RATE_DISP_INC_PCT" hidden="1">"c7011"</definedName>
    <definedName name="IQ_SAVINGS_RATE_DISP_INC_PCT_FC" hidden="1">"c7891"</definedName>
    <definedName name="IQ_SAVINGS_RATE_DISP_INC_PCT_POP" hidden="1">"c7231"</definedName>
    <definedName name="IQ_SAVINGS_RATE_DISP_INC_PCT_POP_FC" hidden="1">"c8111"</definedName>
    <definedName name="IQ_SAVINGS_RATE_DISP_INC_PCT_YOY" hidden="1">"c7451"</definedName>
    <definedName name="IQ_SAVINGS_RATE_DISP_INC_PCT_YOY_FC" hidden="1">"c8331"</definedName>
    <definedName name="IQ_SAVINGS_RATE_GDP_PCT" hidden="1">"c7012"</definedName>
    <definedName name="IQ_SAVINGS_RATE_GDP_PCT_FC" hidden="1">"c7892"</definedName>
    <definedName name="IQ_SAVINGS_RATE_GDP_PCT_POP" hidden="1">"c7232"</definedName>
    <definedName name="IQ_SAVINGS_RATE_GDP_PCT_POP_FC" hidden="1">"c8112"</definedName>
    <definedName name="IQ_SAVINGS_RATE_GDP_PCT_YOY" hidden="1">"c7452"</definedName>
    <definedName name="IQ_SAVINGS_RATE_GDP_PCT_YOY_FC" hidden="1">"c8332"</definedName>
    <definedName name="IQ_SAVINGS_RATE_PERSONAL_INC_PCT" hidden="1">"c7013"</definedName>
    <definedName name="IQ_SAVINGS_RATE_PERSONAL_INC_PCT_FC" hidden="1">"c7893"</definedName>
    <definedName name="IQ_SAVINGS_RATE_PERSONAL_INC_PCT_POP" hidden="1">"c7233"</definedName>
    <definedName name="IQ_SAVINGS_RATE_PERSONAL_INC_PCT_POP_FC" hidden="1">"c8113"</definedName>
    <definedName name="IQ_SAVINGS_RATE_PERSONAL_INC_PCT_YOY" hidden="1">"c7453"</definedName>
    <definedName name="IQ_SAVINGS_RATE_PERSONAL_INC_PCT_YOY_FC" hidden="1">"c8333"</definedName>
    <definedName name="IQ_SBC_EXPENSE_FFIEC" hidden="1">"c13077"</definedName>
    <definedName name="IQ_SEC_1_4_CONSTRUCTION_DOM_CHARGE_OFFS_FFIEC" hidden="1">"c13165"</definedName>
    <definedName name="IQ_SEC_1_4_CONSTRUCTION_DOM_RECOV_FFIEC" hidden="1">"c13187"</definedName>
    <definedName name="IQ_SEC_BORROWED_OFF_BS_FFIEC" hidden="1">"c13127"</definedName>
    <definedName name="IQ_SEC_FARMLAND_DOM_CHARGE_OFFS_FFIEC" hidden="1">"c13167"</definedName>
    <definedName name="IQ_SEC_FARMLAND_DOM_RECOV_FFIEC" hidden="1">"c13189"</definedName>
    <definedName name="IQ_SEC_FUNDS_PURCHASED_ASSETS_TOT_FFIEC" hidden="1">"c13447"</definedName>
    <definedName name="IQ_SEC_ISSUED_US_AVAIL_SALE_FFIEC" hidden="1">"c12795"</definedName>
    <definedName name="IQ_SEC_ISSUED_US_TRADING_DOM_FFIEC" hidden="1">"c12920"</definedName>
    <definedName name="IQ_SEC_ISSUED_US_TRADING_FFIEC" hidden="1">"c12815"</definedName>
    <definedName name="IQ_SEC_MULTIFAM_DOM_CHARGE_OFFS_FFIEC" hidden="1">"c13171"</definedName>
    <definedName name="IQ_SEC_MULTIFAM_DOM_DUE_30_89_FFIEC" hidden="1">"c13263"</definedName>
    <definedName name="IQ_SEC_MULTIFAM_DOM_DUE_90_FFIEC" hidden="1">"c13291"</definedName>
    <definedName name="IQ_SEC_MULTIFAM_DOM_NON_ACCRUAL_FFIEC" hidden="1">"c13317"</definedName>
    <definedName name="IQ_SEC_MULTIFAM_DOM_RECOV_FFIEC" hidden="1">"c13193"</definedName>
    <definedName name="IQ_SEC_NONFARM_NONRES_CHARGE_OFFS_FFIEC" hidden="1">"c13629"</definedName>
    <definedName name="IQ_SEC_NONFARM_NONRES_DOM_OFFICES_DUE_30_89_FFIEC" hidden="1">"c13264"</definedName>
    <definedName name="IQ_SEC_NONFARM_NONRES_DOM_OFFICES_DUE_90_FFIEC" hidden="1">"c13292"</definedName>
    <definedName name="IQ_SEC_NONFARM_NONRES_DOM_OFFICES_NON_ACCRUAL_FFIEC" hidden="1">"c13318"</definedName>
    <definedName name="IQ_SEC_NONFARM_NONRES_RECOV_FFIEC" hidden="1">"c13633"</definedName>
    <definedName name="IQ_SEC_OTHER_CONSTRUCTION_DOM_CHARGE_OFFS_FFIEC" hidden="1">"c13166"</definedName>
    <definedName name="IQ_SEC_OTHER_CONSTRUCTION_DOM_RECOV_FFIEC" hidden="1">"c13188"</definedName>
    <definedName name="IQ_SEC_OTHER_NONFARM_NONRES_CHARGE_OFFS_FFIEC" hidden="1">"c13173"</definedName>
    <definedName name="IQ_SEC_OTHER_NONFARM_NONRES_DUE_30_89_FFIEC" hidden="1">"c13266"</definedName>
    <definedName name="IQ_SEC_OTHER_NONFARM_NONRES_DUE_90_FFIEC" hidden="1">"c13637"</definedName>
    <definedName name="IQ_SEC_OTHER_NONFARM_NONRES_RECOV_FFIEC" hidden="1">"c13195"</definedName>
    <definedName name="IQ_SEC_OWNER_NONFARM_NONRES_CHARGE_OFFS_FFIEC" hidden="1">"c13172"</definedName>
    <definedName name="IQ_SEC_OWNER_NONFARM_NONRES_DUE_30_89_FFIEC" hidden="1">"c13265"</definedName>
    <definedName name="IQ_SEC_OWNER_NONFARM_NONRES_DUE_90_FFIEC" hidden="1">"c13636"</definedName>
    <definedName name="IQ_SEC_OWNER_NONFARM_NONRES_RECOV_FFIEC" hidden="1">"c13194"</definedName>
    <definedName name="IQ_SEC_PURCHASED_RESELL" hidden="1">"c5513"</definedName>
    <definedName name="IQ_SEC_PURCHASED_RESELL_FFIEC" hidden="1">"c12807"</definedName>
    <definedName name="IQ_SEC_RE_FOREIGN_DUE_30_89_FFIEC" hidden="1">"c13267"</definedName>
    <definedName name="IQ_SEC_RE_FOREIGN_DUE_90_FFIEC" hidden="1">"c13293"</definedName>
    <definedName name="IQ_SEC_RE_FOREIGN_NON_ACCRUAL_FFIEC" hidden="1">"c13319"</definedName>
    <definedName name="IQ_SEC_SOLD_REPURCHASE_FFIEC" hidden="1">"c12857"</definedName>
    <definedName name="IQ_SECUR_RECEIV" hidden="1">"c1151"</definedName>
    <definedName name="IQ_SECURED_1_4_FAMILY_RESIDENTIAL_CHARGE_OFFS_FDIC" hidden="1">"c6590"</definedName>
    <definedName name="IQ_SECURED_1_4_FAMILY_RESIDENTIAL_NET_CHARGE_OFFS_FDIC" hidden="1">"c6628"</definedName>
    <definedName name="IQ_SECURED_1_4_FAMILY_RESIDENTIAL_RECOVERIES_FDIC" hidden="1">"c6609"</definedName>
    <definedName name="IQ_SECURED_DEBT" hidden="1">"c2546"</definedName>
    <definedName name="IQ_SECURED_DEBT_PCT" hidden="1">"c2547"</definedName>
    <definedName name="IQ_SECURED_FARMLAND_CHARGE_OFFS_FDIC" hidden="1">"c6593"</definedName>
    <definedName name="IQ_SECURED_FARMLAND_DOM_DUE_30_89_FFIEC" hidden="1">"c13259"</definedName>
    <definedName name="IQ_SECURED_FARMLAND_DOM_DUE_90_FFIEC" hidden="1">"c13287"</definedName>
    <definedName name="IQ_SECURED_FARMLAND_DOM_NON_ACCRUAL_FFIEC" hidden="1">"c13313"</definedName>
    <definedName name="IQ_SECURED_FARMLAND_LL_REC_DOM_FFIEC" hidden="1">"c12901"</definedName>
    <definedName name="IQ_SECURED_FARMLAND_NET_CHARGE_OFFS_FDIC" hidden="1">"c6631"</definedName>
    <definedName name="IQ_SECURED_FARMLAND_RECOVERIES_FDIC" hidden="1">"c6612"</definedName>
    <definedName name="IQ_SECURED_MULTI_RES_LL_REC_DOM_FFIEC" hidden="1">"c12905"</definedName>
    <definedName name="IQ_SECURED_MULTIFAMILY_RESIDENTIAL_CHARGE_OFFS_FDIC" hidden="1">"c6591"</definedName>
    <definedName name="IQ_SECURED_MULTIFAMILY_RESIDENTIAL_NET_CHARGE_OFFS_FDIC" hidden="1">"c6629"</definedName>
    <definedName name="IQ_SECURED_MULTIFAMILY_RESIDENTIAL_RECOVERIES_FDIC" hidden="1">"c6610"</definedName>
    <definedName name="IQ_SECURED_NONFARM_NONRESIDENTIAL_CHARGE_OFFS_FDIC" hidden="1">"c6592"</definedName>
    <definedName name="IQ_SECURED_NONFARM_NONRESIDENTIAL_NET_CHARGE_OFFS_FDIC" hidden="1">"c6630"</definedName>
    <definedName name="IQ_SECURED_NONFARM_NONRESIDENTIAL_RECOVERIES_FDIC" hidden="1">"c6611"</definedName>
    <definedName name="IQ_SECURITIES_GAINS_FDIC" hidden="1">"c6584"</definedName>
    <definedName name="IQ_SECURITIES_HELD_MATURITY_FFIEC" hidden="1">"c12777"</definedName>
    <definedName name="IQ_SECURITIES_ISSUED_STATES_FDIC" hidden="1">"c6300"</definedName>
    <definedName name="IQ_SECURITIES_ISSUED_US_FFIEC" hidden="1">"c12781"</definedName>
    <definedName name="IQ_SECURITIES_LENT_FDIC" hidden="1">"c6532"</definedName>
    <definedName name="IQ_SECURITIES_LENT_FFIEC" hidden="1">"c13255"</definedName>
    <definedName name="IQ_SECURITIES_QUARTERLY_AVG_FFIEC" hidden="1">"c13079"</definedName>
    <definedName name="IQ_SECURITIES_UNDERWRITING_FDIC" hidden="1">"c6529"</definedName>
    <definedName name="IQ_SECURITIES_UNDERWRITING_UNUSED_FFIEC" hidden="1">"c13247"</definedName>
    <definedName name="IQ_SECURITIZATION_INC_OPERATING_INC_FFIEC" hidden="1">"c13390"</definedName>
    <definedName name="IQ_SECURITIZATION_INCOME_FFIEC" hidden="1">"c13012"</definedName>
    <definedName name="IQ_SECURITY_BORROW" hidden="1">"c1152"</definedName>
    <definedName name="IQ_SECURITY_LEVEL" hidden="1">"c2159"</definedName>
    <definedName name="IQ_SECURITY_NOTES" hidden="1">"c2202"</definedName>
    <definedName name="IQ_SECURITY_OWN" hidden="1">"c1153"</definedName>
    <definedName name="IQ_SECURITY_RESELL" hidden="1">"c1154"</definedName>
    <definedName name="IQ_SECURITY_TYPE" hidden="1">"c2158"</definedName>
    <definedName name="IQ_SEDOL" hidden="1">"c12042"</definedName>
    <definedName name="IQ_SELECTED_FOREIGN_ASSETS_FFIEC" hidden="1">"c13485"</definedName>
    <definedName name="IQ_SEMI_BACKLOG" hidden="1">"c10005"</definedName>
    <definedName name="IQ_SEMI_BACKLOG_AVG_PRICE" hidden="1">"c10006"</definedName>
    <definedName name="IQ_SEMI_BACKLOG_VALUE" hidden="1">"c10007"</definedName>
    <definedName name="IQ_SEMI_BOOK_TO_BILL_RATIO" hidden="1">"c10008"</definedName>
    <definedName name="IQ_SEMI_ORDER_AVG_PRICE" hidden="1">"c10002"</definedName>
    <definedName name="IQ_SEMI_ORDER_VALUE" hidden="1">"c10003"</definedName>
    <definedName name="IQ_SEMI_ORDER_VALUE_CHANGE" hidden="1">"c10004"</definedName>
    <definedName name="IQ_SEMI_ORDERS" hidden="1">"c10001"</definedName>
    <definedName name="IQ_SEMI_WARRANTY_RES_ACQ" hidden="1">"c10011"</definedName>
    <definedName name="IQ_SEMI_WARRANTY_RES_BEG" hidden="1">"c10009"</definedName>
    <definedName name="IQ_SEMI_WARRANTY_RES_END" hidden="1">"c10014"</definedName>
    <definedName name="IQ_SEMI_WARRANTY_RES_ISS" hidden="1">"c10010"</definedName>
    <definedName name="IQ_SEMI_WARRANTY_RES_OTHER" hidden="1">"c10013"</definedName>
    <definedName name="IQ_SEMI_WARRANTY_RES_PAY" hidden="1">"c10012"</definedName>
    <definedName name="IQ_SEP_ACCOUNT_ASSETS_LH_FFIEC" hidden="1">"c13105"</definedName>
    <definedName name="IQ_SEPARATE_ACCOUNT_LIAB_LH_FFIEC" hidden="1">"c13108"</definedName>
    <definedName name="IQ_SEPARATE_ACCT_ASSETS" hidden="1">"c1155"</definedName>
    <definedName name="IQ_SEPARATE_ACCT_LIAB" hidden="1">"c1156"</definedName>
    <definedName name="IQ_SERV_CHARGE_DEPOSITS" hidden="1">"c1157"</definedName>
    <definedName name="IQ_SERVICE_CHARGES_DEPOSIT_ACCOUNTS_DOM_FFIEC" hidden="1">"c13003"</definedName>
    <definedName name="IQ_SERVICE_CHARGES_FDIC" hidden="1">"c6572"</definedName>
    <definedName name="IQ_SERVICE_CHARGES_OPERATING_INC_FFIEC" hidden="1">"c13384"</definedName>
    <definedName name="IQ_SERVICE_FEE" hidden="1">"c8951"</definedName>
    <definedName name="IQ_SERVICING_FEES_FFIEC" hidden="1">"c13011"</definedName>
    <definedName name="IQ_SERVICING_FEES_OPERATING_INC_FFIEC" hidden="1">"c13389"</definedName>
    <definedName name="IQ_SGA" hidden="1">"c1158"</definedName>
    <definedName name="IQ_SGA_BNK" hidden="1">"c1159"</definedName>
    <definedName name="IQ_SGA_INS" hidden="1">"c1160"</definedName>
    <definedName name="IQ_SGA_MARGIN" hidden="1">"c1898"</definedName>
    <definedName name="IQ_SGA_RE" hidden="1">"c6265"</definedName>
    <definedName name="IQ_SGA_REIT" hidden="1">"c1161"</definedName>
    <definedName name="IQ_SGA_SUPPL" hidden="1">"c1162"</definedName>
    <definedName name="IQ_SGA_UTI" hidden="1">"c1163"</definedName>
    <definedName name="IQ_SHARES_PER_DR" hidden="1">"c204"</definedName>
    <definedName name="IQ_SHARES_PURCHASED_AVERAGE_PRICE" hidden="1">"c5821"</definedName>
    <definedName name="IQ_SHARES_PURCHASED_QUARTER" hidden="1">"c5820"</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POSITIONS_FFIEC" hidden="1">"c12859"</definedName>
    <definedName name="IQ_SHORT_TERM_INVEST" hidden="1">"c1425"</definedName>
    <definedName name="IQ_SMALL_INT_BEAR_CD" hidden="1">"c11748"</definedName>
    <definedName name="IQ_SOC_SEC_RECEIPTS_SAAR_USD_APR_FC" hidden="1">"c12005"</definedName>
    <definedName name="IQ_SOC_SEC_RECEIPTS_SAAR_USD_FC" hidden="1">"c12002"</definedName>
    <definedName name="IQ_SOC_SEC_RECEIPTS_SAAR_USD_POP_FC" hidden="1">"c12003"</definedName>
    <definedName name="IQ_SOC_SEC_RECEIPTS_SAAR_USD_YOY_FC" hidden="1">"c12004"</definedName>
    <definedName name="IQ_SOC_SEC_RECEIPTS_USD_APR_FC" hidden="1">"c12001"</definedName>
    <definedName name="IQ_SOC_SEC_RECEIPTS_USD_FC" hidden="1">"c11998"</definedName>
    <definedName name="IQ_SOC_SEC_RECEIPTS_USD_POP_FC" hidden="1">"c11999"</definedName>
    <definedName name="IQ_SOC_SEC_RECEIPTS_USD_YOY_FC" hidden="1">"c12000"</definedName>
    <definedName name="IQ_SOCIAL_SEC_RECEIPTS" hidden="1">"c7015"</definedName>
    <definedName name="IQ_SOCIAL_SEC_RECEIPTS_APR" hidden="1">"c7675"</definedName>
    <definedName name="IQ_SOCIAL_SEC_RECEIPTS_APR_FC" hidden="1">"c8555"</definedName>
    <definedName name="IQ_SOCIAL_SEC_RECEIPTS_FC" hidden="1">"c7895"</definedName>
    <definedName name="IQ_SOCIAL_SEC_RECEIPTS_POP" hidden="1">"c7235"</definedName>
    <definedName name="IQ_SOCIAL_SEC_RECEIPTS_POP_FC" hidden="1">"c8115"</definedName>
    <definedName name="IQ_SOCIAL_SEC_RECEIPTS_SAAR" hidden="1">"c7016"</definedName>
    <definedName name="IQ_SOCIAL_SEC_RECEIPTS_SAAR_APR" hidden="1">"c7676"</definedName>
    <definedName name="IQ_SOCIAL_SEC_RECEIPTS_SAAR_APR_FC" hidden="1">"c8556"</definedName>
    <definedName name="IQ_SOCIAL_SEC_RECEIPTS_SAAR_FC" hidden="1">"c7896"</definedName>
    <definedName name="IQ_SOCIAL_SEC_RECEIPTS_SAAR_POP" hidden="1">"c7236"</definedName>
    <definedName name="IQ_SOCIAL_SEC_RECEIPTS_SAAR_POP_FC" hidden="1">"c8116"</definedName>
    <definedName name="IQ_SOCIAL_SEC_RECEIPTS_SAAR_YOY" hidden="1">"c7456"</definedName>
    <definedName name="IQ_SOCIAL_SEC_RECEIPTS_SAAR_YOY_FC" hidden="1">"c8336"</definedName>
    <definedName name="IQ_SOCIAL_SEC_RECEIPTS_YOY" hidden="1">"c7455"</definedName>
    <definedName name="IQ_SOCIAL_SEC_RECEIPTS_YOY_FC" hidden="1">"c8335"</definedName>
    <definedName name="IQ_SOFTWARE" hidden="1">"c1167"</definedName>
    <definedName name="IQ_SOURCE" hidden="1">"c1168"</definedName>
    <definedName name="IQ_SP_BANK" hidden="1">"c2637"</definedName>
    <definedName name="IQ_SP_BANK_ACTION" hidden="1">"c2636"</definedName>
    <definedName name="IQ_SP_BANK_DATE" hidden="1">"c2635"</definedName>
    <definedName name="IQ_SP_FIN_ENHANCE_FX" hidden="1">"c2631"</definedName>
    <definedName name="IQ_SP_FIN_ENHANCE_FX_ACTION" hidden="1">"c2630"</definedName>
    <definedName name="IQ_SP_FIN_ENHANCE_FX_DATE" hidden="1">"c2629"</definedName>
    <definedName name="IQ_SP_FIN_ENHANCE_LC" hidden="1">"c2634"</definedName>
    <definedName name="IQ_SP_FIN_ENHANCE_LC_ACTION" hidden="1">"c2633"</definedName>
    <definedName name="IQ_SP_FIN_ENHANCE_LC_DATE" hidden="1">"c2632"</definedName>
    <definedName name="IQ_SP_FIN_STRENGTH_LC_ACTION_LT" hidden="1">"c2625"</definedName>
    <definedName name="IQ_SP_FIN_STRENGTH_LC_ACTION_ST" hidden="1">"c2626"</definedName>
    <definedName name="IQ_SP_FIN_STRENGTH_LC_DATE_LT" hidden="1">"c2623"</definedName>
    <definedName name="IQ_SP_FIN_STRENGTH_LC_DATE_ST" hidden="1">"c2624"</definedName>
    <definedName name="IQ_SP_FIN_STRENGTH_LC_LT" hidden="1">"c2627"</definedName>
    <definedName name="IQ_SP_FIN_STRENGTH_LC_ST" hidden="1">"c2628"</definedName>
    <definedName name="IQ_SP_FX_ACTION_LT" hidden="1">"c2613"</definedName>
    <definedName name="IQ_SP_FX_ACTION_ST" hidden="1">"c2614"</definedName>
    <definedName name="IQ_SP_FX_DATE_LT" hidden="1">"c2611"</definedName>
    <definedName name="IQ_SP_FX_DATE_ST" hidden="1">"c2612"</definedName>
    <definedName name="IQ_SP_FX_LT" hidden="1">"c2615"</definedName>
    <definedName name="IQ_SP_FX_ST" hidden="1">"c2616"</definedName>
    <definedName name="IQ_SP_ISSUE_ACTION" hidden="1">"c2644"</definedName>
    <definedName name="IQ_SP_ISSUE_DATE" hidden="1">"c2643"</definedName>
    <definedName name="IQ_SP_ISSUE_LT" hidden="1">"c2645"</definedName>
    <definedName name="IQ_SP_ISSUE_NSR_ACTION_LT" hidden="1">"c13616"</definedName>
    <definedName name="IQ_SP_ISSUE_NSR_ACTION_ST" hidden="1">"c13622"</definedName>
    <definedName name="IQ_SP_ISSUE_NSR_DATE_LT" hidden="1">"c13615"</definedName>
    <definedName name="IQ_SP_ISSUE_NSR_DATE_ST" hidden="1">"c13621"</definedName>
    <definedName name="IQ_SP_ISSUE_NSR_LT" hidden="1">"c13614"</definedName>
    <definedName name="IQ_SP_ISSUE_NSR_ST" hidden="1">"c13620"</definedName>
    <definedName name="IQ_SP_ISSUE_OUTLOOK_WATCH" hidden="1">"c2650"</definedName>
    <definedName name="IQ_SP_ISSUE_OUTLOOK_WATCH_DATE" hidden="1">"c2649"</definedName>
    <definedName name="IQ_SP_ISSUE_RECOVER" hidden="1">"c2648"</definedName>
    <definedName name="IQ_SP_ISSUE_RECOVER_ACTION" hidden="1">"c2647"</definedName>
    <definedName name="IQ_SP_ISSUE_RECOVER_DATE" hidden="1">"c2646"</definedName>
    <definedName name="IQ_SP_LC_ACTION_LT" hidden="1">"c2619"</definedName>
    <definedName name="IQ_SP_LC_ACTION_ST" hidden="1">"c2620"</definedName>
    <definedName name="IQ_SP_LC_DATE_LT" hidden="1">"c2617"</definedName>
    <definedName name="IQ_SP_LC_DATE_ST" hidden="1">"c2618"</definedName>
    <definedName name="IQ_SP_LC_LT" hidden="1">"c2621"</definedName>
    <definedName name="IQ_SP_LC_ST" hidden="1">"c2622"</definedName>
    <definedName name="IQ_SP_NSR_ACTION_LT" hidden="1">"c13613"</definedName>
    <definedName name="IQ_SP_NSR_ACTION_ST" hidden="1">"c13619"</definedName>
    <definedName name="IQ_SP_NSR_DATE_LT" hidden="1">"c13612"</definedName>
    <definedName name="IQ_SP_NSR_DATE_ST" hidden="1">"c13618"</definedName>
    <definedName name="IQ_SP_NSR_LT" hidden="1">"c13611"</definedName>
    <definedName name="IQ_SP_NSR_ST" hidden="1">"c13617"</definedName>
    <definedName name="IQ_SP_OUTLOOK_WATCH" hidden="1">"c2639"</definedName>
    <definedName name="IQ_SP_OUTLOOK_WATCH_DATE" hidden="1">"c2638"</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 hidden="1">"c6266"</definedName>
    <definedName name="IQ_SPECIAL_DIV_CF_REIT" hidden="1">"c1174"</definedName>
    <definedName name="IQ_SPECIAL_DIV_CF_UTI" hidden="1">"c1175"</definedName>
    <definedName name="IQ_SPECIAL_DIV_SHARE" hidden="1">"c3007"</definedName>
    <definedName name="IQ_SQ_FT_LEASED_GROSS_CONSOL" hidden="1">"c8820"</definedName>
    <definedName name="IQ_SQ_FT_LEASED_GROSS_MANAGED" hidden="1">"c8822"</definedName>
    <definedName name="IQ_SQ_FT_LEASED_GROSS_OTHER" hidden="1">"c8823"</definedName>
    <definedName name="IQ_SQ_FT_LEASED_GROSS_TOTAL" hidden="1">"c8824"</definedName>
    <definedName name="IQ_SQ_FT_LEASED_GROSS_UNCONSOL" hidden="1">"c8821"</definedName>
    <definedName name="IQ_SQ_FT_LEASED_NET_CONSOL" hidden="1">"c8825"</definedName>
    <definedName name="IQ_SQ_FT_LEASED_NET_MANAGED" hidden="1">"c8827"</definedName>
    <definedName name="IQ_SQ_FT_LEASED_NET_OTHER" hidden="1">"c8828"</definedName>
    <definedName name="IQ_SQ_FT_LEASED_NET_TOTAL" hidden="1">"c8829"</definedName>
    <definedName name="IQ_SQ_FT_LEASED_NET_UNCONSOL" hidden="1">"c8826"</definedName>
    <definedName name="IQ_SQ_METER_LEASED_GROSS_CONSOL" hidden="1">"c8830"</definedName>
    <definedName name="IQ_SQ_METER_LEASED_GROSS_MANAGED" hidden="1">"c8832"</definedName>
    <definedName name="IQ_SQ_METER_LEASED_GROSS_OTHER" hidden="1">"c8833"</definedName>
    <definedName name="IQ_SQ_METER_LEASED_GROSS_TOTAL" hidden="1">"c8834"</definedName>
    <definedName name="IQ_SQ_METER_LEASED_GROSS_UNCONSOL" hidden="1">"c8831"</definedName>
    <definedName name="IQ_SQ_METER_LEASED_NET_CONSOL" hidden="1">"c8835"</definedName>
    <definedName name="IQ_SQ_METER_LEASED_NET_MANAGED" hidden="1">"c8837"</definedName>
    <definedName name="IQ_SQ_METER_LEASED_NET_OTHER" hidden="1">"c8838"</definedName>
    <definedName name="IQ_SQ_METER_LEASED_NET_TOTAL" hidden="1">"c8839"</definedName>
    <definedName name="IQ_SQ_METER_LEASED_NET_UNCONSOL" hidden="1">"c8836"</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 hidden="1">"c6267"</definedName>
    <definedName name="IQ_ST_DEBT_ISSUED_REIT" hidden="1">"c1186"</definedName>
    <definedName name="IQ_ST_DEBT_ISSUED_UTI" hidden="1">"c1187"</definedName>
    <definedName name="IQ_ST_DEBT_PCT" hidden="1">"c2539"</definedName>
    <definedName name="IQ_ST_DEBT_RE" hidden="1">"c6268"</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 hidden="1">"c6269"</definedName>
    <definedName name="IQ_ST_DEBT_REPAID_REIT" hidden="1">"c1194"</definedName>
    <definedName name="IQ_ST_DEBT_REPAID_UTI" hidden="1">"c1195"</definedName>
    <definedName name="IQ_ST_DEBT_UTI" hidden="1">"c1196"</definedName>
    <definedName name="IQ_ST_FHLB_DEBT" hidden="1">"c5658"</definedName>
    <definedName name="IQ_ST_INVEST" hidden="1">"c1197"</definedName>
    <definedName name="IQ_ST_INVEST_ASSETS_TOT_FFIEC" hidden="1">"c13438"</definedName>
    <definedName name="IQ_ST_INVEST_ST_NONCORE_FUNDING_FFIEC" hidden="1">"c13338"</definedName>
    <definedName name="IQ_ST_INVEST_UTI" hidden="1">"c1198"</definedName>
    <definedName name="IQ_ST_NOTE_RECEIV" hidden="1">"c1199"</definedName>
    <definedName name="IQ_STATE" hidden="1">"c1200"</definedName>
    <definedName name="IQ_STATE_LOCAL_SPENDING_SAAR" hidden="1">"c7017"</definedName>
    <definedName name="IQ_STATE_LOCAL_SPENDING_SAAR_APR" hidden="1">"c7677"</definedName>
    <definedName name="IQ_STATE_LOCAL_SPENDING_SAAR_APR_FC" hidden="1">"c8557"</definedName>
    <definedName name="IQ_STATE_LOCAL_SPENDING_SAAR_FC" hidden="1">"c7897"</definedName>
    <definedName name="IQ_STATE_LOCAL_SPENDING_SAAR_POP" hidden="1">"c7237"</definedName>
    <definedName name="IQ_STATE_LOCAL_SPENDING_SAAR_POP_FC" hidden="1">"c8117"</definedName>
    <definedName name="IQ_STATE_LOCAL_SPENDING_SAAR_YOY" hidden="1">"c7457"</definedName>
    <definedName name="IQ_STATE_LOCAL_SPENDING_SAAR_YOY_FC" hidden="1">"c8337"</definedName>
    <definedName name="IQ_STATES_NONTRANSACTION_ACCOUNTS_FDIC" hidden="1">"c6547"</definedName>
    <definedName name="IQ_STATES_TOTAL_DEPOSITS_FDIC" hidden="1">"c6473"</definedName>
    <definedName name="IQ_STATES_TRANSACTION_ACCOUNTS_FDIC" hidden="1">"c6539"</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COMP" hidden="1">"c3512"</definedName>
    <definedName name="IQ_STOCK_BASED_COMP_PRETAX" hidden="1">"c3510"</definedName>
    <definedName name="IQ_STOCK_BASED_COMP_TAX" hidden="1">"c3511"</definedName>
    <definedName name="IQ_STOCK_BASED_EXPLORE_DRILL" hidden="1">"c13851"</definedName>
    <definedName name="IQ_STOCK_BASED_GA" hidden="1">"c2993"</definedName>
    <definedName name="IQ_STOCK_BASED_OTHER" hidden="1">"c2995"</definedName>
    <definedName name="IQ_STOCK_BASED_RD" hidden="1">"c2991"</definedName>
    <definedName name="IQ_STOCK_BASED_SGA" hidden="1">"c2994"</definedName>
    <definedName name="IQ_STOCK_BASED_SM" hidden="1">"c2992"</definedName>
    <definedName name="IQ_STOCK_BASED_TOTAL" hidden="1">"c3040"</definedName>
    <definedName name="IQ_STOCK_OPTIONS_COMP" hidden="1">"c3509"</definedName>
    <definedName name="IQ_STOCK_OPTIONS_COMP_PRETAX" hidden="1">"c3507"</definedName>
    <definedName name="IQ_STOCK_OPTIONS_COMP_TAX" hidden="1">"c3508"</definedName>
    <definedName name="IQ_STRATEGY_NOTE" hidden="1">"c6791"</definedName>
    <definedName name="IQ_STRIKE_PRICE_ISSUED" hidden="1">"c1645"</definedName>
    <definedName name="IQ_STRIKE_PRICE_OS" hidden="1">"c1646"</definedName>
    <definedName name="IQ_STRIPS_RECEIVABLE_MORTGAGE_LOANS_FFIEC" hidden="1">"c12844"</definedName>
    <definedName name="IQ_STRIPS_RECEIVABLE_OTHER_FFIEC" hidden="1">"c12845"</definedName>
    <definedName name="IQ_STRUCT_FIN_CLASS" hidden="1">"c8950"</definedName>
    <definedName name="IQ_STRUCT_FIN_SERIES" hidden="1">"c8956"</definedName>
    <definedName name="IQ_STRUCTURED_NOTES_INVEST_SECURITIES_FFIEC" hidden="1">"c13468"</definedName>
    <definedName name="IQ_STRUCTURING_NOTES_TIER_1_FFIEC" hidden="1">"c13344"</definedName>
    <definedName name="IQ_STW" hidden="1">"c2166"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FDIC" hidden="1">"c6346"</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UB_NOTES_DEBENTURES_FFIEC" hidden="1">"c12867"</definedName>
    <definedName name="IQ_SUB_NOTES_PAYABLE_UNCONSOLIDATED_TRUSTS_FFIEC" hidden="1">"c12868"</definedName>
    <definedName name="IQ_SUPPLIES_FFIEC" hidden="1">"c13050"</definedName>
    <definedName name="IQ_SURPLUS_FDIC" hidden="1">"c6351"</definedName>
    <definedName name="IQ_SURPLUS_FFIEC" hidden="1">"c12877"</definedName>
    <definedName name="IQ_SVA" hidden="1">"c1214"</definedName>
    <definedName name="IQ_TANGIBLE_ASSETS_FFIEC" hidden="1">"c13916"</definedName>
    <definedName name="IQ_TANGIBLE_COMMON_EQUITY_FFIEC" hidden="1">"c13914"</definedName>
    <definedName name="IQ_TANGIBLE_EQUITY_ASSETS_FFIEC" hidden="1">"c13346"</definedName>
    <definedName name="IQ_TANGIBLE_EQUITY_FFIEC" hidden="1">"c13915"</definedName>
    <definedName name="IQ_TANGIBLE_TIER_1_LEVERAGE_FFIEC" hidden="1">"c13345"</definedName>
    <definedName name="IQ_TARGET_PRICE_NUM" hidden="1">"c1653"</definedName>
    <definedName name="IQ_TARGET_PRICE_NUM_CIQ" hidden="1">"c4661"</definedName>
    <definedName name="IQ_TARGET_PRICE_STDDEV" hidden="1">"c1654"</definedName>
    <definedName name="IQ_TARGET_PRICE_STDDEV_CIQ" hidden="1">"c4662"</definedName>
    <definedName name="IQ_TAX_BENEFIT_CF_1YR" hidden="1">"c3483"</definedName>
    <definedName name="IQ_TAX_BENEFIT_CF_2YR" hidden="1">"c3484"</definedName>
    <definedName name="IQ_TAX_BENEFIT_CF_3YR" hidden="1">"c3485"</definedName>
    <definedName name="IQ_TAX_BENEFIT_CF_4YR" hidden="1">"c3486"</definedName>
    <definedName name="IQ_TAX_BENEFIT_CF_5YR" hidden="1">"c3487"</definedName>
    <definedName name="IQ_TAX_BENEFIT_CF_AFTER_FIVE" hidden="1">"c3488"</definedName>
    <definedName name="IQ_TAX_BENEFIT_CF_MAX_YEAR" hidden="1">"c3491"</definedName>
    <definedName name="IQ_TAX_BENEFIT_CF_NO_EXP" hidden="1">"c3489"</definedName>
    <definedName name="IQ_TAX_BENEFIT_CF_TOTAL" hidden="1">"c3490"</definedName>
    <definedName name="IQ_TAX_BENEFIT_OPTIONS" hidden="1">"c1215"</definedName>
    <definedName name="IQ_TAX_EQUIV_NET_INT_INC" hidden="1">"c1216"</definedName>
    <definedName name="IQ_TAX_EQUIVALENT_ADJUSTMENTS_FFIEC" hidden="1">"c13854"</definedName>
    <definedName name="IQ_TAX_OTHER_EXP_AP" hidden="1">"c8878"</definedName>
    <definedName name="IQ_TAX_OTHER_EXP_AP_ABS" hidden="1">"c8897"</definedName>
    <definedName name="IQ_TAX_OTHER_EXP_NAME_AP" hidden="1">"c8916"</definedName>
    <definedName name="IQ_TAX_OTHER_EXP_NAME_AP_ABS" hidden="1">"c8935"</definedName>
    <definedName name="IQ_TAXES_ADJ_NOI_FFIEC" hidden="1">"c13395"</definedName>
    <definedName name="IQ_TAXES_NOI_FFIEC" hidden="1">"c13394"</definedName>
    <definedName name="IQ_TAXES_TE_AVG_ASSETS_FFIEC" hidden="1">"c13366"</definedName>
    <definedName name="IQ_TBV" hidden="1">"c1906"</definedName>
    <definedName name="IQ_TBV_10YR_ANN_CAGR" hidden="1">"c6169"</definedName>
    <definedName name="IQ_TBV_10YR_ANN_GROWTH" hidden="1">"c1936"</definedName>
    <definedName name="IQ_TBV_1YR_ANN_GROWTH" hidden="1">"c1931"</definedName>
    <definedName name="IQ_TBV_2YR_ANN_CAGR" hidden="1">"c6165"</definedName>
    <definedName name="IQ_TBV_2YR_ANN_GROWTH" hidden="1">"c1932"</definedName>
    <definedName name="IQ_TBV_3YR_ANN_CAGR" hidden="1">"c6166"</definedName>
    <definedName name="IQ_TBV_3YR_ANN_GROWTH" hidden="1">"c1933"</definedName>
    <definedName name="IQ_TBV_5YR_ANN_CAGR" hidden="1">"c6167"</definedName>
    <definedName name="IQ_TBV_5YR_ANN_GROWTH" hidden="1">"c1934"</definedName>
    <definedName name="IQ_TBV_7YR_ANN_CAGR" hidden="1">"c6168"</definedName>
    <definedName name="IQ_TBV_7YR_ANN_GROWTH" hidden="1">"c1935"</definedName>
    <definedName name="IQ_TBV_EXCL_FFIEC" hidden="1">"c13516"</definedName>
    <definedName name="IQ_TBV_SHARE" hidden="1">"c1217"</definedName>
    <definedName name="IQ_TELECOM_FFIEC" hidden="1">"c13057"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DA" hidden="1">"c1222"</definedName>
    <definedName name="IQ_TEV_EBITDA_AVG" hidden="1">"c1223"</definedName>
    <definedName name="IQ_TEV_EBITDA_FWD" hidden="1">"c1224"</definedName>
    <definedName name="IQ_TEV_EBITDA_FWD_CIQ" hidden="1">"c4043"</definedName>
    <definedName name="IQ_TEV_EMPLOYEE_AVG" hidden="1">"c1225"</definedName>
    <definedName name="IQ_TEV_TOTAL_REV" hidden="1">"c1226"</definedName>
    <definedName name="IQ_TEV_TOTAL_REV_AVG" hidden="1">"c1227"</definedName>
    <definedName name="IQ_TEV_TOTAL_REV_FWD" hidden="1">"c1228"</definedName>
    <definedName name="IQ_TEV_TOTAL_REV_FWD_CIQ" hidden="1">"c4044"</definedName>
    <definedName name="IQ_TEV_UFCF" hidden="1">"c2208"</definedName>
    <definedName name="IQ_THREE_MONTHS_FIXED_AND_FLOATING_FDIC" hidden="1">"c6419"</definedName>
    <definedName name="IQ_THREE_MONTHS_MORTGAGE_PASS_THROUGHS_FDIC" hidden="1">"c6411"</definedName>
    <definedName name="IQ_THREE_YEAR_FIXED_AND_FLOATING_RATE_FDIC" hidden="1">"c6421"</definedName>
    <definedName name="IQ_THREE_YEAR_MORTGAGE_PASS_THROUGHS_FDIC" hidden="1">"c6413"</definedName>
    <definedName name="IQ_THREE_YEARS_LESS_FDIC" hidden="1">"c6417"</definedName>
    <definedName name="IQ_TIER_1_CAPITAL_BEFORE_CHARGES_T1_FFIEC" hidden="1">"c13139"</definedName>
    <definedName name="IQ_TIER_1_CAPITAL_FFIEC" hidden="1">"c13143"</definedName>
    <definedName name="IQ_TIER_1_LEVERAGE_RATIO_FFIEC" hidden="1">"c13160"</definedName>
    <definedName name="IQ_TIER_1_RISK_BASED_CAPITAL_RATIO_FDIC" hidden="1">"c6746"</definedName>
    <definedName name="IQ_TIER_1_RISK_BASED_CAPITAL_RATIO_FFIEC" hidden="1">"c13161"</definedName>
    <definedName name="IQ_TIER_2_CAPITAL_FFIEC" hidden="1">"c13149"</definedName>
    <definedName name="IQ_TIER_3_CAPITAL_ALLOCATED_MARKET_RISK_FFIEC" hidden="1">"c13151"</definedName>
    <definedName name="IQ_TIER_ONE_CAPITAL" hidden="1">"c2667"</definedName>
    <definedName name="IQ_TIER_ONE_FDIC" hidden="1">"c6369"</definedName>
    <definedName name="IQ_TIER_ONE_RATIO" hidden="1">"c1229"</definedName>
    <definedName name="IQ_TIER_TWO_CAPITAL" hidden="1">"c2669"</definedName>
    <definedName name="IQ_TIME_DEP" hidden="1">"c1230"</definedName>
    <definedName name="IQ_TIME_DEPOSITS_LESS_100K_OTHER_INSTITUTIONS_FFIEC" hidden="1">"c12953"</definedName>
    <definedName name="IQ_TIME_DEPOSITS_LESS_100K_TOT_DEPOSITS_FFIEC" hidden="1">"c13907"</definedName>
    <definedName name="IQ_TIME_DEPOSITS_LESS_THAN_100K_FDIC" hidden="1">"c6465"</definedName>
    <definedName name="IQ_TIME_DEPOSITS_MORE_100K_OTHER_INSTITUTIONS_FFIEC" hidden="1">"c12954"</definedName>
    <definedName name="IQ_TIME_DEPOSITS_MORE_100K_TOT_DEPOSITS_FFIEC" hidden="1">"c13906"</definedName>
    <definedName name="IQ_TIME_DEPOSITS_MORE_THAN_100K_FDIC" hidden="1">"c6470"</definedName>
    <definedName name="IQ_TODAY" hidden="1">0</definedName>
    <definedName name="IQ_TOT_1_4_FAM_LOANS_TOT_LOANS_FFIEC" hidden="1">"c13868"</definedName>
    <definedName name="IQ_TOT_ADJ_INC" hidden="1">"c1616"</definedName>
    <definedName name="IQ_TOT_LEASES_TOT_LOANS_FFIEC" hidden="1">"c13876"</definedName>
    <definedName name="IQ_TOT_NON_RE_LOANS_TOT_LOANS_FFIEC" hidden="1">"c13877"</definedName>
    <definedName name="IQ_TOT_NONTRANS_ACCTS_TOT_DEPOSITS_FFIEC" hidden="1">"c13909"</definedName>
    <definedName name="IQ_TOT_RE_LOANS_TOT_LOANS_FFIEC" hidden="1">"c13873"</definedName>
    <definedName name="IQ_TOT_TIME_DEPOSITS_TOT_DEPOSITS_FFIEC" hidden="1">"c13908"</definedName>
    <definedName name="IQ_TOTAL_AR_BR" hidden="1">"c1231"</definedName>
    <definedName name="IQ_TOTAL_AR_RE" hidden="1">"c6270"</definedName>
    <definedName name="IQ_TOTAL_AR_REIT" hidden="1">"c1232"</definedName>
    <definedName name="IQ_TOTAL_AR_UTI" hidden="1">"c1233"</definedName>
    <definedName name="IQ_TOTAL_ASSETS" hidden="1">"c1234"</definedName>
    <definedName name="IQ_TOTAL_ASSETS_10YR_ANN_CAGR" hidden="1">"c6140"</definedName>
    <definedName name="IQ_TOTAL_ASSETS_10YR_ANN_GROWTH" hidden="1">"c1235"</definedName>
    <definedName name="IQ_TOTAL_ASSETS_1YR_ANN_GROWTH" hidden="1">"c1236"</definedName>
    <definedName name="IQ_TOTAL_ASSETS_2YR_ANN_CAGR" hidden="1">"c6141"</definedName>
    <definedName name="IQ_TOTAL_ASSETS_2YR_ANN_GROWTH" hidden="1">"c1237"</definedName>
    <definedName name="IQ_TOTAL_ASSETS_3YR_ANN_CAGR" hidden="1">"c6142"</definedName>
    <definedName name="IQ_TOTAL_ASSETS_3YR_ANN_GROWTH" hidden="1">"c1238"</definedName>
    <definedName name="IQ_TOTAL_ASSETS_5YR_ANN_CAGR" hidden="1">"c6143"</definedName>
    <definedName name="IQ_TOTAL_ASSETS_5YR_ANN_GROWTH" hidden="1">"c1239"</definedName>
    <definedName name="IQ_TOTAL_ASSETS_7YR_ANN_CAGR" hidden="1">"c6144"</definedName>
    <definedName name="IQ_TOTAL_ASSETS_7YR_ANN_GROWTH" hidden="1">"c1240"</definedName>
    <definedName name="IQ_TOTAL_ASSETS_BNK_SUBTOTAL_AP" hidden="1">"c13644"</definedName>
    <definedName name="IQ_TOTAL_ASSETS_FDIC" hidden="1">"c6339"</definedName>
    <definedName name="IQ_TOTAL_ASSETS_FFIEC" hidden="1">"c12849"</definedName>
    <definedName name="IQ_TOTAL_ASSETS_LH_FFIEC" hidden="1">"c13106"</definedName>
    <definedName name="IQ_TOTAL_ASSETS_PC_FFIEC" hidden="1">"c13099"</definedName>
    <definedName name="IQ_TOTAL_ASSETS_SUBTOTAL_AP" hidden="1">"c8985"</definedName>
    <definedName name="IQ_TOTAL_ATTRIB_ORE_RESOURCES_ALUM" hidden="1">"c9241"</definedName>
    <definedName name="IQ_TOTAL_ATTRIB_ORE_RESOURCES_COP" hidden="1">"c9185"</definedName>
    <definedName name="IQ_TOTAL_ATTRIB_ORE_RESOURCES_DIAM" hidden="1">"c9665"</definedName>
    <definedName name="IQ_TOTAL_ATTRIB_ORE_RESOURCES_GOLD" hidden="1">"c9026"</definedName>
    <definedName name="IQ_TOTAL_ATTRIB_ORE_RESOURCES_IRON" hidden="1">"c9400"</definedName>
    <definedName name="IQ_TOTAL_ATTRIB_ORE_RESOURCES_LEAD" hidden="1">"c9453"</definedName>
    <definedName name="IQ_TOTAL_ATTRIB_ORE_RESOURCES_MANG" hidden="1">"c9506"</definedName>
    <definedName name="IQ_TOTAL_ATTRIB_ORE_RESOURCES_MOLYB" hidden="1">"c9718"</definedName>
    <definedName name="IQ_TOTAL_ATTRIB_ORE_RESOURCES_NICK" hidden="1">"c9294"</definedName>
    <definedName name="IQ_TOTAL_ATTRIB_ORE_RESOURCES_PLAT" hidden="1">"c9132"</definedName>
    <definedName name="IQ_TOTAL_ATTRIB_ORE_RESOURCES_SILVER" hidden="1">"c9079"</definedName>
    <definedName name="IQ_TOTAL_ATTRIB_ORE_RESOURCES_TITAN" hidden="1">"c9559"</definedName>
    <definedName name="IQ_TOTAL_ATTRIB_ORE_RESOURCES_URAN" hidden="1">"c9612"</definedName>
    <definedName name="IQ_TOTAL_ATTRIB_ORE_RESOURCES_ZINC" hidden="1">"c9347"</definedName>
    <definedName name="IQ_TOTAL_AVG_CE_TOTAL_AVG_ASSETS" hidden="1">"c1241"</definedName>
    <definedName name="IQ_TOTAL_AVG_EQUITY_TOTAL_AVG_ASSETS" hidden="1">"c1242"</definedName>
    <definedName name="IQ_TOTAL_BANK_CAPITAL" hidden="1">"c2668"</definedName>
    <definedName name="IQ_TOTAL_BEDS" hidden="1">"c8785"</definedName>
    <definedName name="IQ_TOTAL_CA" hidden="1">"c1243"</definedName>
    <definedName name="IQ_TOTAL_CA_SUBTOTAL_AP" hidden="1">"c8986"</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ARGE_OFFS_FDIC" hidden="1">"c6603"</definedName>
    <definedName name="IQ_TOTAL_CHURN" hidden="1">"c2122"</definedName>
    <definedName name="IQ_TOTAL_CL" hidden="1">"c1245"</definedName>
    <definedName name="IQ_TOTAL_CL_SUBTOTAL_AP" hidden="1">"c8987"</definedName>
    <definedName name="IQ_TOTAL_COAL_PRODUCTION_COAL" hidden="1">"c9824"</definedName>
    <definedName name="IQ_TOTAL_COMMON" hidden="1">"c1411"</definedName>
    <definedName name="IQ_TOTAL_COMMON_EQUITY" hidden="1">"c1246"</definedName>
    <definedName name="IQ_TOTAL_COMMON_EQUITY_FFIEC" hidden="1">"c13913"</definedName>
    <definedName name="IQ_TOTAL_COMMON_EQUITY_TOTAL_ASSETS_FFIEC" hidden="1">"c13864"</definedName>
    <definedName name="IQ_TOTAL_COMMON_SHARES_OUT_FFIEC" hidden="1">"c12955"</definedName>
    <definedName name="IQ_TOTAL_CONSTRUCTION_LL_REC_DOM_FFIEC" hidden="1">"c13515"</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CURRENT" hidden="1">"c6190"</definedName>
    <definedName name="IQ_TOTAL_DEBT_EBITDA" hidden="1">"c1249"</definedName>
    <definedName name="IQ_TOTAL_DEBT_EBITDA_CAPEX" hidden="1">"c2948"</definedName>
    <definedName name="IQ_TOTAL_DEBT_EQUITY" hidden="1">"c1250"</definedName>
    <definedName name="IQ_TOTAL_DEBT_EXCL_FIN" hidden="1">"c2937"</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 hidden="1">"c6271"</definedName>
    <definedName name="IQ_TOTAL_DEBT_ISSUED_REIT" hidden="1">"c1255"</definedName>
    <definedName name="IQ_TOTAL_DEBT_ISSUED_UTI" hidden="1">"c1256"</definedName>
    <definedName name="IQ_TOTAL_DEBT_ISSUES_INS" hidden="1">"c1257"</definedName>
    <definedName name="IQ_TOTAL_DEBT_NON_CURRENT" hidden="1">"c6191"</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 hidden="1">"c6272"</definedName>
    <definedName name="IQ_TOTAL_DEBT_REPAID_REIT" hidden="1">"c1263"</definedName>
    <definedName name="IQ_TOTAL_DEBT_REPAID_UTI" hidden="1">"c1264"</definedName>
    <definedName name="IQ_TOTAL_DEBT_SECURITIES_FDIC" hidden="1">"c6410"</definedName>
    <definedName name="IQ_TOTAL_DEPOSITS" hidden="1">"c1265"</definedName>
    <definedName name="IQ_TOTAL_DEPOSITS_FDIC" hidden="1">"c6342"</definedName>
    <definedName name="IQ_TOTAL_DEPOSITS_FFIEC" hidden="1">"c13623"</definedName>
    <definedName name="IQ_TOTAL_DIV_PAID_CF" hidden="1">"c1266"</definedName>
    <definedName name="IQ_TOTAL_EMPLOYEE" hidden="1">"c2141"</definedName>
    <definedName name="IQ_TOTAL_EMPLOYEES" hidden="1">"c1522"</definedName>
    <definedName name="IQ_TOTAL_EMPLOYEES_FDIC" hidden="1">"c6355"</definedName>
    <definedName name="IQ_TOTAL_EQUITY" hidden="1">"c1267"</definedName>
    <definedName name="IQ_TOTAL_EQUITY_10YR_ANN_CAGR" hidden="1">"c6145"</definedName>
    <definedName name="IQ_TOTAL_EQUITY_10YR_ANN_GROWTH" hidden="1">"c1268"</definedName>
    <definedName name="IQ_TOTAL_EQUITY_1YR_ANN_GROWTH" hidden="1">"c1269"</definedName>
    <definedName name="IQ_TOTAL_EQUITY_2YR_ANN_CAGR" hidden="1">"c6146"</definedName>
    <definedName name="IQ_TOTAL_EQUITY_2YR_ANN_GROWTH" hidden="1">"c1270"</definedName>
    <definedName name="IQ_TOTAL_EQUITY_3YR_ANN_CAGR" hidden="1">"c6147"</definedName>
    <definedName name="IQ_TOTAL_EQUITY_3YR_ANN_GROWTH" hidden="1">"c1271"</definedName>
    <definedName name="IQ_TOTAL_EQUITY_5YR_ANN_CAGR" hidden="1">"c6148"</definedName>
    <definedName name="IQ_TOTAL_EQUITY_5YR_ANN_GROWTH" hidden="1">"c1272"</definedName>
    <definedName name="IQ_TOTAL_EQUITY_7YR_ANN_CAGR" hidden="1">"c6149"</definedName>
    <definedName name="IQ_TOTAL_EQUITY_7YR_ANN_GROWTH" hidden="1">"c1273"</definedName>
    <definedName name="IQ_TOTAL_EQUITY_ALLOWANCE_TOTAL_LOANS" hidden="1">"c1274"</definedName>
    <definedName name="IQ_TOTAL_EQUITY_CAPITAL_T1_FFIEC" hidden="1">"c13130"</definedName>
    <definedName name="IQ_TOTAL_EQUITY_FFIEC" hidden="1">"c12881"</definedName>
    <definedName name="IQ_TOTAL_EQUITY_LH_FFIEC" hidden="1">"c13109"</definedName>
    <definedName name="IQ_TOTAL_EQUITY_PC_FFIEC" hidden="1">"c13102"</definedName>
    <definedName name="IQ_TOTAL_EQUITY_SUBTOTAL_AP" hidden="1">"c8989"</definedName>
    <definedName name="IQ_TOTAL_EQUITY_TOTAL_ASSETS_FFIEC" hidden="1">"c13863"</definedName>
    <definedName name="IQ_TOTAL_INT_EXPENSE_FFIEC" hidden="1">"c13000"</definedName>
    <definedName name="IQ_TOTAL_INT_INCOME_FFIEC" hidden="1">"c12989"</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EQUITY_FDIC" hidden="1">"c6354"</definedName>
    <definedName name="IQ_TOTAL_LIAB_EQUITY_SUBTOTAL_AP" hidden="1">"c8988"</definedName>
    <definedName name="IQ_TOTAL_LIAB_FIN" hidden="1">"c1280"</definedName>
    <definedName name="IQ_TOTAL_LIAB_INS" hidden="1">"c1281"</definedName>
    <definedName name="IQ_TOTAL_LIAB_RE" hidden="1">"c6273"</definedName>
    <definedName name="IQ_TOTAL_LIAB_REIT" hidden="1">"c1282"</definedName>
    <definedName name="IQ_TOTAL_LIAB_SHAREHOLD" hidden="1">"c1435"</definedName>
    <definedName name="IQ_TOTAL_LIAB_TOTAL_ASSETS" hidden="1">"c1283"</definedName>
    <definedName name="IQ_TOTAL_LIABILITIES_EQUITY_FFIEC" hidden="1">"c12882"</definedName>
    <definedName name="IQ_TOTAL_LIABILITIES_FDIC" hidden="1">"c6348"</definedName>
    <definedName name="IQ_TOTAL_LIABILITIES_FFIEC" hidden="1">"c12873"</definedName>
    <definedName name="IQ_TOTAL_LL_REC_DOM_FFIEC" hidden="1">"c12917"</definedName>
    <definedName name="IQ_TOTAL_LL_REC_FFIEC" hidden="1">"c12898"</definedName>
    <definedName name="IQ_TOTAL_LOANS" hidden="1">"c5653"</definedName>
    <definedName name="IQ_TOTAL_LOANS_LEASES_CHARGE_OFFS_FFIEC" hidden="1">"c13186"</definedName>
    <definedName name="IQ_TOTAL_LOANS_LEASES_DUE_30_89_FFIEC" hidden="1">"c13280"</definedName>
    <definedName name="IQ_TOTAL_LOANS_LEASES_DUE_90_FFIEC" hidden="1">"c13306"</definedName>
    <definedName name="IQ_TOTAL_LOANS_LEASES_NON_ACCRUAL_FFIEC" hidden="1">"c13757"</definedName>
    <definedName name="IQ_TOTAL_LOANS_LEASES_RECOV_FFIEC" hidden="1">"c13208"</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 hidden="1">"c6274"</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ABLE_END_OS" hidden="1">"c5819"</definedName>
    <definedName name="IQ_TOTAL_OPTIONS_EXERCISED" hidden="1">"c2695"</definedName>
    <definedName name="IQ_TOTAL_OPTIONS_GRANTED" hidden="1">"c2694"</definedName>
    <definedName name="IQ_TOTAL_ORE_RESOURCES_ALUM" hidden="1">"c9230"</definedName>
    <definedName name="IQ_TOTAL_ORE_RESOURCES_COP" hidden="1">"c9174"</definedName>
    <definedName name="IQ_TOTAL_ORE_RESOURCES_DIAM" hidden="1">"c9654"</definedName>
    <definedName name="IQ_TOTAL_ORE_RESOURCES_GOLD" hidden="1">"c9015"</definedName>
    <definedName name="IQ_TOTAL_ORE_RESOURCES_IRON" hidden="1">"c9389"</definedName>
    <definedName name="IQ_TOTAL_ORE_RESOURCES_LEAD" hidden="1">"c9442"</definedName>
    <definedName name="IQ_TOTAL_ORE_RESOURCES_MANG" hidden="1">"c9495"</definedName>
    <definedName name="IQ_TOTAL_ORE_RESOURCES_MOLYB" hidden="1">"c9707"</definedName>
    <definedName name="IQ_TOTAL_ORE_RESOURCES_NICK" hidden="1">"c9283"</definedName>
    <definedName name="IQ_TOTAL_ORE_RESOURCES_PLAT" hidden="1">"c9121"</definedName>
    <definedName name="IQ_TOTAL_ORE_RESOURCES_SILVER" hidden="1">"c9068"</definedName>
    <definedName name="IQ_TOTAL_ORE_RESOURCES_TITAN" hidden="1">"c9548"</definedName>
    <definedName name="IQ_TOTAL_ORE_RESOURCES_URAN" hidden="1">"c9601"</definedName>
    <definedName name="IQ_TOTAL_ORE_RESOURCES_ZINC" hidden="1">"c9336"</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RINCIPAL" hidden="1">"c2509"</definedName>
    <definedName name="IQ_TOTAL_PRINCIPAL_PCT" hidden="1">"c2510"</definedName>
    <definedName name="IQ_TOTAL_PROP" hidden="1">"c8765"</definedName>
    <definedName name="IQ_TOTAL_PROVED_RESERVES_NGL" hidden="1">"c2924"</definedName>
    <definedName name="IQ_TOTAL_PROVED_RESERVES_OIL" hidden="1">"c2040"</definedName>
    <definedName name="IQ_TOTAL_RECEIV" hidden="1">"c1293"</definedName>
    <definedName name="IQ_TOTAL_RECOV_ATTRIB_RESOURCES_ALUM" hidden="1">"c9246"</definedName>
    <definedName name="IQ_TOTAL_RECOV_ATTRIB_RESOURCES_COAL" hidden="1">"c9820"</definedName>
    <definedName name="IQ_TOTAL_RECOV_ATTRIB_RESOURCES_COP" hidden="1">"c9190"</definedName>
    <definedName name="IQ_TOTAL_RECOV_ATTRIB_RESOURCES_DIAM" hidden="1">"c9670"</definedName>
    <definedName name="IQ_TOTAL_RECOV_ATTRIB_RESOURCES_GOLD" hidden="1">"c9031"</definedName>
    <definedName name="IQ_TOTAL_RECOV_ATTRIB_RESOURCES_IRON" hidden="1">"c9405"</definedName>
    <definedName name="IQ_TOTAL_RECOV_ATTRIB_RESOURCES_LEAD" hidden="1">"c9458"</definedName>
    <definedName name="IQ_TOTAL_RECOV_ATTRIB_RESOURCES_MANG" hidden="1">"c9511"</definedName>
    <definedName name="IQ_TOTAL_RECOV_ATTRIB_RESOURCES_MET_COAL" hidden="1">"c9760"</definedName>
    <definedName name="IQ_TOTAL_RECOV_ATTRIB_RESOURCES_MOLYB" hidden="1">"c9723"</definedName>
    <definedName name="IQ_TOTAL_RECOV_ATTRIB_RESOURCES_NICK" hidden="1">"c9299"</definedName>
    <definedName name="IQ_TOTAL_RECOV_ATTRIB_RESOURCES_PLAT" hidden="1">"c9137"</definedName>
    <definedName name="IQ_TOTAL_RECOV_ATTRIB_RESOURCES_SILVER" hidden="1">"c9084"</definedName>
    <definedName name="IQ_TOTAL_RECOV_ATTRIB_RESOURCES_STEAM" hidden="1">"c9790"</definedName>
    <definedName name="IQ_TOTAL_RECOV_ATTRIB_RESOURCES_TITAN" hidden="1">"c9564"</definedName>
    <definedName name="IQ_TOTAL_RECOV_ATTRIB_RESOURCES_URAN" hidden="1">"c9617"</definedName>
    <definedName name="IQ_TOTAL_RECOV_ATTRIB_RESOURCES_ZINC" hidden="1">"c9352"</definedName>
    <definedName name="IQ_TOTAL_RECOV_RESOURCES_ALUM" hidden="1">"c9236"</definedName>
    <definedName name="IQ_TOTAL_RECOV_RESOURCES_COAL" hidden="1">"c9815"</definedName>
    <definedName name="IQ_TOTAL_RECOV_RESOURCES_COP" hidden="1">"c9180"</definedName>
    <definedName name="IQ_TOTAL_RECOV_RESOURCES_DIAM" hidden="1">"c9660"</definedName>
    <definedName name="IQ_TOTAL_RECOV_RESOURCES_GOLD" hidden="1">"c9021"</definedName>
    <definedName name="IQ_TOTAL_RECOV_RESOURCES_IRON" hidden="1">"c9395"</definedName>
    <definedName name="IQ_TOTAL_RECOV_RESOURCES_LEAD" hidden="1">"c9448"</definedName>
    <definedName name="IQ_TOTAL_RECOV_RESOURCES_MANG" hidden="1">"c9501"</definedName>
    <definedName name="IQ_TOTAL_RECOV_RESOURCES_MET_COAL" hidden="1">"c9755"</definedName>
    <definedName name="IQ_TOTAL_RECOV_RESOURCES_MOLYB" hidden="1">"c9713"</definedName>
    <definedName name="IQ_TOTAL_RECOV_RESOURCES_NICK" hidden="1">"c9289"</definedName>
    <definedName name="IQ_TOTAL_RECOV_RESOURCES_PLAT" hidden="1">"c9127"</definedName>
    <definedName name="IQ_TOTAL_RECOV_RESOURCES_SILVER" hidden="1">"c9074"</definedName>
    <definedName name="IQ_TOTAL_RECOV_RESOURCES_STEAM" hidden="1">"c9785"</definedName>
    <definedName name="IQ_TOTAL_RECOV_RESOURCES_TITAN" hidden="1">"c9554"</definedName>
    <definedName name="IQ_TOTAL_RECOV_RESOURCES_URAN" hidden="1">"c9607"</definedName>
    <definedName name="IQ_TOTAL_RECOV_RESOURCES_ZINC" hidden="1">"c9342"</definedName>
    <definedName name="IQ_TOTAL_RECOVERIES_FDIC" hidden="1">"c6622"</definedName>
    <definedName name="IQ_TOTAL_RESOURCES_CALORIFIC_VALUE_COAL" hidden="1">"c9810"</definedName>
    <definedName name="IQ_TOTAL_RESOURCES_CALORIFIC_VALUE_MET_COAL" hidden="1">"c9750"</definedName>
    <definedName name="IQ_TOTAL_RESOURCES_CALORIFIC_VALUE_STEAM" hidden="1">"c9780"</definedName>
    <definedName name="IQ_TOTAL_RESOURCES_GRADE_ALUM" hidden="1">"c9231"</definedName>
    <definedName name="IQ_TOTAL_RESOURCES_GRADE_COP" hidden="1">"c9175"</definedName>
    <definedName name="IQ_TOTAL_RESOURCES_GRADE_DIAM" hidden="1">"c9655"</definedName>
    <definedName name="IQ_TOTAL_RESOURCES_GRADE_GOLD" hidden="1">"c9016"</definedName>
    <definedName name="IQ_TOTAL_RESOURCES_GRADE_IRON" hidden="1">"c9390"</definedName>
    <definedName name="IQ_TOTAL_RESOURCES_GRADE_LEAD" hidden="1">"c9443"</definedName>
    <definedName name="IQ_TOTAL_RESOURCES_GRADE_MANG" hidden="1">"c9496"</definedName>
    <definedName name="IQ_TOTAL_RESOURCES_GRADE_MOLYB" hidden="1">"c9708"</definedName>
    <definedName name="IQ_TOTAL_RESOURCES_GRADE_NICK" hidden="1">"c9284"</definedName>
    <definedName name="IQ_TOTAL_RESOURCES_GRADE_PLAT" hidden="1">"c9122"</definedName>
    <definedName name="IQ_TOTAL_RESOURCES_GRADE_SILVER" hidden="1">"c9069"</definedName>
    <definedName name="IQ_TOTAL_RESOURCES_GRADE_TITAN" hidden="1">"c9549"</definedName>
    <definedName name="IQ_TOTAL_RESOURCES_GRADE_URAN" hidden="1">"c9602"</definedName>
    <definedName name="IQ_TOTAL_RESOURCES_GRADE_ZINC" hidden="1">"c9337"</definedName>
    <definedName name="IQ_TOTAL_RETURN_SWAPS_DERIVATIVES_BENEFICIARY_FFIEC" hidden="1">"c13120"</definedName>
    <definedName name="IQ_TOTAL_RETURN_SWAPS_DERIVATIVES_GUARANTOR_FFIEC" hidden="1">"c13113"</definedName>
    <definedName name="IQ_TOTAL_REV" hidden="1">"c1294"</definedName>
    <definedName name="IQ_TOTAL_REV_10YR_ANN_CAGR" hidden="1">"c6150"</definedName>
    <definedName name="IQ_TOTAL_REV_10YR_ANN_GROWTH" hidden="1">"c1295"</definedName>
    <definedName name="IQ_TOTAL_REV_1YR_ANN_GROWTH" hidden="1">"c1296"</definedName>
    <definedName name="IQ_TOTAL_REV_2YR_ANN_CAGR" hidden="1">"c6151"</definedName>
    <definedName name="IQ_TOTAL_REV_2YR_ANN_GROWTH" hidden="1">"c1297"</definedName>
    <definedName name="IQ_TOTAL_REV_3YR_ANN_CAGR" hidden="1">"c6152"</definedName>
    <definedName name="IQ_TOTAL_REV_3YR_ANN_GROWTH" hidden="1">"c1298"</definedName>
    <definedName name="IQ_TOTAL_REV_5YR_ANN_CAGR" hidden="1">"c6153"</definedName>
    <definedName name="IQ_TOTAL_REV_5YR_ANN_GROWTH" hidden="1">"c1299"</definedName>
    <definedName name="IQ_TOTAL_REV_7YR_ANN_CAGR" hidden="1">"c6154"</definedName>
    <definedName name="IQ_TOTAL_REV_7YR_ANN_GROWTH" hidden="1">"c1300"</definedName>
    <definedName name="IQ_TOTAL_REV_AS_REPORTED" hidden="1">"c1301"</definedName>
    <definedName name="IQ_TOTAL_REV_BNK" hidden="1">"c1302"</definedName>
    <definedName name="IQ_TOTAL_REV_BNK_FDIC" hidden="1">"c6786"</definedName>
    <definedName name="IQ_TOTAL_REV_BR" hidden="1">"c1303"</definedName>
    <definedName name="IQ_TOTAL_REV_EMPLOYEE" hidden="1">"c1304"</definedName>
    <definedName name="IQ_TOTAL_REV_FIN" hidden="1">"c1305"</definedName>
    <definedName name="IQ_TOTAL_REV_INS" hidden="1">"c1306"</definedName>
    <definedName name="IQ_TOTAL_REV_RE" hidden="1">"c6275"</definedName>
    <definedName name="IQ_TOTAL_REV_REIT" hidden="1">"c1307"</definedName>
    <definedName name="IQ_TOTAL_REV_SHARE" hidden="1">"c1912"</definedName>
    <definedName name="IQ_TOTAL_REV_SUBTOTAL_AP" hidden="1">"c8975"</definedName>
    <definedName name="IQ_TOTAL_REV_UTI" hidden="1">"c1308"</definedName>
    <definedName name="IQ_TOTAL_REVENUE" hidden="1">"c1436"</definedName>
    <definedName name="IQ_TOTAL_REVENUE_FFIEC" hidden="1">"c13020"</definedName>
    <definedName name="IQ_TOTAL_RISK_BASED_CAPITAL_FFIEC" hidden="1">"c13153"</definedName>
    <definedName name="IQ_TOTAL_RISK_BASED_CAPITAL_RATIO_FDIC" hidden="1">"c6747"</definedName>
    <definedName name="IQ_TOTAL_RISK_BASED_CAPITAL_RATIO_FFIEC" hidden="1">"c13162"</definedName>
    <definedName name="IQ_TOTAL_RISK_WEIGHTED_ASSETS_FFIEC" hidden="1">"c13858"</definedName>
    <definedName name="IQ_TOTAL_ROOMS" hidden="1">"c8789"</definedName>
    <definedName name="IQ_TOTAL_SECURITIES_FDIC" hidden="1">"c6306"</definedName>
    <definedName name="IQ_TOTAL_SPECIAL" hidden="1">"c1618"</definedName>
    <definedName name="IQ_TOTAL_SQ_FT" hidden="1">"c8781"</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TIME_DEPOSITS_FDIC" hidden="1">"c6497"</definedName>
    <definedName name="IQ_TOTAL_TIME_SAVINGS_DEPOSITS_FDIC" hidden="1">"c6498"</definedName>
    <definedName name="IQ_TOTAL_TRADING_ASSETS_FFIEC" hidden="1">"c12939"</definedName>
    <definedName name="IQ_TOTAL_TRADING_LIAB_DOM_FFIEC" hidden="1">"c12944"</definedName>
    <definedName name="IQ_TOTAL_UNITS" hidden="1">"c8773"</definedName>
    <definedName name="IQ_TOTAL_UNUSED_COMMITMENTS_FDIC" hidden="1">"c6536"</definedName>
    <definedName name="IQ_TOTAL_UNUSUAL" hidden="1">"c1508"</definedName>
    <definedName name="IQ_TOTAL_UNUSUAL_BNK" hidden="1">"c5516"</definedName>
    <definedName name="IQ_TOTAL_UNUSUAL_BR" hidden="1">"c5517"</definedName>
    <definedName name="IQ_TOTAL_UNUSUAL_FIN" hidden="1">"c5518"</definedName>
    <definedName name="IQ_TOTAL_UNUSUAL_INS" hidden="1">"c5519"</definedName>
    <definedName name="IQ_TOTAL_UNUSUAL_RE" hidden="1">"c6286"</definedName>
    <definedName name="IQ_TOTAL_UNUSUAL_REIT" hidden="1">"c5520"</definedName>
    <definedName name="IQ_TOTAL_UNUSUAL_SUPPLE" hidden="1">"c13817"</definedName>
    <definedName name="IQ_TOTAL_UNUSUAL_UTI" hidden="1">"c5521"</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_EQ_INC" hidden="1">"c3611"</definedName>
    <definedName name="IQ_TR_ACQ_EBITDA" hidden="1">"c2381"</definedName>
    <definedName name="IQ_TR_ACQ_EBITDA_EQ_INC" hidden="1">"c3610"</definedName>
    <definedName name="IQ_TR_ACQ_FILING_CURRENCY" hidden="1">"c3033"</definedName>
    <definedName name="IQ_TR_ACQ_FILINGDATE" hidden="1">"c3607"</definedName>
    <definedName name="IQ_TR_ACQ_MCAP_1DAY" hidden="1">"c2345"</definedName>
    <definedName name="IQ_TR_ACQ_MIN_INT" hidden="1">"c2374"</definedName>
    <definedName name="IQ_TR_ACQ_NET_DEBT" hidden="1">"c2373"</definedName>
    <definedName name="IQ_TR_ACQ_NI" hidden="1">"c2378"</definedName>
    <definedName name="IQ_TR_ACQ_PERIODDATE" hidden="1">"c3606"</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FIN_ADVISORS" hidden="1">"c3045"</definedName>
    <definedName name="IQ_TR_BUY_LEG_ADVISORS" hidden="1">"c2387"</definedName>
    <definedName name="IQ_TR_BUY_TERM_FEE" hidden="1">"c13638"</definedName>
    <definedName name="IQ_TR_BUY_TERM_FEE_PCT" hidden="1">"c13639"</definedName>
    <definedName name="IQ_TR_BUYBACK_TO_CLOSE" hidden="1">"c13919"</definedName>
    <definedName name="IQ_TR_BUYBACK_TO_HIGH" hidden="1">"c13917"</definedName>
    <definedName name="IQ_TR_BUYBACK_TO_LOW" hidden="1">"c13918"</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PPROACH" hidden="1">"c12706"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INIT_FILED_DATE" hidden="1">"c3495"</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GISTRATION_FEES" hidden="1">"c2274"</definedName>
    <definedName name="IQ_TR_RENEWAL_BUYBACK" hidden="1">"c2413"</definedName>
    <definedName name="IQ_TR_ROUND_NUMBER" hidden="1">"c2295"</definedName>
    <definedName name="IQ_TR_SEC_FEES" hidden="1">"c13642"</definedName>
    <definedName name="IQ_TR_SECURITY_TYPE_REG" hidden="1">"c2279"</definedName>
    <definedName name="IQ_TR_SELL_ACC_ADVISORS" hidden="1">"c3049"</definedName>
    <definedName name="IQ_TR_SELL_FIN_ADVISORS" hidden="1">"c3046"</definedName>
    <definedName name="IQ_TR_SELL_LEG_ADVISORS" hidden="1">"c2388"</definedName>
    <definedName name="IQ_TR_SELL_TERM_FEE" hidden="1">"c2298"</definedName>
    <definedName name="IQ_TR_SELL_TERM_FEE_PCT" hidden="1">"c2297"</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_EQ_INC" hidden="1">"c3609"</definedName>
    <definedName name="IQ_TR_TARGET_EBITDA" hidden="1">"c2334"</definedName>
    <definedName name="IQ_TR_TARGET_EBITDA_EQ_INC" hidden="1">"c3608"</definedName>
    <definedName name="IQ_TR_TARGET_FILING_CURRENCY" hidden="1">"c3034"</definedName>
    <definedName name="IQ_TR_TARGET_FILINGDATE" hidden="1">"c3605"</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ERIODDATE" hidden="1">"c3604"</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"c13640"</definedName>
    <definedName name="IQ_TR_TERM_FEE_PCT" hidden="1">"c13641"</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PRINCIPAL" hidden="1">"c1309"</definedName>
    <definedName name="IQ_TRADING_ACCOUNT_GAINS_FEES_FDIC" hidden="1">"c6573"</definedName>
    <definedName name="IQ_TRADING_ASSETS" hidden="1">"c1310"</definedName>
    <definedName name="IQ_TRADING_ASSETS_FAIR_VALUE_TOT_FFIEC" hidden="1">"c13210"</definedName>
    <definedName name="IQ_TRADING_ASSETS_FDIC" hidden="1">"c6328"</definedName>
    <definedName name="IQ_TRADING_ASSETS_FFIEC" hidden="1">"c12812"</definedName>
    <definedName name="IQ_TRADING_ASSETS_FOREIGN_FFIEC" hidden="1">"c12940"</definedName>
    <definedName name="IQ_TRADING_ASSETS_LEVEL_1_FFIEC" hidden="1">"c13218"</definedName>
    <definedName name="IQ_TRADING_ASSETS_LEVEL_2_FFIEC" hidden="1">"c13226"</definedName>
    <definedName name="IQ_TRADING_ASSETS_LEVEL_3_FFIEC" hidden="1">"c13234"</definedName>
    <definedName name="IQ_TRADING_ASSETS_QUARTERLY_AVG_FFIEC" hidden="1">"c13085"</definedName>
    <definedName name="IQ_TRADING_CURRENCY" hidden="1">"c2212"</definedName>
    <definedName name="IQ_TRADING_ITEM_CIQID" hidden="1">"c8949"</definedName>
    <definedName name="IQ_TRADING_LIABILITIES_FAIR_VALUE_TOT_FFIEC" hidden="1">"c13214"</definedName>
    <definedName name="IQ_TRADING_LIABILITIES_FDIC" hidden="1">"c6344"</definedName>
    <definedName name="IQ_TRADING_LIABILITIES_FFIEC" hidden="1">"c12858"</definedName>
    <definedName name="IQ_TRADING_LIABILITIES_LEVEL_1_FFIEC" hidden="1">"c13222"</definedName>
    <definedName name="IQ_TRADING_LIABILITIES_LEVEL_2_FFIEC" hidden="1">"c13230"</definedName>
    <definedName name="IQ_TRADING_LIABILITIES_LEVEL_3_FFIEC" hidden="1">"c13238"</definedName>
    <definedName name="IQ_TRADING_REV_OPERATING_INC_FFIEC" hidden="1">"c13385"</definedName>
    <definedName name="IQ_TRADING_REVENUE_FFIEC" hidden="1">"c13004"</definedName>
    <definedName name="IQ_TRANS_ACCTS_TOT_DEPOSITS_FFIEC" hidden="1">"c13904"</definedName>
    <definedName name="IQ_TRANSACTION_ACCOUNTS_FDIC" hidden="1">"c6544"</definedName>
    <definedName name="IQ_TREASURY" hidden="1">"c1311"</definedName>
    <definedName name="IQ_TREASURY_INVEST_SECURITIES_FFIEC" hidden="1">"c13457"</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 hidden="1">"c6276"</definedName>
    <definedName name="IQ_TREASURY_OTHER_EQUITY_REIT" hidden="1">"c1317"</definedName>
    <definedName name="IQ_TREASURY_OTHER_EQUITY_UTI" hidden="1">"c1318"</definedName>
    <definedName name="IQ_TREASURY_STOCK" hidden="1">"c1438"</definedName>
    <definedName name="IQ_TREASURY_STOCK_TRANSACTIONS_FDIC" hidden="1">"c6501"</definedName>
    <definedName name="IQ_TRUCK_ASSEMBLIES" hidden="1">"c7021"</definedName>
    <definedName name="IQ_TRUCK_ASSEMBLIES_APR" hidden="1">"c7681"</definedName>
    <definedName name="IQ_TRUCK_ASSEMBLIES_APR_FC" hidden="1">"c8561"</definedName>
    <definedName name="IQ_TRUCK_ASSEMBLIES_FC" hidden="1">"c7901"</definedName>
    <definedName name="IQ_TRUCK_ASSEMBLIES_POP" hidden="1">"c7241"</definedName>
    <definedName name="IQ_TRUCK_ASSEMBLIES_POP_FC" hidden="1">"c8121"</definedName>
    <definedName name="IQ_TRUCK_ASSEMBLIES_YOY" hidden="1">"c7461"</definedName>
    <definedName name="IQ_TRUCK_ASSEMBLIES_YOY_FC" hidden="1">"c8341"</definedName>
    <definedName name="IQ_TRUST_INC" hidden="1">"c1319"</definedName>
    <definedName name="IQ_TRUST_PREF" hidden="1">"c1320"</definedName>
    <definedName name="IQ_TRUST_PREFERRED" hidden="1">"c3029"</definedName>
    <definedName name="IQ_TRUST_PREFERRED_PCT" hidden="1">"c3030"</definedName>
    <definedName name="IQ_TRUSTEE" hidden="1">"c8959"</definedName>
    <definedName name="IQ_TWELVE_MONTHS_FIXED_AND_FLOATING_FDIC" hidden="1">"c6420"</definedName>
    <definedName name="IQ_TWELVE_MONTHS_MORTGAGE_PASS_THROUGHS_FDIC" hidden="1">"c6412"</definedName>
    <definedName name="IQ_UFCF_10YR_ANN_CAGR" hidden="1">"c6179"</definedName>
    <definedName name="IQ_UFCF_10YR_ANN_GROWTH" hidden="1">"c1948"</definedName>
    <definedName name="IQ_UFCF_1YR_ANN_GROWTH" hidden="1">"c1943"</definedName>
    <definedName name="IQ_UFCF_2YR_ANN_CAGR" hidden="1">"c6175"</definedName>
    <definedName name="IQ_UFCF_2YR_ANN_GROWTH" hidden="1">"c1944"</definedName>
    <definedName name="IQ_UFCF_3YR_ANN_CAGR" hidden="1">"c6176"</definedName>
    <definedName name="IQ_UFCF_3YR_ANN_GROWTH" hidden="1">"c1945"</definedName>
    <definedName name="IQ_UFCF_5YR_ANN_CAGR" hidden="1">"c6177"</definedName>
    <definedName name="IQ_UFCF_5YR_ANN_GROWTH" hidden="1">"c1946"</definedName>
    <definedName name="IQ_UFCF_7YR_ANN_CAGR" hidden="1">"c6178"</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CONSOL_BEDS" hidden="1">"c8783"</definedName>
    <definedName name="IQ_UNCONSOL_PROP" hidden="1">"c8762"</definedName>
    <definedName name="IQ_UNCONSOL_ROOMS" hidden="1">"c8787"</definedName>
    <definedName name="IQ_UNCONSOL_SQ_FT" hidden="1">"c8778"</definedName>
    <definedName name="IQ_UNCONSOL_UNITS" hidden="1">"c8770"</definedName>
    <definedName name="IQ_UNDERWRITER" hidden="1">"c8958"</definedName>
    <definedName name="IQ_UNDERWRITING_PROFIT" hidden="1">"c9975"</definedName>
    <definedName name="IQ_UNDIVIDED_PROFITS_FDIC" hidden="1">"c6352"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 hidden="1">"c6277"</definedName>
    <definedName name="IQ_UNEARN_REV_CURRENT_REIT" hidden="1">"c1327"</definedName>
    <definedName name="IQ_UNEARN_REV_CURRENT_UTI" hidden="1">"c1328"</definedName>
    <definedName name="IQ_UNEARN_REV_LT" hidden="1">"c1329"</definedName>
    <definedName name="IQ_UNEARNED_INCOME_FDIC" hidden="1">"c6324"</definedName>
    <definedName name="IQ_UNEARNED_INCOME_FOREIGN_FDIC" hidden="1">"c6385"</definedName>
    <definedName name="IQ_UNEARNED_INCOME_LL_REC_DOM_FFIEC" hidden="1">"c12916"</definedName>
    <definedName name="IQ_UNEARNED_INCOME_LL_REC_FFIEC" hidden="1">"c12897"</definedName>
    <definedName name="IQ_UNEARNED_PREMIUMS_PC_FFIEC" hidden="1">"c13101"</definedName>
    <definedName name="IQ_UNEMPLOYMENT_RATE" hidden="1">"c7023"</definedName>
    <definedName name="IQ_UNEMPLOYMENT_RATE_FC" hidden="1">"c7903"</definedName>
    <definedName name="IQ_UNEMPLOYMENT_RATE_POP" hidden="1">"c7243"</definedName>
    <definedName name="IQ_UNEMPLOYMENT_RATE_POP_FC" hidden="1">"c8123"</definedName>
    <definedName name="IQ_UNEMPLOYMENT_RATE_YOY" hidden="1">"c7463"</definedName>
    <definedName name="IQ_UNEMPLOYMENT_RATE_YOY_FC" hidden="1">"c8343"</definedName>
    <definedName name="IQ_UNIT_LABOR_COST_INDEX" hidden="1">"c7025"</definedName>
    <definedName name="IQ_UNIT_LABOR_COST_INDEX_APR" hidden="1">"c7685"</definedName>
    <definedName name="IQ_UNIT_LABOR_COST_INDEX_APR_FC" hidden="1">"c8565"</definedName>
    <definedName name="IQ_UNIT_LABOR_COST_INDEX_FC" hidden="1">"c7905"</definedName>
    <definedName name="IQ_UNIT_LABOR_COST_INDEX_PCT_CHANGE" hidden="1">"c7024"</definedName>
    <definedName name="IQ_UNIT_LABOR_COST_INDEX_PCT_CHANGE_FC" hidden="1">"c7904"</definedName>
    <definedName name="IQ_UNIT_LABOR_COST_INDEX_PCT_CHANGE_POP" hidden="1">"c7244"</definedName>
    <definedName name="IQ_UNIT_LABOR_COST_INDEX_PCT_CHANGE_POP_FC" hidden="1">"c8124"</definedName>
    <definedName name="IQ_UNIT_LABOR_COST_INDEX_PCT_CHANGE_YOY" hidden="1">"c7464"</definedName>
    <definedName name="IQ_UNIT_LABOR_COST_INDEX_PCT_CHANGE_YOY_FC" hidden="1">"c8344"</definedName>
    <definedName name="IQ_UNIT_LABOR_COST_INDEX_POP" hidden="1">"c7245"</definedName>
    <definedName name="IQ_UNIT_LABOR_COST_INDEX_POP_FC" hidden="1">"c8125"</definedName>
    <definedName name="IQ_UNIT_LABOR_COST_INDEX_YOY" hidden="1">"c7465"</definedName>
    <definedName name="IQ_UNIT_LABOR_COST_INDEX_YOY_FC" hidden="1">"c8345"</definedName>
    <definedName name="IQ_UNLEVERED_FCF" hidden="1">"c1908"</definedName>
    <definedName name="IQ_UNPAID_CLAIMS" hidden="1">"c1330"</definedName>
    <definedName name="IQ_UNPROFITABLE_INSTITUTIONS_FDIC" hidden="1">"c6722"</definedName>
    <definedName name="IQ_UNREALIZED_GAIN" hidden="1">"c1619"</definedName>
    <definedName name="IQ_UNSECURED_COMMITMENTS_COMMERCIAL_RE_UNUSED_FFIEC" hidden="1">"c13246"</definedName>
    <definedName name="IQ_UNSECURED_DEBT" hidden="1">"c2548"</definedName>
    <definedName name="IQ_UNSECURED_DEBT_PCT" hidden="1">"c2549"</definedName>
    <definedName name="IQ_UNUSED_LOAN_COMMITMENTS_FDIC" hidden="1">"c6368"</definedName>
    <definedName name="IQ_UNUSUAL_EXP" hidden="1">"c1456"</definedName>
    <definedName name="IQ_US_ADDRESS_LEASE_FIN_REC_FFIEC" hidden="1">"c13624"</definedName>
    <definedName name="IQ_US_AGENCY_OBLIG_FFIEC" hidden="1">"c12779"</definedName>
    <definedName name="IQ_US_AGENCY_OBLIG_TRADING_DOM_FFIEC" hidden="1">"c12919"</definedName>
    <definedName name="IQ_US_AGENCY_OBLIG_TRADING_FFIEC" hidden="1">"c12814"</definedName>
    <definedName name="IQ_US_AGENCY_OBLIGATIONS_AVAIL_SALE_FFIEC" hidden="1">"c12793"</definedName>
    <definedName name="IQ_US_BRANCHES_FOREIGN_BANK_LOANS_FDIC" hidden="1">"c6435"</definedName>
    <definedName name="IQ_US_BRANCHES_FOREIGN_BANKS_FDIC" hidden="1">"c6390"</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_ADJ" hidden="1">"c2927"</definedName>
    <definedName name="IQ_US_GAAP_COST_REV_ADJ" hidden="1">"c2951"</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_ADJ" hidden="1">"c2959"</definedName>
    <definedName name="IQ_US_GAAP_EXTRA_ACC_ITEMS_ADJ" hidden="1">"c2958"</definedName>
    <definedName name="IQ_US_GAAP_INC_TAX_ADJ" hidden="1">"c2961"</definedName>
    <definedName name="IQ_US_GAAP_INTEREST_EXP_ADJ" hidden="1">"c2957"</definedName>
    <definedName name="IQ_US_GAAP_LIAB_LT_ADJ" hidden="1">"c2928"</definedName>
    <definedName name="IQ_US_GAAP_LIAB_TOTAL_LIAB" hidden="1">"c2933"</definedName>
    <definedName name="IQ_US_GAAP_MINORITY_INTEREST_IS_ADJ" hidden="1">"c2960"</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INCL" hidden="1">"c2978"</definedName>
    <definedName name="IQ_US_GAAP_OTHER_ADJ_ADJ" hidden="1">"c2962"</definedName>
    <definedName name="IQ_US_GAAP_OTHER_NON_OPER_ADJ" hidden="1">"c2955"</definedName>
    <definedName name="IQ_US_GAAP_OTHER_OPER_ADJ" hidden="1">"c2954"</definedName>
    <definedName name="IQ_US_GAAP_RD_ADJ" hidden="1">"c2953"</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_ADJ" hidden="1">"c2950"</definedName>
    <definedName name="IQ_US_GAAP_TOTAL_UNUSUAL_ADJ" hidden="1">"c2956"</definedName>
    <definedName name="IQ_US_GOV_AGENCIES_FDIC" hidden="1">"c6395"</definedName>
    <definedName name="IQ_US_GOV_DEPOSITS_FDIC" hidden="1">"c6483"</definedName>
    <definedName name="IQ_US_GOV_ENTERPRISES_FDIC" hidden="1">"c6396"</definedName>
    <definedName name="IQ_US_GOV_NONCURRENT_LOANS_TOTAL_NONCURRENT_FDIC" hidden="1">"c6779"</definedName>
    <definedName name="IQ_US_GOV_NONTRANSACTION_ACCOUNTS_FDIC" hidden="1">"c6546"</definedName>
    <definedName name="IQ_US_GOV_OBLIGATIONS_FDIC" hidden="1">"c6299"</definedName>
    <definedName name="IQ_US_GOV_SECURITIES_FDIC" hidden="1">"c6297"</definedName>
    <definedName name="IQ_US_GOV_TOTAL_DEPOSITS_FDIC" hidden="1">"c6472"</definedName>
    <definedName name="IQ_US_GOV_TRANSACTION_ACCOUNTS_FDIC" hidden="1">"c6538"</definedName>
    <definedName name="IQ_US_INST_DUE_30_89_FFIEC" hidden="1">"c13268"</definedName>
    <definedName name="IQ_US_INST_DUE_90_FFIEC" hidden="1">"c13294"</definedName>
    <definedName name="IQ_US_INST_NON_ACCRUAL_FFIEC" hidden="1">"c13320"</definedName>
    <definedName name="IQ_US_SPONSORED_AGENCY_OBLIG_AVAIL_SALE_FFIEC" hidden="1">"c12794"</definedName>
    <definedName name="IQ_US_SPONSORED_AGENCY_OBLIG_FFIEC" hidden="1">"c12780"</definedName>
    <definedName name="IQ_US_TREASURY_SEC_AVAIL_SALE_FFIEC" hidden="1">"c12792"</definedName>
    <definedName name="IQ_US_TREASURY_SEC_TRADING_DOM_FFIEC" hidden="1">"c12918"</definedName>
    <definedName name="IQ_US_TREASURY_SEC_TRADING_FFIEC" hidden="1">"c12813"</definedName>
    <definedName name="IQ_US_TREASURY_SECURITIES_FDIC" hidden="1">"c6298"</definedName>
    <definedName name="IQ_US_TREASURY_SECURITIES_FFIEC" hidden="1">"c12778"</definedName>
    <definedName name="IQ_UTIL_PPE_NET" hidden="1">"c1620"</definedName>
    <definedName name="IQ_UTIL_REV" hidden="1">"c2091"</definedName>
    <definedName name="IQ_UV_PENSION_LIAB" hidden="1">"c1332"</definedName>
    <definedName name="IQ_VALUATION_ALLOWANCES_FDIC" hidden="1">"c6400"</definedName>
    <definedName name="IQ_VALUE_TRADED" hidden="1">"c1519"</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ARIABLE_RATE_PREFERREDS_INT_SENSITIVITY_FFIEC" hidden="1">"c13096"</definedName>
    <definedName name="IQ_VC_REV_OPERATING_INC_FFIEC" hidden="1">"c13388"</definedName>
    <definedName name="IQ_VC_REVENUE_FDIC" hidden="1">"c6667"</definedName>
    <definedName name="IQ_VEHICLE_ASSEMBLIES_LIGHT" hidden="1">"c6905"</definedName>
    <definedName name="IQ_VEHICLE_ASSEMBLIES_LIGHT_APR" hidden="1">"c7565"</definedName>
    <definedName name="IQ_VEHICLE_ASSEMBLIES_LIGHT_APR_FC" hidden="1">"c8445"</definedName>
    <definedName name="IQ_VEHICLE_ASSEMBLIES_LIGHT_FC" hidden="1">"c7785"</definedName>
    <definedName name="IQ_VEHICLE_ASSEMBLIES_LIGHT_NEW" hidden="1">"c6925"</definedName>
    <definedName name="IQ_VEHICLE_ASSEMBLIES_LIGHT_NEW_APR" hidden="1">"c7585"</definedName>
    <definedName name="IQ_VEHICLE_ASSEMBLIES_LIGHT_NEW_APR_FC" hidden="1">"c8465"</definedName>
    <definedName name="IQ_VEHICLE_ASSEMBLIES_LIGHT_NEW_FC" hidden="1">"c7805"</definedName>
    <definedName name="IQ_VEHICLE_ASSEMBLIES_LIGHT_NEW_POP" hidden="1">"c7145"</definedName>
    <definedName name="IQ_VEHICLE_ASSEMBLIES_LIGHT_NEW_POP_FC" hidden="1">"c8025"</definedName>
    <definedName name="IQ_VEHICLE_ASSEMBLIES_LIGHT_NEW_YOY" hidden="1">"c7365"</definedName>
    <definedName name="IQ_VEHICLE_ASSEMBLIES_LIGHT_NEW_YOY_FC" hidden="1">"c8245"</definedName>
    <definedName name="IQ_VEHICLE_ASSEMBLIES_LIGHT_POP" hidden="1">"c7125"</definedName>
    <definedName name="IQ_VEHICLE_ASSEMBLIES_LIGHT_POP_FC" hidden="1">"c8005"</definedName>
    <definedName name="IQ_VEHICLE_ASSEMBLIES_LIGHT_YOY" hidden="1">"c7345"</definedName>
    <definedName name="IQ_VEHICLE_ASSEMBLIES_LIGHT_YOY_FC" hidden="1">"c8225"</definedName>
    <definedName name="IQ_VEHICLE_ASSEMBLIES_TOTAL" hidden="1">"c7020"</definedName>
    <definedName name="IQ_VEHICLE_ASSEMBLIES_TOTAL_APR" hidden="1">"c7680"</definedName>
    <definedName name="IQ_VEHICLE_ASSEMBLIES_TOTAL_APR_FC" hidden="1">"c8560"</definedName>
    <definedName name="IQ_VEHICLE_ASSEMBLIES_TOTAL_FC" hidden="1">"c7900"</definedName>
    <definedName name="IQ_VEHICLE_ASSEMBLIES_TOTAL_POP" hidden="1">"c7240"</definedName>
    <definedName name="IQ_VEHICLE_ASSEMBLIES_TOTAL_POP_FC" hidden="1">"c8120"</definedName>
    <definedName name="IQ_VEHICLE_ASSEMBLIES_TOTAL_YOY" hidden="1">"c7460"</definedName>
    <definedName name="IQ_VEHICLE_ASSEMBLIES_TOTAL_YOY_FC" hidden="1">"c8340"</definedName>
    <definedName name="IQ_VENTURE_CAPITAL_REVENUE_FFIEC" hidden="1">"c13010"</definedName>
    <definedName name="IQ_VIF_AFTER_COST_CAPITAL_COVERED" hidden="1">"c9966"</definedName>
    <definedName name="IQ_VIF_AFTER_COST_CAPITAL_GROUP" hidden="1">"c9952"</definedName>
    <definedName name="IQ_VIF_BEFORE_COST_CAPITAL_COVERED" hidden="1">"c9964"</definedName>
    <definedName name="IQ_VIF_BEFORE_COST_CAPITAL_GROUP" hidden="1">"c9950"</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ATILE_LIABILITIES_FDIC" hidden="1">"c6364"</definedName>
    <definedName name="IQ_VOLUME" hidden="1">"c1333"</definedName>
    <definedName name="IQ_VWAP" hidden="1">"c13514"</definedName>
    <definedName name="IQ_WAC_CURRENT" hidden="1">"c8961"</definedName>
    <definedName name="IQ_WAC_ORIGINAL" hidden="1">"c8953"</definedName>
    <definedName name="IQ_WAM_CURRENT" hidden="1">"c8962"</definedName>
    <definedName name="IQ_WAM_ORIGINAL" hidden="1">"c8952"</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EK">50000</definedName>
    <definedName name="IQ_WEIGHTED_AVG_PRICE" hidden="1">"c1334"</definedName>
    <definedName name="IQ_WHOLESALE_INVENTORIES" hidden="1">"c7027"</definedName>
    <definedName name="IQ_WHOLESALE_INVENTORIES_APR" hidden="1">"c7687"</definedName>
    <definedName name="IQ_WHOLESALE_INVENTORIES_APR_FC" hidden="1">"c8567"</definedName>
    <definedName name="IQ_WHOLESALE_INVENTORIES_FC" hidden="1">"c7907"</definedName>
    <definedName name="IQ_WHOLESALE_INVENTORIES_POP" hidden="1">"c7247"</definedName>
    <definedName name="IQ_WHOLESALE_INVENTORIES_POP_FC" hidden="1">"c8127"</definedName>
    <definedName name="IQ_WHOLESALE_INVENTORIES_YOY" hidden="1">"c7467"</definedName>
    <definedName name="IQ_WHOLESALE_INVENTORIES_YOY_FC" hidden="1">"c8347"</definedName>
    <definedName name="IQ_WHOLESALE_IS_RATIO" hidden="1">"c7026"</definedName>
    <definedName name="IQ_WHOLESALE_IS_RATIO_FC" hidden="1">"c7906"</definedName>
    <definedName name="IQ_WHOLESALE_IS_RATIO_POP" hidden="1">"c7246"</definedName>
    <definedName name="IQ_WHOLESALE_IS_RATIO_POP_FC" hidden="1">"c8126"</definedName>
    <definedName name="IQ_WHOLESALE_IS_RATIO_YOY" hidden="1">"c7466"</definedName>
    <definedName name="IQ_WHOLESALE_IS_RATIO_YOY_FC" hidden="1">"c8346"</definedName>
    <definedName name="IQ_WHOLESALE_SALES" hidden="1">"c7028"</definedName>
    <definedName name="IQ_WHOLESALE_SALES_APR" hidden="1">"c7688"</definedName>
    <definedName name="IQ_WHOLESALE_SALES_APR_FC" hidden="1">"c8568"</definedName>
    <definedName name="IQ_WHOLESALE_SALES_FC" hidden="1">"c7908"</definedName>
    <definedName name="IQ_WHOLESALE_SALES_INDEX" hidden="1">"c7029"</definedName>
    <definedName name="IQ_WHOLESALE_SALES_INDEX_APR" hidden="1">"c7689"</definedName>
    <definedName name="IQ_WHOLESALE_SALES_INDEX_APR_FC" hidden="1">"c8569"</definedName>
    <definedName name="IQ_WHOLESALE_SALES_INDEX_FC" hidden="1">"c7909"</definedName>
    <definedName name="IQ_WHOLESALE_SALES_INDEX_POP" hidden="1">"c7249"</definedName>
    <definedName name="IQ_WHOLESALE_SALES_INDEX_POP_FC" hidden="1">"c8129"</definedName>
    <definedName name="IQ_WHOLESALE_SALES_INDEX_YOY" hidden="1">"c7469"</definedName>
    <definedName name="IQ_WHOLESALE_SALES_INDEX_YOY_FC" hidden="1">"c8349"</definedName>
    <definedName name="IQ_WHOLESALE_SALES_POP" hidden="1">"c7248"</definedName>
    <definedName name="IQ_WHOLESALE_SALES_POP_FC" hidden="1">"c8128"</definedName>
    <definedName name="IQ_WHOLESALE_SALES_YOY" hidden="1">"c7468"</definedName>
    <definedName name="IQ_WHOLESALE_SALES_YOY_FC" hidden="1">"c8348"</definedName>
    <definedName name="IQ_WIP_INV" hidden="1">"c1335"</definedName>
    <definedName name="IQ_WORKING_CAP" hidden="1">"c3494"</definedName>
    <definedName name="IQ_WORKMEN_WRITTEN" hidden="1">"c1336"</definedName>
    <definedName name="IQ_WRITTEN_OPTION_CONTRACTS_FDIC" hidden="1">"c6509"</definedName>
    <definedName name="IQ_WRITTEN_OPTION_CONTRACTS_FX_RISK_FDIC" hidden="1">"c6514"</definedName>
    <definedName name="IQ_WRITTEN_OPTION_CONTRACTS_NON_FX_IR_FDIC" hidden="1">"c6519"</definedName>
    <definedName name="IQ_XDIV_DATE" hidden="1">"c2104"</definedName>
    <definedName name="IQ_YEAR_FOUNDED" hidden="1">"c6793"</definedName>
    <definedName name="IQ_YEARHIGH" hidden="1">"c1337"</definedName>
    <definedName name="IQ_YEARHIGH_DATE" hidden="1">"c2250"</definedName>
    <definedName name="IQ_YEARLOW" hidden="1">"c1338"</definedName>
    <definedName name="IQ_YEARLOW_DATE" hidden="1">"c2251"</definedName>
    <definedName name="IQ_YIELD_FED_FUNDS_SOLD_FFIEC" hidden="1">"c13487"</definedName>
    <definedName name="IQ_YIELD_TRADING_ASSETS_FFIEC" hidden="1">"c13488"</definedName>
    <definedName name="IQ_YTD">3000</definedName>
    <definedName name="IQ_YTDMONTH" hidden="1">130000</definedName>
    <definedName name="IQ_YTW" hidden="1">"c2163"</definedName>
    <definedName name="IQ_YTW_DATE" hidden="1">"c2164"</definedName>
    <definedName name="IQ_YTW_DATE_TYPE" hidden="1">"c2165"</definedName>
    <definedName name="IQ_Z_SCORE" hidden="1">"c1339"</definedName>
    <definedName name="IR">#REF!</definedName>
    <definedName name="IssueMultiplier">#REF!</definedName>
    <definedName name="jhk" localSheetId="1" hidden="1">{"print 1",#N/A,FALSE,"PrimeCo PCS";"print 2",#N/A,FALSE,"PrimeCo PCS";"valuation",#N/A,FALSE,"PrimeCo PCS"}</definedName>
    <definedName name="jhk" localSheetId="2" hidden="1">{"print 1",#N/A,FALSE,"PrimeCo PCS";"print 2",#N/A,FALSE,"PrimeCo PCS";"valuation",#N/A,FALSE,"PrimeCo PCS"}</definedName>
    <definedName name="jhk" localSheetId="19" hidden="1">{"print 1",#N/A,FALSE,"PrimeCo PCS";"print 2",#N/A,FALSE,"PrimeCo PCS";"valuation",#N/A,FALSE,"PrimeCo PCS"}</definedName>
    <definedName name="jhk" localSheetId="21" hidden="1">{"print 1",#N/A,FALSE,"PrimeCo PCS";"print 2",#N/A,FALSE,"PrimeCo PCS";"valuation",#N/A,FALSE,"PrimeCo PCS"}</definedName>
    <definedName name="jhk" hidden="1">{"print 1",#N/A,FALSE,"PrimeCo PCS";"print 2",#N/A,FALSE,"PrimeCo PCS";"valuation",#N/A,FALSE,"PrimeCo PCS"}</definedName>
    <definedName name="KeyData">#REF!</definedName>
    <definedName name="Keydriver1">#REF!</definedName>
    <definedName name="Keydriver2">#REF!</definedName>
    <definedName name="Keydriver3">#REF!</definedName>
    <definedName name="Keydriver4">#REF!</definedName>
    <definedName name="kk" localSheetId="1" hidden="1">{"Tarifica91",#N/A,FALSE,"Tariffs";"Tarifica92",#N/A,FALSE,"Tariffs";"Tarifica93",#N/A,FALSE,"Tariffs";"Tarifica94",#N/A,FALSE,"Tariffs";"Tarifica95",#N/A,FALSE,"Tariffs";"Tarifica96",#N/A,FALSE,"Tariffs"}</definedName>
    <definedName name="kk" localSheetId="2" hidden="1">{"Tarifica91",#N/A,FALSE,"Tariffs";"Tarifica92",#N/A,FALSE,"Tariffs";"Tarifica93",#N/A,FALSE,"Tariffs";"Tarifica94",#N/A,FALSE,"Tariffs";"Tarifica95",#N/A,FALSE,"Tariffs";"Tarifica96",#N/A,FALSE,"Tariffs"}</definedName>
    <definedName name="kk" localSheetId="19" hidden="1">{"Tarifica91",#N/A,FALSE,"Tariffs";"Tarifica92",#N/A,FALSE,"Tariffs";"Tarifica93",#N/A,FALSE,"Tariffs";"Tarifica94",#N/A,FALSE,"Tariffs";"Tarifica95",#N/A,FALSE,"Tariffs";"Tarifica96",#N/A,FALSE,"Tariffs"}</definedName>
    <definedName name="kk" localSheetId="21" hidden="1">{"Tarifica91",#N/A,FALSE,"Tariffs";"Tarifica92",#N/A,FALSE,"Tariffs";"Tarifica93",#N/A,FALSE,"Tariffs";"Tarifica94",#N/A,FALSE,"Tariffs";"Tarifica95",#N/A,FALSE,"Tariffs";"Tarifica96",#N/A,FALSE,"Tariffs"}</definedName>
    <definedName name="kk" hidden="1">{"Tarifica91",#N/A,FALSE,"Tariffs";"Tarifica92",#N/A,FALSE,"Tariffs";"Tarifica93",#N/A,FALSE,"Tariffs";"Tarifica94",#N/A,FALSE,"Tariffs";"Tarifica95",#N/A,FALSE,"Tariffs";"Tarifica96",#N/A,FALSE,"Tariffs"}</definedName>
    <definedName name="L_ALL_ABBN.S" localSheetId="2">#REF!</definedName>
    <definedName name="L_ALL_ABBN.S">#REF!</definedName>
    <definedName name="L_ALL_AIR.PA" localSheetId="2">#REF!</definedName>
    <definedName name="L_ALL_AIR.PA" localSheetId="12">#REF!</definedName>
    <definedName name="L_ALL_AIR.PA" localSheetId="23">#REF!</definedName>
    <definedName name="L_ALL_AIR.PA">#REF!</definedName>
    <definedName name="L_ALL_AIR.PA_" localSheetId="24">#REF!</definedName>
    <definedName name="L_ALL_AIR.PA_" localSheetId="18">#REF!</definedName>
    <definedName name="L_ALL_AIR.PA_" localSheetId="12">#REF!</definedName>
    <definedName name="L_ALL_AIR.PA_" localSheetId="23">#REF!</definedName>
    <definedName name="L_ALL_AIR.PA_" localSheetId="19">#REF!</definedName>
    <definedName name="L_ALL_AIR.PA_" localSheetId="21">#REF!</definedName>
    <definedName name="L_ALL_AIR.PA_">#REF!</definedName>
    <definedName name="L_ALL_ATCOa.ST">#REF!</definedName>
    <definedName name="L_ALL_AVMD.PA" localSheetId="2">#REF!</definedName>
    <definedName name="L_ALL_AVMD.PA">#REF!</definedName>
    <definedName name="L_ALL_BAES.L" localSheetId="2">#REF!</definedName>
    <definedName name="L_ALL_BAES.L" localSheetId="12">#REF!</definedName>
    <definedName name="L_ALL_BAES.L" localSheetId="23">#REF!</definedName>
    <definedName name="L_ALL_BAES.L">#REF!</definedName>
    <definedName name="L_ALL_BAES.L_" localSheetId="24">#REF!</definedName>
    <definedName name="L_ALL_BAES.L_" localSheetId="18">#REF!</definedName>
    <definedName name="L_ALL_BAES.L_" localSheetId="12">#REF!</definedName>
    <definedName name="L_ALL_BAES.L_" localSheetId="23">#REF!</definedName>
    <definedName name="L_ALL_BAES.L_" localSheetId="19">#REF!</definedName>
    <definedName name="L_ALL_BAES.L_" localSheetId="21">#REF!</definedName>
    <definedName name="L_ALL_BAES.L_">#REF!</definedName>
    <definedName name="L_ALL_COB.L" localSheetId="2">#REF!</definedName>
    <definedName name="L_ALL_COB.L" localSheetId="12">#REF!</definedName>
    <definedName name="L_ALL_COB.L" localSheetId="23">#REF!</definedName>
    <definedName name="L_ALL_COB.L">#REF!</definedName>
    <definedName name="L_ALL_DTGGe.DE">#REF!</definedName>
    <definedName name="L_ALL_EAD.PA" localSheetId="2">#REF!</definedName>
    <definedName name="L_ALL_EAD.PA" localSheetId="12">#REF!</definedName>
    <definedName name="L_ALL_EAD.PA">#REF!</definedName>
    <definedName name="L_ALL_KEYWORDS_TYPE_ScalarContributed_EQTY_200000267">#REF!,#REF!</definedName>
    <definedName name="L_ALL_KEYWORDS_TYPE_ScalarContributed_EQTY_200003162" localSheetId="2">#REF!,#REF!</definedName>
    <definedName name="L_ALL_KEYWORDS_TYPE_ScalarContributed_EQTY_200003162" localSheetId="12">#REF!,#REF!</definedName>
    <definedName name="L_ALL_KEYWORDS_TYPE_ScalarContributed_EQTY_200003162">#REF!,#REF!</definedName>
    <definedName name="L_ALL_KEYWORDS_TYPE_ScalarContributed_EQTY_200003170" localSheetId="2">#REF!,#REF!</definedName>
    <definedName name="L_ALL_KEYWORDS_TYPE_ScalarContributed_EQTY_200003170" localSheetId="12">#REF!,#REF!</definedName>
    <definedName name="L_ALL_KEYWORDS_TYPE_ScalarContributed_EQTY_200003170">#REF!,#REF!</definedName>
    <definedName name="L_ALL_KEYWORDS_TYPE_ScalarContributed_EQTY_200003173" localSheetId="2">#REF!,#REF!</definedName>
    <definedName name="L_ALL_KEYWORDS_TYPE_ScalarContributed_EQTY_200003173" localSheetId="12">#REF!,#REF!</definedName>
    <definedName name="L_ALL_KEYWORDS_TYPE_ScalarContributed_EQTY_200003173">#REF!,#REF!</definedName>
    <definedName name="L_ALL_KEYWORDS_TYPE_ScalarContributed_EQTY_200003183" localSheetId="2">#REF!,#REF!</definedName>
    <definedName name="L_ALL_KEYWORDS_TYPE_ScalarContributed_EQTY_200003183" localSheetId="12">#REF!,#REF!</definedName>
    <definedName name="L_ALL_KEYWORDS_TYPE_ScalarContributed_EQTY_200003183">#REF!,#REF!</definedName>
    <definedName name="L_ALL_KEYWORDS_TYPE_ScalarContributed_EQTY_200003821" localSheetId="2">#REF!,#REF!</definedName>
    <definedName name="L_ALL_KEYWORDS_TYPE_ScalarContributed_EQTY_200003821" localSheetId="12">#REF!,#REF!</definedName>
    <definedName name="L_ALL_KEYWORDS_TYPE_ScalarContributed_EQTY_200003821">#REF!,#REF!</definedName>
    <definedName name="L_ALL_KEYWORDS_TYPE_ScalarContributed_EQTY_200004285" localSheetId="2">#REF!,#REF!</definedName>
    <definedName name="L_ALL_KEYWORDS_TYPE_ScalarContributed_EQTY_200004285">#REF!,#REF!</definedName>
    <definedName name="L_ALL_KEYWORDS_TYPE_ScalarContributed_EQTY_200005121" localSheetId="2">#REF!,#REF!</definedName>
    <definedName name="L_ALL_KEYWORDS_TYPE_ScalarContributed_EQTY_200005121" localSheetId="12">#REF!,#REF!</definedName>
    <definedName name="L_ALL_KEYWORDS_TYPE_ScalarContributed_EQTY_200005121">#REF!,#REF!</definedName>
    <definedName name="L_ALL_KEYWORDS_TYPE_ScalarContributed_EQTY_200007513" localSheetId="2">#REF!,#REF!</definedName>
    <definedName name="L_ALL_KEYWORDS_TYPE_ScalarContributed_EQTY_200007513" localSheetId="12">#REF!,#REF!</definedName>
    <definedName name="L_ALL_KEYWORDS_TYPE_ScalarContributed_EQTY_200007513">#REF!,#REF!</definedName>
    <definedName name="L_ALL_KEYWORDS_TYPE_ScalarContributed_EQTY_200008448">#REF!,#REF!,#REF!</definedName>
    <definedName name="L_ALL_KEYWORDS_TYPE_ScalarContributed_EQTY_200009618" localSheetId="2">#REF!,#REF!</definedName>
    <definedName name="L_ALL_KEYWORDS_TYPE_ScalarContributed_EQTY_200009618" localSheetId="12">#REF!,#REF!</definedName>
    <definedName name="L_ALL_KEYWORDS_TYPE_ScalarContributed_EQTY_200009618">#REF!,#REF!</definedName>
    <definedName name="L_ALL_KEYWORDS_TYPE_ScalarContributed_EQTY_200009619" localSheetId="2">#REF!,#REF!</definedName>
    <definedName name="L_ALL_KEYWORDS_TYPE_ScalarContributed_EQTY_200009619" localSheetId="12">#REF!,#REF!</definedName>
    <definedName name="L_ALL_KEYWORDS_TYPE_ScalarContributed_EQTY_200009619">#REF!,#REF!</definedName>
    <definedName name="L_ALL_KEYWORDS_TYPE_ScalarContributed_EQTY_200009620" localSheetId="2">#REF!,#REF!</definedName>
    <definedName name="L_ALL_KEYWORDS_TYPE_ScalarContributed_EQTY_200009620" localSheetId="12">#REF!,#REF!</definedName>
    <definedName name="L_ALL_KEYWORDS_TYPE_ScalarContributed_EQTY_200009620">#REF!,#REF!</definedName>
    <definedName name="L_ALL_KEYWORDS_TYPE_ScalarContributed_EQTY_200011295" localSheetId="2">#REF!,#REF!</definedName>
    <definedName name="L_ALL_KEYWORDS_TYPE_ScalarContributed_EQTY_200011295">#REF!,#REF!</definedName>
    <definedName name="L_ALL_KEYWORDS_TYPE_ScalarContributed_ISSR_208000023">#REF!,#REF!,#REF!,#REF!,#REF!,#REF!,#REF!,#REF!,#REF!,#REF!</definedName>
    <definedName name="L_ALL_KEYWORDS_TYPE_ScalarContributed_ISSR_208001092" localSheetId="2">#REF!,#REF!</definedName>
    <definedName name="L_ALL_KEYWORDS_TYPE_ScalarContributed_ISSR_208001092">#REF!,#REF!</definedName>
    <definedName name="L_ALL_KEYWORDS_TYPE_ScalarContributed_ISSR_208001095" localSheetId="2">#REF!,#REF!</definedName>
    <definedName name="L_ALL_KEYWORDS_TYPE_ScalarContributed_ISSR_208001095">#REF!,#REF!</definedName>
    <definedName name="L_ALL_KEYWORDS_TYPE_ScalarContributed_ISSR_208001100" localSheetId="2">#REF!,#REF!</definedName>
    <definedName name="L_ALL_KEYWORDS_TYPE_ScalarContributed_ISSR_208001100">#REF!,#REF!</definedName>
    <definedName name="L_ALL_KEYWORDS_TYPE_ScalarContributed_ISSR_208001219" localSheetId="2">#REF!,#REF!,#REF!,#REF!,#REF!,#REF!,#REF!,#REF!</definedName>
    <definedName name="L_ALL_KEYWORDS_TYPE_ScalarContributed_ISSR_208001219">#REF!,#REF!,#REF!,#REF!,#REF!,#REF!,#REF!,#REF!</definedName>
    <definedName name="L_ALL_KEYWORDS_TYPE_ScalarContributed_ISSR_208001433" localSheetId="2">#REF!,#REF!</definedName>
    <definedName name="L_ALL_KEYWORDS_TYPE_ScalarContributed_ISSR_208001433" localSheetId="23">#REF!,#REF!</definedName>
    <definedName name="L_ALL_KEYWORDS_TYPE_ScalarContributed_ISSR_208001433">#REF!,#REF!</definedName>
    <definedName name="L_ALL_KEYWORDS_TYPE_ScalarContributed_ISSR_208006659" localSheetId="2">#REF!,#REF!,#REF!</definedName>
    <definedName name="L_ALL_KEYWORDS_TYPE_ScalarContributed_ISSR_208006659" localSheetId="19">#REF!,#REF!,#REF!</definedName>
    <definedName name="L_ALL_KEYWORDS_TYPE_ScalarContributed_ISSR_208006659">#REF!,#REF!,#REF!</definedName>
    <definedName name="L_ALL_KEYWORDS_TYPE_ScalarContributed_ISSR_208007415" localSheetId="2">#REF!,#REF!</definedName>
    <definedName name="L_ALL_KEYWORDS_TYPE_ScalarContributed_ISSR_208007415">#REF!,#REF!</definedName>
    <definedName name="L_ALL_KEYWORDS_TYPE_ScalarContributed_ISSR_208008646" localSheetId="2">#REF!,#REF!</definedName>
    <definedName name="L_ALL_KEYWORDS_TYPE_ScalarContributed_ISSR_208008646">#REF!,#REF!</definedName>
    <definedName name="L_ALL_KEYWORDS_TYPE_ScalarReference_EQTY_200007513" localSheetId="24">#REF!</definedName>
    <definedName name="L_ALL_KEYWORDS_TYPE_ScalarReference_EQTY_200007513" localSheetId="18">#REF!</definedName>
    <definedName name="L_ALL_KEYWORDS_TYPE_ScalarReference_EQTY_200007513" localSheetId="12">#REF!</definedName>
    <definedName name="L_ALL_KEYWORDS_TYPE_ScalarReference_EQTY_200007513" localSheetId="23">#REF!</definedName>
    <definedName name="L_ALL_KEYWORDS_TYPE_ScalarReference_EQTY_200007513" localSheetId="19">#REF!</definedName>
    <definedName name="L_ALL_KEYWORDS_TYPE_ScalarReference_EQTY_200007513" localSheetId="21">#REF!</definedName>
    <definedName name="L_ALL_KEYWORDS_TYPE_ScalarReference_EQTY_200007513">#REF!</definedName>
    <definedName name="L_ALL_KEYWORDS_TYPE_ScalarReference_ISSR_208002861" localSheetId="24">#REF!</definedName>
    <definedName name="L_ALL_KEYWORDS_TYPE_ScalarReference_ISSR_208002861" localSheetId="18">#REF!</definedName>
    <definedName name="L_ALL_KEYWORDS_TYPE_ScalarReference_ISSR_208002861" localSheetId="12">#REF!</definedName>
    <definedName name="L_ALL_KEYWORDS_TYPE_ScalarReference_ISSR_208002861" localSheetId="23">#REF!</definedName>
    <definedName name="L_ALL_KEYWORDS_TYPE_ScalarReference_ISSR_208002861" localSheetId="19">#REF!</definedName>
    <definedName name="L_ALL_KEYWORDS_TYPE_ScalarReference_ISSR_208002861" localSheetId="21">#REF!</definedName>
    <definedName name="L_ALL_KEYWORDS_TYPE_ScalarReference_ISSR_208002861">#REF!</definedName>
    <definedName name="L_ALL_KEYWORDS_TYPE_Vector_EQTY_200000267">#REF!,#REF!,#REF!,#REF!,#REF!</definedName>
    <definedName name="L_ALL_KEYWORDS_TYPE_Vector_EQTY_200003162" localSheetId="2">#REF!,#REF!,#REF!,#REF!,#REF!</definedName>
    <definedName name="L_ALL_KEYWORDS_TYPE_Vector_EQTY_200003162" localSheetId="12">#REF!,#REF!,#REF!,#REF!,#REF!</definedName>
    <definedName name="L_ALL_KEYWORDS_TYPE_Vector_EQTY_200003162">#REF!,#REF!,#REF!,#REF!,#REF!</definedName>
    <definedName name="L_ALL_KEYWORDS_TYPE_Vector_EQTY_200003169" localSheetId="2">#REF!,#REF!,#REF!,#REF!,#REF!</definedName>
    <definedName name="L_ALL_KEYWORDS_TYPE_Vector_EQTY_200003169">#REF!,#REF!,#REF!,#REF!,#REF!</definedName>
    <definedName name="L_ALL_KEYWORDS_TYPE_Vector_EQTY_200003170" localSheetId="2">#REF!,#REF!,#REF!,#REF!,#REF!</definedName>
    <definedName name="L_ALL_KEYWORDS_TYPE_Vector_EQTY_200003170" localSheetId="12">#REF!,#REF!,#REF!,#REF!,#REF!</definedName>
    <definedName name="L_ALL_KEYWORDS_TYPE_Vector_EQTY_200003170">#REF!,#REF!,#REF!,#REF!,#REF!</definedName>
    <definedName name="L_ALL_KEYWORDS_TYPE_Vector_EQTY_200003173" localSheetId="2">#REF!,#REF!,#REF!,#REF!,#REF!</definedName>
    <definedName name="L_ALL_KEYWORDS_TYPE_Vector_EQTY_200003173" localSheetId="12">#REF!,#REF!,#REF!,#REF!,#REF!</definedName>
    <definedName name="L_ALL_KEYWORDS_TYPE_Vector_EQTY_200003173">#REF!,#REF!,#REF!,#REF!,#REF!</definedName>
    <definedName name="L_ALL_KEYWORDS_TYPE_Vector_EQTY_200003183" localSheetId="2">#REF!,#REF!,#REF!,#REF!,#REF!</definedName>
    <definedName name="L_ALL_KEYWORDS_TYPE_Vector_EQTY_200003183" localSheetId="12">#REF!,#REF!,#REF!,#REF!,#REF!</definedName>
    <definedName name="L_ALL_KEYWORDS_TYPE_Vector_EQTY_200003183">#REF!,#REF!,#REF!,#REF!,#REF!</definedName>
    <definedName name="L_ALL_KEYWORDS_TYPE_Vector_EQTY_200003821" localSheetId="2">#REF!,#REF!,#REF!,#REF!,#REF!</definedName>
    <definedName name="L_ALL_KEYWORDS_TYPE_Vector_EQTY_200003821" localSheetId="12">#REF!,#REF!,#REF!,#REF!,#REF!</definedName>
    <definedName name="L_ALL_KEYWORDS_TYPE_Vector_EQTY_200003821">#REF!,#REF!,#REF!,#REF!,#REF!</definedName>
    <definedName name="L_ALL_KEYWORDS_TYPE_Vector_EQTY_200004285" localSheetId="2">#REF!,#REF!,#REF!,#REF!,#REF!</definedName>
    <definedName name="L_ALL_KEYWORDS_TYPE_Vector_EQTY_200004285">#REF!,#REF!,#REF!,#REF!,#REF!</definedName>
    <definedName name="L_ALL_KEYWORDS_TYPE_Vector_EQTY_200005121" localSheetId="2">#REF!,#REF!,#REF!,#REF!,#REF!</definedName>
    <definedName name="L_ALL_KEYWORDS_TYPE_Vector_EQTY_200005121" localSheetId="12">#REF!,#REF!,#REF!,#REF!,#REF!</definedName>
    <definedName name="L_ALL_KEYWORDS_TYPE_Vector_EQTY_200005121" localSheetId="23">#REF!,#REF!,#REF!,#REF!,#REF!</definedName>
    <definedName name="L_ALL_KEYWORDS_TYPE_Vector_EQTY_200005121">#REF!,#REF!,#REF!,#REF!,#REF!</definedName>
    <definedName name="L_ALL_KEYWORDS_TYPE_Vector_EQTY_200007513" localSheetId="2">#REF!,#REF!,#REF!,#REF!,#REF!</definedName>
    <definedName name="L_ALL_KEYWORDS_TYPE_Vector_EQTY_200007513" localSheetId="12">#REF!,#REF!,#REF!,#REF!,#REF!</definedName>
    <definedName name="L_ALL_KEYWORDS_TYPE_Vector_EQTY_200007513">#REF!,#REF!,#REF!,#REF!,#REF!</definedName>
    <definedName name="L_ALL_KEYWORDS_TYPE_Vector_EQTY_200008448" localSheetId="2">#REF!,#REF!,#REF!,#REF!,#REF!</definedName>
    <definedName name="L_ALL_KEYWORDS_TYPE_Vector_EQTY_200008448" localSheetId="12">#REF!,#REF!,#REF!,#REF!,#REF!</definedName>
    <definedName name="L_ALL_KEYWORDS_TYPE_Vector_EQTY_200008448" localSheetId="19">#REF!,#REF!,#REF!,#REF!,#REF!</definedName>
    <definedName name="L_ALL_KEYWORDS_TYPE_Vector_EQTY_200008448">#REF!,#REF!,#REF!,#REF!,#REF!</definedName>
    <definedName name="L_ALL_KEYWORDS_TYPE_Vector_EQTY_200009618" localSheetId="2">#REF!,#REF!,#REF!,#REF!,#REF!</definedName>
    <definedName name="L_ALL_KEYWORDS_TYPE_Vector_EQTY_200009618" localSheetId="12">#REF!,#REF!,#REF!,#REF!,#REF!</definedName>
    <definedName name="L_ALL_KEYWORDS_TYPE_Vector_EQTY_200009618">#REF!,#REF!,#REF!,#REF!,#REF!</definedName>
    <definedName name="L_ALL_KEYWORDS_TYPE_Vector_EQTY_200009619" localSheetId="2">#REF!,#REF!,#REF!,#REF!,#REF!</definedName>
    <definedName name="L_ALL_KEYWORDS_TYPE_Vector_EQTY_200009619" localSheetId="12">#REF!,#REF!,#REF!,#REF!,#REF!</definedName>
    <definedName name="L_ALL_KEYWORDS_TYPE_Vector_EQTY_200009619">#REF!,#REF!,#REF!,#REF!,#REF!</definedName>
    <definedName name="L_ALL_KEYWORDS_TYPE_Vector_EQTY_200009620" localSheetId="2">#REF!,#REF!,#REF!,#REF!,#REF!</definedName>
    <definedName name="L_ALL_KEYWORDS_TYPE_Vector_EQTY_200009620" localSheetId="12">#REF!,#REF!,#REF!,#REF!,#REF!</definedName>
    <definedName name="L_ALL_KEYWORDS_TYPE_Vector_EQTY_200009620">#REF!,#REF!,#REF!,#REF!,#REF!</definedName>
    <definedName name="L_ALL_KEYWORDS_TYPE_Vector_EQTY_200011295" localSheetId="2">#REF!,#REF!,#REF!,#REF!,#REF!</definedName>
    <definedName name="L_ALL_KEYWORDS_TYPE_Vector_EQTY_200011295" localSheetId="12">#REF!,#REF!,#REF!,#REF!,#REF!</definedName>
    <definedName name="L_ALL_KEYWORDS_TYPE_Vector_EQTY_200011295">#REF!,#REF!,#REF!,#REF!,#REF!</definedName>
    <definedName name="L_ALL_KEYWORDS_TYPE_Vector_ISSR_208000023">#REF!,#REF!,#REF!,#REF!,#REF!,#REF!,#REF!,#REF!,#REF!,#REF!,#REF!,#REF!,#REF!,#REF!,#REF!,#REF!,#REF!,#REF!,#REF!,#REF!,#REF!,#REF!,#REF!,#REF!,#REF!</definedName>
    <definedName name="L_ALL_KEYWORDS_TYPE_Vector_ISSR_208001092" localSheetId="2">#REF!,#REF!,#REF!,#REF!,#REF!,#REF!,#REF!,#REF!,#REF!,#REF!,#REF!,#REF!,#REF!,#REF!,#REF!,#REF!,#REF!,#REF!,#REF!,#REF!,#REF!,#REF!,#REF!,#REF!,#REF!,#REF!</definedName>
    <definedName name="L_ALL_KEYWORDS_TYPE_Vector_ISSR_208001092" localSheetId="12">#REF!,#REF!,#REF!,#REF!,#REF!,#REF!,#REF!,#REF!,#REF!,#REF!,#REF!,#REF!,#REF!,#REF!,#REF!,#REF!,#REF!,#REF!,#REF!,#REF!,#REF!,#REF!,#REF!,#REF!,#REF!,#REF!</definedName>
    <definedName name="L_ALL_KEYWORDS_TYPE_Vector_ISSR_208001092">#REF!,#REF!,#REF!,#REF!,#REF!,#REF!,#REF!,#REF!,#REF!,#REF!,#REF!,#REF!,#REF!,#REF!,#REF!,#REF!,#REF!,#REF!,#REF!,#REF!,#REF!,#REF!,#REF!,#REF!,#REF!,#REF!</definedName>
    <definedName name="L_ALL_KEYWORDS_TYPE_Vector_ISSR_208001095" localSheetId="2">#REF!,#REF!,#REF!,#REF!,#REF!,#REF!,#REF!,#REF!,#REF!,#REF!,#REF!,#REF!,#REF!,#REF!</definedName>
    <definedName name="L_ALL_KEYWORDS_TYPE_Vector_ISSR_208001095">#REF!,#REF!,#REF!,#REF!,#REF!,#REF!,#REF!,#REF!,#REF!,#REF!,#REF!,#REF!,#REF!,#REF!</definedName>
    <definedName name="L_ALL_KEYWORDS_TYPE_Vector_ISSR_208001096" localSheetId="2">#REF!,#REF!,#REF!,#REF!,#REF!,#REF!,#REF!,#REF!,#REF!,#REF!,#REF!,#REF!,#REF!,#REF!,#REF!,#REF!,#REF!,#REF!,#REF!,#REF!,#REF!,#REF!,#REF!,#REF!,#REF!,#REF!</definedName>
    <definedName name="L_ALL_KEYWORDS_TYPE_Vector_ISSR_208001096" localSheetId="12">#REF!,#REF!,#REF!,#REF!,#REF!,#REF!,#REF!,#REF!,#REF!,#REF!,#REF!,#REF!,#REF!,#REF!,#REF!,#REF!,#REF!,#REF!,#REF!,#REF!,#REF!,#REF!,#REF!,#REF!,#REF!,#REF!</definedName>
    <definedName name="L_ALL_KEYWORDS_TYPE_Vector_ISSR_208001096">#REF!,#REF!,#REF!,#REF!,#REF!,#REF!,#REF!,#REF!,#REF!,#REF!,#REF!,#REF!,#REF!,#REF!,#REF!,#REF!,#REF!,#REF!,#REF!,#REF!,#REF!,#REF!,#REF!,#REF!,#REF!,#REF!</definedName>
    <definedName name="L_ALL_KEYWORDS_TYPE_Vector_ISSR_208001098" localSheetId="2">#REF!,#REF!,#REF!,#REF!,#REF!,#REF!,#REF!,#REF!,#REF!,#REF!,#REF!,#REF!,#REF!,#REF!,#REF!,#REF!,#REF!,#REF!,#REF!,#REF!,#REF!,#REF!,#REF!,#REF!,#REF!,#REF!</definedName>
    <definedName name="L_ALL_KEYWORDS_TYPE_Vector_ISSR_208001098" localSheetId="12">#REF!,#REF!,#REF!,#REF!,#REF!,#REF!,#REF!,#REF!,#REF!,#REF!,#REF!,#REF!,#REF!,#REF!,#REF!,#REF!,#REF!,#REF!,#REF!,#REF!,#REF!,#REF!,#REF!,#REF!,#REF!,#REF!</definedName>
    <definedName name="L_ALL_KEYWORDS_TYPE_Vector_ISSR_208001098">#REF!,#REF!,#REF!,#REF!,#REF!,#REF!,#REF!,#REF!,#REF!,#REF!,#REF!,#REF!,#REF!,#REF!,#REF!,#REF!,#REF!,#REF!,#REF!,#REF!,#REF!,#REF!,#REF!,#REF!,#REF!,#REF!</definedName>
    <definedName name="L_ALL_KEYWORDS_TYPE_Vector_ISSR_208001100" localSheetId="2">#REF!,#REF!,#REF!,#REF!,#REF!,#REF!,#REF!,#REF!,#REF!,#REF!,#REF!,#REF!,#REF!,#REF!,#REF!,#REF!,#REF!,#REF!,#REF!,#REF!,#REF!,#REF!,#REF!,#REF!,#REF!,#REF!</definedName>
    <definedName name="L_ALL_KEYWORDS_TYPE_Vector_ISSR_208001100" localSheetId="12">#REF!,#REF!,#REF!,#REF!,#REF!,#REF!,#REF!,#REF!,#REF!,#REF!,#REF!,#REF!,#REF!,#REF!,#REF!,#REF!,#REF!,#REF!,#REF!,#REF!,#REF!,#REF!,#REF!,#REF!,#REF!,#REF!</definedName>
    <definedName name="L_ALL_KEYWORDS_TYPE_Vector_ISSR_208001100">#REF!,#REF!,#REF!,#REF!,#REF!,#REF!,#REF!,#REF!,#REF!,#REF!,#REF!,#REF!,#REF!,#REF!,#REF!,#REF!,#REF!,#REF!,#REF!,#REF!,#REF!,#REF!,#REF!,#REF!,#REF!,#REF!</definedName>
    <definedName name="L_ALL_KEYWORDS_TYPE_Vector_ISSR_208001129" localSheetId="2">#REF!,#REF!,#REF!,#REF!,#REF!,#REF!,#REF!,#REF!,#REF!,#REF!,#REF!,#REF!,#REF!,#REF!,#REF!,#REF!,#REF!,#REF!,#REF!,#REF!,#REF!,#REF!,#REF!,#REF!,#REF!,#REF!</definedName>
    <definedName name="L_ALL_KEYWORDS_TYPE_Vector_ISSR_208001129" localSheetId="12">#REF!,#REF!,#REF!,#REF!,#REF!,#REF!,#REF!,#REF!,#REF!,#REF!,#REF!,#REF!,#REF!,#REF!,#REF!,#REF!,#REF!,#REF!,#REF!,#REF!,#REF!,#REF!,#REF!,#REF!,#REF!,#REF!</definedName>
    <definedName name="L_ALL_KEYWORDS_TYPE_Vector_ISSR_208001129">#REF!,#REF!,#REF!,#REF!,#REF!,#REF!,#REF!,#REF!,#REF!,#REF!,#REF!,#REF!,#REF!,#REF!,#REF!,#REF!,#REF!,#REF!,#REF!,#REF!,#REF!,#REF!,#REF!,#REF!,#REF!,#REF!</definedName>
    <definedName name="L_ALL_KEYWORDS_TYPE_Vector_ISSR_208001219" localSheetId="2">#REF!,#REF!,#REF!,#REF!,#REF!,#REF!,#REF!,#REF!,#REF!,#REF!,#REF!,#REF!,#REF!,#REF!,#REF!,#REF!,#REF!,#REF!,#REF!</definedName>
    <definedName name="L_ALL_KEYWORDS_TYPE_Vector_ISSR_208001219">#REF!,#REF!,#REF!,#REF!,#REF!,#REF!,#REF!,#REF!,#REF!,#REF!,#REF!,#REF!,#REF!,#REF!,#REF!,#REF!,#REF!,#REF!,#REF!</definedName>
    <definedName name="L_ALL_KEYWORDS_TYPE_Vector_ISSR_208001433" localSheetId="2">#REF!,#REF!,#REF!,#REF!,#REF!,#REF!,#REF!,#REF!,#REF!,#REF!,#REF!,#REF!,#REF!,#REF!,#REF!,#REF!,#REF!,#REF!,#REF!,#REF!,#REF!,#REF!,#REF!,#REF!,#REF!,#REF!</definedName>
    <definedName name="L_ALL_KEYWORDS_TYPE_Vector_ISSR_208001433" localSheetId="12">#REF!,#REF!,#REF!,#REF!,#REF!,#REF!,#REF!,#REF!,#REF!,#REF!,#REF!,#REF!,#REF!,#REF!</definedName>
    <definedName name="L_ALL_KEYWORDS_TYPE_Vector_ISSR_208001433" localSheetId="23">#REF!,#REF!,#REF!,#REF!,#REF!,#REF!,#REF!,#REF!,#REF!,#REF!,#REF!,#REF!,#REF!,#REF!</definedName>
    <definedName name="L_ALL_KEYWORDS_TYPE_Vector_ISSR_208001433">#REF!,#REF!,#REF!,#REF!,#REF!,#REF!,#REF!,#REF!,#REF!,#REF!,#REF!,#REF!,#REF!,#REF!,#REF!,#REF!,#REF!,#REF!,#REF!,#REF!,#REF!,#REF!,#REF!,#REF!,#REF!,#REF!</definedName>
    <definedName name="L_ALL_KEYWORDS_TYPE_Vector_ISSR_208002861" localSheetId="2">#REF!,#REF!,#REF!,#REF!,#REF!,#REF!,#REF!,#REF!,#REF!,#REF!,#REF!,#REF!,#REF!,#REF!,#REF!,#REF!,#REF!,#REF!,#REF!,#REF!,#REF!,#REF!,#REF!,#REF!,#REF!,#REF!</definedName>
    <definedName name="L_ALL_KEYWORDS_TYPE_Vector_ISSR_208002861" localSheetId="12">#REF!,#REF!,#REF!,#REF!,#REF!,#REF!,#REF!,#REF!,#REF!,#REF!,#REF!,#REF!,#REF!,#REF!,#REF!,#REF!,#REF!,#REF!,#REF!,#REF!,#REF!,#REF!,#REF!,#REF!,#REF!,#REF!</definedName>
    <definedName name="L_ALL_KEYWORDS_TYPE_Vector_ISSR_208002861">#REF!,#REF!,#REF!,#REF!,#REF!,#REF!,#REF!,#REF!,#REF!,#REF!,#REF!,#REF!,#REF!,#REF!,#REF!,#REF!,#REF!,#REF!,#REF!,#REF!,#REF!,#REF!,#REF!,#REF!,#REF!,#REF!</definedName>
    <definedName name="L_ALL_KEYWORDS_TYPE_Vector_ISSR_208006659" localSheetId="2">#REF!,#REF!,#REF!,#REF!,#REF!,#REF!,#REF!,#REF!,#REF!,#REF!,#REF!,#REF!,#REF!,#REF!</definedName>
    <definedName name="L_ALL_KEYWORDS_TYPE_Vector_ISSR_208006659" localSheetId="12">#REF!,#REF!,#REF!,#REF!,#REF!,#REF!,#REF!,#REF!,#REF!,#REF!,#REF!,#REF!,#REF!,#REF!,#REF!,#REF!,#REF!,#REF!,#REF!,#REF!,#REF!,#REF!,#REF!,#REF!,#REF!,#REF!</definedName>
    <definedName name="L_ALL_KEYWORDS_TYPE_Vector_ISSR_208006659" localSheetId="19">#REF!,#REF!,#REF!,#REF!,#REF!,#REF!,#REF!,#REF!,#REF!,#REF!,#REF!,#REF!,#REF!,#REF!</definedName>
    <definedName name="L_ALL_KEYWORDS_TYPE_Vector_ISSR_208006659">#REF!,#REF!,#REF!,#REF!,#REF!,#REF!,#REF!,#REF!,#REF!,#REF!,#REF!,#REF!,#REF!,#REF!,#REF!,#REF!,#REF!,#REF!,#REF!,#REF!,#REF!,#REF!</definedName>
    <definedName name="L_ALL_KEYWORDS_TYPE_Vector_ISSR_208007413" localSheetId="2">#REF!,#REF!,#REF!,#REF!,#REF!,#REF!,#REF!,#REF!,#REF!,#REF!,#REF!,#REF!,#REF!,#REF!,#REF!,#REF!,#REF!,#REF!,#REF!,#REF!,#REF!,#REF!,#REF!,#REF!,#REF!,#REF!</definedName>
    <definedName name="L_ALL_KEYWORDS_TYPE_Vector_ISSR_208007413" localSheetId="12">#REF!,#REF!,#REF!,#REF!,#REF!,#REF!,#REF!,#REF!,#REF!,#REF!,#REF!,#REF!</definedName>
    <definedName name="L_ALL_KEYWORDS_TYPE_Vector_ISSR_208007413">#REF!,#REF!,#REF!,#REF!,#REF!,#REF!,#REF!,#REF!,#REF!,#REF!,#REF!,#REF!,#REF!,#REF!,#REF!,#REF!,#REF!,#REF!,#REF!,#REF!,#REF!,#REF!,#REF!,#REF!,#REF!,#REF!</definedName>
    <definedName name="L_ALL_KEYWORDS_TYPE_Vector_ISSR_208007414" localSheetId="2">#REF!,#REF!,#REF!,#REF!,#REF!,#REF!,#REF!,#REF!,#REF!</definedName>
    <definedName name="L_ALL_KEYWORDS_TYPE_Vector_ISSR_208007414" localSheetId="12">#REF!,#REF!,#REF!,#REF!,#REF!,#REF!,#REF!,#REF!,#REF!</definedName>
    <definedName name="L_ALL_KEYWORDS_TYPE_Vector_ISSR_208007414">#REF!,#REF!,#REF!,#REF!,#REF!,#REF!,#REF!,#REF!,#REF!</definedName>
    <definedName name="L_ALL_KEYWORDS_TYPE_Vector_ISSR_208007415" localSheetId="2">#REF!,#REF!,#REF!,#REF!,#REF!,#REF!,#REF!,#REF!,#REF!,#REF!,#REF!,#REF!,#REF!,#REF!,#REF!,#REF!,#REF!,#REF!,#REF!,#REF!,#REF!,#REF!,#REF!,#REF!,#REF!,#REF!</definedName>
    <definedName name="L_ALL_KEYWORDS_TYPE_Vector_ISSR_208007415" localSheetId="12">#REF!,#REF!,#REF!,#REF!,#REF!,#REF!,#REF!,#REF!,#REF!,#REF!,#REF!,#REF!,#REF!,#REF!</definedName>
    <definedName name="L_ALL_KEYWORDS_TYPE_Vector_ISSR_208007415">#REF!,#REF!,#REF!,#REF!,#REF!,#REF!,#REF!,#REF!,#REF!,#REF!,#REF!,#REF!,#REF!,#REF!,#REF!,#REF!,#REF!,#REF!,#REF!,#REF!,#REF!,#REF!,#REF!,#REF!,#REF!,#REF!</definedName>
    <definedName name="L_ALL_KEYWORDS_TYPE_Vector_ISSR_208008646" localSheetId="2">#REF!,#REF!,#REF!,#REF!,#REF!,#REF!,#REF!,#REF!,#REF!,#REF!,#REF!,#REF!,#REF!,#REF!</definedName>
    <definedName name="L_ALL_KEYWORDS_TYPE_Vector_ISSR_208008646" localSheetId="12">#REF!,#REF!,#REF!,#REF!,#REF!,#REF!,#REF!,#REF!,#REF!,#REF!,#REF!,#REF!,#REF!,#REF!,#REF!,#REF!,#REF!,#REF!,#REF!,#REF!,#REF!,#REF!,#REF!,#REF!,#REF!,#REF!</definedName>
    <definedName name="L_ALL_KEYWORDS_TYPE_Vector_ISSR_208008646">#REF!,#REF!,#REF!,#REF!,#REF!,#REF!,#REF!,#REF!,#REF!,#REF!,#REF!,#REF!,#REF!,#REF!</definedName>
    <definedName name="L_ALL_MGGT.L" localSheetId="2">#REF!</definedName>
    <definedName name="L_ALL_MGGT.L" localSheetId="12">#REF!</definedName>
    <definedName name="L_ALL_MGGT.L">#REF!</definedName>
    <definedName name="L_ALL_MTXGn.DE" localSheetId="2">#REF!</definedName>
    <definedName name="L_ALL_MTXGn.DE" localSheetId="12">#REF!</definedName>
    <definedName name="L_ALL_MTXGn.DE">#REF!</definedName>
    <definedName name="L_ALL_PERIODS_MTXGn.DE" localSheetId="24">#REF!</definedName>
    <definedName name="L_ALL_PERIODS_MTXGn.DE" localSheetId="18">#REF!</definedName>
    <definedName name="L_ALL_PERIODS_MTXGn.DE" localSheetId="12">#REF!</definedName>
    <definedName name="L_ALL_PERIODS_MTXGn.DE" localSheetId="23">#REF!</definedName>
    <definedName name="L_ALL_PERIODS_MTXGn.DE" localSheetId="19">#REF!</definedName>
    <definedName name="L_ALL_PERIODS_MTXGn.DE" localSheetId="21">#REF!</definedName>
    <definedName name="L_ALL_PERIODS_MTXGn.DE">#REF!</definedName>
    <definedName name="L_ALL_QQ.L" localSheetId="2">#REF!</definedName>
    <definedName name="L_ALL_QQ.L" localSheetId="12">#REF!</definedName>
    <definedName name="L_ALL_QQ.L">#REF!</definedName>
    <definedName name="L_ALL_RR.L" localSheetId="2">#REF!</definedName>
    <definedName name="L_ALL_RR.L" localSheetId="12">#REF!</definedName>
    <definedName name="L_ALL_RR.L">#REF!</definedName>
    <definedName name="L_ALL_SAABb.ST" localSheetId="2">#REF!</definedName>
    <definedName name="L_ALL_SAABb.ST" localSheetId="12">#REF!</definedName>
    <definedName name="L_ALL_SAABb.ST">#REF!</definedName>
    <definedName name="L_ALL_SAABb.ST_" localSheetId="24">#REF!</definedName>
    <definedName name="L_ALL_SAABb.ST_" localSheetId="18">#REF!</definedName>
    <definedName name="L_ALL_SAABb.ST_" localSheetId="12">#REF!</definedName>
    <definedName name="L_ALL_SAABb.ST_" localSheetId="23">#REF!</definedName>
    <definedName name="L_ALL_SAABb.ST_" localSheetId="19">#REF!</definedName>
    <definedName name="L_ALL_SAABb.ST_" localSheetId="21">#REF!</definedName>
    <definedName name="L_ALL_SAABb.ST_">#REF!</definedName>
    <definedName name="L_ALL_SAF.PA" localSheetId="13">#REF!</definedName>
    <definedName name="L_ALL_SAF.PA" localSheetId="12">#REF!</definedName>
    <definedName name="L_ALL_SAF.PA" localSheetId="19">#REF!</definedName>
    <definedName name="L_ALL_SAF.PA">#REF!</definedName>
    <definedName name="L_ALL_SAF.PA_" localSheetId="24">#REF!</definedName>
    <definedName name="L_ALL_SAF.PA_" localSheetId="18">#REF!</definedName>
    <definedName name="L_ALL_SAF.PA_" localSheetId="12">#REF!</definedName>
    <definedName name="L_ALL_SAF.PA_" localSheetId="23">#REF!</definedName>
    <definedName name="L_ALL_SAF.PA_" localSheetId="19">#REF!</definedName>
    <definedName name="L_ALL_SAF.PA_" localSheetId="21">#REF!</definedName>
    <definedName name="L_ALL_SAF.PA_">#REF!</definedName>
    <definedName name="L_ALL_SAND.ST">#REF!</definedName>
    <definedName name="L_ALL_SECTION_KEYWORDS_EQTY_200007513_1314" localSheetId="24">#REF!</definedName>
    <definedName name="L_ALL_SECTION_KEYWORDS_EQTY_200007513_1314" localSheetId="18">#REF!</definedName>
    <definedName name="L_ALL_SECTION_KEYWORDS_EQTY_200007513_1314" localSheetId="12">#REF!</definedName>
    <definedName name="L_ALL_SECTION_KEYWORDS_EQTY_200007513_1314" localSheetId="23">#REF!</definedName>
    <definedName name="L_ALL_SECTION_KEYWORDS_EQTY_200007513_1314" localSheetId="19">#REF!</definedName>
    <definedName name="L_ALL_SECTION_KEYWORDS_EQTY_200007513_1314" localSheetId="21">#REF!</definedName>
    <definedName name="L_ALL_SECTION_KEYWORDS_EQTY_200007513_1314">#REF!</definedName>
    <definedName name="L_ALL_SECTION_KEYWORDS_EQTY_200007513_131E" localSheetId="24">#REF!</definedName>
    <definedName name="L_ALL_SECTION_KEYWORDS_EQTY_200007513_131E" localSheetId="18">#REF!</definedName>
    <definedName name="L_ALL_SECTION_KEYWORDS_EQTY_200007513_131E" localSheetId="12">#REF!</definedName>
    <definedName name="L_ALL_SECTION_KEYWORDS_EQTY_200007513_131E" localSheetId="23">#REF!</definedName>
    <definedName name="L_ALL_SECTION_KEYWORDS_EQTY_200007513_131E" localSheetId="19">#REF!</definedName>
    <definedName name="L_ALL_SECTION_KEYWORDS_EQTY_200007513_131E" localSheetId="21">#REF!</definedName>
    <definedName name="L_ALL_SECTION_KEYWORDS_EQTY_200007513_131E">#REF!</definedName>
    <definedName name="L_ALL_SECTION_KEYWORDS_EQTY_200007513_131O" localSheetId="24">#REF!</definedName>
    <definedName name="L_ALL_SECTION_KEYWORDS_EQTY_200007513_131O" localSheetId="18">#REF!</definedName>
    <definedName name="L_ALL_SECTION_KEYWORDS_EQTY_200007513_131O" localSheetId="12">#REF!</definedName>
    <definedName name="L_ALL_SECTION_KEYWORDS_EQTY_200007513_131O" localSheetId="23">#REF!</definedName>
    <definedName name="L_ALL_SECTION_KEYWORDS_EQTY_200007513_131O" localSheetId="19">#REF!</definedName>
    <definedName name="L_ALL_SECTION_KEYWORDS_EQTY_200007513_131O" localSheetId="21">#REF!</definedName>
    <definedName name="L_ALL_SECTION_KEYWORDS_EQTY_200007513_131O">#REF!</definedName>
    <definedName name="L_ALL_SECTION_KEYWORDS_EQTY_200007513_13A" localSheetId="24">#REF!</definedName>
    <definedName name="L_ALL_SECTION_KEYWORDS_EQTY_200007513_13A" localSheetId="18">#REF!</definedName>
    <definedName name="L_ALL_SECTION_KEYWORDS_EQTY_200007513_13A" localSheetId="12">#REF!</definedName>
    <definedName name="L_ALL_SECTION_KEYWORDS_EQTY_200007513_13A" localSheetId="23">#REF!</definedName>
    <definedName name="L_ALL_SECTION_KEYWORDS_EQTY_200007513_13A" localSheetId="19">#REF!</definedName>
    <definedName name="L_ALL_SECTION_KEYWORDS_EQTY_200007513_13A" localSheetId="21">#REF!</definedName>
    <definedName name="L_ALL_SECTION_KEYWORDS_EQTY_200007513_13A">#REF!</definedName>
    <definedName name="L_ALL_SECTION_KEYWORDS_EQTY_200007513_13K" localSheetId="24">#REF!</definedName>
    <definedName name="L_ALL_SECTION_KEYWORDS_EQTY_200007513_13K" localSheetId="18">#REF!</definedName>
    <definedName name="L_ALL_SECTION_KEYWORDS_EQTY_200007513_13K" localSheetId="12">#REF!</definedName>
    <definedName name="L_ALL_SECTION_KEYWORDS_EQTY_200007513_13K" localSheetId="23">#REF!</definedName>
    <definedName name="L_ALL_SECTION_KEYWORDS_EQTY_200007513_13K" localSheetId="19">#REF!</definedName>
    <definedName name="L_ALL_SECTION_KEYWORDS_EQTY_200007513_13K" localSheetId="21">#REF!</definedName>
    <definedName name="L_ALL_SECTION_KEYWORDS_EQTY_200007513_13K">#REF!</definedName>
    <definedName name="L_ALL_SECTION_KEYWORDS_EQTY_200007513_13U" localSheetId="24">#REF!</definedName>
    <definedName name="L_ALL_SECTION_KEYWORDS_EQTY_200007513_13U" localSheetId="18">#REF!</definedName>
    <definedName name="L_ALL_SECTION_KEYWORDS_EQTY_200007513_13U" localSheetId="12">#REF!</definedName>
    <definedName name="L_ALL_SECTION_KEYWORDS_EQTY_200007513_13U" localSheetId="23">#REF!</definedName>
    <definedName name="L_ALL_SECTION_KEYWORDS_EQTY_200007513_13U" localSheetId="19">#REF!</definedName>
    <definedName name="L_ALL_SECTION_KEYWORDS_EQTY_200007513_13U" localSheetId="21">#REF!</definedName>
    <definedName name="L_ALL_SECTION_KEYWORDS_EQTY_200007513_13U">#REF!</definedName>
    <definedName name="L_ALL_SECTION_KEYWORDS_EQTY_200007513_13V" localSheetId="24">#REF!</definedName>
    <definedName name="L_ALL_SECTION_KEYWORDS_EQTY_200007513_13V" localSheetId="18">#REF!</definedName>
    <definedName name="L_ALL_SECTION_KEYWORDS_EQTY_200007513_13V" localSheetId="12">#REF!</definedName>
    <definedName name="L_ALL_SECTION_KEYWORDS_EQTY_200007513_13V" localSheetId="23">#REF!</definedName>
    <definedName name="L_ALL_SECTION_KEYWORDS_EQTY_200007513_13V" localSheetId="19">#REF!</definedName>
    <definedName name="L_ALL_SECTION_KEYWORDS_EQTY_200007513_13V" localSheetId="21">#REF!</definedName>
    <definedName name="L_ALL_SECTION_KEYWORDS_EQTY_200007513_13V">#REF!</definedName>
    <definedName name="L_ALL_SECTION_KEYWORDS_EQTY_200007513_Reference_Data" localSheetId="24">#REF!</definedName>
    <definedName name="L_ALL_SECTION_KEYWORDS_EQTY_200007513_Reference_Data" localSheetId="18">#REF!</definedName>
    <definedName name="L_ALL_SECTION_KEYWORDS_EQTY_200007513_Reference_Data" localSheetId="12">#REF!</definedName>
    <definedName name="L_ALL_SECTION_KEYWORDS_EQTY_200007513_Reference_Data" localSheetId="23">#REF!</definedName>
    <definedName name="L_ALL_SECTION_KEYWORDS_EQTY_200007513_Reference_Data" localSheetId="19">#REF!</definedName>
    <definedName name="L_ALL_SECTION_KEYWORDS_EQTY_200007513_Reference_Data" localSheetId="21">#REF!</definedName>
    <definedName name="L_ALL_SECTION_KEYWORDS_EQTY_200007513_Reference_Data">#REF!</definedName>
    <definedName name="L_ALL_SECTION_KEYWORDS_EQTY_200008448_13A">#REF!</definedName>
    <definedName name="L_ALL_SECTION_KEYWORDS_ISSR_208000023_13V">#REF!,#REF!</definedName>
    <definedName name="L_ALL_SECTION_KEYWORDS_ISSR_208001092_13V" localSheetId="2">#REF!,#REF!</definedName>
    <definedName name="L_ALL_SECTION_KEYWORDS_ISSR_208001092_13V">#REF!,#REF!</definedName>
    <definedName name="L_ALL_SECTION_KEYWORDS_ISSR_208001095_13V" localSheetId="2">#REF!,#REF!</definedName>
    <definedName name="L_ALL_SECTION_KEYWORDS_ISSR_208001095_13V">#REF!,#REF!</definedName>
    <definedName name="L_ALL_SECTION_KEYWORDS_ISSR_208001098_13173">#REF!,#REF!</definedName>
    <definedName name="L_ALL_SECTION_KEYWORDS_ISSR_208001098_13178">#REF!,#REF!</definedName>
    <definedName name="L_ALL_SECTION_KEYWORDS_ISSR_208001098_136J">#REF!,#REF!</definedName>
    <definedName name="L_ALL_SECTION_KEYWORDS_ISSR_208001100_13V" localSheetId="2">#REF!,#REF!</definedName>
    <definedName name="L_ALL_SECTION_KEYWORDS_ISSR_208001100_13V">#REF!,#REF!</definedName>
    <definedName name="L_ALL_SECTION_KEYWORDS_ISSR_208001219_136E" localSheetId="2">#REF!,#REF!</definedName>
    <definedName name="L_ALL_SECTION_KEYWORDS_ISSR_208001219_136E">#REF!,#REF!</definedName>
    <definedName name="L_ALL_SECTION_KEYWORDS_ISSR_208001433_13173" localSheetId="2">#REF!,#REF!</definedName>
    <definedName name="L_ALL_SECTION_KEYWORDS_ISSR_208001433_13173">#REF!,#REF!</definedName>
    <definedName name="L_ALL_SECTION_KEYWORDS_ISSR_208001433_13178">#REF!,#REF!</definedName>
    <definedName name="L_ALL_SECTION_KEYWORDS_ISSR_208001433_131O">#REF!,#REF!</definedName>
    <definedName name="L_ALL_SECTION_KEYWORDS_ISSR_208001433_136J" localSheetId="2">#REF!,#REF!</definedName>
    <definedName name="L_ALL_SECTION_KEYWORDS_ISSR_208001433_136J">#REF!,#REF!</definedName>
    <definedName name="L_ALL_SECTION_KEYWORDS_ISSR_208001433_13V" localSheetId="2">#REF!,#REF!</definedName>
    <definedName name="L_ALL_SECTION_KEYWORDS_ISSR_208001433_13V" localSheetId="23">#REF!,#REF!</definedName>
    <definedName name="L_ALL_SECTION_KEYWORDS_ISSR_208001433_13V">#REF!,#REF!</definedName>
    <definedName name="L_ALL_SECTION_KEYWORDS_ISSR_208002861_1314" localSheetId="24">#REF!</definedName>
    <definedName name="L_ALL_SECTION_KEYWORDS_ISSR_208002861_1314" localSheetId="18">#REF!</definedName>
    <definedName name="L_ALL_SECTION_KEYWORDS_ISSR_208002861_1314" localSheetId="12">#REF!</definedName>
    <definedName name="L_ALL_SECTION_KEYWORDS_ISSR_208002861_1314" localSheetId="23">#REF!</definedName>
    <definedName name="L_ALL_SECTION_KEYWORDS_ISSR_208002861_1314" localSheetId="19">#REF!</definedName>
    <definedName name="L_ALL_SECTION_KEYWORDS_ISSR_208002861_1314" localSheetId="21">#REF!</definedName>
    <definedName name="L_ALL_SECTION_KEYWORDS_ISSR_208002861_1314">#REF!</definedName>
    <definedName name="L_ALL_SECTION_KEYWORDS_ISSR_208002861_13168" localSheetId="24">#REF!</definedName>
    <definedName name="L_ALL_SECTION_KEYWORDS_ISSR_208002861_13168" localSheetId="18">#REF!</definedName>
    <definedName name="L_ALL_SECTION_KEYWORDS_ISSR_208002861_13168" localSheetId="12">#REF!</definedName>
    <definedName name="L_ALL_SECTION_KEYWORDS_ISSR_208002861_13168" localSheetId="23">#REF!</definedName>
    <definedName name="L_ALL_SECTION_KEYWORDS_ISSR_208002861_13168" localSheetId="19">#REF!</definedName>
    <definedName name="L_ALL_SECTION_KEYWORDS_ISSR_208002861_13168" localSheetId="21">#REF!</definedName>
    <definedName name="L_ALL_SECTION_KEYWORDS_ISSR_208002861_13168">#REF!</definedName>
    <definedName name="L_ALL_SECTION_KEYWORDS_ISSR_208002861_1316S" localSheetId="24">#REF!</definedName>
    <definedName name="L_ALL_SECTION_KEYWORDS_ISSR_208002861_1316S" localSheetId="18">#REF!</definedName>
    <definedName name="L_ALL_SECTION_KEYWORDS_ISSR_208002861_1316S" localSheetId="12">#REF!</definedName>
    <definedName name="L_ALL_SECTION_KEYWORDS_ISSR_208002861_1316S" localSheetId="23">#REF!</definedName>
    <definedName name="L_ALL_SECTION_KEYWORDS_ISSR_208002861_1316S" localSheetId="19">#REF!</definedName>
    <definedName name="L_ALL_SECTION_KEYWORDS_ISSR_208002861_1316S" localSheetId="21">#REF!</definedName>
    <definedName name="L_ALL_SECTION_KEYWORDS_ISSR_208002861_1316S">#REF!</definedName>
    <definedName name="L_ALL_SECTION_KEYWORDS_ISSR_208002861_1316T" localSheetId="24">#REF!</definedName>
    <definedName name="L_ALL_SECTION_KEYWORDS_ISSR_208002861_1316T" localSheetId="18">#REF!</definedName>
    <definedName name="L_ALL_SECTION_KEYWORDS_ISSR_208002861_1316T" localSheetId="12">#REF!</definedName>
    <definedName name="L_ALL_SECTION_KEYWORDS_ISSR_208002861_1316T" localSheetId="23">#REF!</definedName>
    <definedName name="L_ALL_SECTION_KEYWORDS_ISSR_208002861_1316T" localSheetId="19">#REF!</definedName>
    <definedName name="L_ALL_SECTION_KEYWORDS_ISSR_208002861_1316T" localSheetId="21">#REF!</definedName>
    <definedName name="L_ALL_SECTION_KEYWORDS_ISSR_208002861_1316T">#REF!</definedName>
    <definedName name="L_ALL_SECTION_KEYWORDS_ISSR_208002861_1316U" localSheetId="24">#REF!</definedName>
    <definedName name="L_ALL_SECTION_KEYWORDS_ISSR_208002861_1316U" localSheetId="18">#REF!</definedName>
    <definedName name="L_ALL_SECTION_KEYWORDS_ISSR_208002861_1316U" localSheetId="12">#REF!</definedName>
    <definedName name="L_ALL_SECTION_KEYWORDS_ISSR_208002861_1316U" localSheetId="23">#REF!</definedName>
    <definedName name="L_ALL_SECTION_KEYWORDS_ISSR_208002861_1316U" localSheetId="19">#REF!</definedName>
    <definedName name="L_ALL_SECTION_KEYWORDS_ISSR_208002861_1316U" localSheetId="21">#REF!</definedName>
    <definedName name="L_ALL_SECTION_KEYWORDS_ISSR_208002861_1316U">#REF!</definedName>
    <definedName name="L_ALL_SECTION_KEYWORDS_ISSR_208002861_1319" localSheetId="24">#REF!</definedName>
    <definedName name="L_ALL_SECTION_KEYWORDS_ISSR_208002861_1319" localSheetId="18">#REF!</definedName>
    <definedName name="L_ALL_SECTION_KEYWORDS_ISSR_208002861_1319" localSheetId="12">#REF!</definedName>
    <definedName name="L_ALL_SECTION_KEYWORDS_ISSR_208002861_1319" localSheetId="23">#REF!</definedName>
    <definedName name="L_ALL_SECTION_KEYWORDS_ISSR_208002861_1319" localSheetId="19">#REF!</definedName>
    <definedName name="L_ALL_SECTION_KEYWORDS_ISSR_208002861_1319" localSheetId="21">#REF!</definedName>
    <definedName name="L_ALL_SECTION_KEYWORDS_ISSR_208002861_1319">#REF!</definedName>
    <definedName name="L_ALL_SECTION_KEYWORDS_ISSR_208002861_131E" localSheetId="24">#REF!</definedName>
    <definedName name="L_ALL_SECTION_KEYWORDS_ISSR_208002861_131E" localSheetId="18">#REF!</definedName>
    <definedName name="L_ALL_SECTION_KEYWORDS_ISSR_208002861_131E" localSheetId="12">#REF!</definedName>
    <definedName name="L_ALL_SECTION_KEYWORDS_ISSR_208002861_131E" localSheetId="23">#REF!</definedName>
    <definedName name="L_ALL_SECTION_KEYWORDS_ISSR_208002861_131E" localSheetId="19">#REF!</definedName>
    <definedName name="L_ALL_SECTION_KEYWORDS_ISSR_208002861_131E" localSheetId="21">#REF!</definedName>
    <definedName name="L_ALL_SECTION_KEYWORDS_ISSR_208002861_131E">#REF!</definedName>
    <definedName name="L_ALL_SECTION_KEYWORDS_ISSR_208002861_131J" localSheetId="24">#REF!</definedName>
    <definedName name="L_ALL_SECTION_KEYWORDS_ISSR_208002861_131J" localSheetId="18">#REF!</definedName>
    <definedName name="L_ALL_SECTION_KEYWORDS_ISSR_208002861_131J" localSheetId="12">#REF!</definedName>
    <definedName name="L_ALL_SECTION_KEYWORDS_ISSR_208002861_131J" localSheetId="23">#REF!</definedName>
    <definedName name="L_ALL_SECTION_KEYWORDS_ISSR_208002861_131J" localSheetId="19">#REF!</definedName>
    <definedName name="L_ALL_SECTION_KEYWORDS_ISSR_208002861_131J" localSheetId="21">#REF!</definedName>
    <definedName name="L_ALL_SECTION_KEYWORDS_ISSR_208002861_131J">#REF!</definedName>
    <definedName name="L_ALL_SECTION_KEYWORDS_ISSR_208002861_131O" localSheetId="24">#REF!</definedName>
    <definedName name="L_ALL_SECTION_KEYWORDS_ISSR_208002861_131O" localSheetId="18">#REF!</definedName>
    <definedName name="L_ALL_SECTION_KEYWORDS_ISSR_208002861_131O" localSheetId="12">#REF!</definedName>
    <definedName name="L_ALL_SECTION_KEYWORDS_ISSR_208002861_131O" localSheetId="23">#REF!</definedName>
    <definedName name="L_ALL_SECTION_KEYWORDS_ISSR_208002861_131O" localSheetId="19">#REF!</definedName>
    <definedName name="L_ALL_SECTION_KEYWORDS_ISSR_208002861_131O" localSheetId="21">#REF!</definedName>
    <definedName name="L_ALL_SECTION_KEYWORDS_ISSR_208002861_131O">#REF!</definedName>
    <definedName name="L_ALL_SECTION_KEYWORDS_ISSR_208002861_13U" localSheetId="24">#REF!</definedName>
    <definedName name="L_ALL_SECTION_KEYWORDS_ISSR_208002861_13U" localSheetId="18">#REF!</definedName>
    <definedName name="L_ALL_SECTION_KEYWORDS_ISSR_208002861_13U" localSheetId="12">#REF!</definedName>
    <definedName name="L_ALL_SECTION_KEYWORDS_ISSR_208002861_13U" localSheetId="23">#REF!</definedName>
    <definedName name="L_ALL_SECTION_KEYWORDS_ISSR_208002861_13U" localSheetId="19">#REF!</definedName>
    <definedName name="L_ALL_SECTION_KEYWORDS_ISSR_208002861_13U" localSheetId="21">#REF!</definedName>
    <definedName name="L_ALL_SECTION_KEYWORDS_ISSR_208002861_13U">#REF!</definedName>
    <definedName name="L_ALL_SECTION_KEYWORDS_ISSR_208002861_13V" localSheetId="24">#REF!</definedName>
    <definedName name="L_ALL_SECTION_KEYWORDS_ISSR_208002861_13V" localSheetId="18">#REF!</definedName>
    <definedName name="L_ALL_SECTION_KEYWORDS_ISSR_208002861_13V" localSheetId="12">#REF!</definedName>
    <definedName name="L_ALL_SECTION_KEYWORDS_ISSR_208002861_13V" localSheetId="23">#REF!</definedName>
    <definedName name="L_ALL_SECTION_KEYWORDS_ISSR_208002861_13V" localSheetId="19">#REF!</definedName>
    <definedName name="L_ALL_SECTION_KEYWORDS_ISSR_208002861_13V" localSheetId="21">#REF!</definedName>
    <definedName name="L_ALL_SECTION_KEYWORDS_ISSR_208002861_13V">#REF!</definedName>
    <definedName name="L_ALL_SECTION_KEYWORDS_ISSR_208002861_Reference_Data" localSheetId="24">#REF!</definedName>
    <definedName name="L_ALL_SECTION_KEYWORDS_ISSR_208002861_Reference_Data" localSheetId="18">#REF!</definedName>
    <definedName name="L_ALL_SECTION_KEYWORDS_ISSR_208002861_Reference_Data" localSheetId="12">#REF!</definedName>
    <definedName name="L_ALL_SECTION_KEYWORDS_ISSR_208002861_Reference_Data" localSheetId="23">#REF!</definedName>
    <definedName name="L_ALL_SECTION_KEYWORDS_ISSR_208002861_Reference_Data" localSheetId="19">#REF!</definedName>
    <definedName name="L_ALL_SECTION_KEYWORDS_ISSR_208002861_Reference_Data" localSheetId="21">#REF!</definedName>
    <definedName name="L_ALL_SECTION_KEYWORDS_ISSR_208002861_Reference_Data">#REF!</definedName>
    <definedName name="L_ALL_SECTION_KEYWORDS_ISSR_208006659_13173" localSheetId="2">#REF!,#REF!</definedName>
    <definedName name="L_ALL_SECTION_KEYWORDS_ISSR_208006659_13173" localSheetId="19">#REF!,#REF!</definedName>
    <definedName name="L_ALL_SECTION_KEYWORDS_ISSR_208006659_13173">#REF!,#REF!</definedName>
    <definedName name="L_ALL_SECTION_KEYWORDS_ISSR_208006659_13178">#REF!,#REF!</definedName>
    <definedName name="L_ALL_SECTION_KEYWORDS_ISSR_208006659_1319">#REF!,#REF!</definedName>
    <definedName name="L_ALL_SECTION_KEYWORDS_ISSR_208006659_131O" localSheetId="2">#REF!,#REF!</definedName>
    <definedName name="L_ALL_SECTION_KEYWORDS_ISSR_208006659_131O" localSheetId="19">#REF!,#REF!</definedName>
    <definedName name="L_ALL_SECTION_KEYWORDS_ISSR_208006659_131O">#REF!,#REF!</definedName>
    <definedName name="L_ALL_SECTION_KEYWORDS_ISSR_208006659_136J" localSheetId="2">#REF!,#REF!</definedName>
    <definedName name="L_ALL_SECTION_KEYWORDS_ISSR_208006659_136J" localSheetId="19">#REF!,#REF!</definedName>
    <definedName name="L_ALL_SECTION_KEYWORDS_ISSR_208006659_136J">#REF!</definedName>
    <definedName name="L_ALL_SECTION_KEYWORDS_ISSR_208007415_13V" localSheetId="2">#REF!,#REF!</definedName>
    <definedName name="L_ALL_SECTION_KEYWORDS_ISSR_208007415_13V">#REF!,#REF!</definedName>
    <definedName name="L_ALL_SECTION_KEYWORDS_ISSR_208008646_13V" localSheetId="2">#REF!,#REF!</definedName>
    <definedName name="L_ALL_SECTION_KEYWORDS_ISSR_208008646_13V">#REF!,#REF!</definedName>
    <definedName name="L_ALL_SECTIONS_EQTY_200003162" localSheetId="2">#REF!,#REF!,#REF!,#REF!,#REF!,#REF!,#REF!,#REF!</definedName>
    <definedName name="L_ALL_SECTIONS_EQTY_200003162" localSheetId="12">#REF!,#REF!,#REF!,#REF!,#REF!,#REF!,#REF!,#REF!</definedName>
    <definedName name="L_ALL_SECTIONS_EQTY_200003162">#REF!,#REF!,#REF!,#REF!,#REF!,#REF!,#REF!,#REF!</definedName>
    <definedName name="L_ALL_SECTIONS_EQTY_200003170" localSheetId="2">#REF!,#REF!,#REF!,#REF!,#REF!,#REF!,#REF!,#REF!</definedName>
    <definedName name="L_ALL_SECTIONS_EQTY_200003170" localSheetId="12">#REF!,#REF!,#REF!,#REF!,#REF!,#REF!,#REF!,#REF!</definedName>
    <definedName name="L_ALL_SECTIONS_EQTY_200003170">#REF!,#REF!,#REF!,#REF!,#REF!,#REF!,#REF!,#REF!</definedName>
    <definedName name="L_ALL_SECTIONS_EQTY_200003173" localSheetId="2">#REF!,#REF!,#REF!,#REF!,#REF!,#REF!,#REF!,#REF!</definedName>
    <definedName name="L_ALL_SECTIONS_EQTY_200003173" localSheetId="12">#REF!,#REF!,#REF!,#REF!,#REF!,#REF!,#REF!,#REF!</definedName>
    <definedName name="L_ALL_SECTIONS_EQTY_200003173">#REF!,#REF!,#REF!,#REF!,#REF!,#REF!,#REF!,#REF!</definedName>
    <definedName name="L_ALL_SECTIONS_EQTY_200003183" localSheetId="2">#REF!,#REF!,#REF!,#REF!,#REF!,#REF!,#REF!,#REF!</definedName>
    <definedName name="L_ALL_SECTIONS_EQTY_200003183" localSheetId="12">#REF!,#REF!,#REF!,#REF!,#REF!,#REF!,#REF!,#REF!</definedName>
    <definedName name="L_ALL_SECTIONS_EQTY_200003183">#REF!,#REF!,#REF!,#REF!,#REF!,#REF!,#REF!,#REF!</definedName>
    <definedName name="L_ALL_SECTIONS_EQTY_200003821" localSheetId="2">#REF!,#REF!,#REF!,#REF!,#REF!,#REF!,#REF!,#REF!</definedName>
    <definedName name="L_ALL_SECTIONS_EQTY_200003821" localSheetId="12">#REF!,#REF!,#REF!,#REF!,#REF!,#REF!,#REF!,#REF!</definedName>
    <definedName name="L_ALL_SECTIONS_EQTY_200003821">#REF!,#REF!,#REF!,#REF!,#REF!,#REF!,#REF!,#REF!</definedName>
    <definedName name="L_ALL_SECTIONS_EQTY_200004285" localSheetId="2">#REF!,#REF!,#REF!,#REF!,#REF!,#REF!,#REF!,#REF!</definedName>
    <definedName name="L_ALL_SECTIONS_EQTY_200004285">#REF!,#REF!,#REF!,#REF!,#REF!,#REF!,#REF!,#REF!</definedName>
    <definedName name="L_ALL_SECTIONS_EQTY_200005121" localSheetId="2">#REF!,#REF!,#REF!,#REF!,#REF!,#REF!,#REF!,#REF!</definedName>
    <definedName name="L_ALL_SECTIONS_EQTY_200005121" localSheetId="12">#REF!,#REF!,#REF!,#REF!,#REF!,#REF!,#REF!,#REF!</definedName>
    <definedName name="L_ALL_SECTIONS_EQTY_200005121">#REF!,#REF!,#REF!,#REF!,#REF!,#REF!,#REF!,#REF!</definedName>
    <definedName name="L_ALL_SECTIONS_EQTY_200007513" localSheetId="2">#REF!,#REF!,#REF!,#REF!,#REF!,#REF!,#REF!,#REF!</definedName>
    <definedName name="L_ALL_SECTIONS_EQTY_200007513" localSheetId="12">#REF!,#REF!,#REF!,#REF!,#REF!,#REF!,#REF!,#REF!</definedName>
    <definedName name="L_ALL_SECTIONS_EQTY_200007513">#REF!,#REF!,#REF!,#REF!,#REF!,#REF!,#REF!,#REF!</definedName>
    <definedName name="L_ALL_SECTIONS_EQTY_200009618" localSheetId="2">#REF!,#REF!,#REF!,#REF!,#REF!,#REF!,#REF!,#REF!</definedName>
    <definedName name="L_ALL_SECTIONS_EQTY_200009618" localSheetId="12">#REF!,#REF!,#REF!,#REF!,#REF!,#REF!,#REF!,#REF!</definedName>
    <definedName name="L_ALL_SECTIONS_EQTY_200009618">#REF!,#REF!,#REF!,#REF!,#REF!,#REF!,#REF!,#REF!</definedName>
    <definedName name="L_ALL_SECTIONS_EQTY_200009619" localSheetId="2">#REF!,#REF!,#REF!,#REF!,#REF!,#REF!,#REF!,#REF!</definedName>
    <definedName name="L_ALL_SECTIONS_EQTY_200009619" localSheetId="12">#REF!,#REF!,#REF!,#REF!,#REF!,#REF!,#REF!,#REF!</definedName>
    <definedName name="L_ALL_SECTIONS_EQTY_200009619">#REF!,#REF!,#REF!,#REF!,#REF!,#REF!,#REF!,#REF!</definedName>
    <definedName name="L_ALL_SECTIONS_EQTY_200009620" localSheetId="2">#REF!,#REF!,#REF!,#REF!,#REF!,#REF!,#REF!,#REF!</definedName>
    <definedName name="L_ALL_SECTIONS_EQTY_200009620" localSheetId="12">#REF!,#REF!,#REF!,#REF!,#REF!,#REF!,#REF!,#REF!</definedName>
    <definedName name="L_ALL_SECTIONS_EQTY_200009620">#REF!,#REF!,#REF!,#REF!,#REF!,#REF!,#REF!,#REF!</definedName>
    <definedName name="L_ALL_SECTIONS_EQTY_200011295" localSheetId="2">#REF!,#REF!,#REF!,#REF!,#REF!,#REF!,#REF!,#REF!</definedName>
    <definedName name="L_ALL_SECTIONS_EQTY_200011295">#REF!,#REF!,#REF!,#REF!,#REF!,#REF!,#REF!,#REF!</definedName>
    <definedName name="L_ALL_SECTIONS_ISSR_208001092" localSheetId="2">#REF!,#REF!,#REF!,#REF!,#REF!,#REF!,#REF!,#REF!,#REF!,#REF!</definedName>
    <definedName name="L_ALL_SECTIONS_ISSR_208001092" localSheetId="12">#REF!,#REF!,#REF!,#REF!,#REF!,#REF!,#REF!,#REF!,#REF!,#REF!</definedName>
    <definedName name="L_ALL_SECTIONS_ISSR_208001092">#REF!,#REF!,#REF!,#REF!,#REF!,#REF!,#REF!,#REF!,#REF!,#REF!</definedName>
    <definedName name="L_ALL_SECTIONS_ISSR_208001096" localSheetId="2">#REF!,#REF!,#REF!,#REF!,#REF!,#REF!,#REF!,#REF!,#REF!,#REF!</definedName>
    <definedName name="L_ALL_SECTIONS_ISSR_208001096" localSheetId="12">#REF!,#REF!,#REF!,#REF!,#REF!,#REF!,#REF!,#REF!,#REF!,#REF!</definedName>
    <definedName name="L_ALL_SECTIONS_ISSR_208001096">#REF!,#REF!,#REF!,#REF!,#REF!,#REF!,#REF!,#REF!,#REF!,#REF!</definedName>
    <definedName name="L_ALL_SECTIONS_ISSR_208001098" localSheetId="2">#REF!,#REF!,#REF!,#REF!,#REF!,#REF!,#REF!,#REF!,#REF!,#REF!</definedName>
    <definedName name="L_ALL_SECTIONS_ISSR_208001098" localSheetId="12">#REF!,#REF!,#REF!,#REF!,#REF!,#REF!,#REF!,#REF!,#REF!,#REF!</definedName>
    <definedName name="L_ALL_SECTIONS_ISSR_208001098">#REF!,#REF!,#REF!,#REF!,#REF!,#REF!,#REF!,#REF!,#REF!,#REF!</definedName>
    <definedName name="L_ALL_SECTIONS_ISSR_208001100" localSheetId="2">#REF!,#REF!,#REF!,#REF!,#REF!,#REF!,#REF!,#REF!,#REF!,#REF!</definedName>
    <definedName name="L_ALL_SECTIONS_ISSR_208001100" localSheetId="12">#REF!,#REF!,#REF!,#REF!,#REF!,#REF!,#REF!,#REF!,#REF!,#REF!</definedName>
    <definedName name="L_ALL_SECTIONS_ISSR_208001100">#REF!,#REF!,#REF!,#REF!,#REF!,#REF!,#REF!,#REF!,#REF!,#REF!</definedName>
    <definedName name="L_ALL_SECTIONS_ISSR_208001129" localSheetId="2">#REF!,#REF!,#REF!,#REF!,#REF!,#REF!,#REF!,#REF!,#REF!,#REF!</definedName>
    <definedName name="L_ALL_SECTIONS_ISSR_208001129" localSheetId="12">#REF!,#REF!,#REF!,#REF!,#REF!,#REF!,#REF!,#REF!,#REF!,#REF!</definedName>
    <definedName name="L_ALL_SECTIONS_ISSR_208001129">#REF!,#REF!,#REF!,#REF!,#REF!,#REF!,#REF!,#REF!,#REF!,#REF!</definedName>
    <definedName name="L_ALL_SECTIONS_ISSR_208001433" localSheetId="2">#REF!,#REF!,#REF!,#REF!,#REF!,#REF!,#REF!,#REF!,#REF!,#REF!</definedName>
    <definedName name="L_ALL_SECTIONS_ISSR_208001433" localSheetId="12">#REF!,#REF!,#REF!,#REF!,#REF!,#REF!,#REF!,#REF!,#REF!,#REF!</definedName>
    <definedName name="L_ALL_SECTIONS_ISSR_208001433">#REF!,#REF!,#REF!,#REF!,#REF!,#REF!,#REF!,#REF!,#REF!,#REF!</definedName>
    <definedName name="L_ALL_SECTIONS_ISSR_208002861" localSheetId="2">#REF!,#REF!,#REF!,#REF!,#REF!,#REF!,#REF!,#REF!,#REF!,#REF!</definedName>
    <definedName name="L_ALL_SECTIONS_ISSR_208002861" localSheetId="12">#REF!,#REF!,#REF!,#REF!,#REF!,#REF!,#REF!,#REF!,#REF!,#REF!</definedName>
    <definedName name="L_ALL_SECTIONS_ISSR_208002861">#REF!,#REF!,#REF!,#REF!,#REF!,#REF!,#REF!,#REF!,#REF!,#REF!</definedName>
    <definedName name="L_ALL_SECTIONS_ISSR_208007413" localSheetId="2">#REF!,#REF!,#REF!,#REF!,#REF!,#REF!,#REF!,#REF!,#REF!,#REF!</definedName>
    <definedName name="L_ALL_SECTIONS_ISSR_208007413" localSheetId="12">#REF!,#REF!,#REF!,#REF!,#REF!,#REF!,#REF!,#REF!,#REF!,#REF!,#REF!,#REF!</definedName>
    <definedName name="L_ALL_SECTIONS_ISSR_208007413">#REF!,#REF!,#REF!,#REF!,#REF!,#REF!,#REF!,#REF!,#REF!,#REF!</definedName>
    <definedName name="L_ALL_SECTIONS_ISSR_208007414" localSheetId="2">#REF!,#REF!,#REF!,#REF!,#REF!,#REF!,#REF!,#REF!,#REF!</definedName>
    <definedName name="L_ALL_SECTIONS_ISSR_208007414" localSheetId="12">#REF!,#REF!,#REF!,#REF!,#REF!,#REF!,#REF!,#REF!,#REF!</definedName>
    <definedName name="L_ALL_SECTIONS_ISSR_208007414">#REF!,#REF!,#REF!,#REF!,#REF!,#REF!,#REF!,#REF!,#REF!</definedName>
    <definedName name="L_ALL_SECTIONS_ISSR_208007415" localSheetId="2">#REF!,#REF!,#REF!,#REF!,#REF!,#REF!,#REF!,#REF!,#REF!,#REF!</definedName>
    <definedName name="L_ALL_SECTIONS_ISSR_208007415" localSheetId="12">#REF!,#REF!,#REF!,#REF!,#REF!,#REF!,#REF!,#REF!,#REF!,#REF!</definedName>
    <definedName name="L_ALL_SECTIONS_ISSR_208007415">#REF!,#REF!,#REF!,#REF!,#REF!,#REF!,#REF!,#REF!,#REF!,#REF!</definedName>
    <definedName name="L_ALL_SECTIONS_ISSR_208008646" localSheetId="2">#REF!,#REF!,#REF!,#REF!,#REF!,#REF!,#REF!,#REF!,#REF!,#REF!</definedName>
    <definedName name="L_ALL_SECTIONS_ISSR_208008646">#REF!,#REF!,#REF!,#REF!,#REF!,#REF!,#REF!,#REF!,#REF!,#REF!</definedName>
    <definedName name="L_ALL_SIFI.MI" localSheetId="2">#REF!</definedName>
    <definedName name="L_ALL_SIFI.MI" localSheetId="12">#REF!</definedName>
    <definedName name="L_ALL_SIFI.MI">#REF!</definedName>
    <definedName name="L_ALL_SKFb.ST">#REF!</definedName>
    <definedName name="L_ALL_TCFP.PA" localSheetId="2">#REF!</definedName>
    <definedName name="L_ALL_TCFP.PA" localSheetId="12">#REF!</definedName>
    <definedName name="L_ALL_TCFP.PA">#REF!</definedName>
    <definedName name="L_ALL_ULE.L" localSheetId="2">#REF!</definedName>
    <definedName name="L_ALL_ULE.L" localSheetId="12">#REF!</definedName>
    <definedName name="L_ALL_ULE.L" localSheetId="23">#REF!</definedName>
    <definedName name="L_ALL_ULE.L">#REF!</definedName>
    <definedName name="L_ALL_VOLVb.ST">#REF!</definedName>
    <definedName name="L_CURRENCY_EQTY_200003162_PRI" localSheetId="2">#REF!</definedName>
    <definedName name="L_CURRENCY_EQTY_200003162_PRI" localSheetId="12">#REF!</definedName>
    <definedName name="L_CURRENCY_EQTY_200003162_PRI">#REF!</definedName>
    <definedName name="L_CURRENCY_EQTY_200003162_PUB" localSheetId="2">#REF!</definedName>
    <definedName name="L_CURRENCY_EQTY_200003162_PUB" localSheetId="12">#REF!</definedName>
    <definedName name="L_CURRENCY_EQTY_200003162_PUB">#REF!</definedName>
    <definedName name="L_CURRENCY_EQTY_200003162_REP" localSheetId="2">#REF!</definedName>
    <definedName name="L_CURRENCY_EQTY_200003162_REP" localSheetId="12">#REF!</definedName>
    <definedName name="L_CURRENCY_EQTY_200003162_REP">#REF!</definedName>
    <definedName name="L_CURRENCY_EQTY_200003170_PRI" localSheetId="2">#REF!</definedName>
    <definedName name="L_CURRENCY_EQTY_200003170_PRI" localSheetId="12">#REF!</definedName>
    <definedName name="L_CURRENCY_EQTY_200003170_PRI">#REF!</definedName>
    <definedName name="L_CURRENCY_EQTY_200003170_PUB" localSheetId="2">#REF!</definedName>
    <definedName name="L_CURRENCY_EQTY_200003170_PUB" localSheetId="12">#REF!</definedName>
    <definedName name="L_CURRENCY_EQTY_200003170_PUB">#REF!</definedName>
    <definedName name="L_CURRENCY_EQTY_200003170_REP" localSheetId="2">#REF!</definedName>
    <definedName name="L_CURRENCY_EQTY_200003170_REP" localSheetId="12">#REF!</definedName>
    <definedName name="L_CURRENCY_EQTY_200003170_REP">#REF!</definedName>
    <definedName name="L_CURRENCY_EQTY_200003173_PRI" localSheetId="2">#REF!</definedName>
    <definedName name="L_CURRENCY_EQTY_200003173_PRI" localSheetId="12">#REF!</definedName>
    <definedName name="L_CURRENCY_EQTY_200003173_PRI">#REF!</definedName>
    <definedName name="L_CURRENCY_EQTY_200003173_PUB" localSheetId="2">#REF!</definedName>
    <definedName name="L_CURRENCY_EQTY_200003173_PUB" localSheetId="12">#REF!</definedName>
    <definedName name="L_CURRENCY_EQTY_200003173_PUB">#REF!</definedName>
    <definedName name="L_CURRENCY_EQTY_200003173_REP" localSheetId="2">#REF!</definedName>
    <definedName name="L_CURRENCY_EQTY_200003173_REP" localSheetId="12">#REF!</definedName>
    <definedName name="L_CURRENCY_EQTY_200003173_REP">#REF!</definedName>
    <definedName name="L_CURRENCY_EQTY_200003183_PRI" localSheetId="2">#REF!</definedName>
    <definedName name="L_CURRENCY_EQTY_200003183_PRI" localSheetId="12">#REF!</definedName>
    <definedName name="L_CURRENCY_EQTY_200003183_PRI">#REF!</definedName>
    <definedName name="L_CURRENCY_EQTY_200003183_PUB" localSheetId="2">#REF!</definedName>
    <definedName name="L_CURRENCY_EQTY_200003183_PUB" localSheetId="12">#REF!</definedName>
    <definedName name="L_CURRENCY_EQTY_200003183_PUB">#REF!</definedName>
    <definedName name="L_CURRENCY_EQTY_200003183_REP" localSheetId="2">#REF!</definedName>
    <definedName name="L_CURRENCY_EQTY_200003183_REP" localSheetId="12">#REF!</definedName>
    <definedName name="L_CURRENCY_EQTY_200003183_REP">#REF!</definedName>
    <definedName name="L_CURRENCY_EQTY_200003821_PRI" localSheetId="2">#REF!</definedName>
    <definedName name="L_CURRENCY_EQTY_200003821_PRI" localSheetId="12">#REF!</definedName>
    <definedName name="L_CURRENCY_EQTY_200003821_PRI">#REF!</definedName>
    <definedName name="L_CURRENCY_EQTY_200003821_PUB" localSheetId="2">#REF!</definedName>
    <definedName name="L_CURRENCY_EQTY_200003821_PUB" localSheetId="12">#REF!</definedName>
    <definedName name="L_CURRENCY_EQTY_200003821_PUB">#REF!</definedName>
    <definedName name="L_CURRENCY_EQTY_200003821_REP" localSheetId="2">#REF!</definedName>
    <definedName name="L_CURRENCY_EQTY_200003821_REP" localSheetId="12">#REF!</definedName>
    <definedName name="L_CURRENCY_EQTY_200003821_REP">#REF!</definedName>
    <definedName name="L_CURRENCY_EQTY_200004285_PRI" localSheetId="2">#REF!</definedName>
    <definedName name="L_CURRENCY_EQTY_200004285_PRI">#REF!</definedName>
    <definedName name="L_CURRENCY_EQTY_200004285_PUB" localSheetId="2">#REF!</definedName>
    <definedName name="L_CURRENCY_EQTY_200004285_PUB">#REF!</definedName>
    <definedName name="L_CURRENCY_EQTY_200004285_REP" localSheetId="2">#REF!</definedName>
    <definedName name="L_CURRENCY_EQTY_200004285_REP">#REF!</definedName>
    <definedName name="L_CURRENCY_EQTY_200005121_PRI" localSheetId="2">#REF!</definedName>
    <definedName name="L_CURRENCY_EQTY_200005121_PRI" localSheetId="12">#REF!</definedName>
    <definedName name="L_CURRENCY_EQTY_200005121_PRI">#REF!</definedName>
    <definedName name="L_CURRENCY_EQTY_200005121_PUB" localSheetId="2">#REF!</definedName>
    <definedName name="L_CURRENCY_EQTY_200005121_PUB" localSheetId="12">#REF!</definedName>
    <definedName name="L_CURRENCY_EQTY_200005121_PUB">#REF!</definedName>
    <definedName name="L_CURRENCY_EQTY_200005121_REP" localSheetId="2">#REF!</definedName>
    <definedName name="L_CURRENCY_EQTY_200005121_REP" localSheetId="12">#REF!</definedName>
    <definedName name="L_CURRENCY_EQTY_200005121_REP">#REF!</definedName>
    <definedName name="L_CURRENCY_EQTY_200007513_PRI" localSheetId="2">#REF!</definedName>
    <definedName name="L_CURRENCY_EQTY_200007513_PRI" localSheetId="12">#REF!</definedName>
    <definedName name="L_CURRENCY_EQTY_200007513_PRI">#REF!</definedName>
    <definedName name="L_CURRENCY_EQTY_200007513_PUB" localSheetId="2">#REF!</definedName>
    <definedName name="L_CURRENCY_EQTY_200007513_PUB" localSheetId="12">#REF!</definedName>
    <definedName name="L_CURRENCY_EQTY_200007513_PUB">#REF!</definedName>
    <definedName name="L_CURRENCY_EQTY_200007513_REP" localSheetId="2">#REF!</definedName>
    <definedName name="L_CURRENCY_EQTY_200007513_REP" localSheetId="12">#REF!</definedName>
    <definedName name="L_CURRENCY_EQTY_200007513_REP">#REF!</definedName>
    <definedName name="L_CURRENCY_EQTY_200009618_PRI" localSheetId="2">#REF!</definedName>
    <definedName name="L_CURRENCY_EQTY_200009618_PRI" localSheetId="12">#REF!</definedName>
    <definedName name="L_CURRENCY_EQTY_200009618_PRI">#REF!</definedName>
    <definedName name="L_CURRENCY_EQTY_200009618_PUB" localSheetId="2">#REF!</definedName>
    <definedName name="L_CURRENCY_EQTY_200009618_PUB" localSheetId="12">#REF!</definedName>
    <definedName name="L_CURRENCY_EQTY_200009618_PUB">#REF!</definedName>
    <definedName name="L_CURRENCY_EQTY_200009618_REP" localSheetId="2">#REF!</definedName>
    <definedName name="L_CURRENCY_EQTY_200009618_REP" localSheetId="12">#REF!</definedName>
    <definedName name="L_CURRENCY_EQTY_200009618_REP">#REF!</definedName>
    <definedName name="L_CURRENCY_EQTY_200009619_PRI" localSheetId="2">#REF!</definedName>
    <definedName name="L_CURRENCY_EQTY_200009619_PRI" localSheetId="12">#REF!</definedName>
    <definedName name="L_CURRENCY_EQTY_200009619_PRI">#REF!</definedName>
    <definedName name="L_CURRENCY_EQTY_200009619_PUB" localSheetId="2">#REF!</definedName>
    <definedName name="L_CURRENCY_EQTY_200009619_PUB" localSheetId="12">#REF!</definedName>
    <definedName name="L_CURRENCY_EQTY_200009619_PUB">#REF!</definedName>
    <definedName name="L_CURRENCY_EQTY_200009619_REP" localSheetId="2">#REF!</definedName>
    <definedName name="L_CURRENCY_EQTY_200009619_REP" localSheetId="12">#REF!</definedName>
    <definedName name="L_CURRENCY_EQTY_200009619_REP">#REF!</definedName>
    <definedName name="L_CURRENCY_EQTY_200009620_PRI" localSheetId="2">#REF!</definedName>
    <definedName name="L_CURRENCY_EQTY_200009620_PRI" localSheetId="12">#REF!</definedName>
    <definedName name="L_CURRENCY_EQTY_200009620_PRI">#REF!</definedName>
    <definedName name="L_CURRENCY_EQTY_200009620_PUB" localSheetId="2">#REF!</definedName>
    <definedName name="L_CURRENCY_EQTY_200009620_PUB" localSheetId="12">#REF!</definedName>
    <definedName name="L_CURRENCY_EQTY_200009620_PUB">#REF!</definedName>
    <definedName name="L_CURRENCY_EQTY_200009620_REP" localSheetId="2">#REF!</definedName>
    <definedName name="L_CURRENCY_EQTY_200009620_REP" localSheetId="12">#REF!</definedName>
    <definedName name="L_CURRENCY_EQTY_200009620_REP">#REF!</definedName>
    <definedName name="L_CURRENCY_EQTY_200011295_PRI" localSheetId="2">#REF!</definedName>
    <definedName name="L_CURRENCY_EQTY_200011295_PRI">#REF!</definedName>
    <definedName name="L_CURRENCY_EQTY_200011295_PUB" localSheetId="2">#REF!</definedName>
    <definedName name="L_CURRENCY_EQTY_200011295_PUB">#REF!</definedName>
    <definedName name="L_CURRENCY_EQTY_200011295_REP" localSheetId="2">#REF!</definedName>
    <definedName name="L_CURRENCY_EQTY_200011295_REP">#REF!</definedName>
    <definedName name="L_CURRENCY_ISSR_208001092_REP" localSheetId="2">#REF!</definedName>
    <definedName name="L_CURRENCY_ISSR_208001092_REP" localSheetId="12">#REF!</definedName>
    <definedName name="L_CURRENCY_ISSR_208001092_REP">#REF!</definedName>
    <definedName name="L_CURRENCY_ISSR_208001096_REP" localSheetId="2">#REF!</definedName>
    <definedName name="L_CURRENCY_ISSR_208001096_REP" localSheetId="12">#REF!</definedName>
    <definedName name="L_CURRENCY_ISSR_208001096_REP">#REF!</definedName>
    <definedName name="L_CURRENCY_ISSR_208001098_REP" localSheetId="2">#REF!</definedName>
    <definedName name="L_CURRENCY_ISSR_208001098_REP" localSheetId="12">#REF!</definedName>
    <definedName name="L_CURRENCY_ISSR_208001098_REP">#REF!</definedName>
    <definedName name="L_CURRENCY_ISSR_208001100_REP" localSheetId="2">#REF!</definedName>
    <definedName name="L_CURRENCY_ISSR_208001100_REP" localSheetId="12">#REF!</definedName>
    <definedName name="L_CURRENCY_ISSR_208001100_REP">#REF!</definedName>
    <definedName name="L_CURRENCY_ISSR_208001129_REP" localSheetId="2">#REF!</definedName>
    <definedName name="L_CURRENCY_ISSR_208001129_REP" localSheetId="12">#REF!</definedName>
    <definedName name="L_CURRENCY_ISSR_208001129_REP">#REF!</definedName>
    <definedName name="L_CURRENCY_ISSR_208001219_REP" localSheetId="2">#REF!</definedName>
    <definedName name="L_CURRENCY_ISSR_208001219_REP">#REF!</definedName>
    <definedName name="L_CURRENCY_ISSR_208001433_REP" localSheetId="2">#REF!</definedName>
    <definedName name="L_CURRENCY_ISSR_208001433_REP" localSheetId="12">#REF!</definedName>
    <definedName name="L_CURRENCY_ISSR_208001433_REP">#REF!</definedName>
    <definedName name="L_CURRENCY_ISSR_208002861_REP" localSheetId="2">#REF!</definedName>
    <definedName name="L_CURRENCY_ISSR_208002861_REP" localSheetId="12">#REF!</definedName>
    <definedName name="L_CURRENCY_ISSR_208002861_REP">#REF!</definedName>
    <definedName name="L_CURRENCY_ISSR_208007413_REP" localSheetId="2">#REF!</definedName>
    <definedName name="L_CURRENCY_ISSR_208007413_REP" localSheetId="12">#REF!</definedName>
    <definedName name="L_CURRENCY_ISSR_208007413_REP">#REF!</definedName>
    <definedName name="L_CURRENCY_ISSR_208007414_REP" localSheetId="2">#REF!</definedName>
    <definedName name="L_CURRENCY_ISSR_208007414_REP" localSheetId="12">#REF!</definedName>
    <definedName name="L_CURRENCY_ISSR_208007414_REP">#REF!</definedName>
    <definedName name="L_CURRENCY_ISSR_208007415_REP" localSheetId="2">#REF!</definedName>
    <definedName name="L_CURRENCY_ISSR_208007415_REP" localSheetId="12">#REF!</definedName>
    <definedName name="L_CURRENCY_ISSR_208007415_REP">#REF!</definedName>
    <definedName name="L_CURRENCY_ISSR_208008646_REP" localSheetId="2">#REF!</definedName>
    <definedName name="L_CURRENCY_ISSR_208008646_REP">#REF!</definedName>
    <definedName name="L_ENTITY_DATA_EQTY_200007513" localSheetId="24">#REF!</definedName>
    <definedName name="L_ENTITY_DATA_EQTY_200007513" localSheetId="18">#REF!</definedName>
    <definedName name="L_ENTITY_DATA_EQTY_200007513" localSheetId="12">#REF!</definedName>
    <definedName name="L_ENTITY_DATA_EQTY_200007513" localSheetId="23">#REF!</definedName>
    <definedName name="L_ENTITY_DATA_EQTY_200007513" localSheetId="19">#REF!</definedName>
    <definedName name="L_ENTITY_DATA_EQTY_200007513" localSheetId="21">#REF!</definedName>
    <definedName name="L_ENTITY_DATA_EQTY_200007513">#REF!</definedName>
    <definedName name="L_ENTITY_DATA_ISSR_208002861" localSheetId="24">#REF!</definedName>
    <definedName name="L_ENTITY_DATA_ISSR_208002861" localSheetId="18">#REF!</definedName>
    <definedName name="L_ENTITY_DATA_ISSR_208002861" localSheetId="12">#REF!</definedName>
    <definedName name="L_ENTITY_DATA_ISSR_208002861" localSheetId="23">#REF!</definedName>
    <definedName name="L_ENTITY_DATA_ISSR_208002861" localSheetId="19">#REF!</definedName>
    <definedName name="L_ENTITY_DATA_ISSR_208002861" localSheetId="21">#REF!</definedName>
    <definedName name="L_ENTITY_DATA_ISSR_208002861">#REF!</definedName>
    <definedName name="L_KEYWORD_EQTY_200007513_BETA_ANALYST" localSheetId="24">#REF!</definedName>
    <definedName name="L_KEYWORD_EQTY_200007513_BETA_ANALYST" localSheetId="18">#REF!</definedName>
    <definedName name="L_KEYWORD_EQTY_200007513_BETA_ANALYST" localSheetId="12">#REF!</definedName>
    <definedName name="L_KEYWORD_EQTY_200007513_BETA_ANALYST" localSheetId="23">#REF!</definedName>
    <definedName name="L_KEYWORD_EQTY_200007513_BETA_ANALYST" localSheetId="19">#REF!</definedName>
    <definedName name="L_KEYWORD_EQTY_200007513_BETA_ANALYST" localSheetId="21">#REF!</definedName>
    <definedName name="L_KEYWORD_EQTY_200007513_BETA_ANALYST">#REF!</definedName>
    <definedName name="L_KEYWORD_EQTY_200007513_BVPS" localSheetId="24">#REF!</definedName>
    <definedName name="L_KEYWORD_EQTY_200007513_BVPS" localSheetId="18">#REF!</definedName>
    <definedName name="L_KEYWORD_EQTY_200007513_BVPS" localSheetId="12">#REF!</definedName>
    <definedName name="L_KEYWORD_EQTY_200007513_BVPS" localSheetId="23">#REF!</definedName>
    <definedName name="L_KEYWORD_EQTY_200007513_BVPS" localSheetId="19">#REF!</definedName>
    <definedName name="L_KEYWORD_EQTY_200007513_BVPS" localSheetId="21">#REF!</definedName>
    <definedName name="L_KEYWORD_EQTY_200007513_BVPS">#REF!</definedName>
    <definedName name="L_KEYWORD_EQTY_200007513_BVPS_PUB" localSheetId="24">#REF!</definedName>
    <definedName name="L_KEYWORD_EQTY_200007513_BVPS_PUB" localSheetId="18">#REF!</definedName>
    <definedName name="L_KEYWORD_EQTY_200007513_BVPS_PUB" localSheetId="12">#REF!</definedName>
    <definedName name="L_KEYWORD_EQTY_200007513_BVPS_PUB" localSheetId="23">#REF!</definedName>
    <definedName name="L_KEYWORD_EQTY_200007513_BVPS_PUB" localSheetId="19">#REF!</definedName>
    <definedName name="L_KEYWORD_EQTY_200007513_BVPS_PUB" localSheetId="21">#REF!</definedName>
    <definedName name="L_KEYWORD_EQTY_200007513_BVPS_PUB">#REF!</definedName>
    <definedName name="L_KEYWORD_EQTY_200007513_CF_NI_PRE_PREF" localSheetId="24">#REF!</definedName>
    <definedName name="L_KEYWORD_EQTY_200007513_CF_NI_PRE_PREF" localSheetId="18">#REF!</definedName>
    <definedName name="L_KEYWORD_EQTY_200007513_CF_NI_PRE_PREF" localSheetId="12">#REF!</definedName>
    <definedName name="L_KEYWORD_EQTY_200007513_CF_NI_PRE_PREF" localSheetId="23">#REF!</definedName>
    <definedName name="L_KEYWORD_EQTY_200007513_CF_NI_PRE_PREF" localSheetId="19">#REF!</definedName>
    <definedName name="L_KEYWORD_EQTY_200007513_CF_NI_PRE_PREF" localSheetId="21">#REF!</definedName>
    <definedName name="L_KEYWORD_EQTY_200007513_CF_NI_PRE_PREF">#REF!</definedName>
    <definedName name="L_KEYWORD_EQTY_200007513_COMMON_DIV_PAID" localSheetId="24">#REF!</definedName>
    <definedName name="L_KEYWORD_EQTY_200007513_COMMON_DIV_PAID" localSheetId="18">#REF!</definedName>
    <definedName name="L_KEYWORD_EQTY_200007513_COMMON_DIV_PAID" localSheetId="12">#REF!</definedName>
    <definedName name="L_KEYWORD_EQTY_200007513_COMMON_DIV_PAID" localSheetId="23">#REF!</definedName>
    <definedName name="L_KEYWORD_EQTY_200007513_COMMON_DIV_PAID" localSheetId="19">#REF!</definedName>
    <definedName name="L_KEYWORD_EQTY_200007513_COMMON_DIV_PAID" localSheetId="21">#REF!</definedName>
    <definedName name="L_KEYWORD_EQTY_200007513_COMMON_DIV_PAID">#REF!</definedName>
    <definedName name="L_KEYWORD_EQTY_200007513_CURRENCY_ISO" localSheetId="24">#REF!</definedName>
    <definedName name="L_KEYWORD_EQTY_200007513_CURRENCY_ISO" localSheetId="18">#REF!</definedName>
    <definedName name="L_KEYWORD_EQTY_200007513_CURRENCY_ISO" localSheetId="12">#REF!</definedName>
    <definedName name="L_KEYWORD_EQTY_200007513_CURRENCY_ISO" localSheetId="23">#REF!</definedName>
    <definedName name="L_KEYWORD_EQTY_200007513_CURRENCY_ISO" localSheetId="19">#REF!</definedName>
    <definedName name="L_KEYWORD_EQTY_200007513_CURRENCY_ISO" localSheetId="21">#REF!</definedName>
    <definedName name="L_KEYWORD_EQTY_200007513_CURRENCY_ISO">#REF!</definedName>
    <definedName name="L_KEYWORD_EQTY_200007513_DILUTE_SHARES" localSheetId="24">#REF!</definedName>
    <definedName name="L_KEYWORD_EQTY_200007513_DILUTE_SHARES" localSheetId="18">#REF!</definedName>
    <definedName name="L_KEYWORD_EQTY_200007513_DILUTE_SHARES" localSheetId="12">#REF!</definedName>
    <definedName name="L_KEYWORD_EQTY_200007513_DILUTE_SHARES" localSheetId="23">#REF!</definedName>
    <definedName name="L_KEYWORD_EQTY_200007513_DILUTE_SHARES" localSheetId="19">#REF!</definedName>
    <definedName name="L_KEYWORD_EQTY_200007513_DILUTE_SHARES" localSheetId="21">#REF!</definedName>
    <definedName name="L_KEYWORD_EQTY_200007513_DILUTE_SHARES">#REF!</definedName>
    <definedName name="L_KEYWORD_EQTY_200007513_DPS" localSheetId="24">#REF!</definedName>
    <definedName name="L_KEYWORD_EQTY_200007513_DPS" localSheetId="18">#REF!</definedName>
    <definedName name="L_KEYWORD_EQTY_200007513_DPS" localSheetId="12">#REF!</definedName>
    <definedName name="L_KEYWORD_EQTY_200007513_DPS" localSheetId="23">#REF!</definedName>
    <definedName name="L_KEYWORD_EQTY_200007513_DPS" localSheetId="19">#REF!</definedName>
    <definedName name="L_KEYWORD_EQTY_200007513_DPS" localSheetId="21">#REF!</definedName>
    <definedName name="L_KEYWORD_EQTY_200007513_DPS">#REF!</definedName>
    <definedName name="L_KEYWORD_EQTY_200007513_DPS_PUB" localSheetId="24">#REF!</definedName>
    <definedName name="L_KEYWORD_EQTY_200007513_DPS_PUB" localSheetId="18">#REF!</definedName>
    <definedName name="L_KEYWORD_EQTY_200007513_DPS_PUB" localSheetId="12">#REF!</definedName>
    <definedName name="L_KEYWORD_EQTY_200007513_DPS_PUB" localSheetId="23">#REF!</definedName>
    <definedName name="L_KEYWORD_EQTY_200007513_DPS_PUB" localSheetId="19">#REF!</definedName>
    <definedName name="L_KEYWORD_EQTY_200007513_DPS_PUB" localSheetId="21">#REF!</definedName>
    <definedName name="L_KEYWORD_EQTY_200007513_DPS_PUB">#REF!</definedName>
    <definedName name="L_KEYWORD_EQTY_200007513_EBIT_PUB" localSheetId="24">#REF!</definedName>
    <definedName name="L_KEYWORD_EQTY_200007513_EBIT_PUB" localSheetId="18">#REF!</definedName>
    <definedName name="L_KEYWORD_EQTY_200007513_EBIT_PUB" localSheetId="12">#REF!</definedName>
    <definedName name="L_KEYWORD_EQTY_200007513_EBIT_PUB" localSheetId="23">#REF!</definedName>
    <definedName name="L_KEYWORD_EQTY_200007513_EBIT_PUB" localSheetId="19">#REF!</definedName>
    <definedName name="L_KEYWORD_EQTY_200007513_EBIT_PUB" localSheetId="21">#REF!</definedName>
    <definedName name="L_KEYWORD_EQTY_200007513_EBIT_PUB">#REF!</definedName>
    <definedName name="L_KEYWORD_EQTY_200007513_EBITDA_PUB" localSheetId="24">#REF!</definedName>
    <definedName name="L_KEYWORD_EQTY_200007513_EBITDA_PUB" localSheetId="18">#REF!</definedName>
    <definedName name="L_KEYWORD_EQTY_200007513_EBITDA_PUB" localSheetId="12">#REF!</definedName>
    <definedName name="L_KEYWORD_EQTY_200007513_EBITDA_PUB" localSheetId="23">#REF!</definedName>
    <definedName name="L_KEYWORD_EQTY_200007513_EBITDA_PUB" localSheetId="19">#REF!</definedName>
    <definedName name="L_KEYWORD_EQTY_200007513_EBITDA_PUB" localSheetId="21">#REF!</definedName>
    <definedName name="L_KEYWORD_EQTY_200007513_EBITDA_PUB">#REF!</definedName>
    <definedName name="L_KEYWORD_EQTY_200007513_EPS" localSheetId="24">#REF!</definedName>
    <definedName name="L_KEYWORD_EQTY_200007513_EPS" localSheetId="18">#REF!</definedName>
    <definedName name="L_KEYWORD_EQTY_200007513_EPS" localSheetId="12">#REF!</definedName>
    <definedName name="L_KEYWORD_EQTY_200007513_EPS" localSheetId="23">#REF!</definedName>
    <definedName name="L_KEYWORD_EQTY_200007513_EPS" localSheetId="19">#REF!</definedName>
    <definedName name="L_KEYWORD_EQTY_200007513_EPS" localSheetId="21">#REF!</definedName>
    <definedName name="L_KEYWORD_EQTY_200007513_EPS">#REF!</definedName>
    <definedName name="L_KEYWORD_EQTY_200007513_EPS_FUL_DIL" localSheetId="24">#REF!</definedName>
    <definedName name="L_KEYWORD_EQTY_200007513_EPS_FUL_DIL" localSheetId="18">#REF!</definedName>
    <definedName name="L_KEYWORD_EQTY_200007513_EPS_FUL_DIL" localSheetId="12">#REF!</definedName>
    <definedName name="L_KEYWORD_EQTY_200007513_EPS_FUL_DIL" localSheetId="23">#REF!</definedName>
    <definedName name="L_KEYWORD_EQTY_200007513_EPS_FUL_DIL" localSheetId="19">#REF!</definedName>
    <definedName name="L_KEYWORD_EQTY_200007513_EPS_FUL_DIL" localSheetId="21">#REF!</definedName>
    <definedName name="L_KEYWORD_EQTY_200007513_EPS_FUL_DIL">#REF!</definedName>
    <definedName name="L_KEYWORD_EQTY_200007513_EPS_POST_BASIC" localSheetId="24">#REF!</definedName>
    <definedName name="L_KEYWORD_EQTY_200007513_EPS_POST_BASIC" localSheetId="18">#REF!</definedName>
    <definedName name="L_KEYWORD_EQTY_200007513_EPS_POST_BASIC" localSheetId="12">#REF!</definedName>
    <definedName name="L_KEYWORD_EQTY_200007513_EPS_POST_BASIC" localSheetId="23">#REF!</definedName>
    <definedName name="L_KEYWORD_EQTY_200007513_EPS_POST_BASIC" localSheetId="19">#REF!</definedName>
    <definedName name="L_KEYWORD_EQTY_200007513_EPS_POST_BASIC" localSheetId="21">#REF!</definedName>
    <definedName name="L_KEYWORD_EQTY_200007513_EPS_POST_BASIC">#REF!</definedName>
    <definedName name="L_KEYWORD_EQTY_200007513_EPS_PUB" localSheetId="24">#REF!</definedName>
    <definedName name="L_KEYWORD_EQTY_200007513_EPS_PUB" localSheetId="18">#REF!</definedName>
    <definedName name="L_KEYWORD_EQTY_200007513_EPS_PUB" localSheetId="12">#REF!</definedName>
    <definedName name="L_KEYWORD_EQTY_200007513_EPS_PUB" localSheetId="23">#REF!</definedName>
    <definedName name="L_KEYWORD_EQTY_200007513_EPS_PUB" localSheetId="19">#REF!</definedName>
    <definedName name="L_KEYWORD_EQTY_200007513_EPS_PUB" localSheetId="21">#REF!</definedName>
    <definedName name="L_KEYWORD_EQTY_200007513_EPS_PUB">#REF!</definedName>
    <definedName name="L_KEYWORD_EQTY_200007513_EQ_PUB" localSheetId="24">#REF!</definedName>
    <definedName name="L_KEYWORD_EQTY_200007513_EQ_PUB" localSheetId="18">#REF!</definedName>
    <definedName name="L_KEYWORD_EQTY_200007513_EQ_PUB" localSheetId="12">#REF!</definedName>
    <definedName name="L_KEYWORD_EQTY_200007513_EQ_PUB" localSheetId="23">#REF!</definedName>
    <definedName name="L_KEYWORD_EQTY_200007513_EQ_PUB" localSheetId="19">#REF!</definedName>
    <definedName name="L_KEYWORD_EQTY_200007513_EQ_PUB" localSheetId="21">#REF!</definedName>
    <definedName name="L_KEYWORD_EQTY_200007513_EQ_PUB">#REF!</definedName>
    <definedName name="L_KEYWORD_EQTY_200007513_EURO_CONVICTION" localSheetId="24">#REF!</definedName>
    <definedName name="L_KEYWORD_EQTY_200007513_EURO_CONVICTION" localSheetId="18">#REF!</definedName>
    <definedName name="L_KEYWORD_EQTY_200007513_EURO_CONVICTION" localSheetId="12">#REF!</definedName>
    <definedName name="L_KEYWORD_EQTY_200007513_EURO_CONVICTION" localSheetId="23">#REF!</definedName>
    <definedName name="L_KEYWORD_EQTY_200007513_EURO_CONVICTION" localSheetId="19">#REF!</definedName>
    <definedName name="L_KEYWORD_EQTY_200007513_EURO_CONVICTION" localSheetId="21">#REF!</definedName>
    <definedName name="L_KEYWORD_EQTY_200007513_EURO_CONVICTION">#REF!</definedName>
    <definedName name="L_KEYWORD_EQTY_200007513_EURO_LIST" localSheetId="24">#REF!</definedName>
    <definedName name="L_KEYWORD_EQTY_200007513_EURO_LIST" localSheetId="18">#REF!</definedName>
    <definedName name="L_KEYWORD_EQTY_200007513_EURO_LIST" localSheetId="12">#REF!</definedName>
    <definedName name="L_KEYWORD_EQTY_200007513_EURO_LIST" localSheetId="23">#REF!</definedName>
    <definedName name="L_KEYWORD_EQTY_200007513_EURO_LIST" localSheetId="19">#REF!</definedName>
    <definedName name="L_KEYWORD_EQTY_200007513_EURO_LIST" localSheetId="21">#REF!</definedName>
    <definedName name="L_KEYWORD_EQTY_200007513_EURO_LIST">#REF!</definedName>
    <definedName name="L_KEYWORD_EQTY_200007513_EV_ADJ_PUB" localSheetId="24">#REF!</definedName>
    <definedName name="L_KEYWORD_EQTY_200007513_EV_ADJ_PUB" localSheetId="18">#REF!</definedName>
    <definedName name="L_KEYWORD_EQTY_200007513_EV_ADJ_PUB" localSheetId="12">#REF!</definedName>
    <definedName name="L_KEYWORD_EQTY_200007513_EV_ADJ_PUB" localSheetId="23">#REF!</definedName>
    <definedName name="L_KEYWORD_EQTY_200007513_EV_ADJ_PUB" localSheetId="19">#REF!</definedName>
    <definedName name="L_KEYWORD_EQTY_200007513_EV_ADJ_PUB" localSheetId="21">#REF!</definedName>
    <definedName name="L_KEYWORD_EQTY_200007513_EV_ADJ_PUB">#REF!</definedName>
    <definedName name="L_KEYWORD_EQTY_200007513_FREE_FLOAT" localSheetId="24">#REF!</definedName>
    <definedName name="L_KEYWORD_EQTY_200007513_FREE_FLOAT" localSheetId="18">#REF!</definedName>
    <definedName name="L_KEYWORD_EQTY_200007513_FREE_FLOAT" localSheetId="12">#REF!</definedName>
    <definedName name="L_KEYWORD_EQTY_200007513_FREE_FLOAT" localSheetId="23">#REF!</definedName>
    <definedName name="L_KEYWORD_EQTY_200007513_FREE_FLOAT" localSheetId="19">#REF!</definedName>
    <definedName name="L_KEYWORD_EQTY_200007513_FREE_FLOAT" localSheetId="21">#REF!</definedName>
    <definedName name="L_KEYWORD_EQTY_200007513_FREE_FLOAT">#REF!</definedName>
    <definedName name="L_KEYWORD_EQTY_200007513_FULLY_DIL_EPS" localSheetId="24">#REF!</definedName>
    <definedName name="L_KEYWORD_EQTY_200007513_FULLY_DIL_EPS" localSheetId="18">#REF!</definedName>
    <definedName name="L_KEYWORD_EQTY_200007513_FULLY_DIL_EPS" localSheetId="12">#REF!</definedName>
    <definedName name="L_KEYWORD_EQTY_200007513_FULLY_DIL_EPS" localSheetId="23">#REF!</definedName>
    <definedName name="L_KEYWORD_EQTY_200007513_FULLY_DIL_EPS" localSheetId="19">#REF!</definedName>
    <definedName name="L_KEYWORD_EQTY_200007513_FULLY_DIL_EPS" localSheetId="21">#REF!</definedName>
    <definedName name="L_KEYWORD_EQTY_200007513_FULLY_DIL_EPS">#REF!</definedName>
    <definedName name="L_KEYWORD_EQTY_200007513_INC_MINORITY" localSheetId="24">#REF!</definedName>
    <definedName name="L_KEYWORD_EQTY_200007513_INC_MINORITY" localSheetId="18">#REF!</definedName>
    <definedName name="L_KEYWORD_EQTY_200007513_INC_MINORITY" localSheetId="12">#REF!</definedName>
    <definedName name="L_KEYWORD_EQTY_200007513_INC_MINORITY" localSheetId="23">#REF!</definedName>
    <definedName name="L_KEYWORD_EQTY_200007513_INC_MINORITY" localSheetId="19">#REF!</definedName>
    <definedName name="L_KEYWORD_EQTY_200007513_INC_MINORITY" localSheetId="21">#REF!</definedName>
    <definedName name="L_KEYWORD_EQTY_200007513_INC_MINORITY">#REF!</definedName>
    <definedName name="L_KEYWORD_EQTY_200007513_Interim_Type" localSheetId="24">#REF!</definedName>
    <definedName name="L_KEYWORD_EQTY_200007513_Interim_Type" localSheetId="18">#REF!</definedName>
    <definedName name="L_KEYWORD_EQTY_200007513_Interim_Type" localSheetId="12">#REF!</definedName>
    <definedName name="L_KEYWORD_EQTY_200007513_Interim_Type" localSheetId="23">#REF!</definedName>
    <definedName name="L_KEYWORD_EQTY_200007513_Interim_Type" localSheetId="19">#REF!</definedName>
    <definedName name="L_KEYWORD_EQTY_200007513_Interim_Type" localSheetId="21">#REF!</definedName>
    <definedName name="L_KEYWORD_EQTY_200007513_Interim_Type">#REF!</definedName>
    <definedName name="L_KEYWORD_EQTY_200007513_LEGAL_RATING" localSheetId="24">#REF!</definedName>
    <definedName name="L_KEYWORD_EQTY_200007513_LEGAL_RATING" localSheetId="18">#REF!</definedName>
    <definedName name="L_KEYWORD_EQTY_200007513_LEGAL_RATING" localSheetId="12">#REF!</definedName>
    <definedName name="L_KEYWORD_EQTY_200007513_LEGAL_RATING" localSheetId="23">#REF!</definedName>
    <definedName name="L_KEYWORD_EQTY_200007513_LEGAL_RATING" localSheetId="19">#REF!</definedName>
    <definedName name="L_KEYWORD_EQTY_200007513_LEGAL_RATING" localSheetId="21">#REF!</definedName>
    <definedName name="L_KEYWORD_EQTY_200007513_LEGAL_RATING">#REF!</definedName>
    <definedName name="L_KEYWORD_EQTY_200007513_MARGIN_TAX_RATE" localSheetId="24">#REF!</definedName>
    <definedName name="L_KEYWORD_EQTY_200007513_MARGIN_TAX_RATE" localSheetId="18">#REF!</definedName>
    <definedName name="L_KEYWORD_EQTY_200007513_MARGIN_TAX_RATE" localSheetId="12">#REF!</definedName>
    <definedName name="L_KEYWORD_EQTY_200007513_MARGIN_TAX_RATE" localSheetId="23">#REF!</definedName>
    <definedName name="L_KEYWORD_EQTY_200007513_MARGIN_TAX_RATE" localSheetId="19">#REF!</definedName>
    <definedName name="L_KEYWORD_EQTY_200007513_MARGIN_TAX_RATE" localSheetId="21">#REF!</definedName>
    <definedName name="L_KEYWORD_EQTY_200007513_MARGIN_TAX_RATE">#REF!</definedName>
    <definedName name="L_KEYWORD_EQTY_200007513_MKT_EQ_RISK_PREM" localSheetId="24">#REF!</definedName>
    <definedName name="L_KEYWORD_EQTY_200007513_MKT_EQ_RISK_PREM" localSheetId="18">#REF!</definedName>
    <definedName name="L_KEYWORD_EQTY_200007513_MKT_EQ_RISK_PREM" localSheetId="12">#REF!</definedName>
    <definedName name="L_KEYWORD_EQTY_200007513_MKT_EQ_RISK_PREM" localSheetId="23">#REF!</definedName>
    <definedName name="L_KEYWORD_EQTY_200007513_MKT_EQ_RISK_PREM" localSheetId="19">#REF!</definedName>
    <definedName name="L_KEYWORD_EQTY_200007513_MKT_EQ_RISK_PREM" localSheetId="21">#REF!</definedName>
    <definedName name="L_KEYWORD_EQTY_200007513_MKT_EQ_RISK_PREM">#REF!</definedName>
    <definedName name="L_KEYWORD_EQTY_200007513_NET_DEBT_PUB" localSheetId="24">#REF!</definedName>
    <definedName name="L_KEYWORD_EQTY_200007513_NET_DEBT_PUB" localSheetId="18">#REF!</definedName>
    <definedName name="L_KEYWORD_EQTY_200007513_NET_DEBT_PUB" localSheetId="12">#REF!</definedName>
    <definedName name="L_KEYWORD_EQTY_200007513_NET_DEBT_PUB" localSheetId="23">#REF!</definedName>
    <definedName name="L_KEYWORD_EQTY_200007513_NET_DEBT_PUB" localSheetId="19">#REF!</definedName>
    <definedName name="L_KEYWORD_EQTY_200007513_NET_DEBT_PUB" localSheetId="21">#REF!</definedName>
    <definedName name="L_KEYWORD_EQTY_200007513_NET_DEBT_PUB">#REF!</definedName>
    <definedName name="L_KEYWORD_EQTY_200007513_NET_EARNING" localSheetId="24">#REF!</definedName>
    <definedName name="L_KEYWORD_EQTY_200007513_NET_EARNING" localSheetId="18">#REF!</definedName>
    <definedName name="L_KEYWORD_EQTY_200007513_NET_EARNING" localSheetId="12">#REF!</definedName>
    <definedName name="L_KEYWORD_EQTY_200007513_NET_EARNING" localSheetId="23">#REF!</definedName>
    <definedName name="L_KEYWORD_EQTY_200007513_NET_EARNING" localSheetId="19">#REF!</definedName>
    <definedName name="L_KEYWORD_EQTY_200007513_NET_EARNING" localSheetId="21">#REF!</definedName>
    <definedName name="L_KEYWORD_EQTY_200007513_NET_EARNING">#REF!</definedName>
    <definedName name="L_KEYWORD_EQTY_200007513_NET_INC" localSheetId="24">#REF!</definedName>
    <definedName name="L_KEYWORD_EQTY_200007513_NET_INC" localSheetId="18">#REF!</definedName>
    <definedName name="L_KEYWORD_EQTY_200007513_NET_INC" localSheetId="12">#REF!</definedName>
    <definedName name="L_KEYWORD_EQTY_200007513_NET_INC" localSheetId="23">#REF!</definedName>
    <definedName name="L_KEYWORD_EQTY_200007513_NET_INC" localSheetId="19">#REF!</definedName>
    <definedName name="L_KEYWORD_EQTY_200007513_NET_INC" localSheetId="21">#REF!</definedName>
    <definedName name="L_KEYWORD_EQTY_200007513_NET_INC">#REF!</definedName>
    <definedName name="L_KEYWORD_EQTY_200007513_NI_PRE_PREF" localSheetId="24">#REF!</definedName>
    <definedName name="L_KEYWORD_EQTY_200007513_NI_PRE_PREF" localSheetId="18">#REF!</definedName>
    <definedName name="L_KEYWORD_EQTY_200007513_NI_PRE_PREF" localSheetId="12">#REF!</definedName>
    <definedName name="L_KEYWORD_EQTY_200007513_NI_PRE_PREF" localSheetId="23">#REF!</definedName>
    <definedName name="L_KEYWORD_EQTY_200007513_NI_PRE_PREF" localSheetId="19">#REF!</definedName>
    <definedName name="L_KEYWORD_EQTY_200007513_NI_PRE_PREF" localSheetId="21">#REF!</definedName>
    <definedName name="L_KEYWORD_EQTY_200007513_NI_PRE_PREF">#REF!</definedName>
    <definedName name="L_KEYWORD_EQTY_200007513_NI_PUB" localSheetId="24">#REF!</definedName>
    <definedName name="L_KEYWORD_EQTY_200007513_NI_PUB" localSheetId="18">#REF!</definedName>
    <definedName name="L_KEYWORD_EQTY_200007513_NI_PUB" localSheetId="12">#REF!</definedName>
    <definedName name="L_KEYWORD_EQTY_200007513_NI_PUB" localSheetId="23">#REF!</definedName>
    <definedName name="L_KEYWORD_EQTY_200007513_NI_PUB" localSheetId="19">#REF!</definedName>
    <definedName name="L_KEYWORD_EQTY_200007513_NI_PUB" localSheetId="21">#REF!</definedName>
    <definedName name="L_KEYWORD_EQTY_200007513_NI_PUB">#REF!</definedName>
    <definedName name="L_KEYWORD_EQTY_200007513_NON_OP_ADD" localSheetId="24">#REF!</definedName>
    <definedName name="L_KEYWORD_EQTY_200007513_NON_OP_ADD" localSheetId="18">#REF!</definedName>
    <definedName name="L_KEYWORD_EQTY_200007513_NON_OP_ADD" localSheetId="12">#REF!</definedName>
    <definedName name="L_KEYWORD_EQTY_200007513_NON_OP_ADD" localSheetId="23">#REF!</definedName>
    <definedName name="L_KEYWORD_EQTY_200007513_NON_OP_ADD" localSheetId="19">#REF!</definedName>
    <definedName name="L_KEYWORD_EQTY_200007513_NON_OP_ADD" localSheetId="21">#REF!</definedName>
    <definedName name="L_KEYWORD_EQTY_200007513_NON_OP_ADD">#REF!</definedName>
    <definedName name="L_KEYWORD_EQTY_200007513_NUM_SH" localSheetId="24">#REF!</definedName>
    <definedName name="L_KEYWORD_EQTY_200007513_NUM_SH" localSheetId="18">#REF!</definedName>
    <definedName name="L_KEYWORD_EQTY_200007513_NUM_SH" localSheetId="12">#REF!</definedName>
    <definedName name="L_KEYWORD_EQTY_200007513_NUM_SH" localSheetId="23">#REF!</definedName>
    <definedName name="L_KEYWORD_EQTY_200007513_NUM_SH" localSheetId="19">#REF!</definedName>
    <definedName name="L_KEYWORD_EQTY_200007513_NUM_SH" localSheetId="21">#REF!</definedName>
    <definedName name="L_KEYWORD_EQTY_200007513_NUM_SH">#REF!</definedName>
    <definedName name="L_KEYWORD_EQTY_200007513_ORG_EPS" localSheetId="24">#REF!</definedName>
    <definedName name="L_KEYWORD_EQTY_200007513_ORG_EPS" localSheetId="18">#REF!</definedName>
    <definedName name="L_KEYWORD_EQTY_200007513_ORG_EPS" localSheetId="12">#REF!</definedName>
    <definedName name="L_KEYWORD_EQTY_200007513_ORG_EPS" localSheetId="23">#REF!</definedName>
    <definedName name="L_KEYWORD_EQTY_200007513_ORG_EPS" localSheetId="19">#REF!</definedName>
    <definedName name="L_KEYWORD_EQTY_200007513_ORG_EPS" localSheetId="21">#REF!</definedName>
    <definedName name="L_KEYWORD_EQTY_200007513_ORG_EPS">#REF!</definedName>
    <definedName name="L_KEYWORD_EQTY_200007513_ORG_NI" localSheetId="24">#REF!</definedName>
    <definedName name="L_KEYWORD_EQTY_200007513_ORG_NI" localSheetId="18">#REF!</definedName>
    <definedName name="L_KEYWORD_EQTY_200007513_ORG_NI" localSheetId="12">#REF!</definedName>
    <definedName name="L_KEYWORD_EQTY_200007513_ORG_NI" localSheetId="23">#REF!</definedName>
    <definedName name="L_KEYWORD_EQTY_200007513_ORG_NI" localSheetId="19">#REF!</definedName>
    <definedName name="L_KEYWORD_EQTY_200007513_ORG_NI" localSheetId="21">#REF!</definedName>
    <definedName name="L_KEYWORD_EQTY_200007513_ORG_NI">#REF!</definedName>
    <definedName name="L_KEYWORD_EQTY_200007513_PREF_DIV" localSheetId="24">#REF!</definedName>
    <definedName name="L_KEYWORD_EQTY_200007513_PREF_DIV" localSheetId="18">#REF!</definedName>
    <definedName name="L_KEYWORD_EQTY_200007513_PREF_DIV" localSheetId="12">#REF!</definedName>
    <definedName name="L_KEYWORD_EQTY_200007513_PREF_DIV" localSheetId="23">#REF!</definedName>
    <definedName name="L_KEYWORD_EQTY_200007513_PREF_DIV" localSheetId="19">#REF!</definedName>
    <definedName name="L_KEYWORD_EQTY_200007513_PREF_DIV" localSheetId="21">#REF!</definedName>
    <definedName name="L_KEYWORD_EQTY_200007513_PREF_DIV">#REF!</definedName>
    <definedName name="L_KEYWORD_EQTY_200007513_PRICE_CURRENCY_ISO" localSheetId="24">#REF!</definedName>
    <definedName name="L_KEYWORD_EQTY_200007513_PRICE_CURRENCY_ISO" localSheetId="18">#REF!</definedName>
    <definedName name="L_KEYWORD_EQTY_200007513_PRICE_CURRENCY_ISO" localSheetId="12">#REF!</definedName>
    <definedName name="L_KEYWORD_EQTY_200007513_PRICE_CURRENCY_ISO" localSheetId="23">#REF!</definedName>
    <definedName name="L_KEYWORD_EQTY_200007513_PRICE_CURRENCY_ISO" localSheetId="19">#REF!</definedName>
    <definedName name="L_KEYWORD_EQTY_200007513_PRICE_CURRENCY_ISO" localSheetId="21">#REF!</definedName>
    <definedName name="L_KEYWORD_EQTY_200007513_PRICE_CURRENCY_ISO">#REF!</definedName>
    <definedName name="L_KEYWORD_EQTY_200007513_PROV_INC_TAX" localSheetId="24">#REF!</definedName>
    <definedName name="L_KEYWORD_EQTY_200007513_PROV_INC_TAX" localSheetId="18">#REF!</definedName>
    <definedName name="L_KEYWORD_EQTY_200007513_PROV_INC_TAX" localSheetId="12">#REF!</definedName>
    <definedName name="L_KEYWORD_EQTY_200007513_PROV_INC_TAX" localSheetId="23">#REF!</definedName>
    <definedName name="L_KEYWORD_EQTY_200007513_PROV_INC_TAX" localSheetId="19">#REF!</definedName>
    <definedName name="L_KEYWORD_EQTY_200007513_PROV_INC_TAX" localSheetId="21">#REF!</definedName>
    <definedName name="L_KEYWORD_EQTY_200007513_PROV_INC_TAX">#REF!</definedName>
    <definedName name="L_KEYWORD_EQTY_200007513_PTP_PUB" localSheetId="24">#REF!</definedName>
    <definedName name="L_KEYWORD_EQTY_200007513_PTP_PUB" localSheetId="18">#REF!</definedName>
    <definedName name="L_KEYWORD_EQTY_200007513_PTP_PUB" localSheetId="12">#REF!</definedName>
    <definedName name="L_KEYWORD_EQTY_200007513_PTP_PUB" localSheetId="23">#REF!</definedName>
    <definedName name="L_KEYWORD_EQTY_200007513_PTP_PUB" localSheetId="19">#REF!</definedName>
    <definedName name="L_KEYWORD_EQTY_200007513_PTP_PUB" localSheetId="21">#REF!</definedName>
    <definedName name="L_KEYWORD_EQTY_200007513_PTP_PUB">#REF!</definedName>
    <definedName name="L_KEYWORD_EQTY_200007513_PUB_CURRENCY_ISO" localSheetId="24">#REF!</definedName>
    <definedName name="L_KEYWORD_EQTY_200007513_PUB_CURRENCY_ISO" localSheetId="18">#REF!</definedName>
    <definedName name="L_KEYWORD_EQTY_200007513_PUB_CURRENCY_ISO" localSheetId="12">#REF!</definedName>
    <definedName name="L_KEYWORD_EQTY_200007513_PUB_CURRENCY_ISO" localSheetId="23">#REF!</definedName>
    <definedName name="L_KEYWORD_EQTY_200007513_PUB_CURRENCY_ISO" localSheetId="19">#REF!</definedName>
    <definedName name="L_KEYWORD_EQTY_200007513_PUB_CURRENCY_ISO" localSheetId="21">#REF!</definedName>
    <definedName name="L_KEYWORD_EQTY_200007513_PUB_CURRENCY_ISO">#REF!</definedName>
    <definedName name="L_KEYWORD_EQTY_200007513_REVS_PUB" localSheetId="24">#REF!</definedName>
    <definedName name="L_KEYWORD_EQTY_200007513_REVS_PUB" localSheetId="18">#REF!</definedName>
    <definedName name="L_KEYWORD_EQTY_200007513_REVS_PUB" localSheetId="12">#REF!</definedName>
    <definedName name="L_KEYWORD_EQTY_200007513_REVS_PUB" localSheetId="23">#REF!</definedName>
    <definedName name="L_KEYWORD_EQTY_200007513_REVS_PUB" localSheetId="19">#REF!</definedName>
    <definedName name="L_KEYWORD_EQTY_200007513_REVS_PUB" localSheetId="21">#REF!</definedName>
    <definedName name="L_KEYWORD_EQTY_200007513_REVS_PUB">#REF!</definedName>
    <definedName name="L_KEYWORD_EQTY_200007513_RISK_FR_RATE" localSheetId="24">#REF!</definedName>
    <definedName name="L_KEYWORD_EQTY_200007513_RISK_FR_RATE" localSheetId="18">#REF!</definedName>
    <definedName name="L_KEYWORD_EQTY_200007513_RISK_FR_RATE" localSheetId="12">#REF!</definedName>
    <definedName name="L_KEYWORD_EQTY_200007513_RISK_FR_RATE" localSheetId="23">#REF!</definedName>
    <definedName name="L_KEYWORD_EQTY_200007513_RISK_FR_RATE" localSheetId="19">#REF!</definedName>
    <definedName name="L_KEYWORD_EQTY_200007513_RISK_FR_RATE" localSheetId="21">#REF!</definedName>
    <definedName name="L_KEYWORD_EQTY_200007513_RISK_FR_RATE">#REF!</definedName>
    <definedName name="L_KEYWORD_EQTY_200007513_Security_Name" localSheetId="24">#REF!</definedName>
    <definedName name="L_KEYWORD_EQTY_200007513_Security_Name" localSheetId="18">#REF!</definedName>
    <definedName name="L_KEYWORD_EQTY_200007513_Security_Name" localSheetId="12">#REF!</definedName>
    <definedName name="L_KEYWORD_EQTY_200007513_Security_Name" localSheetId="23">#REF!</definedName>
    <definedName name="L_KEYWORD_EQTY_200007513_Security_Name" localSheetId="19">#REF!</definedName>
    <definedName name="L_KEYWORD_EQTY_200007513_Security_Name" localSheetId="21">#REF!</definedName>
    <definedName name="L_KEYWORD_EQTY_200007513_Security_Name">#REF!</definedName>
    <definedName name="L_KEYWORD_EQTY_200007513_SH" localSheetId="24">#REF!</definedName>
    <definedName name="L_KEYWORD_EQTY_200007513_SH" localSheetId="18">#REF!</definedName>
    <definedName name="L_KEYWORD_EQTY_200007513_SH" localSheetId="12">#REF!</definedName>
    <definedName name="L_KEYWORD_EQTY_200007513_SH" localSheetId="23">#REF!</definedName>
    <definedName name="L_KEYWORD_EQTY_200007513_SH" localSheetId="19">#REF!</definedName>
    <definedName name="L_KEYWORD_EQTY_200007513_SH" localSheetId="21">#REF!</definedName>
    <definedName name="L_KEYWORD_EQTY_200007513_SH">#REF!</definedName>
    <definedName name="L_KEYWORD_EQTY_200007513_TARGET_PRICE" localSheetId="24">#REF!</definedName>
    <definedName name="L_KEYWORD_EQTY_200007513_TARGET_PRICE" localSheetId="18">#REF!</definedName>
    <definedName name="L_KEYWORD_EQTY_200007513_TARGET_PRICE" localSheetId="12">#REF!</definedName>
    <definedName name="L_KEYWORD_EQTY_200007513_TARGET_PRICE" localSheetId="23">#REF!</definedName>
    <definedName name="L_KEYWORD_EQTY_200007513_TARGET_PRICE" localSheetId="19">#REF!</definedName>
    <definedName name="L_KEYWORD_EQTY_200007513_TARGET_PRICE" localSheetId="21">#REF!</definedName>
    <definedName name="L_KEYWORD_EQTY_200007513_TARGET_PRICE">#REF!</definedName>
    <definedName name="L_KEYWORD_EQTY_200007513_TAX_EXC" localSheetId="24">#REF!</definedName>
    <definedName name="L_KEYWORD_EQTY_200007513_TAX_EXC" localSheetId="18">#REF!</definedName>
    <definedName name="L_KEYWORD_EQTY_200007513_TAX_EXC" localSheetId="12">#REF!</definedName>
    <definedName name="L_KEYWORD_EQTY_200007513_TAX_EXC" localSheetId="23">#REF!</definedName>
    <definedName name="L_KEYWORD_EQTY_200007513_TAX_EXC" localSheetId="19">#REF!</definedName>
    <definedName name="L_KEYWORD_EQTY_200007513_TAX_EXC" localSheetId="21">#REF!</definedName>
    <definedName name="L_KEYWORD_EQTY_200007513_TAX_EXC">#REF!</definedName>
    <definedName name="L_KEYWORD_EQTY_200007513_Ticker" localSheetId="24">#REF!</definedName>
    <definedName name="L_KEYWORD_EQTY_200007513_Ticker" localSheetId="18">#REF!</definedName>
    <definedName name="L_KEYWORD_EQTY_200007513_Ticker" localSheetId="12">#REF!</definedName>
    <definedName name="L_KEYWORD_EQTY_200007513_Ticker" localSheetId="23">#REF!</definedName>
    <definedName name="L_KEYWORD_EQTY_200007513_Ticker" localSheetId="19">#REF!</definedName>
    <definedName name="L_KEYWORD_EQTY_200007513_Ticker" localSheetId="21">#REF!</definedName>
    <definedName name="L_KEYWORD_EQTY_200007513_Ticker">#REF!</definedName>
    <definedName name="L_KEYWORD_EQTY_200007513_TP_PERIOD" localSheetId="24">#REF!</definedName>
    <definedName name="L_KEYWORD_EQTY_200007513_TP_PERIOD" localSheetId="18">#REF!</definedName>
    <definedName name="L_KEYWORD_EQTY_200007513_TP_PERIOD" localSheetId="12">#REF!</definedName>
    <definedName name="L_KEYWORD_EQTY_200007513_TP_PERIOD" localSheetId="23">#REF!</definedName>
    <definedName name="L_KEYWORD_EQTY_200007513_TP_PERIOD" localSheetId="19">#REF!</definedName>
    <definedName name="L_KEYWORD_EQTY_200007513_TP_PERIOD" localSheetId="21">#REF!</definedName>
    <definedName name="L_KEYWORD_EQTY_200007513_TP_PERIOD">#REF!</definedName>
    <definedName name="L_KEYWORD_ISSR_208002861_ACC_AMORT" localSheetId="24">#REF!</definedName>
    <definedName name="L_KEYWORD_ISSR_208002861_ACC_AMORT" localSheetId="18">#REF!</definedName>
    <definedName name="L_KEYWORD_ISSR_208002861_ACC_AMORT" localSheetId="12">#REF!</definedName>
    <definedName name="L_KEYWORD_ISSR_208002861_ACC_AMORT" localSheetId="23">#REF!</definedName>
    <definedName name="L_KEYWORD_ISSR_208002861_ACC_AMORT" localSheetId="19">#REF!</definedName>
    <definedName name="L_KEYWORD_ISSR_208002861_ACC_AMORT" localSheetId="21">#REF!</definedName>
    <definedName name="L_KEYWORD_ISSR_208002861_ACC_AMORT">#REF!</definedName>
    <definedName name="L_KEYWORD_ISSR_208002861_ACC_DDA" localSheetId="24">#REF!</definedName>
    <definedName name="L_KEYWORD_ISSR_208002861_ACC_DDA" localSheetId="18">#REF!</definedName>
    <definedName name="L_KEYWORD_ISSR_208002861_ACC_DDA" localSheetId="12">#REF!</definedName>
    <definedName name="L_KEYWORD_ISSR_208002861_ACC_DDA" localSheetId="23">#REF!</definedName>
    <definedName name="L_KEYWORD_ISSR_208002861_ACC_DDA" localSheetId="19">#REF!</definedName>
    <definedName name="L_KEYWORD_ISSR_208002861_ACC_DDA" localSheetId="21">#REF!</definedName>
    <definedName name="L_KEYWORD_ISSR_208002861_ACC_DDA">#REF!</definedName>
    <definedName name="L_KEYWORD_ISSR_208002861_ACC_END_DATE" localSheetId="24">#REF!</definedName>
    <definedName name="L_KEYWORD_ISSR_208002861_ACC_END_DATE" localSheetId="18">#REF!</definedName>
    <definedName name="L_KEYWORD_ISSR_208002861_ACC_END_DATE" localSheetId="12">#REF!</definedName>
    <definedName name="L_KEYWORD_ISSR_208002861_ACC_END_DATE" localSheetId="23">#REF!</definedName>
    <definedName name="L_KEYWORD_ISSR_208002861_ACC_END_DATE" localSheetId="19">#REF!</definedName>
    <definedName name="L_KEYWORD_ISSR_208002861_ACC_END_DATE" localSheetId="21">#REF!</definedName>
    <definedName name="L_KEYWORD_ISSR_208002861_ACC_END_DATE">#REF!</definedName>
    <definedName name="L_KEYWORD_ISSR_208002861_ACC_PAY_GQ" localSheetId="24">#REF!</definedName>
    <definedName name="L_KEYWORD_ISSR_208002861_ACC_PAY_GQ" localSheetId="18">#REF!</definedName>
    <definedName name="L_KEYWORD_ISSR_208002861_ACC_PAY_GQ" localSheetId="12">#REF!</definedName>
    <definedName name="L_KEYWORD_ISSR_208002861_ACC_PAY_GQ" localSheetId="23">#REF!</definedName>
    <definedName name="L_KEYWORD_ISSR_208002861_ACC_PAY_GQ" localSheetId="19">#REF!</definedName>
    <definedName name="L_KEYWORD_ISSR_208002861_ACC_PAY_GQ" localSheetId="21">#REF!</definedName>
    <definedName name="L_KEYWORD_ISSR_208002861_ACC_PAY_GQ">#REF!</definedName>
    <definedName name="L_KEYWORD_ISSR_208002861_ACQ" localSheetId="24">#REF!</definedName>
    <definedName name="L_KEYWORD_ISSR_208002861_ACQ" localSheetId="18">#REF!</definedName>
    <definedName name="L_KEYWORD_ISSR_208002861_ACQ" localSheetId="12">#REF!</definedName>
    <definedName name="L_KEYWORD_ISSR_208002861_ACQ" localSheetId="23">#REF!</definedName>
    <definedName name="L_KEYWORD_ISSR_208002861_ACQ" localSheetId="19">#REF!</definedName>
    <definedName name="L_KEYWORD_ISSR_208002861_ACQ" localSheetId="21">#REF!</definedName>
    <definedName name="L_KEYWORD_ISSR_208002861_ACQ">#REF!</definedName>
    <definedName name="L_KEYWORD_ISSR_208002861_ADJ_UNF_PENS_GOOD" localSheetId="24">#REF!</definedName>
    <definedName name="L_KEYWORD_ISSR_208002861_ADJ_UNF_PENS_GOOD" localSheetId="18">#REF!</definedName>
    <definedName name="L_KEYWORD_ISSR_208002861_ADJ_UNF_PENS_GOOD" localSheetId="12">#REF!</definedName>
    <definedName name="L_KEYWORD_ISSR_208002861_ADJ_UNF_PENS_GOOD" localSheetId="23">#REF!</definedName>
    <definedName name="L_KEYWORD_ISSR_208002861_ADJ_UNF_PENS_GOOD" localSheetId="19">#REF!</definedName>
    <definedName name="L_KEYWORD_ISSR_208002861_ADJ_UNF_PENS_GOOD" localSheetId="21">#REF!</definedName>
    <definedName name="L_KEYWORD_ISSR_208002861_ADJ_UNF_PENS_GOOD">#REF!</definedName>
    <definedName name="L_KEYWORD_ISSR_208002861_ASSOC_JV_ADDBK" localSheetId="24">#REF!</definedName>
    <definedName name="L_KEYWORD_ISSR_208002861_ASSOC_JV_ADDBK" localSheetId="18">#REF!</definedName>
    <definedName name="L_KEYWORD_ISSR_208002861_ASSOC_JV_ADDBK" localSheetId="12">#REF!</definedName>
    <definedName name="L_KEYWORD_ISSR_208002861_ASSOC_JV_ADDBK" localSheetId="23">#REF!</definedName>
    <definedName name="L_KEYWORD_ISSR_208002861_ASSOC_JV_ADDBK" localSheetId="19">#REF!</definedName>
    <definedName name="L_KEYWORD_ISSR_208002861_ASSOC_JV_ADDBK" localSheetId="21">#REF!</definedName>
    <definedName name="L_KEYWORD_ISSR_208002861_ASSOC_JV_ADDBK">#REF!</definedName>
    <definedName name="L_KEYWORD_ISSR_208002861_ASSOCIATE" localSheetId="24">#REF!</definedName>
    <definedName name="L_KEYWORD_ISSR_208002861_ASSOCIATE" localSheetId="18">#REF!</definedName>
    <definedName name="L_KEYWORD_ISSR_208002861_ASSOCIATE" localSheetId="12">#REF!</definedName>
    <definedName name="L_KEYWORD_ISSR_208002861_ASSOCIATE" localSheetId="23">#REF!</definedName>
    <definedName name="L_KEYWORD_ISSR_208002861_ASSOCIATE" localSheetId="19">#REF!</definedName>
    <definedName name="L_KEYWORD_ISSR_208002861_ASSOCIATE" localSheetId="21">#REF!</definedName>
    <definedName name="L_KEYWORD_ISSR_208002861_ASSOCIATE">#REF!</definedName>
    <definedName name="L_KEYWORD_ISSR_208002861_ASSOCIATE_OP" localSheetId="24">#REF!</definedName>
    <definedName name="L_KEYWORD_ISSR_208002861_ASSOCIATE_OP" localSheetId="18">#REF!</definedName>
    <definedName name="L_KEYWORD_ISSR_208002861_ASSOCIATE_OP" localSheetId="12">#REF!</definedName>
    <definedName name="L_KEYWORD_ISSR_208002861_ASSOCIATE_OP" localSheetId="23">#REF!</definedName>
    <definedName name="L_KEYWORD_ISSR_208002861_ASSOCIATE_OP" localSheetId="19">#REF!</definedName>
    <definedName name="L_KEYWORD_ISSR_208002861_ASSOCIATE_OP" localSheetId="21">#REF!</definedName>
    <definedName name="L_KEYWORD_ISSR_208002861_ASSOCIATE_OP">#REF!</definedName>
    <definedName name="L_KEYWORD_ISSR_208002861_BAL_MINO_INT" localSheetId="24">#REF!</definedName>
    <definedName name="L_KEYWORD_ISSR_208002861_BAL_MINO_INT" localSheetId="18">#REF!</definedName>
    <definedName name="L_KEYWORD_ISSR_208002861_BAL_MINO_INT" localSheetId="12">#REF!</definedName>
    <definedName name="L_KEYWORD_ISSR_208002861_BAL_MINO_INT" localSheetId="23">#REF!</definedName>
    <definedName name="L_KEYWORD_ISSR_208002861_BAL_MINO_INT" localSheetId="19">#REF!</definedName>
    <definedName name="L_KEYWORD_ISSR_208002861_BAL_MINO_INT" localSheetId="21">#REF!</definedName>
    <definedName name="L_KEYWORD_ISSR_208002861_BAL_MINO_INT">#REF!</definedName>
    <definedName name="L_KEYWORD_ISSR_208002861_CAP_LEASES" localSheetId="24">#REF!</definedName>
    <definedName name="L_KEYWORD_ISSR_208002861_CAP_LEASES" localSheetId="18">#REF!</definedName>
    <definedName name="L_KEYWORD_ISSR_208002861_CAP_LEASES" localSheetId="12">#REF!</definedName>
    <definedName name="L_KEYWORD_ISSR_208002861_CAP_LEASES" localSheetId="23">#REF!</definedName>
    <definedName name="L_KEYWORD_ISSR_208002861_CAP_LEASES" localSheetId="19">#REF!</definedName>
    <definedName name="L_KEYWORD_ISSR_208002861_CAP_LEASES" localSheetId="21">#REF!</definedName>
    <definedName name="L_KEYWORD_ISSR_208002861_CAP_LEASES">#REF!</definedName>
    <definedName name="L_KEYWORD_ISSR_208002861_CAPEX" localSheetId="24">#REF!</definedName>
    <definedName name="L_KEYWORD_ISSR_208002861_CAPEX" localSheetId="18">#REF!</definedName>
    <definedName name="L_KEYWORD_ISSR_208002861_CAPEX" localSheetId="12">#REF!</definedName>
    <definedName name="L_KEYWORD_ISSR_208002861_CAPEX" localSheetId="23">#REF!</definedName>
    <definedName name="L_KEYWORD_ISSR_208002861_CAPEX" localSheetId="19">#REF!</definedName>
    <definedName name="L_KEYWORD_ISSR_208002861_CAPEX" localSheetId="21">#REF!</definedName>
    <definedName name="L_KEYWORD_ISSR_208002861_CAPEX">#REF!</definedName>
    <definedName name="L_KEYWORD_ISSR_208002861_CAPEX_EXPANSION" localSheetId="24">#REF!</definedName>
    <definedName name="L_KEYWORD_ISSR_208002861_CAPEX_EXPANSION" localSheetId="18">#REF!</definedName>
    <definedName name="L_KEYWORD_ISSR_208002861_CAPEX_EXPANSION" localSheetId="12">#REF!</definedName>
    <definedName name="L_KEYWORD_ISSR_208002861_CAPEX_EXPANSION" localSheetId="23">#REF!</definedName>
    <definedName name="L_KEYWORD_ISSR_208002861_CAPEX_EXPANSION" localSheetId="19">#REF!</definedName>
    <definedName name="L_KEYWORD_ISSR_208002861_CAPEX_EXPANSION" localSheetId="21">#REF!</definedName>
    <definedName name="L_KEYWORD_ISSR_208002861_CAPEX_EXPANSION">#REF!</definedName>
    <definedName name="L_KEYWORD_ISSR_208002861_CAPEX_MAINTENANCE" localSheetId="24">#REF!</definedName>
    <definedName name="L_KEYWORD_ISSR_208002861_CAPEX_MAINTENANCE" localSheetId="18">#REF!</definedName>
    <definedName name="L_KEYWORD_ISSR_208002861_CAPEX_MAINTENANCE" localSheetId="12">#REF!</definedName>
    <definedName name="L_KEYWORD_ISSR_208002861_CAPEX_MAINTENANCE" localSheetId="23">#REF!</definedName>
    <definedName name="L_KEYWORD_ISSR_208002861_CAPEX_MAINTENANCE" localSheetId="19">#REF!</definedName>
    <definedName name="L_KEYWORD_ISSR_208002861_CAPEX_MAINTENANCE" localSheetId="21">#REF!</definedName>
    <definedName name="L_KEYWORD_ISSR_208002861_CAPEX_MAINTENANCE">#REF!</definedName>
    <definedName name="L_KEYWORD_ISSR_208002861_CASH_EQ" localSheetId="24">#REF!</definedName>
    <definedName name="L_KEYWORD_ISSR_208002861_CASH_EQ" localSheetId="18">#REF!</definedName>
    <definedName name="L_KEYWORD_ISSR_208002861_CASH_EQ" localSheetId="12">#REF!</definedName>
    <definedName name="L_KEYWORD_ISSR_208002861_CASH_EQ" localSheetId="23">#REF!</definedName>
    <definedName name="L_KEYWORD_ISSR_208002861_CASH_EQ" localSheetId="19">#REF!</definedName>
    <definedName name="L_KEYWORD_ISSR_208002861_CASH_EQ" localSheetId="21">#REF!</definedName>
    <definedName name="L_KEYWORD_ISSR_208002861_CASH_EQ">#REF!</definedName>
    <definedName name="L_KEYWORD_ISSR_208002861_CASH_INT_EXP" localSheetId="24">#REF!</definedName>
    <definedName name="L_KEYWORD_ISSR_208002861_CASH_INT_EXP" localSheetId="18">#REF!</definedName>
    <definedName name="L_KEYWORD_ISSR_208002861_CASH_INT_EXP" localSheetId="12">#REF!</definedName>
    <definedName name="L_KEYWORD_ISSR_208002861_CASH_INT_EXP" localSheetId="23">#REF!</definedName>
    <definedName name="L_KEYWORD_ISSR_208002861_CASH_INT_EXP" localSheetId="19">#REF!</definedName>
    <definedName name="L_KEYWORD_ISSR_208002861_CASH_INT_EXP" localSheetId="21">#REF!</definedName>
    <definedName name="L_KEYWORD_ISSR_208002861_CASH_INT_EXP">#REF!</definedName>
    <definedName name="L_KEYWORD_ISSR_208002861_CASH_INT_INC_EXP" localSheetId="24">#REF!</definedName>
    <definedName name="L_KEYWORD_ISSR_208002861_CASH_INT_INC_EXP" localSheetId="18">#REF!</definedName>
    <definedName name="L_KEYWORD_ISSR_208002861_CASH_INT_INC_EXP" localSheetId="12">#REF!</definedName>
    <definedName name="L_KEYWORD_ISSR_208002861_CASH_INT_INC_EXP" localSheetId="23">#REF!</definedName>
    <definedName name="L_KEYWORD_ISSR_208002861_CASH_INT_INC_EXP" localSheetId="19">#REF!</definedName>
    <definedName name="L_KEYWORD_ISSR_208002861_CASH_INT_INC_EXP" localSheetId="21">#REF!</definedName>
    <definedName name="L_KEYWORD_ISSR_208002861_CASH_INT_INC_EXP">#REF!</definedName>
    <definedName name="L_KEYWORD_ISSR_208002861_CASH_TAX_EXP" localSheetId="24">#REF!</definedName>
    <definedName name="L_KEYWORD_ISSR_208002861_CASH_TAX_EXP" localSheetId="18">#REF!</definedName>
    <definedName name="L_KEYWORD_ISSR_208002861_CASH_TAX_EXP" localSheetId="12">#REF!</definedName>
    <definedName name="L_KEYWORD_ISSR_208002861_CASH_TAX_EXP" localSheetId="23">#REF!</definedName>
    <definedName name="L_KEYWORD_ISSR_208002861_CASH_TAX_EXP" localSheetId="19">#REF!</definedName>
    <definedName name="L_KEYWORD_ISSR_208002861_CASH_TAX_EXP" localSheetId="21">#REF!</definedName>
    <definedName name="L_KEYWORD_ISSR_208002861_CASH_TAX_EXP">#REF!</definedName>
    <definedName name="L_KEYWORD_ISSR_208002861_CASH_TAX_PD" localSheetId="24">#REF!</definedName>
    <definedName name="L_KEYWORD_ISSR_208002861_CASH_TAX_PD" localSheetId="18">#REF!</definedName>
    <definedName name="L_KEYWORD_ISSR_208002861_CASH_TAX_PD" localSheetId="12">#REF!</definedName>
    <definedName name="L_KEYWORD_ISSR_208002861_CASH_TAX_PD" localSheetId="23">#REF!</definedName>
    <definedName name="L_KEYWORD_ISSR_208002861_CASH_TAX_PD" localSheetId="19">#REF!</definedName>
    <definedName name="L_KEYWORD_ISSR_208002861_CASH_TAX_PD" localSheetId="21">#REF!</definedName>
    <definedName name="L_KEYWORD_ISSR_208002861_CASH_TAX_PD">#REF!</definedName>
    <definedName name="L_KEYWORD_ISSR_208002861_CF_FIN" localSheetId="24">#REF!</definedName>
    <definedName name="L_KEYWORD_ISSR_208002861_CF_FIN" localSheetId="18">#REF!</definedName>
    <definedName name="L_KEYWORD_ISSR_208002861_CF_FIN" localSheetId="12">#REF!</definedName>
    <definedName name="L_KEYWORD_ISSR_208002861_CF_FIN" localSheetId="23">#REF!</definedName>
    <definedName name="L_KEYWORD_ISSR_208002861_CF_FIN" localSheetId="19">#REF!</definedName>
    <definedName name="L_KEYWORD_ISSR_208002861_CF_FIN" localSheetId="21">#REF!</definedName>
    <definedName name="L_KEYWORD_ISSR_208002861_CF_FIN">#REF!</definedName>
    <definedName name="L_KEYWORD_ISSR_208002861_CF_INC_MINORITY" localSheetId="24">#REF!</definedName>
    <definedName name="L_KEYWORD_ISSR_208002861_CF_INC_MINORITY" localSheetId="18">#REF!</definedName>
    <definedName name="L_KEYWORD_ISSR_208002861_CF_INC_MINORITY" localSheetId="12">#REF!</definedName>
    <definedName name="L_KEYWORD_ISSR_208002861_CF_INC_MINORITY" localSheetId="23">#REF!</definedName>
    <definedName name="L_KEYWORD_ISSR_208002861_CF_INC_MINORITY" localSheetId="19">#REF!</definedName>
    <definedName name="L_KEYWORD_ISSR_208002861_CF_INC_MINORITY" localSheetId="21">#REF!</definedName>
    <definedName name="L_KEYWORD_ISSR_208002861_CF_INC_MINORITY">#REF!</definedName>
    <definedName name="L_KEYWORD_ISSR_208002861_CF_INV" localSheetId="24">#REF!</definedName>
    <definedName name="L_KEYWORD_ISSR_208002861_CF_INV" localSheetId="18">#REF!</definedName>
    <definedName name="L_KEYWORD_ISSR_208002861_CF_INV" localSheetId="12">#REF!</definedName>
    <definedName name="L_KEYWORD_ISSR_208002861_CF_INV" localSheetId="23">#REF!</definedName>
    <definedName name="L_KEYWORD_ISSR_208002861_CF_INV" localSheetId="19">#REF!</definedName>
    <definedName name="L_KEYWORD_ISSR_208002861_CF_INV" localSheetId="21">#REF!</definedName>
    <definedName name="L_KEYWORD_ISSR_208002861_CF_INV">#REF!</definedName>
    <definedName name="L_KEYWORD_ISSR_208002861_CF_OPS" localSheetId="24">#REF!</definedName>
    <definedName name="L_KEYWORD_ISSR_208002861_CF_OPS" localSheetId="18">#REF!</definedName>
    <definedName name="L_KEYWORD_ISSR_208002861_CF_OPS" localSheetId="12">#REF!</definedName>
    <definedName name="L_KEYWORD_ISSR_208002861_CF_OPS" localSheetId="23">#REF!</definedName>
    <definedName name="L_KEYWORD_ISSR_208002861_CF_OPS" localSheetId="19">#REF!</definedName>
    <definedName name="L_KEYWORD_ISSR_208002861_CF_OPS" localSheetId="21">#REF!</definedName>
    <definedName name="L_KEYWORD_ISSR_208002861_CF_OPS">#REF!</definedName>
    <definedName name="L_KEYWORD_ISSR_208002861_CHG_LT_DEBT" localSheetId="24">#REF!</definedName>
    <definedName name="L_KEYWORD_ISSR_208002861_CHG_LT_DEBT" localSheetId="18">#REF!</definedName>
    <definedName name="L_KEYWORD_ISSR_208002861_CHG_LT_DEBT" localSheetId="12">#REF!</definedName>
    <definedName name="L_KEYWORD_ISSR_208002861_CHG_LT_DEBT" localSheetId="23">#REF!</definedName>
    <definedName name="L_KEYWORD_ISSR_208002861_CHG_LT_DEBT" localSheetId="19">#REF!</definedName>
    <definedName name="L_KEYWORD_ISSR_208002861_CHG_LT_DEBT" localSheetId="21">#REF!</definedName>
    <definedName name="L_KEYWORD_ISSR_208002861_CHG_LT_DEBT">#REF!</definedName>
    <definedName name="L_KEYWORD_ISSR_208002861_CO_BOR_MARGIN" localSheetId="24">#REF!</definedName>
    <definedName name="L_KEYWORD_ISSR_208002861_CO_BOR_MARGIN" localSheetId="18">#REF!</definedName>
    <definedName name="L_KEYWORD_ISSR_208002861_CO_BOR_MARGIN" localSheetId="12">#REF!</definedName>
    <definedName name="L_KEYWORD_ISSR_208002861_CO_BOR_MARGIN" localSheetId="23">#REF!</definedName>
    <definedName name="L_KEYWORD_ISSR_208002861_CO_BOR_MARGIN" localSheetId="19">#REF!</definedName>
    <definedName name="L_KEYWORD_ISSR_208002861_CO_BOR_MARGIN" localSheetId="21">#REF!</definedName>
    <definedName name="L_KEYWORD_ISSR_208002861_CO_BOR_MARGIN">#REF!</definedName>
    <definedName name="L_KEYWORD_ISSR_208002861_COST_GD_SD" localSheetId="24">#REF!</definedName>
    <definedName name="L_KEYWORD_ISSR_208002861_COST_GD_SD" localSheetId="18">#REF!</definedName>
    <definedName name="L_KEYWORD_ISSR_208002861_COST_GD_SD" localSheetId="12">#REF!</definedName>
    <definedName name="L_KEYWORD_ISSR_208002861_COST_GD_SD" localSheetId="23">#REF!</definedName>
    <definedName name="L_KEYWORD_ISSR_208002861_COST_GD_SD" localSheetId="19">#REF!</definedName>
    <definedName name="L_KEYWORD_ISSR_208002861_COST_GD_SD" localSheetId="21">#REF!</definedName>
    <definedName name="L_KEYWORD_ISSR_208002861_COST_GD_SD">#REF!</definedName>
    <definedName name="L_KEYWORD_ISSR_208002861_CUR_ASS" localSheetId="24">#REF!</definedName>
    <definedName name="L_KEYWORD_ISSR_208002861_CUR_ASS" localSheetId="18">#REF!</definedName>
    <definedName name="L_KEYWORD_ISSR_208002861_CUR_ASS" localSheetId="12">#REF!</definedName>
    <definedName name="L_KEYWORD_ISSR_208002861_CUR_ASS" localSheetId="23">#REF!</definedName>
    <definedName name="L_KEYWORD_ISSR_208002861_CUR_ASS" localSheetId="19">#REF!</definedName>
    <definedName name="L_KEYWORD_ISSR_208002861_CUR_ASS" localSheetId="21">#REF!</definedName>
    <definedName name="L_KEYWORD_ISSR_208002861_CUR_ASS">#REF!</definedName>
    <definedName name="L_KEYWORD_ISSR_208002861_CURRENCY_ISO" localSheetId="24">#REF!</definedName>
    <definedName name="L_KEYWORD_ISSR_208002861_CURRENCY_ISO" localSheetId="18">#REF!</definedName>
    <definedName name="L_KEYWORD_ISSR_208002861_CURRENCY_ISO" localSheetId="12">#REF!</definedName>
    <definedName name="L_KEYWORD_ISSR_208002861_CURRENCY_ISO" localSheetId="23">#REF!</definedName>
    <definedName name="L_KEYWORD_ISSR_208002861_CURRENCY_ISO" localSheetId="19">#REF!</definedName>
    <definedName name="L_KEYWORD_ISSR_208002861_CURRENCY_ISO" localSheetId="21">#REF!</definedName>
    <definedName name="L_KEYWORD_ISSR_208002861_CURRENCY_ISO">#REF!</definedName>
    <definedName name="L_KEYWORD_ISSR_208002861_DEBTORS" localSheetId="24">#REF!</definedName>
    <definedName name="L_KEYWORD_ISSR_208002861_DEBTORS" localSheetId="18">#REF!</definedName>
    <definedName name="L_KEYWORD_ISSR_208002861_DEBTORS" localSheetId="12">#REF!</definedName>
    <definedName name="L_KEYWORD_ISSR_208002861_DEBTORS" localSheetId="23">#REF!</definedName>
    <definedName name="L_KEYWORD_ISSR_208002861_DEBTORS" localSheetId="19">#REF!</definedName>
    <definedName name="L_KEYWORD_ISSR_208002861_DEBTORS" localSheetId="21">#REF!</definedName>
    <definedName name="L_KEYWORD_ISSR_208002861_DEBTORS">#REF!</definedName>
    <definedName name="L_KEYWORD_ISSR_208002861_DEF_INC_TAX" localSheetId="24">#REF!</definedName>
    <definedName name="L_KEYWORD_ISSR_208002861_DEF_INC_TAX" localSheetId="18">#REF!</definedName>
    <definedName name="L_KEYWORD_ISSR_208002861_DEF_INC_TAX" localSheetId="12">#REF!</definedName>
    <definedName name="L_KEYWORD_ISSR_208002861_DEF_INC_TAX" localSheetId="23">#REF!</definedName>
    <definedName name="L_KEYWORD_ISSR_208002861_DEF_INC_TAX" localSheetId="19">#REF!</definedName>
    <definedName name="L_KEYWORD_ISSR_208002861_DEF_INC_TAX" localSheetId="21">#REF!</definedName>
    <definedName name="L_KEYWORD_ISSR_208002861_DEF_INC_TAX">#REF!</definedName>
    <definedName name="L_KEYWORD_ISSR_208002861_DEPR_AMORT" localSheetId="24">#REF!</definedName>
    <definedName name="L_KEYWORD_ISSR_208002861_DEPR_AMORT" localSheetId="18">#REF!</definedName>
    <definedName name="L_KEYWORD_ISSR_208002861_DEPR_AMORT" localSheetId="12">#REF!</definedName>
    <definedName name="L_KEYWORD_ISSR_208002861_DEPR_AMORT" localSheetId="23">#REF!</definedName>
    <definedName name="L_KEYWORD_ISSR_208002861_DEPR_AMORT" localSheetId="19">#REF!</definedName>
    <definedName name="L_KEYWORD_ISSR_208002861_DEPR_AMORT" localSheetId="21">#REF!</definedName>
    <definedName name="L_KEYWORD_ISSR_208002861_DEPR_AMORT">#REF!</definedName>
    <definedName name="L_KEYWORD_ISSR_208002861_DEPREC" localSheetId="24">#REF!</definedName>
    <definedName name="L_KEYWORD_ISSR_208002861_DEPREC" localSheetId="18">#REF!</definedName>
    <definedName name="L_KEYWORD_ISSR_208002861_DEPREC" localSheetId="12">#REF!</definedName>
    <definedName name="L_KEYWORD_ISSR_208002861_DEPREC" localSheetId="23">#REF!</definedName>
    <definedName name="L_KEYWORD_ISSR_208002861_DEPREC" localSheetId="19">#REF!</definedName>
    <definedName name="L_KEYWORD_ISSR_208002861_DEPREC" localSheetId="21">#REF!</definedName>
    <definedName name="L_KEYWORD_ISSR_208002861_DEPREC">#REF!</definedName>
    <definedName name="L_KEYWORD_ISSR_208002861_DIV_PAID" localSheetId="24">#REF!</definedName>
    <definedName name="L_KEYWORD_ISSR_208002861_DIV_PAID" localSheetId="18">#REF!</definedName>
    <definedName name="L_KEYWORD_ISSR_208002861_DIV_PAID" localSheetId="12">#REF!</definedName>
    <definedName name="L_KEYWORD_ISSR_208002861_DIV_PAID" localSheetId="23">#REF!</definedName>
    <definedName name="L_KEYWORD_ISSR_208002861_DIV_PAID" localSheetId="19">#REF!</definedName>
    <definedName name="L_KEYWORD_ISSR_208002861_DIV_PAID" localSheetId="21">#REF!</definedName>
    <definedName name="L_KEYWORD_ISSR_208002861_DIV_PAID">#REF!</definedName>
    <definedName name="L_KEYWORD_ISSR_208002861_DIVDS_ASSOC_JV" localSheetId="24">#REF!</definedName>
    <definedName name="L_KEYWORD_ISSR_208002861_DIVDS_ASSOC_JV" localSheetId="18">#REF!</definedName>
    <definedName name="L_KEYWORD_ISSR_208002861_DIVDS_ASSOC_JV" localSheetId="12">#REF!</definedName>
    <definedName name="L_KEYWORD_ISSR_208002861_DIVDS_ASSOC_JV" localSheetId="23">#REF!</definedName>
    <definedName name="L_KEYWORD_ISSR_208002861_DIVDS_ASSOC_JV" localSheetId="19">#REF!</definedName>
    <definedName name="L_KEYWORD_ISSR_208002861_DIVDS_ASSOC_JV" localSheetId="21">#REF!</definedName>
    <definedName name="L_KEYWORD_ISSR_208002861_DIVDS_ASSOC_JV">#REF!</definedName>
    <definedName name="L_KEYWORD_ISSR_208002861_DIVDS_PD_MINORITIES" localSheetId="24">#REF!</definedName>
    <definedName name="L_KEYWORD_ISSR_208002861_DIVDS_PD_MINORITIES" localSheetId="18">#REF!</definedName>
    <definedName name="L_KEYWORD_ISSR_208002861_DIVDS_PD_MINORITIES" localSheetId="12">#REF!</definedName>
    <definedName name="L_KEYWORD_ISSR_208002861_DIVDS_PD_MINORITIES" localSheetId="23">#REF!</definedName>
    <definedName name="L_KEYWORD_ISSR_208002861_DIVDS_PD_MINORITIES" localSheetId="19">#REF!</definedName>
    <definedName name="L_KEYWORD_ISSR_208002861_DIVDS_PD_MINORITIES" localSheetId="21">#REF!</definedName>
    <definedName name="L_KEYWORD_ISSR_208002861_DIVDS_PD_MINORITIES">#REF!</definedName>
    <definedName name="L_KEYWORD_ISSR_208002861_DIVEST" localSheetId="24">#REF!</definedName>
    <definedName name="L_KEYWORD_ISSR_208002861_DIVEST" localSheetId="18">#REF!</definedName>
    <definedName name="L_KEYWORD_ISSR_208002861_DIVEST" localSheetId="12">#REF!</definedName>
    <definedName name="L_KEYWORD_ISSR_208002861_DIVEST" localSheetId="23">#REF!</definedName>
    <definedName name="L_KEYWORD_ISSR_208002861_DIVEST" localSheetId="19">#REF!</definedName>
    <definedName name="L_KEYWORD_ISSR_208002861_DIVEST" localSheetId="21">#REF!</definedName>
    <definedName name="L_KEYWORD_ISSR_208002861_DIVEST">#REF!</definedName>
    <definedName name="L_KEYWORD_ISSR_208002861_EBIT" localSheetId="24">#REF!</definedName>
    <definedName name="L_KEYWORD_ISSR_208002861_EBIT" localSheetId="18">#REF!</definedName>
    <definedName name="L_KEYWORD_ISSR_208002861_EBIT" localSheetId="12">#REF!</definedName>
    <definedName name="L_KEYWORD_ISSR_208002861_EBIT" localSheetId="23">#REF!</definedName>
    <definedName name="L_KEYWORD_ISSR_208002861_EBIT" localSheetId="19">#REF!</definedName>
    <definedName name="L_KEYWORD_ISSR_208002861_EBIT" localSheetId="21">#REF!</definedName>
    <definedName name="L_KEYWORD_ISSR_208002861_EBIT">#REF!</definedName>
    <definedName name="L_KEYWORD_ISSR_208002861_EBITDA_CALC" localSheetId="24">#REF!</definedName>
    <definedName name="L_KEYWORD_ISSR_208002861_EBITDA_CALC" localSheetId="18">#REF!</definedName>
    <definedName name="L_KEYWORD_ISSR_208002861_EBITDA_CALC" localSheetId="12">#REF!</definedName>
    <definedName name="L_KEYWORD_ISSR_208002861_EBITDA_CALC" localSheetId="23">#REF!</definedName>
    <definedName name="L_KEYWORD_ISSR_208002861_EBITDA_CALC" localSheetId="19">#REF!</definedName>
    <definedName name="L_KEYWORD_ISSR_208002861_EBITDA_CALC" localSheetId="21">#REF!</definedName>
    <definedName name="L_KEYWORD_ISSR_208002861_EBITDA_CALC">#REF!</definedName>
    <definedName name="L_KEYWORD_ISSR_208002861_EMPLOYEES" localSheetId="24">#REF!</definedName>
    <definedName name="L_KEYWORD_ISSR_208002861_EMPLOYEES" localSheetId="18">#REF!</definedName>
    <definedName name="L_KEYWORD_ISSR_208002861_EMPLOYEES" localSheetId="12">#REF!</definedName>
    <definedName name="L_KEYWORD_ISSR_208002861_EMPLOYEES" localSheetId="23">#REF!</definedName>
    <definedName name="L_KEYWORD_ISSR_208002861_EMPLOYEES" localSheetId="19">#REF!</definedName>
    <definedName name="L_KEYWORD_ISSR_208002861_EMPLOYEES" localSheetId="21">#REF!</definedName>
    <definedName name="L_KEYWORD_ISSR_208002861_EMPLOYEES">#REF!</definedName>
    <definedName name="L_KEYWORD_ISSR_208002861_EQ" localSheetId="24">#REF!</definedName>
    <definedName name="L_KEYWORD_ISSR_208002861_EQ" localSheetId="18">#REF!</definedName>
    <definedName name="L_KEYWORD_ISSR_208002861_EQ" localSheetId="12">#REF!</definedName>
    <definedName name="L_KEYWORD_ISSR_208002861_EQ" localSheetId="23">#REF!</definedName>
    <definedName name="L_KEYWORD_ISSR_208002861_EQ" localSheetId="19">#REF!</definedName>
    <definedName name="L_KEYWORD_ISSR_208002861_EQ" localSheetId="21">#REF!</definedName>
    <definedName name="L_KEYWORD_ISSR_208002861_EQ">#REF!</definedName>
    <definedName name="L_KEYWORD_ISSR_208002861_EXP_ALUMINIUM" localSheetId="24">#REF!</definedName>
    <definedName name="L_KEYWORD_ISSR_208002861_EXP_ALUMINIUM" localSheetId="18">#REF!</definedName>
    <definedName name="L_KEYWORD_ISSR_208002861_EXP_ALUMINIUM" localSheetId="12">#REF!</definedName>
    <definedName name="L_KEYWORD_ISSR_208002861_EXP_ALUMINIUM" localSheetId="23">#REF!</definedName>
    <definedName name="L_KEYWORD_ISSR_208002861_EXP_ALUMINIUM" localSheetId="19">#REF!</definedName>
    <definedName name="L_KEYWORD_ISSR_208002861_EXP_ALUMINIUM" localSheetId="21">#REF!</definedName>
    <definedName name="L_KEYWORD_ISSR_208002861_EXP_ALUMINIUM">#REF!</definedName>
    <definedName name="L_KEYWORD_ISSR_208002861_EXP_COPPER" localSheetId="24">#REF!</definedName>
    <definedName name="L_KEYWORD_ISSR_208002861_EXP_COPPER" localSheetId="18">#REF!</definedName>
    <definedName name="L_KEYWORD_ISSR_208002861_EXP_COPPER" localSheetId="12">#REF!</definedName>
    <definedName name="L_KEYWORD_ISSR_208002861_EXP_COPPER" localSheetId="23">#REF!</definedName>
    <definedName name="L_KEYWORD_ISSR_208002861_EXP_COPPER" localSheetId="19">#REF!</definedName>
    <definedName name="L_KEYWORD_ISSR_208002861_EXP_COPPER" localSheetId="21">#REF!</definedName>
    <definedName name="L_KEYWORD_ISSR_208002861_EXP_COPPER">#REF!</definedName>
    <definedName name="L_KEYWORD_ISSR_208002861_EXP_GLASS" localSheetId="24">#REF!</definedName>
    <definedName name="L_KEYWORD_ISSR_208002861_EXP_GLASS" localSheetId="18">#REF!</definedName>
    <definedName name="L_KEYWORD_ISSR_208002861_EXP_GLASS" localSheetId="12">#REF!</definedName>
    <definedName name="L_KEYWORD_ISSR_208002861_EXP_GLASS" localSheetId="23">#REF!</definedName>
    <definedName name="L_KEYWORD_ISSR_208002861_EXP_GLASS" localSheetId="19">#REF!</definedName>
    <definedName name="L_KEYWORD_ISSR_208002861_EXP_GLASS" localSheetId="21">#REF!</definedName>
    <definedName name="L_KEYWORD_ISSR_208002861_EXP_GLASS">#REF!</definedName>
    <definedName name="L_KEYWORD_ISSR_208002861_EXP_GOLD" localSheetId="24">#REF!</definedName>
    <definedName name="L_KEYWORD_ISSR_208002861_EXP_GOLD" localSheetId="18">#REF!</definedName>
    <definedName name="L_KEYWORD_ISSR_208002861_EXP_GOLD" localSheetId="12">#REF!</definedName>
    <definedName name="L_KEYWORD_ISSR_208002861_EXP_GOLD" localSheetId="23">#REF!</definedName>
    <definedName name="L_KEYWORD_ISSR_208002861_EXP_GOLD" localSheetId="19">#REF!</definedName>
    <definedName name="L_KEYWORD_ISSR_208002861_EXP_GOLD" localSheetId="21">#REF!</definedName>
    <definedName name="L_KEYWORD_ISSR_208002861_EXP_GOLD">#REF!</definedName>
    <definedName name="L_KEYWORD_ISSR_208002861_EXP_NAT_GAS" localSheetId="24">#REF!</definedName>
    <definedName name="L_KEYWORD_ISSR_208002861_EXP_NAT_GAS" localSheetId="18">#REF!</definedName>
    <definedName name="L_KEYWORD_ISSR_208002861_EXP_NAT_GAS" localSheetId="12">#REF!</definedName>
    <definedName name="L_KEYWORD_ISSR_208002861_EXP_NAT_GAS" localSheetId="23">#REF!</definedName>
    <definedName name="L_KEYWORD_ISSR_208002861_EXP_NAT_GAS" localSheetId="19">#REF!</definedName>
    <definedName name="L_KEYWORD_ISSR_208002861_EXP_NAT_GAS" localSheetId="21">#REF!</definedName>
    <definedName name="L_KEYWORD_ISSR_208002861_EXP_NAT_GAS">#REF!</definedName>
    <definedName name="L_KEYWORD_ISSR_208002861_EXP_NICKEL" localSheetId="24">#REF!</definedName>
    <definedName name="L_KEYWORD_ISSR_208002861_EXP_NICKEL" localSheetId="18">#REF!</definedName>
    <definedName name="L_KEYWORD_ISSR_208002861_EXP_NICKEL" localSheetId="12">#REF!</definedName>
    <definedName name="L_KEYWORD_ISSR_208002861_EXP_NICKEL" localSheetId="23">#REF!</definedName>
    <definedName name="L_KEYWORD_ISSR_208002861_EXP_NICKEL" localSheetId="19">#REF!</definedName>
    <definedName name="L_KEYWORD_ISSR_208002861_EXP_NICKEL" localSheetId="21">#REF!</definedName>
    <definedName name="L_KEYWORD_ISSR_208002861_EXP_NICKEL">#REF!</definedName>
    <definedName name="L_KEYWORD_ISSR_208002861_EXP_OIL_DERIV_NGLS_PLASTICS" localSheetId="24">#REF!</definedName>
    <definedName name="L_KEYWORD_ISSR_208002861_EXP_OIL_DERIV_NGLS_PLASTICS" localSheetId="18">#REF!</definedName>
    <definedName name="L_KEYWORD_ISSR_208002861_EXP_OIL_DERIV_NGLS_PLASTICS" localSheetId="12">#REF!</definedName>
    <definedName name="L_KEYWORD_ISSR_208002861_EXP_OIL_DERIV_NGLS_PLASTICS" localSheetId="23">#REF!</definedName>
    <definedName name="L_KEYWORD_ISSR_208002861_EXP_OIL_DERIV_NGLS_PLASTICS" localSheetId="19">#REF!</definedName>
    <definedName name="L_KEYWORD_ISSR_208002861_EXP_OIL_DERIV_NGLS_PLASTICS" localSheetId="21">#REF!</definedName>
    <definedName name="L_KEYWORD_ISSR_208002861_EXP_OIL_DERIV_NGLS_PLASTICS">#REF!</definedName>
    <definedName name="L_KEYWORD_ISSR_208002861_EXP_OIL_PETRO_FUEL" localSheetId="24">#REF!</definedName>
    <definedName name="L_KEYWORD_ISSR_208002861_EXP_OIL_PETRO_FUEL" localSheetId="18">#REF!</definedName>
    <definedName name="L_KEYWORD_ISSR_208002861_EXP_OIL_PETRO_FUEL" localSheetId="12">#REF!</definedName>
    <definedName name="L_KEYWORD_ISSR_208002861_EXP_OIL_PETRO_FUEL" localSheetId="23">#REF!</definedName>
    <definedName name="L_KEYWORD_ISSR_208002861_EXP_OIL_PETRO_FUEL" localSheetId="19">#REF!</definedName>
    <definedName name="L_KEYWORD_ISSR_208002861_EXP_OIL_PETRO_FUEL" localSheetId="21">#REF!</definedName>
    <definedName name="L_KEYWORD_ISSR_208002861_EXP_OIL_PETRO_FUEL">#REF!</definedName>
    <definedName name="L_KEYWORD_ISSR_208002861_EXP_OTH_COMMODITY" localSheetId="24">#REF!</definedName>
    <definedName name="L_KEYWORD_ISSR_208002861_EXP_OTH_COMMODITY" localSheetId="18">#REF!</definedName>
    <definedName name="L_KEYWORD_ISSR_208002861_EXP_OTH_COMMODITY" localSheetId="12">#REF!</definedName>
    <definedName name="L_KEYWORD_ISSR_208002861_EXP_OTH_COMMODITY" localSheetId="23">#REF!</definedName>
    <definedName name="L_KEYWORD_ISSR_208002861_EXP_OTH_COMMODITY" localSheetId="19">#REF!</definedName>
    <definedName name="L_KEYWORD_ISSR_208002861_EXP_OTH_COMMODITY" localSheetId="21">#REF!</definedName>
    <definedName name="L_KEYWORD_ISSR_208002861_EXP_OTH_COMMODITY">#REF!</definedName>
    <definedName name="L_KEYWORD_ISSR_208002861_EXP_OTH_COST" localSheetId="24">#REF!</definedName>
    <definedName name="L_KEYWORD_ISSR_208002861_EXP_OTH_COST" localSheetId="18">#REF!</definedName>
    <definedName name="L_KEYWORD_ISSR_208002861_EXP_OTH_COST" localSheetId="12">#REF!</definedName>
    <definedName name="L_KEYWORD_ISSR_208002861_EXP_OTH_COST" localSheetId="23">#REF!</definedName>
    <definedName name="L_KEYWORD_ISSR_208002861_EXP_OTH_COST" localSheetId="19">#REF!</definedName>
    <definedName name="L_KEYWORD_ISSR_208002861_EXP_OTH_COST" localSheetId="21">#REF!</definedName>
    <definedName name="L_KEYWORD_ISSR_208002861_EXP_OTH_COST">#REF!</definedName>
    <definedName name="L_KEYWORD_ISSR_208002861_EXP_PALLADIUM" localSheetId="24">#REF!</definedName>
    <definedName name="L_KEYWORD_ISSR_208002861_EXP_PALLADIUM" localSheetId="18">#REF!</definedName>
    <definedName name="L_KEYWORD_ISSR_208002861_EXP_PALLADIUM" localSheetId="12">#REF!</definedName>
    <definedName name="L_KEYWORD_ISSR_208002861_EXP_PALLADIUM" localSheetId="23">#REF!</definedName>
    <definedName name="L_KEYWORD_ISSR_208002861_EXP_PALLADIUM" localSheetId="19">#REF!</definedName>
    <definedName name="L_KEYWORD_ISSR_208002861_EXP_PALLADIUM" localSheetId="21">#REF!</definedName>
    <definedName name="L_KEYWORD_ISSR_208002861_EXP_PALLADIUM">#REF!</definedName>
    <definedName name="L_KEYWORD_ISSR_208002861_EXP_PLATINUM" localSheetId="24">#REF!</definedName>
    <definedName name="L_KEYWORD_ISSR_208002861_EXP_PLATINUM" localSheetId="18">#REF!</definedName>
    <definedName name="L_KEYWORD_ISSR_208002861_EXP_PLATINUM" localSheetId="12">#REF!</definedName>
    <definedName name="L_KEYWORD_ISSR_208002861_EXP_PLATINUM" localSheetId="23">#REF!</definedName>
    <definedName name="L_KEYWORD_ISSR_208002861_EXP_PLATINUM" localSheetId="19">#REF!</definedName>
    <definedName name="L_KEYWORD_ISSR_208002861_EXP_PLATINUM" localSheetId="21">#REF!</definedName>
    <definedName name="L_KEYWORD_ISSR_208002861_EXP_PLATINUM">#REF!</definedName>
    <definedName name="L_KEYWORD_ISSR_208002861_EXP_RUBBER" localSheetId="24">#REF!</definedName>
    <definedName name="L_KEYWORD_ISSR_208002861_EXP_RUBBER" localSheetId="18">#REF!</definedName>
    <definedName name="L_KEYWORD_ISSR_208002861_EXP_RUBBER" localSheetId="12">#REF!</definedName>
    <definedName name="L_KEYWORD_ISSR_208002861_EXP_RUBBER" localSheetId="23">#REF!</definedName>
    <definedName name="L_KEYWORD_ISSR_208002861_EXP_RUBBER" localSheetId="19">#REF!</definedName>
    <definedName name="L_KEYWORD_ISSR_208002861_EXP_RUBBER" localSheetId="21">#REF!</definedName>
    <definedName name="L_KEYWORD_ISSR_208002861_EXP_RUBBER">#REF!</definedName>
    <definedName name="L_KEYWORD_ISSR_208002861_EXP_SILVER" localSheetId="24">#REF!</definedName>
    <definedName name="L_KEYWORD_ISSR_208002861_EXP_SILVER" localSheetId="18">#REF!</definedName>
    <definedName name="L_KEYWORD_ISSR_208002861_EXP_SILVER" localSheetId="12">#REF!</definedName>
    <definedName name="L_KEYWORD_ISSR_208002861_EXP_SILVER" localSheetId="23">#REF!</definedName>
    <definedName name="L_KEYWORD_ISSR_208002861_EXP_SILVER" localSheetId="19">#REF!</definedName>
    <definedName name="L_KEYWORD_ISSR_208002861_EXP_SILVER" localSheetId="21">#REF!</definedName>
    <definedName name="L_KEYWORD_ISSR_208002861_EXP_SILVER">#REF!</definedName>
    <definedName name="L_KEYWORD_ISSR_208002861_EXP_STEEL" localSheetId="24">#REF!</definedName>
    <definedName name="L_KEYWORD_ISSR_208002861_EXP_STEEL" localSheetId="18">#REF!</definedName>
    <definedName name="L_KEYWORD_ISSR_208002861_EXP_STEEL" localSheetId="12">#REF!</definedName>
    <definedName name="L_KEYWORD_ISSR_208002861_EXP_STEEL" localSheetId="23">#REF!</definedName>
    <definedName name="L_KEYWORD_ISSR_208002861_EXP_STEEL" localSheetId="19">#REF!</definedName>
    <definedName name="L_KEYWORD_ISSR_208002861_EXP_STEEL" localSheetId="21">#REF!</definedName>
    <definedName name="L_KEYWORD_ISSR_208002861_EXP_STEEL">#REF!</definedName>
    <definedName name="L_KEYWORD_ISSR_208002861_EXP_WATER" localSheetId="24">#REF!</definedName>
    <definedName name="L_KEYWORD_ISSR_208002861_EXP_WATER" localSheetId="18">#REF!</definedName>
    <definedName name="L_KEYWORD_ISSR_208002861_EXP_WATER" localSheetId="12">#REF!</definedName>
    <definedName name="L_KEYWORD_ISSR_208002861_EXP_WATER" localSheetId="23">#REF!</definedName>
    <definedName name="L_KEYWORD_ISSR_208002861_EXP_WATER" localSheetId="19">#REF!</definedName>
    <definedName name="L_KEYWORD_ISSR_208002861_EXP_WATER" localSheetId="21">#REF!</definedName>
    <definedName name="L_KEYWORD_ISSR_208002861_EXP_WATER">#REF!</definedName>
    <definedName name="L_KEYWORD_ISSR_208002861_EXP_ZINC" localSheetId="24">#REF!</definedName>
    <definedName name="L_KEYWORD_ISSR_208002861_EXP_ZINC" localSheetId="18">#REF!</definedName>
    <definedName name="L_KEYWORD_ISSR_208002861_EXP_ZINC" localSheetId="12">#REF!</definedName>
    <definedName name="L_KEYWORD_ISSR_208002861_EXP_ZINC" localSheetId="23">#REF!</definedName>
    <definedName name="L_KEYWORD_ISSR_208002861_EXP_ZINC" localSheetId="19">#REF!</definedName>
    <definedName name="L_KEYWORD_ISSR_208002861_EXP_ZINC" localSheetId="21">#REF!</definedName>
    <definedName name="L_KEYWORD_ISSR_208002861_EXP_ZINC">#REF!</definedName>
    <definedName name="L_KEYWORD_ISSR_208002861_FIX_ASS_INV" localSheetId="24">#REF!</definedName>
    <definedName name="L_KEYWORD_ISSR_208002861_FIX_ASS_INV" localSheetId="18">#REF!</definedName>
    <definedName name="L_KEYWORD_ISSR_208002861_FIX_ASS_INV" localSheetId="12">#REF!</definedName>
    <definedName name="L_KEYWORD_ISSR_208002861_FIX_ASS_INV" localSheetId="23">#REF!</definedName>
    <definedName name="L_KEYWORD_ISSR_208002861_FIX_ASS_INV" localSheetId="19">#REF!</definedName>
    <definedName name="L_KEYWORD_ISSR_208002861_FIX_ASS_INV" localSheetId="21">#REF!</definedName>
    <definedName name="L_KEYWORD_ISSR_208002861_FIX_ASS_INV">#REF!</definedName>
    <definedName name="L_KEYWORD_ISSR_208002861_GCI_INFL" localSheetId="24">#REF!</definedName>
    <definedName name="L_KEYWORD_ISSR_208002861_GCI_INFL" localSheetId="18">#REF!</definedName>
    <definedName name="L_KEYWORD_ISSR_208002861_GCI_INFL" localSheetId="12">#REF!</definedName>
    <definedName name="L_KEYWORD_ISSR_208002861_GCI_INFL" localSheetId="23">#REF!</definedName>
    <definedName name="L_KEYWORD_ISSR_208002861_GCI_INFL" localSheetId="19">#REF!</definedName>
    <definedName name="L_KEYWORD_ISSR_208002861_GCI_INFL" localSheetId="21">#REF!</definedName>
    <definedName name="L_KEYWORD_ISSR_208002861_GCI_INFL">#REF!</definedName>
    <definedName name="L_KEYWORD_ISSR_208002861_GOODWILL_AMORT" localSheetId="24">#REF!</definedName>
    <definedName name="L_KEYWORD_ISSR_208002861_GOODWILL_AMORT" localSheetId="18">#REF!</definedName>
    <definedName name="L_KEYWORD_ISSR_208002861_GOODWILL_AMORT" localSheetId="12">#REF!</definedName>
    <definedName name="L_KEYWORD_ISSR_208002861_GOODWILL_AMORT" localSheetId="23">#REF!</definedName>
    <definedName name="L_KEYWORD_ISSR_208002861_GOODWILL_AMORT" localSheetId="19">#REF!</definedName>
    <definedName name="L_KEYWORD_ISSR_208002861_GOODWILL_AMORT" localSheetId="21">#REF!</definedName>
    <definedName name="L_KEYWORD_ISSR_208002861_GOODWILL_AMORT">#REF!</definedName>
    <definedName name="L_KEYWORD_ISSR_208002861_GR_FIX_ASS" localSheetId="24">#REF!</definedName>
    <definedName name="L_KEYWORD_ISSR_208002861_GR_FIX_ASS" localSheetId="18">#REF!</definedName>
    <definedName name="L_KEYWORD_ISSR_208002861_GR_FIX_ASS" localSheetId="12">#REF!</definedName>
    <definedName name="L_KEYWORD_ISSR_208002861_GR_FIX_ASS" localSheetId="23">#REF!</definedName>
    <definedName name="L_KEYWORD_ISSR_208002861_GR_FIX_ASS" localSheetId="19">#REF!</definedName>
    <definedName name="L_KEYWORD_ISSR_208002861_GR_FIX_ASS" localSheetId="21">#REF!</definedName>
    <definedName name="L_KEYWORD_ISSR_208002861_GR_FIX_ASS">#REF!</definedName>
    <definedName name="L_KEYWORD_ISSR_208002861_GR_INTANG" localSheetId="24">#REF!</definedName>
    <definedName name="L_KEYWORD_ISSR_208002861_GR_INTANG" localSheetId="18">#REF!</definedName>
    <definedName name="L_KEYWORD_ISSR_208002861_GR_INTANG" localSheetId="12">#REF!</definedName>
    <definedName name="L_KEYWORD_ISSR_208002861_GR_INTANG" localSheetId="23">#REF!</definedName>
    <definedName name="L_KEYWORD_ISSR_208002861_GR_INTANG" localSheetId="19">#REF!</definedName>
    <definedName name="L_KEYWORD_ISSR_208002861_GR_INTANG" localSheetId="21">#REF!</definedName>
    <definedName name="L_KEYWORD_ISSR_208002861_GR_INTANG">#REF!</definedName>
    <definedName name="L_KEYWORD_ISSR_208002861_GW_AMORT" localSheetId="24">#REF!</definedName>
    <definedName name="L_KEYWORD_ISSR_208002861_GW_AMORT" localSheetId="18">#REF!</definedName>
    <definedName name="L_KEYWORD_ISSR_208002861_GW_AMORT" localSheetId="12">#REF!</definedName>
    <definedName name="L_KEYWORD_ISSR_208002861_GW_AMORT" localSheetId="23">#REF!</definedName>
    <definedName name="L_KEYWORD_ISSR_208002861_GW_AMORT" localSheetId="19">#REF!</definedName>
    <definedName name="L_KEYWORD_ISSR_208002861_GW_AMORT" localSheetId="21">#REF!</definedName>
    <definedName name="L_KEYWORD_ISSR_208002861_GW_AMORT">#REF!</definedName>
    <definedName name="L_KEYWORD_ISSR_208002861_IND_SALES_BRAZIL" localSheetId="24">#REF!</definedName>
    <definedName name="L_KEYWORD_ISSR_208002861_IND_SALES_BRAZIL" localSheetId="18">#REF!</definedName>
    <definedName name="L_KEYWORD_ISSR_208002861_IND_SALES_BRAZIL" localSheetId="12">#REF!</definedName>
    <definedName name="L_KEYWORD_ISSR_208002861_IND_SALES_BRAZIL" localSheetId="23">#REF!</definedName>
    <definedName name="L_KEYWORD_ISSR_208002861_IND_SALES_BRAZIL" localSheetId="19">#REF!</definedName>
    <definedName name="L_KEYWORD_ISSR_208002861_IND_SALES_BRAZIL" localSheetId="21">#REF!</definedName>
    <definedName name="L_KEYWORD_ISSR_208002861_IND_SALES_BRAZIL">#REF!</definedName>
    <definedName name="L_KEYWORD_ISSR_208002861_IND_SALES_CEE" localSheetId="24">#REF!</definedName>
    <definedName name="L_KEYWORD_ISSR_208002861_IND_SALES_CEE" localSheetId="18">#REF!</definedName>
    <definedName name="L_KEYWORD_ISSR_208002861_IND_SALES_CEE" localSheetId="12">#REF!</definedName>
    <definedName name="L_KEYWORD_ISSR_208002861_IND_SALES_CEE" localSheetId="23">#REF!</definedName>
    <definedName name="L_KEYWORD_ISSR_208002861_IND_SALES_CEE" localSheetId="19">#REF!</definedName>
    <definedName name="L_KEYWORD_ISSR_208002861_IND_SALES_CEE" localSheetId="21">#REF!</definedName>
    <definedName name="L_KEYWORD_ISSR_208002861_IND_SALES_CEE">#REF!</definedName>
    <definedName name="L_KEYWORD_ISSR_208002861_IND_SALES_CHINA" localSheetId="24">#REF!</definedName>
    <definedName name="L_KEYWORD_ISSR_208002861_IND_SALES_CHINA" localSheetId="18">#REF!</definedName>
    <definedName name="L_KEYWORD_ISSR_208002861_IND_SALES_CHINA" localSheetId="12">#REF!</definedName>
    <definedName name="L_KEYWORD_ISSR_208002861_IND_SALES_CHINA" localSheetId="23">#REF!</definedName>
    <definedName name="L_KEYWORD_ISSR_208002861_IND_SALES_CHINA" localSheetId="19">#REF!</definedName>
    <definedName name="L_KEYWORD_ISSR_208002861_IND_SALES_CHINA" localSheetId="21">#REF!</definedName>
    <definedName name="L_KEYWORD_ISSR_208002861_IND_SALES_CHINA">#REF!</definedName>
    <definedName name="L_KEYWORD_ISSR_208002861_IND_SALES_CONS" localSheetId="24">#REF!</definedName>
    <definedName name="L_KEYWORD_ISSR_208002861_IND_SALES_CONS" localSheetId="18">#REF!</definedName>
    <definedName name="L_KEYWORD_ISSR_208002861_IND_SALES_CONS" localSheetId="12">#REF!</definedName>
    <definedName name="L_KEYWORD_ISSR_208002861_IND_SALES_CONS" localSheetId="23">#REF!</definedName>
    <definedName name="L_KEYWORD_ISSR_208002861_IND_SALES_CONS" localSheetId="19">#REF!</definedName>
    <definedName name="L_KEYWORD_ISSR_208002861_IND_SALES_CONS" localSheetId="21">#REF!</definedName>
    <definedName name="L_KEYWORD_ISSR_208002861_IND_SALES_CONS">#REF!</definedName>
    <definedName name="L_KEYWORD_ISSR_208002861_IND_SALES_EU_EX_UK" localSheetId="24">#REF!</definedName>
    <definedName name="L_KEYWORD_ISSR_208002861_IND_SALES_EU_EX_UK" localSheetId="18">#REF!</definedName>
    <definedName name="L_KEYWORD_ISSR_208002861_IND_SALES_EU_EX_UK" localSheetId="12">#REF!</definedName>
    <definedName name="L_KEYWORD_ISSR_208002861_IND_SALES_EU_EX_UK" localSheetId="23">#REF!</definedName>
    <definedName name="L_KEYWORD_ISSR_208002861_IND_SALES_EU_EX_UK" localSheetId="19">#REF!</definedName>
    <definedName name="L_KEYWORD_ISSR_208002861_IND_SALES_EU_EX_UK" localSheetId="21">#REF!</definedName>
    <definedName name="L_KEYWORD_ISSR_208002861_IND_SALES_EU_EX_UK">#REF!</definedName>
    <definedName name="L_KEYWORD_ISSR_208002861_IND_SALES_FINAN" localSheetId="24">#REF!</definedName>
    <definedName name="L_KEYWORD_ISSR_208002861_IND_SALES_FINAN" localSheetId="18">#REF!</definedName>
    <definedName name="L_KEYWORD_ISSR_208002861_IND_SALES_FINAN" localSheetId="12">#REF!</definedName>
    <definedName name="L_KEYWORD_ISSR_208002861_IND_SALES_FINAN" localSheetId="23">#REF!</definedName>
    <definedName name="L_KEYWORD_ISSR_208002861_IND_SALES_FINAN" localSheetId="19">#REF!</definedName>
    <definedName name="L_KEYWORD_ISSR_208002861_IND_SALES_FINAN" localSheetId="21">#REF!</definedName>
    <definedName name="L_KEYWORD_ISSR_208002861_IND_SALES_FINAN">#REF!</definedName>
    <definedName name="L_KEYWORD_ISSR_208002861_IND_SALES_FRA" localSheetId="24">#REF!</definedName>
    <definedName name="L_KEYWORD_ISSR_208002861_IND_SALES_FRA" localSheetId="18">#REF!</definedName>
    <definedName name="L_KEYWORD_ISSR_208002861_IND_SALES_FRA" localSheetId="12">#REF!</definedName>
    <definedName name="L_KEYWORD_ISSR_208002861_IND_SALES_FRA" localSheetId="23">#REF!</definedName>
    <definedName name="L_KEYWORD_ISSR_208002861_IND_SALES_FRA" localSheetId="19">#REF!</definedName>
    <definedName name="L_KEYWORD_ISSR_208002861_IND_SALES_FRA" localSheetId="21">#REF!</definedName>
    <definedName name="L_KEYWORD_ISSR_208002861_IND_SALES_FRA">#REF!</definedName>
    <definedName name="L_KEYWORD_ISSR_208002861_IND_SALES_GER" localSheetId="24">#REF!</definedName>
    <definedName name="L_KEYWORD_ISSR_208002861_IND_SALES_GER" localSheetId="18">#REF!</definedName>
    <definedName name="L_KEYWORD_ISSR_208002861_IND_SALES_GER" localSheetId="12">#REF!</definedName>
    <definedName name="L_KEYWORD_ISSR_208002861_IND_SALES_GER" localSheetId="23">#REF!</definedName>
    <definedName name="L_KEYWORD_ISSR_208002861_IND_SALES_GER" localSheetId="19">#REF!</definedName>
    <definedName name="L_KEYWORD_ISSR_208002861_IND_SALES_GER" localSheetId="21">#REF!</definedName>
    <definedName name="L_KEYWORD_ISSR_208002861_IND_SALES_GER">#REF!</definedName>
    <definedName name="L_KEYWORD_ISSR_208002861_IND_SALES_GOV" localSheetId="24">#REF!</definedName>
    <definedName name="L_KEYWORD_ISSR_208002861_IND_SALES_GOV" localSheetId="18">#REF!</definedName>
    <definedName name="L_KEYWORD_ISSR_208002861_IND_SALES_GOV" localSheetId="12">#REF!</definedName>
    <definedName name="L_KEYWORD_ISSR_208002861_IND_SALES_GOV" localSheetId="23">#REF!</definedName>
    <definedName name="L_KEYWORD_ISSR_208002861_IND_SALES_GOV" localSheetId="19">#REF!</definedName>
    <definedName name="L_KEYWORD_ISSR_208002861_IND_SALES_GOV" localSheetId="21">#REF!</definedName>
    <definedName name="L_KEYWORD_ISSR_208002861_IND_SALES_GOV">#REF!</definedName>
    <definedName name="L_KEYWORD_ISSR_208002861_IND_SALES_IND" localSheetId="24">#REF!</definedName>
    <definedName name="L_KEYWORD_ISSR_208002861_IND_SALES_IND" localSheetId="18">#REF!</definedName>
    <definedName name="L_KEYWORD_ISSR_208002861_IND_SALES_IND" localSheetId="12">#REF!</definedName>
    <definedName name="L_KEYWORD_ISSR_208002861_IND_SALES_IND" localSheetId="23">#REF!</definedName>
    <definedName name="L_KEYWORD_ISSR_208002861_IND_SALES_IND" localSheetId="19">#REF!</definedName>
    <definedName name="L_KEYWORD_ISSR_208002861_IND_SALES_IND" localSheetId="21">#REF!</definedName>
    <definedName name="L_KEYWORD_ISSR_208002861_IND_SALES_IND">#REF!</definedName>
    <definedName name="L_KEYWORD_ISSR_208002861_IND_SALES_INDIA" localSheetId="24">#REF!</definedName>
    <definedName name="L_KEYWORD_ISSR_208002861_IND_SALES_INDIA" localSheetId="18">#REF!</definedName>
    <definedName name="L_KEYWORD_ISSR_208002861_IND_SALES_INDIA" localSheetId="12">#REF!</definedName>
    <definedName name="L_KEYWORD_ISSR_208002861_IND_SALES_INDIA" localSheetId="23">#REF!</definedName>
    <definedName name="L_KEYWORD_ISSR_208002861_IND_SALES_INDIA" localSheetId="19">#REF!</definedName>
    <definedName name="L_KEYWORD_ISSR_208002861_IND_SALES_INDIA" localSheetId="21">#REF!</definedName>
    <definedName name="L_KEYWORD_ISSR_208002861_IND_SALES_INDIA">#REF!</definedName>
    <definedName name="L_KEYWORD_ISSR_208002861_IND_SALES_ITA" localSheetId="24">#REF!</definedName>
    <definedName name="L_KEYWORD_ISSR_208002861_IND_SALES_ITA" localSheetId="18">#REF!</definedName>
    <definedName name="L_KEYWORD_ISSR_208002861_IND_SALES_ITA" localSheetId="12">#REF!</definedName>
    <definedName name="L_KEYWORD_ISSR_208002861_IND_SALES_ITA" localSheetId="23">#REF!</definedName>
    <definedName name="L_KEYWORD_ISSR_208002861_IND_SALES_ITA" localSheetId="19">#REF!</definedName>
    <definedName name="L_KEYWORD_ISSR_208002861_IND_SALES_ITA" localSheetId="21">#REF!</definedName>
    <definedName name="L_KEYWORD_ISSR_208002861_IND_SALES_ITA">#REF!</definedName>
    <definedName name="L_KEYWORD_ISSR_208002861_IND_SALES_JAPAN" localSheetId="24">#REF!</definedName>
    <definedName name="L_KEYWORD_ISSR_208002861_IND_SALES_JAPAN" localSheetId="18">#REF!</definedName>
    <definedName name="L_KEYWORD_ISSR_208002861_IND_SALES_JAPAN" localSheetId="12">#REF!</definedName>
    <definedName name="L_KEYWORD_ISSR_208002861_IND_SALES_JAPAN" localSheetId="23">#REF!</definedName>
    <definedName name="L_KEYWORD_ISSR_208002861_IND_SALES_JAPAN" localSheetId="19">#REF!</definedName>
    <definedName name="L_KEYWORD_ISSR_208002861_IND_SALES_JAPAN" localSheetId="21">#REF!</definedName>
    <definedName name="L_KEYWORD_ISSR_208002861_IND_SALES_JAPAN">#REF!</definedName>
    <definedName name="L_KEYWORD_ISSR_208002861_IND_SALES_ME" localSheetId="24">#REF!</definedName>
    <definedName name="L_KEYWORD_ISSR_208002861_IND_SALES_ME" localSheetId="18">#REF!</definedName>
    <definedName name="L_KEYWORD_ISSR_208002861_IND_SALES_ME" localSheetId="12">#REF!</definedName>
    <definedName name="L_KEYWORD_ISSR_208002861_IND_SALES_ME" localSheetId="23">#REF!</definedName>
    <definedName name="L_KEYWORD_ISSR_208002861_IND_SALES_ME" localSheetId="19">#REF!</definedName>
    <definedName name="L_KEYWORD_ISSR_208002861_IND_SALES_ME" localSheetId="21">#REF!</definedName>
    <definedName name="L_KEYWORD_ISSR_208002861_IND_SALES_ME">#REF!</definedName>
    <definedName name="L_KEYWORD_ISSR_208002861_IND_SALES_NIGERIA" localSheetId="24">#REF!</definedName>
    <definedName name="L_KEYWORD_ISSR_208002861_IND_SALES_NIGERIA" localSheetId="18">#REF!</definedName>
    <definedName name="L_KEYWORD_ISSR_208002861_IND_SALES_NIGERIA" localSheetId="12">#REF!</definedName>
    <definedName name="L_KEYWORD_ISSR_208002861_IND_SALES_NIGERIA" localSheetId="23">#REF!</definedName>
    <definedName name="L_KEYWORD_ISSR_208002861_IND_SALES_NIGERIA" localSheetId="19">#REF!</definedName>
    <definedName name="L_KEYWORD_ISSR_208002861_IND_SALES_NIGERIA" localSheetId="21">#REF!</definedName>
    <definedName name="L_KEYWORD_ISSR_208002861_IND_SALES_NIGERIA">#REF!</definedName>
    <definedName name="L_KEYWORD_ISSR_208002861_IND_SALES_OTH_AEJ" localSheetId="24">#REF!</definedName>
    <definedName name="L_KEYWORD_ISSR_208002861_IND_SALES_OTH_AEJ" localSheetId="18">#REF!</definedName>
    <definedName name="L_KEYWORD_ISSR_208002861_IND_SALES_OTH_AEJ" localSheetId="12">#REF!</definedName>
    <definedName name="L_KEYWORD_ISSR_208002861_IND_SALES_OTH_AEJ" localSheetId="23">#REF!</definedName>
    <definedName name="L_KEYWORD_ISSR_208002861_IND_SALES_OTH_AEJ" localSheetId="19">#REF!</definedName>
    <definedName name="L_KEYWORD_ISSR_208002861_IND_SALES_OTH_AEJ" localSheetId="21">#REF!</definedName>
    <definedName name="L_KEYWORD_ISSR_208002861_IND_SALES_OTH_AEJ">#REF!</definedName>
    <definedName name="L_KEYWORD_ISSR_208002861_IND_SALES_OTH_AFRICA" localSheetId="24">#REF!</definedName>
    <definedName name="L_KEYWORD_ISSR_208002861_IND_SALES_OTH_AFRICA" localSheetId="18">#REF!</definedName>
    <definedName name="L_KEYWORD_ISSR_208002861_IND_SALES_OTH_AFRICA" localSheetId="12">#REF!</definedName>
    <definedName name="L_KEYWORD_ISSR_208002861_IND_SALES_OTH_AFRICA" localSheetId="23">#REF!</definedName>
    <definedName name="L_KEYWORD_ISSR_208002861_IND_SALES_OTH_AFRICA" localSheetId="19">#REF!</definedName>
    <definedName name="L_KEYWORD_ISSR_208002861_IND_SALES_OTH_AFRICA" localSheetId="21">#REF!</definedName>
    <definedName name="L_KEYWORD_ISSR_208002861_IND_SALES_OTH_AFRICA">#REF!</definedName>
    <definedName name="L_KEYWORD_ISSR_208002861_IND_SALES_OTH_AM" localSheetId="24">#REF!</definedName>
    <definedName name="L_KEYWORD_ISSR_208002861_IND_SALES_OTH_AM" localSheetId="18">#REF!</definedName>
    <definedName name="L_KEYWORD_ISSR_208002861_IND_SALES_OTH_AM" localSheetId="12">#REF!</definedName>
    <definedName name="L_KEYWORD_ISSR_208002861_IND_SALES_OTH_AM" localSheetId="23">#REF!</definedName>
    <definedName name="L_KEYWORD_ISSR_208002861_IND_SALES_OTH_AM" localSheetId="19">#REF!</definedName>
    <definedName name="L_KEYWORD_ISSR_208002861_IND_SALES_OTH_AM" localSheetId="21">#REF!</definedName>
    <definedName name="L_KEYWORD_ISSR_208002861_IND_SALES_OTH_AM">#REF!</definedName>
    <definedName name="L_KEYWORD_ISSR_208002861_IND_SALES_OTH_EMEA" localSheetId="24">#REF!</definedName>
    <definedName name="L_KEYWORD_ISSR_208002861_IND_SALES_OTH_EMEA" localSheetId="18">#REF!</definedName>
    <definedName name="L_KEYWORD_ISSR_208002861_IND_SALES_OTH_EMEA" localSheetId="12">#REF!</definedName>
    <definedName name="L_KEYWORD_ISSR_208002861_IND_SALES_OTH_EMEA" localSheetId="23">#REF!</definedName>
    <definedName name="L_KEYWORD_ISSR_208002861_IND_SALES_OTH_EMEA" localSheetId="19">#REF!</definedName>
    <definedName name="L_KEYWORD_ISSR_208002861_IND_SALES_OTH_EMEA" localSheetId="21">#REF!</definedName>
    <definedName name="L_KEYWORD_ISSR_208002861_IND_SALES_OTH_EMEA">#REF!</definedName>
    <definedName name="L_KEYWORD_ISSR_208002861_IND_SALES_OTH_EU_EX_UK" localSheetId="24">#REF!</definedName>
    <definedName name="L_KEYWORD_ISSR_208002861_IND_SALES_OTH_EU_EX_UK" localSheetId="18">#REF!</definedName>
    <definedName name="L_KEYWORD_ISSR_208002861_IND_SALES_OTH_EU_EX_UK" localSheetId="12">#REF!</definedName>
    <definedName name="L_KEYWORD_ISSR_208002861_IND_SALES_OTH_EU_EX_UK" localSheetId="23">#REF!</definedName>
    <definedName name="L_KEYWORD_ISSR_208002861_IND_SALES_OTH_EU_EX_UK" localSheetId="19">#REF!</definedName>
    <definedName name="L_KEYWORD_ISSR_208002861_IND_SALES_OTH_EU_EX_UK" localSheetId="21">#REF!</definedName>
    <definedName name="L_KEYWORD_ISSR_208002861_IND_SALES_OTH_EU_EX_UK">#REF!</definedName>
    <definedName name="L_KEYWORD_ISSR_208002861_IND_SALES_OTHER" localSheetId="24">#REF!</definedName>
    <definedName name="L_KEYWORD_ISSR_208002861_IND_SALES_OTHER" localSheetId="18">#REF!</definedName>
    <definedName name="L_KEYWORD_ISSR_208002861_IND_SALES_OTHER" localSheetId="12">#REF!</definedName>
    <definedName name="L_KEYWORD_ISSR_208002861_IND_SALES_OTHER" localSheetId="23">#REF!</definedName>
    <definedName name="L_KEYWORD_ISSR_208002861_IND_SALES_OTHER" localSheetId="19">#REF!</definedName>
    <definedName name="L_KEYWORD_ISSR_208002861_IND_SALES_OTHER" localSheetId="21">#REF!</definedName>
    <definedName name="L_KEYWORD_ISSR_208002861_IND_SALES_OTHER">#REF!</definedName>
    <definedName name="L_KEYWORD_ISSR_208002861_IND_SALES_RUSSIA" localSheetId="24">#REF!</definedName>
    <definedName name="L_KEYWORD_ISSR_208002861_IND_SALES_RUSSIA" localSheetId="18">#REF!</definedName>
    <definedName name="L_KEYWORD_ISSR_208002861_IND_SALES_RUSSIA" localSheetId="12">#REF!</definedName>
    <definedName name="L_KEYWORD_ISSR_208002861_IND_SALES_RUSSIA" localSheetId="23">#REF!</definedName>
    <definedName name="L_KEYWORD_ISSR_208002861_IND_SALES_RUSSIA" localSheetId="19">#REF!</definedName>
    <definedName name="L_KEYWORD_ISSR_208002861_IND_SALES_RUSSIA" localSheetId="21">#REF!</definedName>
    <definedName name="L_KEYWORD_ISSR_208002861_IND_SALES_RUSSIA">#REF!</definedName>
    <definedName name="L_KEYWORD_ISSR_208002861_IND_SALES_SO_AFRICA" localSheetId="24">#REF!</definedName>
    <definedName name="L_KEYWORD_ISSR_208002861_IND_SALES_SO_AFRICA" localSheetId="18">#REF!</definedName>
    <definedName name="L_KEYWORD_ISSR_208002861_IND_SALES_SO_AFRICA" localSheetId="12">#REF!</definedName>
    <definedName name="L_KEYWORD_ISSR_208002861_IND_SALES_SO_AFRICA" localSheetId="23">#REF!</definedName>
    <definedName name="L_KEYWORD_ISSR_208002861_IND_SALES_SO_AFRICA" localSheetId="19">#REF!</definedName>
    <definedName name="L_KEYWORD_ISSR_208002861_IND_SALES_SO_AFRICA" localSheetId="21">#REF!</definedName>
    <definedName name="L_KEYWORD_ISSR_208002861_IND_SALES_SO_AFRICA">#REF!</definedName>
    <definedName name="L_KEYWORD_ISSR_208002861_IND_SALES_SPA" localSheetId="24">#REF!</definedName>
    <definedName name="L_KEYWORD_ISSR_208002861_IND_SALES_SPA" localSheetId="18">#REF!</definedName>
    <definedName name="L_KEYWORD_ISSR_208002861_IND_SALES_SPA" localSheetId="12">#REF!</definedName>
    <definedName name="L_KEYWORD_ISSR_208002861_IND_SALES_SPA" localSheetId="23">#REF!</definedName>
    <definedName name="L_KEYWORD_ISSR_208002861_IND_SALES_SPA" localSheetId="19">#REF!</definedName>
    <definedName name="L_KEYWORD_ISSR_208002861_IND_SALES_SPA" localSheetId="21">#REF!</definedName>
    <definedName name="L_KEYWORD_ISSR_208002861_IND_SALES_SPA">#REF!</definedName>
    <definedName name="L_KEYWORD_ISSR_208002861_IND_SALES_TOT_AFRICA" localSheetId="24">#REF!</definedName>
    <definedName name="L_KEYWORD_ISSR_208002861_IND_SALES_TOT_AFRICA" localSheetId="18">#REF!</definedName>
    <definedName name="L_KEYWORD_ISSR_208002861_IND_SALES_TOT_AFRICA" localSheetId="12">#REF!</definedName>
    <definedName name="L_KEYWORD_ISSR_208002861_IND_SALES_TOT_AFRICA" localSheetId="23">#REF!</definedName>
    <definedName name="L_KEYWORD_ISSR_208002861_IND_SALES_TOT_AFRICA" localSheetId="19">#REF!</definedName>
    <definedName name="L_KEYWORD_ISSR_208002861_IND_SALES_TOT_AFRICA" localSheetId="21">#REF!</definedName>
    <definedName name="L_KEYWORD_ISSR_208002861_IND_SALES_TOT_AFRICA">#REF!</definedName>
    <definedName name="L_KEYWORD_ISSR_208002861_IND_SALES_TOT_AM" localSheetId="24">#REF!</definedName>
    <definedName name="L_KEYWORD_ISSR_208002861_IND_SALES_TOT_AM" localSheetId="18">#REF!</definedName>
    <definedName name="L_KEYWORD_ISSR_208002861_IND_SALES_TOT_AM" localSheetId="12">#REF!</definedName>
    <definedName name="L_KEYWORD_ISSR_208002861_IND_SALES_TOT_AM" localSheetId="23">#REF!</definedName>
    <definedName name="L_KEYWORD_ISSR_208002861_IND_SALES_TOT_AM" localSheetId="19">#REF!</definedName>
    <definedName name="L_KEYWORD_ISSR_208002861_IND_SALES_TOT_AM" localSheetId="21">#REF!</definedName>
    <definedName name="L_KEYWORD_ISSR_208002861_IND_SALES_TOT_AM">#REF!</definedName>
    <definedName name="L_KEYWORD_ISSR_208002861_IND_SALES_TOT_ASIA" localSheetId="24">#REF!</definedName>
    <definedName name="L_KEYWORD_ISSR_208002861_IND_SALES_TOT_ASIA" localSheetId="18">#REF!</definedName>
    <definedName name="L_KEYWORD_ISSR_208002861_IND_SALES_TOT_ASIA" localSheetId="12">#REF!</definedName>
    <definedName name="L_KEYWORD_ISSR_208002861_IND_SALES_TOT_ASIA" localSheetId="23">#REF!</definedName>
    <definedName name="L_KEYWORD_ISSR_208002861_IND_SALES_TOT_ASIA" localSheetId="19">#REF!</definedName>
    <definedName name="L_KEYWORD_ISSR_208002861_IND_SALES_TOT_ASIA" localSheetId="21">#REF!</definedName>
    <definedName name="L_KEYWORD_ISSR_208002861_IND_SALES_TOT_ASIA">#REF!</definedName>
    <definedName name="L_KEYWORD_ISSR_208002861_IND_SALES_TOT_EMEA" localSheetId="24">#REF!</definedName>
    <definedName name="L_KEYWORD_ISSR_208002861_IND_SALES_TOT_EMEA" localSheetId="18">#REF!</definedName>
    <definedName name="L_KEYWORD_ISSR_208002861_IND_SALES_TOT_EMEA" localSheetId="12">#REF!</definedName>
    <definedName name="L_KEYWORD_ISSR_208002861_IND_SALES_TOT_EMEA" localSheetId="23">#REF!</definedName>
    <definedName name="L_KEYWORD_ISSR_208002861_IND_SALES_TOT_EMEA" localSheetId="19">#REF!</definedName>
    <definedName name="L_KEYWORD_ISSR_208002861_IND_SALES_TOT_EMEA" localSheetId="21">#REF!</definedName>
    <definedName name="L_KEYWORD_ISSR_208002861_IND_SALES_TOT_EMEA">#REF!</definedName>
    <definedName name="L_KEYWORD_ISSR_208002861_IND_SALES_UK" localSheetId="24">#REF!</definedName>
    <definedName name="L_KEYWORD_ISSR_208002861_IND_SALES_UK" localSheetId="18">#REF!</definedName>
    <definedName name="L_KEYWORD_ISSR_208002861_IND_SALES_UK" localSheetId="12">#REF!</definedName>
    <definedName name="L_KEYWORD_ISSR_208002861_IND_SALES_UK" localSheetId="23">#REF!</definedName>
    <definedName name="L_KEYWORD_ISSR_208002861_IND_SALES_UK" localSheetId="19">#REF!</definedName>
    <definedName name="L_KEYWORD_ISSR_208002861_IND_SALES_UK" localSheetId="21">#REF!</definedName>
    <definedName name="L_KEYWORD_ISSR_208002861_IND_SALES_UK">#REF!</definedName>
    <definedName name="L_KEYWORD_ISSR_208002861_IND_SALES_US" localSheetId="24">#REF!</definedName>
    <definedName name="L_KEYWORD_ISSR_208002861_IND_SALES_US" localSheetId="18">#REF!</definedName>
    <definedName name="L_KEYWORD_ISSR_208002861_IND_SALES_US" localSheetId="12">#REF!</definedName>
    <definedName name="L_KEYWORD_ISSR_208002861_IND_SALES_US" localSheetId="23">#REF!</definedName>
    <definedName name="L_KEYWORD_ISSR_208002861_IND_SALES_US" localSheetId="19">#REF!</definedName>
    <definedName name="L_KEYWORD_ISSR_208002861_IND_SALES_US" localSheetId="21">#REF!</definedName>
    <definedName name="L_KEYWORD_ISSR_208002861_IND_SALES_US">#REF!</definedName>
    <definedName name="L_KEYWORD_ISSR_208002861_INT_EXP_IND" localSheetId="24">#REF!</definedName>
    <definedName name="L_KEYWORD_ISSR_208002861_INT_EXP_IND" localSheetId="18">#REF!</definedName>
    <definedName name="L_KEYWORD_ISSR_208002861_INT_EXP_IND" localSheetId="12">#REF!</definedName>
    <definedName name="L_KEYWORD_ISSR_208002861_INT_EXP_IND" localSheetId="23">#REF!</definedName>
    <definedName name="L_KEYWORD_ISSR_208002861_INT_EXP_IND" localSheetId="19">#REF!</definedName>
    <definedName name="L_KEYWORD_ISSR_208002861_INT_EXP_IND" localSheetId="21">#REF!</definedName>
    <definedName name="L_KEYWORD_ISSR_208002861_INT_EXP_IND">#REF!</definedName>
    <definedName name="L_KEYWORD_ISSR_208002861_INT_INC_IND" localSheetId="24">#REF!</definedName>
    <definedName name="L_KEYWORD_ISSR_208002861_INT_INC_IND" localSheetId="18">#REF!</definedName>
    <definedName name="L_KEYWORD_ISSR_208002861_INT_INC_IND" localSheetId="12">#REF!</definedName>
    <definedName name="L_KEYWORD_ISSR_208002861_INT_INC_IND" localSheetId="23">#REF!</definedName>
    <definedName name="L_KEYWORD_ISSR_208002861_INT_INC_IND" localSheetId="19">#REF!</definedName>
    <definedName name="L_KEYWORD_ISSR_208002861_INT_INC_IND" localSheetId="21">#REF!</definedName>
    <definedName name="L_KEYWORD_ISSR_208002861_INT_INC_IND">#REF!</definedName>
    <definedName name="L_KEYWORD_ISSR_208002861_INV_SECUR" localSheetId="24">#REF!</definedName>
    <definedName name="L_KEYWORD_ISSR_208002861_INV_SECUR" localSheetId="18">#REF!</definedName>
    <definedName name="L_KEYWORD_ISSR_208002861_INV_SECUR" localSheetId="12">#REF!</definedName>
    <definedName name="L_KEYWORD_ISSR_208002861_INV_SECUR" localSheetId="23">#REF!</definedName>
    <definedName name="L_KEYWORD_ISSR_208002861_INV_SECUR" localSheetId="19">#REF!</definedName>
    <definedName name="L_KEYWORD_ISSR_208002861_INV_SECUR" localSheetId="21">#REF!</definedName>
    <definedName name="L_KEYWORD_ISSR_208002861_INV_SECUR">#REF!</definedName>
    <definedName name="L_KEYWORD_ISSR_208002861_Issuer_Name" localSheetId="24">#REF!</definedName>
    <definedName name="L_KEYWORD_ISSR_208002861_Issuer_Name" localSheetId="18">#REF!</definedName>
    <definedName name="L_KEYWORD_ISSR_208002861_Issuer_Name" localSheetId="12">#REF!</definedName>
    <definedName name="L_KEYWORD_ISSR_208002861_Issuer_Name" localSheetId="23">#REF!</definedName>
    <definedName name="L_KEYWORD_ISSR_208002861_Issuer_Name" localSheetId="19">#REF!</definedName>
    <definedName name="L_KEYWORD_ISSR_208002861_Issuer_Name" localSheetId="21">#REF!</definedName>
    <definedName name="L_KEYWORD_ISSR_208002861_Issuer_Name">#REF!</definedName>
    <definedName name="L_KEYWORD_ISSR_208002861_LEASE_DEEM_DEPR" localSheetId="24">#REF!</definedName>
    <definedName name="L_KEYWORD_ISSR_208002861_LEASE_DEEM_DEPR" localSheetId="18">#REF!</definedName>
    <definedName name="L_KEYWORD_ISSR_208002861_LEASE_DEEM_DEPR" localSheetId="12">#REF!</definedName>
    <definedName name="L_KEYWORD_ISSR_208002861_LEASE_DEEM_DEPR" localSheetId="23">#REF!</definedName>
    <definedName name="L_KEYWORD_ISSR_208002861_LEASE_DEEM_DEPR" localSheetId="19">#REF!</definedName>
    <definedName name="L_KEYWORD_ISSR_208002861_LEASE_DEEM_DEPR" localSheetId="21">#REF!</definedName>
    <definedName name="L_KEYWORD_ISSR_208002861_LEASE_DEEM_DEPR">#REF!</definedName>
    <definedName name="L_KEYWORD_ISSR_208002861_LEASE_DEEM_INT" localSheetId="24">#REF!</definedName>
    <definedName name="L_KEYWORD_ISSR_208002861_LEASE_DEEM_INT" localSheetId="18">#REF!</definedName>
    <definedName name="L_KEYWORD_ISSR_208002861_LEASE_DEEM_INT" localSheetId="12">#REF!</definedName>
    <definedName name="L_KEYWORD_ISSR_208002861_LEASE_DEEM_INT" localSheetId="23">#REF!</definedName>
    <definedName name="L_KEYWORD_ISSR_208002861_LEASE_DEEM_INT" localSheetId="19">#REF!</definedName>
    <definedName name="L_KEYWORD_ISSR_208002861_LEASE_DEEM_INT" localSheetId="21">#REF!</definedName>
    <definedName name="L_KEYWORD_ISSR_208002861_LEASE_DEEM_INT">#REF!</definedName>
    <definedName name="L_KEYWORD_ISSR_208002861_LEASE_PAY" localSheetId="24">#REF!</definedName>
    <definedName name="L_KEYWORD_ISSR_208002861_LEASE_PAY" localSheetId="18">#REF!</definedName>
    <definedName name="L_KEYWORD_ISSR_208002861_LEASE_PAY" localSheetId="12">#REF!</definedName>
    <definedName name="L_KEYWORD_ISSR_208002861_LEASE_PAY" localSheetId="23">#REF!</definedName>
    <definedName name="L_KEYWORD_ISSR_208002861_LEASE_PAY" localSheetId="19">#REF!</definedName>
    <definedName name="L_KEYWORD_ISSR_208002861_LEASE_PAY" localSheetId="21">#REF!</definedName>
    <definedName name="L_KEYWORD_ISSR_208002861_LEASE_PAY">#REF!</definedName>
    <definedName name="L_KEYWORD_ISSR_208002861_LT_DEBT" localSheetId="24">#REF!</definedName>
    <definedName name="L_KEYWORD_ISSR_208002861_LT_DEBT" localSheetId="18">#REF!</definedName>
    <definedName name="L_KEYWORD_ISSR_208002861_LT_DEBT" localSheetId="12">#REF!</definedName>
    <definedName name="L_KEYWORD_ISSR_208002861_LT_DEBT" localSheetId="23">#REF!</definedName>
    <definedName name="L_KEYWORD_ISSR_208002861_LT_DEBT" localSheetId="19">#REF!</definedName>
    <definedName name="L_KEYWORD_ISSR_208002861_LT_DEBT" localSheetId="21">#REF!</definedName>
    <definedName name="L_KEYWORD_ISSR_208002861_LT_DEBT">#REF!</definedName>
    <definedName name="L_KEYWORD_ISSR_208002861_MINORITIES" localSheetId="24">#REF!</definedName>
    <definedName name="L_KEYWORD_ISSR_208002861_MINORITIES" localSheetId="18">#REF!</definedName>
    <definedName name="L_KEYWORD_ISSR_208002861_MINORITIES" localSheetId="12">#REF!</definedName>
    <definedName name="L_KEYWORD_ISSR_208002861_MINORITIES" localSheetId="23">#REF!</definedName>
    <definedName name="L_KEYWORD_ISSR_208002861_MINORITIES" localSheetId="19">#REF!</definedName>
    <definedName name="L_KEYWORD_ISSR_208002861_MINORITIES" localSheetId="21">#REF!</definedName>
    <definedName name="L_KEYWORD_ISSR_208002861_MINORITIES">#REF!</definedName>
    <definedName name="L_KEYWORD_ISSR_208002861_MV_ASSOCIATES" localSheetId="24">#REF!</definedName>
    <definedName name="L_KEYWORD_ISSR_208002861_MV_ASSOCIATES" localSheetId="18">#REF!</definedName>
    <definedName name="L_KEYWORD_ISSR_208002861_MV_ASSOCIATES" localSheetId="12">#REF!</definedName>
    <definedName name="L_KEYWORD_ISSR_208002861_MV_ASSOCIATES" localSheetId="23">#REF!</definedName>
    <definedName name="L_KEYWORD_ISSR_208002861_MV_ASSOCIATES" localSheetId="19">#REF!</definedName>
    <definedName name="L_KEYWORD_ISSR_208002861_MV_ASSOCIATES" localSheetId="21">#REF!</definedName>
    <definedName name="L_KEYWORD_ISSR_208002861_MV_ASSOCIATES">#REF!</definedName>
    <definedName name="L_KEYWORD_ISSR_208002861_NET_DEBT" localSheetId="24">#REF!</definedName>
    <definedName name="L_KEYWORD_ISSR_208002861_NET_DEBT" localSheetId="18">#REF!</definedName>
    <definedName name="L_KEYWORD_ISSR_208002861_NET_DEBT" localSheetId="12">#REF!</definedName>
    <definedName name="L_KEYWORD_ISSR_208002861_NET_DEBT" localSheetId="23">#REF!</definedName>
    <definedName name="L_KEYWORD_ISSR_208002861_NET_DEBT" localSheetId="19">#REF!</definedName>
    <definedName name="L_KEYWORD_ISSR_208002861_NET_DEBT" localSheetId="21">#REF!</definedName>
    <definedName name="L_KEYWORD_ISSR_208002861_NET_DEBT">#REF!</definedName>
    <definedName name="L_KEYWORD_ISSR_208002861_NET_DEBT_ADJ" localSheetId="24">#REF!</definedName>
    <definedName name="L_KEYWORD_ISSR_208002861_NET_DEBT_ADJ" localSheetId="18">#REF!</definedName>
    <definedName name="L_KEYWORD_ISSR_208002861_NET_DEBT_ADJ" localSheetId="12">#REF!</definedName>
    <definedName name="L_KEYWORD_ISSR_208002861_NET_DEBT_ADJ" localSheetId="23">#REF!</definedName>
    <definedName name="L_KEYWORD_ISSR_208002861_NET_DEBT_ADJ" localSheetId="19">#REF!</definedName>
    <definedName name="L_KEYWORD_ISSR_208002861_NET_DEBT_ADJ" localSheetId="21">#REF!</definedName>
    <definedName name="L_KEYWORD_ISSR_208002861_NET_DEBT_ADJ">#REF!</definedName>
    <definedName name="L_KEYWORD_ISSR_208002861_NET_FIX_ASS" localSheetId="24">#REF!</definedName>
    <definedName name="L_KEYWORD_ISSR_208002861_NET_FIX_ASS" localSheetId="18">#REF!</definedName>
    <definedName name="L_KEYWORD_ISSR_208002861_NET_FIX_ASS" localSheetId="12">#REF!</definedName>
    <definedName name="L_KEYWORD_ISSR_208002861_NET_FIX_ASS" localSheetId="23">#REF!</definedName>
    <definedName name="L_KEYWORD_ISSR_208002861_NET_FIX_ASS" localSheetId="19">#REF!</definedName>
    <definedName name="L_KEYWORD_ISSR_208002861_NET_FIX_ASS" localSheetId="21">#REF!</definedName>
    <definedName name="L_KEYWORD_ISSR_208002861_NET_FIX_ASS">#REF!</definedName>
    <definedName name="L_KEYWORD_ISSR_208002861_NET_INT_CH" localSheetId="24">#REF!</definedName>
    <definedName name="L_KEYWORD_ISSR_208002861_NET_INT_CH" localSheetId="18">#REF!</definedName>
    <definedName name="L_KEYWORD_ISSR_208002861_NET_INT_CH" localSheetId="12">#REF!</definedName>
    <definedName name="L_KEYWORD_ISSR_208002861_NET_INT_CH" localSheetId="23">#REF!</definedName>
    <definedName name="L_KEYWORD_ISSR_208002861_NET_INT_CH" localSheetId="19">#REF!</definedName>
    <definedName name="L_KEYWORD_ISSR_208002861_NET_INT_CH" localSheetId="21">#REF!</definedName>
    <definedName name="L_KEYWORD_ISSR_208002861_NET_INT_CH">#REF!</definedName>
    <definedName name="L_KEYWORD_ISSR_208002861_NET_INT_EXP" localSheetId="24">#REF!</definedName>
    <definedName name="L_KEYWORD_ISSR_208002861_NET_INT_EXP" localSheetId="18">#REF!</definedName>
    <definedName name="L_KEYWORD_ISSR_208002861_NET_INT_EXP" localSheetId="12">#REF!</definedName>
    <definedName name="L_KEYWORD_ISSR_208002861_NET_INT_EXP" localSheetId="23">#REF!</definedName>
    <definedName name="L_KEYWORD_ISSR_208002861_NET_INT_EXP" localSheetId="19">#REF!</definedName>
    <definedName name="L_KEYWORD_ISSR_208002861_NET_INT_EXP" localSheetId="21">#REF!</definedName>
    <definedName name="L_KEYWORD_ISSR_208002861_NET_INT_EXP">#REF!</definedName>
    <definedName name="L_KEYWORD_ISSR_208002861_NET_INTANG" localSheetId="24">#REF!</definedName>
    <definedName name="L_KEYWORD_ISSR_208002861_NET_INTANG" localSheetId="18">#REF!</definedName>
    <definedName name="L_KEYWORD_ISSR_208002861_NET_INTANG" localSheetId="12">#REF!</definedName>
    <definedName name="L_KEYWORD_ISSR_208002861_NET_INTANG" localSheetId="23">#REF!</definedName>
    <definedName name="L_KEYWORD_ISSR_208002861_NET_INTANG" localSheetId="19">#REF!</definedName>
    <definedName name="L_KEYWORD_ISSR_208002861_NET_INTANG" localSheetId="21">#REF!</definedName>
    <definedName name="L_KEYWORD_ISSR_208002861_NET_INTANG">#REF!</definedName>
    <definedName name="L_KEYWORD_ISSR_208002861_NONPPE_CAPEX" localSheetId="24">#REF!</definedName>
    <definedName name="L_KEYWORD_ISSR_208002861_NONPPE_CAPEX" localSheetId="18">#REF!</definedName>
    <definedName name="L_KEYWORD_ISSR_208002861_NONPPE_CAPEX" localSheetId="12">#REF!</definedName>
    <definedName name="L_KEYWORD_ISSR_208002861_NONPPE_CAPEX" localSheetId="23">#REF!</definedName>
    <definedName name="L_KEYWORD_ISSR_208002861_NONPPE_CAPEX" localSheetId="19">#REF!</definedName>
    <definedName name="L_KEYWORD_ISSR_208002861_NONPPE_CAPEX" localSheetId="21">#REF!</definedName>
    <definedName name="L_KEYWORD_ISSR_208002861_NONPPE_CAPEX">#REF!</definedName>
    <definedName name="L_KEYWORD_ISSR_208002861_OP_COST" localSheetId="24">#REF!</definedName>
    <definedName name="L_KEYWORD_ISSR_208002861_OP_COST" localSheetId="18">#REF!</definedName>
    <definedName name="L_KEYWORD_ISSR_208002861_OP_COST" localSheetId="12">#REF!</definedName>
    <definedName name="L_KEYWORD_ISSR_208002861_OP_COST" localSheetId="23">#REF!</definedName>
    <definedName name="L_KEYWORD_ISSR_208002861_OP_COST" localSheetId="19">#REF!</definedName>
    <definedName name="L_KEYWORD_ISSR_208002861_OP_COST" localSheetId="21">#REF!</definedName>
    <definedName name="L_KEYWORD_ISSR_208002861_OP_COST">#REF!</definedName>
    <definedName name="L_KEYWORD_ISSR_208002861_ORD_SH_FUND" localSheetId="24">#REF!</definedName>
    <definedName name="L_KEYWORD_ISSR_208002861_ORD_SH_FUND" localSheetId="18">#REF!</definedName>
    <definedName name="L_KEYWORD_ISSR_208002861_ORD_SH_FUND" localSheetId="12">#REF!</definedName>
    <definedName name="L_KEYWORD_ISSR_208002861_ORD_SH_FUND" localSheetId="23">#REF!</definedName>
    <definedName name="L_KEYWORD_ISSR_208002861_ORD_SH_FUND" localSheetId="19">#REF!</definedName>
    <definedName name="L_KEYWORD_ISSR_208002861_ORD_SH_FUND" localSheetId="21">#REF!</definedName>
    <definedName name="L_KEYWORD_ISSR_208002861_ORD_SH_FUND">#REF!</definedName>
    <definedName name="L_KEYWORD_ISSR_208002861_ORG_REV" localSheetId="24">#REF!</definedName>
    <definedName name="L_KEYWORD_ISSR_208002861_ORG_REV" localSheetId="18">#REF!</definedName>
    <definedName name="L_KEYWORD_ISSR_208002861_ORG_REV" localSheetId="12">#REF!</definedName>
    <definedName name="L_KEYWORD_ISSR_208002861_ORG_REV" localSheetId="23">#REF!</definedName>
    <definedName name="L_KEYWORD_ISSR_208002861_ORG_REV" localSheetId="19">#REF!</definedName>
    <definedName name="L_KEYWORD_ISSR_208002861_ORG_REV" localSheetId="21">#REF!</definedName>
    <definedName name="L_KEYWORD_ISSR_208002861_ORG_REV">#REF!</definedName>
    <definedName name="L_KEYWORD_ISSR_208002861_ORG_REV_GRTH" localSheetId="24">#REF!</definedName>
    <definedName name="L_KEYWORD_ISSR_208002861_ORG_REV_GRTH" localSheetId="18">#REF!</definedName>
    <definedName name="L_KEYWORD_ISSR_208002861_ORG_REV_GRTH" localSheetId="12">#REF!</definedName>
    <definedName name="L_KEYWORD_ISSR_208002861_ORG_REV_GRTH" localSheetId="23">#REF!</definedName>
    <definedName name="L_KEYWORD_ISSR_208002861_ORG_REV_GRTH" localSheetId="19">#REF!</definedName>
    <definedName name="L_KEYWORD_ISSR_208002861_ORG_REV_GRTH" localSheetId="21">#REF!</definedName>
    <definedName name="L_KEYWORD_ISSR_208002861_ORG_REV_GRTH">#REF!</definedName>
    <definedName name="L_KEYWORD_ISSR_208002861_OTH_COST_INC" localSheetId="24">#REF!</definedName>
    <definedName name="L_KEYWORD_ISSR_208002861_OTH_COST_INC" localSheetId="18">#REF!</definedName>
    <definedName name="L_KEYWORD_ISSR_208002861_OTH_COST_INC" localSheetId="12">#REF!</definedName>
    <definedName name="L_KEYWORD_ISSR_208002861_OTH_COST_INC" localSheetId="23">#REF!</definedName>
    <definedName name="L_KEYWORD_ISSR_208002861_OTH_COST_INC" localSheetId="19">#REF!</definedName>
    <definedName name="L_KEYWORD_ISSR_208002861_OTH_COST_INC" localSheetId="21">#REF!</definedName>
    <definedName name="L_KEYWORD_ISSR_208002861_OTH_COST_INC">#REF!</definedName>
    <definedName name="L_KEYWORD_ISSR_208002861_OTH_CUR_ASS" localSheetId="24">#REF!</definedName>
    <definedName name="L_KEYWORD_ISSR_208002861_OTH_CUR_ASS" localSheetId="18">#REF!</definedName>
    <definedName name="L_KEYWORD_ISSR_208002861_OTH_CUR_ASS" localSheetId="12">#REF!</definedName>
    <definedName name="L_KEYWORD_ISSR_208002861_OTH_CUR_ASS" localSheetId="23">#REF!</definedName>
    <definedName name="L_KEYWORD_ISSR_208002861_OTH_CUR_ASS" localSheetId="19">#REF!</definedName>
    <definedName name="L_KEYWORD_ISSR_208002861_OTH_CUR_ASS" localSheetId="21">#REF!</definedName>
    <definedName name="L_KEYWORD_ISSR_208002861_OTH_CUR_ASS">#REF!</definedName>
    <definedName name="L_KEYWORD_ISSR_208002861_OTH_CUR_LIABS" localSheetId="24">#REF!</definedName>
    <definedName name="L_KEYWORD_ISSR_208002861_OTH_CUR_LIABS" localSheetId="18">#REF!</definedName>
    <definedName name="L_KEYWORD_ISSR_208002861_OTH_CUR_LIABS" localSheetId="12">#REF!</definedName>
    <definedName name="L_KEYWORD_ISSR_208002861_OTH_CUR_LIABS" localSheetId="23">#REF!</definedName>
    <definedName name="L_KEYWORD_ISSR_208002861_OTH_CUR_LIABS" localSheetId="19">#REF!</definedName>
    <definedName name="L_KEYWORD_ISSR_208002861_OTH_CUR_LIABS" localSheetId="21">#REF!</definedName>
    <definedName name="L_KEYWORD_ISSR_208002861_OTH_CUR_LIABS">#REF!</definedName>
    <definedName name="L_KEYWORD_ISSR_208002861_OTH_DACF_ADJ" localSheetId="24">#REF!</definedName>
    <definedName name="L_KEYWORD_ISSR_208002861_OTH_DACF_ADJ" localSheetId="18">#REF!</definedName>
    <definedName name="L_KEYWORD_ISSR_208002861_OTH_DACF_ADJ" localSheetId="12">#REF!</definedName>
    <definedName name="L_KEYWORD_ISSR_208002861_OTH_DACF_ADJ" localSheetId="23">#REF!</definedName>
    <definedName name="L_KEYWORD_ISSR_208002861_OTH_DACF_ADJ" localSheetId="19">#REF!</definedName>
    <definedName name="L_KEYWORD_ISSR_208002861_OTH_DACF_ADJ" localSheetId="21">#REF!</definedName>
    <definedName name="L_KEYWORD_ISSR_208002861_OTH_DACF_ADJ">#REF!</definedName>
    <definedName name="L_KEYWORD_ISSR_208002861_OTH_FIN_CF" localSheetId="24">#REF!</definedName>
    <definedName name="L_KEYWORD_ISSR_208002861_OTH_FIN_CF" localSheetId="18">#REF!</definedName>
    <definedName name="L_KEYWORD_ISSR_208002861_OTH_FIN_CF" localSheetId="12">#REF!</definedName>
    <definedName name="L_KEYWORD_ISSR_208002861_OTH_FIN_CF" localSheetId="23">#REF!</definedName>
    <definedName name="L_KEYWORD_ISSR_208002861_OTH_FIN_CF" localSheetId="19">#REF!</definedName>
    <definedName name="L_KEYWORD_ISSR_208002861_OTH_FIN_CF" localSheetId="21">#REF!</definedName>
    <definedName name="L_KEYWORD_ISSR_208002861_OTH_FIN_CF">#REF!</definedName>
    <definedName name="L_KEYWORD_ISSR_208002861_OTH_GCI_ADJ" localSheetId="24">#REF!</definedName>
    <definedName name="L_KEYWORD_ISSR_208002861_OTH_GCI_ADJ" localSheetId="18">#REF!</definedName>
    <definedName name="L_KEYWORD_ISSR_208002861_OTH_GCI_ADJ" localSheetId="12">#REF!</definedName>
    <definedName name="L_KEYWORD_ISSR_208002861_OTH_GCI_ADJ" localSheetId="23">#REF!</definedName>
    <definedName name="L_KEYWORD_ISSR_208002861_OTH_GCI_ADJ" localSheetId="19">#REF!</definedName>
    <definedName name="L_KEYWORD_ISSR_208002861_OTH_GCI_ADJ" localSheetId="21">#REF!</definedName>
    <definedName name="L_KEYWORD_ISSR_208002861_OTH_GCI_ADJ">#REF!</definedName>
    <definedName name="L_KEYWORD_ISSR_208002861_OTH_INT_AMORT" localSheetId="24">#REF!</definedName>
    <definedName name="L_KEYWORD_ISSR_208002861_OTH_INT_AMORT" localSheetId="18">#REF!</definedName>
    <definedName name="L_KEYWORD_ISSR_208002861_OTH_INT_AMORT" localSheetId="12">#REF!</definedName>
    <definedName name="L_KEYWORD_ISSR_208002861_OTH_INT_AMORT" localSheetId="23">#REF!</definedName>
    <definedName name="L_KEYWORD_ISSR_208002861_OTH_INT_AMORT" localSheetId="19">#REF!</definedName>
    <definedName name="L_KEYWORD_ISSR_208002861_OTH_INT_AMORT" localSheetId="21">#REF!</definedName>
    <definedName name="L_KEYWORD_ISSR_208002861_OTH_INT_AMORT">#REF!</definedName>
    <definedName name="L_KEYWORD_ISSR_208002861_OTH_INV_CF" localSheetId="24">#REF!</definedName>
    <definedName name="L_KEYWORD_ISSR_208002861_OTH_INV_CF" localSheetId="18">#REF!</definedName>
    <definedName name="L_KEYWORD_ISSR_208002861_OTH_INV_CF" localSheetId="12">#REF!</definedName>
    <definedName name="L_KEYWORD_ISSR_208002861_OTH_INV_CF" localSheetId="23">#REF!</definedName>
    <definedName name="L_KEYWORD_ISSR_208002861_OTH_INV_CF" localSheetId="19">#REF!</definedName>
    <definedName name="L_KEYWORD_ISSR_208002861_OTH_INV_CF" localSheetId="21">#REF!</definedName>
    <definedName name="L_KEYWORD_ISSR_208002861_OTH_INV_CF">#REF!</definedName>
    <definedName name="L_KEYWORD_ISSR_208002861_OTH_ITEM_NCF" localSheetId="24">#REF!</definedName>
    <definedName name="L_KEYWORD_ISSR_208002861_OTH_ITEM_NCF" localSheetId="18">#REF!</definedName>
    <definedName name="L_KEYWORD_ISSR_208002861_OTH_ITEM_NCF" localSheetId="12">#REF!</definedName>
    <definedName name="L_KEYWORD_ISSR_208002861_OTH_ITEM_NCF" localSheetId="23">#REF!</definedName>
    <definedName name="L_KEYWORD_ISSR_208002861_OTH_ITEM_NCF" localSheetId="19">#REF!</definedName>
    <definedName name="L_KEYWORD_ISSR_208002861_OTH_ITEM_NCF" localSheetId="21">#REF!</definedName>
    <definedName name="L_KEYWORD_ISSR_208002861_OTH_ITEM_NCF">#REF!</definedName>
    <definedName name="L_KEYWORD_ISSR_208002861_OTH_LT_ASS" localSheetId="24">#REF!</definedName>
    <definedName name="L_KEYWORD_ISSR_208002861_OTH_LT_ASS" localSheetId="18">#REF!</definedName>
    <definedName name="L_KEYWORD_ISSR_208002861_OTH_LT_ASS" localSheetId="12">#REF!</definedName>
    <definedName name="L_KEYWORD_ISSR_208002861_OTH_LT_ASS" localSheetId="23">#REF!</definedName>
    <definedName name="L_KEYWORD_ISSR_208002861_OTH_LT_ASS" localSheetId="19">#REF!</definedName>
    <definedName name="L_KEYWORD_ISSR_208002861_OTH_LT_ASS" localSheetId="21">#REF!</definedName>
    <definedName name="L_KEYWORD_ISSR_208002861_OTH_LT_ASS">#REF!</definedName>
    <definedName name="L_KEYWORD_ISSR_208002861_OTH_LT_CRED_GQ" localSheetId="24">#REF!</definedName>
    <definedName name="L_KEYWORD_ISSR_208002861_OTH_LT_CRED_GQ" localSheetId="18">#REF!</definedName>
    <definedName name="L_KEYWORD_ISSR_208002861_OTH_LT_CRED_GQ" localSheetId="12">#REF!</definedName>
    <definedName name="L_KEYWORD_ISSR_208002861_OTH_LT_CRED_GQ" localSheetId="23">#REF!</definedName>
    <definedName name="L_KEYWORD_ISSR_208002861_OTH_LT_CRED_GQ" localSheetId="19">#REF!</definedName>
    <definedName name="L_KEYWORD_ISSR_208002861_OTH_LT_CRED_GQ" localSheetId="21">#REF!</definedName>
    <definedName name="L_KEYWORD_ISSR_208002861_OTH_LT_CRED_GQ">#REF!</definedName>
    <definedName name="L_KEYWORD_ISSR_208002861_OTH_NONCASH_ADJ" localSheetId="24">#REF!</definedName>
    <definedName name="L_KEYWORD_ISSR_208002861_OTH_NONCASH_ADJ" localSheetId="18">#REF!</definedName>
    <definedName name="L_KEYWORD_ISSR_208002861_OTH_NONCASH_ADJ" localSheetId="12">#REF!</definedName>
    <definedName name="L_KEYWORD_ISSR_208002861_OTH_NONCASH_ADJ" localSheetId="23">#REF!</definedName>
    <definedName name="L_KEYWORD_ISSR_208002861_OTH_NONCASH_ADJ" localSheetId="19">#REF!</definedName>
    <definedName name="L_KEYWORD_ISSR_208002861_OTH_NONCASH_ADJ" localSheetId="21">#REF!</definedName>
    <definedName name="L_KEYWORD_ISSR_208002861_OTH_NONCASH_ADJ">#REF!</definedName>
    <definedName name="L_KEYWORD_ISSR_208002861_OTH_OP_CF" localSheetId="24">#REF!</definedName>
    <definedName name="L_KEYWORD_ISSR_208002861_OTH_OP_CF" localSheetId="18">#REF!</definedName>
    <definedName name="L_KEYWORD_ISSR_208002861_OTH_OP_CF" localSheetId="12">#REF!</definedName>
    <definedName name="L_KEYWORD_ISSR_208002861_OTH_OP_CF" localSheetId="23">#REF!</definedName>
    <definedName name="L_KEYWORD_ISSR_208002861_OTH_OP_CF" localSheetId="19">#REF!</definedName>
    <definedName name="L_KEYWORD_ISSR_208002861_OTH_OP_CF" localSheetId="21">#REF!</definedName>
    <definedName name="L_KEYWORD_ISSR_208002861_OTH_OP_CF">#REF!</definedName>
    <definedName name="L_KEYWORD_ISSR_208002861_OTH_OP_INC_EXP" localSheetId="24">#REF!</definedName>
    <definedName name="L_KEYWORD_ISSR_208002861_OTH_OP_INC_EXP" localSheetId="18">#REF!</definedName>
    <definedName name="L_KEYWORD_ISSR_208002861_OTH_OP_INC_EXP" localSheetId="12">#REF!</definedName>
    <definedName name="L_KEYWORD_ISSR_208002861_OTH_OP_INC_EXP" localSheetId="23">#REF!</definedName>
    <definedName name="L_KEYWORD_ISSR_208002861_OTH_OP_INC_EXP" localSheetId="19">#REF!</definedName>
    <definedName name="L_KEYWORD_ISSR_208002861_OTH_OP_INC_EXP" localSheetId="21">#REF!</definedName>
    <definedName name="L_KEYWORD_ISSR_208002861_OTH_OP_INC_EXP">#REF!</definedName>
    <definedName name="L_KEYWORD_ISSR_208002861_PERIOD_MILESTONE" localSheetId="24">#REF!</definedName>
    <definedName name="L_KEYWORD_ISSR_208002861_PERIOD_MILESTONE" localSheetId="18">#REF!</definedName>
    <definedName name="L_KEYWORD_ISSR_208002861_PERIOD_MILESTONE" localSheetId="12">#REF!</definedName>
    <definedName name="L_KEYWORD_ISSR_208002861_PERIOD_MILESTONE" localSheetId="23">#REF!</definedName>
    <definedName name="L_KEYWORD_ISSR_208002861_PERIOD_MILESTONE" localSheetId="19">#REF!</definedName>
    <definedName name="L_KEYWORD_ISSR_208002861_PERIOD_MILESTONE" localSheetId="21">#REF!</definedName>
    <definedName name="L_KEYWORD_ISSR_208002861_PERIOD_MILESTONE">#REF!</definedName>
    <definedName name="L_KEYWORD_ISSR_208002861_PL_SALE_ASSETS" localSheetId="24">#REF!</definedName>
    <definedName name="L_KEYWORD_ISSR_208002861_PL_SALE_ASSETS" localSheetId="18">#REF!</definedName>
    <definedName name="L_KEYWORD_ISSR_208002861_PL_SALE_ASSETS" localSheetId="12">#REF!</definedName>
    <definedName name="L_KEYWORD_ISSR_208002861_PL_SALE_ASSETS" localSheetId="23">#REF!</definedName>
    <definedName name="L_KEYWORD_ISSR_208002861_PL_SALE_ASSETS" localSheetId="19">#REF!</definedName>
    <definedName name="L_KEYWORD_ISSR_208002861_PL_SALE_ASSETS" localSheetId="21">#REF!</definedName>
    <definedName name="L_KEYWORD_ISSR_208002861_PL_SALE_ASSETS">#REF!</definedName>
    <definedName name="L_KEYWORD_ISSR_208002861_PREF_SH" localSheetId="24">#REF!</definedName>
    <definedName name="L_KEYWORD_ISSR_208002861_PREF_SH" localSheetId="18">#REF!</definedName>
    <definedName name="L_KEYWORD_ISSR_208002861_PREF_SH" localSheetId="12">#REF!</definedName>
    <definedName name="L_KEYWORD_ISSR_208002861_PREF_SH" localSheetId="23">#REF!</definedName>
    <definedName name="L_KEYWORD_ISSR_208002861_PREF_SH" localSheetId="19">#REF!</definedName>
    <definedName name="L_KEYWORD_ISSR_208002861_PREF_SH" localSheetId="21">#REF!</definedName>
    <definedName name="L_KEYWORD_ISSR_208002861_PREF_SH">#REF!</definedName>
    <definedName name="L_KEYWORD_ISSR_208002861_PROFIT_ON_DISP" localSheetId="24">#REF!</definedName>
    <definedName name="L_KEYWORD_ISSR_208002861_PROFIT_ON_DISP" localSheetId="18">#REF!</definedName>
    <definedName name="L_KEYWORD_ISSR_208002861_PROFIT_ON_DISP" localSheetId="12">#REF!</definedName>
    <definedName name="L_KEYWORD_ISSR_208002861_PROFIT_ON_DISP" localSheetId="23">#REF!</definedName>
    <definedName name="L_KEYWORD_ISSR_208002861_PROFIT_ON_DISP" localSheetId="19">#REF!</definedName>
    <definedName name="L_KEYWORD_ISSR_208002861_PROFIT_ON_DISP" localSheetId="21">#REF!</definedName>
    <definedName name="L_KEYWORD_ISSR_208002861_PROFIT_ON_DISP">#REF!</definedName>
    <definedName name="L_KEYWORD_ISSR_208002861_PT_PROF" localSheetId="24">#REF!</definedName>
    <definedName name="L_KEYWORD_ISSR_208002861_PT_PROF" localSheetId="18">#REF!</definedName>
    <definedName name="L_KEYWORD_ISSR_208002861_PT_PROF" localSheetId="12">#REF!</definedName>
    <definedName name="L_KEYWORD_ISSR_208002861_PT_PROF" localSheetId="23">#REF!</definedName>
    <definedName name="L_KEYWORD_ISSR_208002861_PT_PROF" localSheetId="19">#REF!</definedName>
    <definedName name="L_KEYWORD_ISSR_208002861_PT_PROF" localSheetId="21">#REF!</definedName>
    <definedName name="L_KEYWORD_ISSR_208002861_PT_PROF">#REF!</definedName>
    <definedName name="L_KEYWORD_ISSR_208002861_RD_EXP" localSheetId="24">#REF!</definedName>
    <definedName name="L_KEYWORD_ISSR_208002861_RD_EXP" localSheetId="18">#REF!</definedName>
    <definedName name="L_KEYWORD_ISSR_208002861_RD_EXP" localSheetId="12">#REF!</definedName>
    <definedName name="L_KEYWORD_ISSR_208002861_RD_EXP" localSheetId="23">#REF!</definedName>
    <definedName name="L_KEYWORD_ISSR_208002861_RD_EXP" localSheetId="19">#REF!</definedName>
    <definedName name="L_KEYWORD_ISSR_208002861_RD_EXP" localSheetId="21">#REF!</definedName>
    <definedName name="L_KEYWORD_ISSR_208002861_RD_EXP">#REF!</definedName>
    <definedName name="L_KEYWORD_ISSR_208002861_SALES" localSheetId="24">#REF!</definedName>
    <definedName name="L_KEYWORD_ISSR_208002861_SALES" localSheetId="18">#REF!</definedName>
    <definedName name="L_KEYWORD_ISSR_208002861_SALES" localSheetId="12">#REF!</definedName>
    <definedName name="L_KEYWORD_ISSR_208002861_SALES" localSheetId="23">#REF!</definedName>
    <definedName name="L_KEYWORD_ISSR_208002861_SALES" localSheetId="19">#REF!</definedName>
    <definedName name="L_KEYWORD_ISSR_208002861_SALES" localSheetId="21">#REF!</definedName>
    <definedName name="L_KEYWORD_ISSR_208002861_SALES">#REF!</definedName>
    <definedName name="L_KEYWORD_ISSR_208002861_SALES_BRAZIL" localSheetId="24">#REF!</definedName>
    <definedName name="L_KEYWORD_ISSR_208002861_SALES_BRAZIL" localSheetId="18">#REF!</definedName>
    <definedName name="L_KEYWORD_ISSR_208002861_SALES_BRAZIL" localSheetId="12">#REF!</definedName>
    <definedName name="L_KEYWORD_ISSR_208002861_SALES_BRAZIL" localSheetId="23">#REF!</definedName>
    <definedName name="L_KEYWORD_ISSR_208002861_SALES_BRAZIL" localSheetId="19">#REF!</definedName>
    <definedName name="L_KEYWORD_ISSR_208002861_SALES_BRAZIL" localSheetId="21">#REF!</definedName>
    <definedName name="L_KEYWORD_ISSR_208002861_SALES_BRAZIL">#REF!</definedName>
    <definedName name="L_KEYWORD_ISSR_208002861_SALES_CEE" localSheetId="24">#REF!</definedName>
    <definedName name="L_KEYWORD_ISSR_208002861_SALES_CEE" localSheetId="18">#REF!</definedName>
    <definedName name="L_KEYWORD_ISSR_208002861_SALES_CEE" localSheetId="12">#REF!</definedName>
    <definedName name="L_KEYWORD_ISSR_208002861_SALES_CEE" localSheetId="23">#REF!</definedName>
    <definedName name="L_KEYWORD_ISSR_208002861_SALES_CEE" localSheetId="19">#REF!</definedName>
    <definedName name="L_KEYWORD_ISSR_208002861_SALES_CEE" localSheetId="21">#REF!</definedName>
    <definedName name="L_KEYWORD_ISSR_208002861_SALES_CEE">#REF!</definedName>
    <definedName name="L_KEYWORD_ISSR_208002861_SALES_CHINA" localSheetId="24">#REF!</definedName>
    <definedName name="L_KEYWORD_ISSR_208002861_SALES_CHINA" localSheetId="18">#REF!</definedName>
    <definedName name="L_KEYWORD_ISSR_208002861_SALES_CHINA" localSheetId="12">#REF!</definedName>
    <definedName name="L_KEYWORD_ISSR_208002861_SALES_CHINA" localSheetId="23">#REF!</definedName>
    <definedName name="L_KEYWORD_ISSR_208002861_SALES_CHINA" localSheetId="19">#REF!</definedName>
    <definedName name="L_KEYWORD_ISSR_208002861_SALES_CHINA" localSheetId="21">#REF!</definedName>
    <definedName name="L_KEYWORD_ISSR_208002861_SALES_CHINA">#REF!</definedName>
    <definedName name="L_KEYWORD_ISSR_208002861_SALES_CONS" localSheetId="24">#REF!</definedName>
    <definedName name="L_KEYWORD_ISSR_208002861_SALES_CONS" localSheetId="18">#REF!</definedName>
    <definedName name="L_KEYWORD_ISSR_208002861_SALES_CONS" localSheetId="12">#REF!</definedName>
    <definedName name="L_KEYWORD_ISSR_208002861_SALES_CONS" localSheetId="23">#REF!</definedName>
    <definedName name="L_KEYWORD_ISSR_208002861_SALES_CONS" localSheetId="19">#REF!</definedName>
    <definedName name="L_KEYWORD_ISSR_208002861_SALES_CONS" localSheetId="21">#REF!</definedName>
    <definedName name="L_KEYWORD_ISSR_208002861_SALES_CONS">#REF!</definedName>
    <definedName name="L_KEYWORD_ISSR_208002861_SALES_EU_EX_UK" localSheetId="24">#REF!</definedName>
    <definedName name="L_KEYWORD_ISSR_208002861_SALES_EU_EX_UK" localSheetId="18">#REF!</definedName>
    <definedName name="L_KEYWORD_ISSR_208002861_SALES_EU_EX_UK" localSheetId="12">#REF!</definedName>
    <definedName name="L_KEYWORD_ISSR_208002861_SALES_EU_EX_UK" localSheetId="23">#REF!</definedName>
    <definedName name="L_KEYWORD_ISSR_208002861_SALES_EU_EX_UK" localSheetId="19">#REF!</definedName>
    <definedName name="L_KEYWORD_ISSR_208002861_SALES_EU_EX_UK" localSheetId="21">#REF!</definedName>
    <definedName name="L_KEYWORD_ISSR_208002861_SALES_EU_EX_UK">#REF!</definedName>
    <definedName name="L_KEYWORD_ISSR_208002861_SALES_FINAN" localSheetId="24">#REF!</definedName>
    <definedName name="L_KEYWORD_ISSR_208002861_SALES_FINAN" localSheetId="18">#REF!</definedName>
    <definedName name="L_KEYWORD_ISSR_208002861_SALES_FINAN" localSheetId="12">#REF!</definedName>
    <definedName name="L_KEYWORD_ISSR_208002861_SALES_FINAN" localSheetId="23">#REF!</definedName>
    <definedName name="L_KEYWORD_ISSR_208002861_SALES_FINAN" localSheetId="19">#REF!</definedName>
    <definedName name="L_KEYWORD_ISSR_208002861_SALES_FINAN" localSheetId="21">#REF!</definedName>
    <definedName name="L_KEYWORD_ISSR_208002861_SALES_FINAN">#REF!</definedName>
    <definedName name="L_KEYWORD_ISSR_208002861_SALES_FRA" localSheetId="24">#REF!</definedName>
    <definedName name="L_KEYWORD_ISSR_208002861_SALES_FRA" localSheetId="18">#REF!</definedName>
    <definedName name="L_KEYWORD_ISSR_208002861_SALES_FRA" localSheetId="12">#REF!</definedName>
    <definedName name="L_KEYWORD_ISSR_208002861_SALES_FRA" localSheetId="23">#REF!</definedName>
    <definedName name="L_KEYWORD_ISSR_208002861_SALES_FRA" localSheetId="19">#REF!</definedName>
    <definedName name="L_KEYWORD_ISSR_208002861_SALES_FRA" localSheetId="21">#REF!</definedName>
    <definedName name="L_KEYWORD_ISSR_208002861_SALES_FRA">#REF!</definedName>
    <definedName name="L_KEYWORD_ISSR_208002861_SALES_FX_AED" localSheetId="24">#REF!</definedName>
    <definedName name="L_KEYWORD_ISSR_208002861_SALES_FX_AED" localSheetId="18">#REF!</definedName>
    <definedName name="L_KEYWORD_ISSR_208002861_SALES_FX_AED" localSheetId="12">#REF!</definedName>
    <definedName name="L_KEYWORD_ISSR_208002861_SALES_FX_AED" localSheetId="23">#REF!</definedName>
    <definedName name="L_KEYWORD_ISSR_208002861_SALES_FX_AED" localSheetId="19">#REF!</definedName>
    <definedName name="L_KEYWORD_ISSR_208002861_SALES_FX_AED" localSheetId="21">#REF!</definedName>
    <definedName name="L_KEYWORD_ISSR_208002861_SALES_FX_AED">#REF!</definedName>
    <definedName name="L_KEYWORD_ISSR_208002861_SALES_FX_BRL" localSheetId="24">#REF!</definedName>
    <definedName name="L_KEYWORD_ISSR_208002861_SALES_FX_BRL" localSheetId="18">#REF!</definedName>
    <definedName name="L_KEYWORD_ISSR_208002861_SALES_FX_BRL" localSheetId="12">#REF!</definedName>
    <definedName name="L_KEYWORD_ISSR_208002861_SALES_FX_BRL" localSheetId="23">#REF!</definedName>
    <definedName name="L_KEYWORD_ISSR_208002861_SALES_FX_BRL" localSheetId="19">#REF!</definedName>
    <definedName name="L_KEYWORD_ISSR_208002861_SALES_FX_BRL" localSheetId="21">#REF!</definedName>
    <definedName name="L_KEYWORD_ISSR_208002861_SALES_FX_BRL">#REF!</definedName>
    <definedName name="L_KEYWORD_ISSR_208002861_SALES_FX_CHF" localSheetId="24">#REF!</definedName>
    <definedName name="L_KEYWORD_ISSR_208002861_SALES_FX_CHF" localSheetId="18">#REF!</definedName>
    <definedName name="L_KEYWORD_ISSR_208002861_SALES_FX_CHF" localSheetId="12">#REF!</definedName>
    <definedName name="L_KEYWORD_ISSR_208002861_SALES_FX_CHF" localSheetId="23">#REF!</definedName>
    <definedName name="L_KEYWORD_ISSR_208002861_SALES_FX_CHF" localSheetId="19">#REF!</definedName>
    <definedName name="L_KEYWORD_ISSR_208002861_SALES_FX_CHF" localSheetId="21">#REF!</definedName>
    <definedName name="L_KEYWORD_ISSR_208002861_SALES_FX_CHF">#REF!</definedName>
    <definedName name="L_KEYWORD_ISSR_208002861_SALES_FX_CNY" localSheetId="24">#REF!</definedName>
    <definedName name="L_KEYWORD_ISSR_208002861_SALES_FX_CNY" localSheetId="18">#REF!</definedName>
    <definedName name="L_KEYWORD_ISSR_208002861_SALES_FX_CNY" localSheetId="12">#REF!</definedName>
    <definedName name="L_KEYWORD_ISSR_208002861_SALES_FX_CNY" localSheetId="23">#REF!</definedName>
    <definedName name="L_KEYWORD_ISSR_208002861_SALES_FX_CNY" localSheetId="19">#REF!</definedName>
    <definedName name="L_KEYWORD_ISSR_208002861_SALES_FX_CNY" localSheetId="21">#REF!</definedName>
    <definedName name="L_KEYWORD_ISSR_208002861_SALES_FX_CNY">#REF!</definedName>
    <definedName name="L_KEYWORD_ISSR_208002861_SALES_FX_EUR" localSheetId="24">#REF!</definedName>
    <definedName name="L_KEYWORD_ISSR_208002861_SALES_FX_EUR" localSheetId="18">#REF!</definedName>
    <definedName name="L_KEYWORD_ISSR_208002861_SALES_FX_EUR" localSheetId="12">#REF!</definedName>
    <definedName name="L_KEYWORD_ISSR_208002861_SALES_FX_EUR" localSheetId="23">#REF!</definedName>
    <definedName name="L_KEYWORD_ISSR_208002861_SALES_FX_EUR" localSheetId="19">#REF!</definedName>
    <definedName name="L_KEYWORD_ISSR_208002861_SALES_FX_EUR" localSheetId="21">#REF!</definedName>
    <definedName name="L_KEYWORD_ISSR_208002861_SALES_FX_EUR">#REF!</definedName>
    <definedName name="L_KEYWORD_ISSR_208002861_SALES_FX_GPB" localSheetId="24">#REF!</definedName>
    <definedName name="L_KEYWORD_ISSR_208002861_SALES_FX_GPB" localSheetId="18">#REF!</definedName>
    <definedName name="L_KEYWORD_ISSR_208002861_SALES_FX_GPB" localSheetId="12">#REF!</definedName>
    <definedName name="L_KEYWORD_ISSR_208002861_SALES_FX_GPB" localSheetId="23">#REF!</definedName>
    <definedName name="L_KEYWORD_ISSR_208002861_SALES_FX_GPB" localSheetId="19">#REF!</definedName>
    <definedName name="L_KEYWORD_ISSR_208002861_SALES_FX_GPB" localSheetId="21">#REF!</definedName>
    <definedName name="L_KEYWORD_ISSR_208002861_SALES_FX_GPB">#REF!</definedName>
    <definedName name="L_KEYWORD_ISSR_208002861_SALES_FX_INR" localSheetId="24">#REF!</definedName>
    <definedName name="L_KEYWORD_ISSR_208002861_SALES_FX_INR" localSheetId="18">#REF!</definedName>
    <definedName name="L_KEYWORD_ISSR_208002861_SALES_FX_INR" localSheetId="12">#REF!</definedName>
    <definedName name="L_KEYWORD_ISSR_208002861_SALES_FX_INR" localSheetId="23">#REF!</definedName>
    <definedName name="L_KEYWORD_ISSR_208002861_SALES_FX_INR" localSheetId="19">#REF!</definedName>
    <definedName name="L_KEYWORD_ISSR_208002861_SALES_FX_INR" localSheetId="21">#REF!</definedName>
    <definedName name="L_KEYWORD_ISSR_208002861_SALES_FX_INR">#REF!</definedName>
    <definedName name="L_KEYWORD_ISSR_208002861_SALES_FX_NGN" localSheetId="24">#REF!</definedName>
    <definedName name="L_KEYWORD_ISSR_208002861_SALES_FX_NGN" localSheetId="18">#REF!</definedName>
    <definedName name="L_KEYWORD_ISSR_208002861_SALES_FX_NGN" localSheetId="12">#REF!</definedName>
    <definedName name="L_KEYWORD_ISSR_208002861_SALES_FX_NGN" localSheetId="23">#REF!</definedName>
    <definedName name="L_KEYWORD_ISSR_208002861_SALES_FX_NGN" localSheetId="19">#REF!</definedName>
    <definedName name="L_KEYWORD_ISSR_208002861_SALES_FX_NGN" localSheetId="21">#REF!</definedName>
    <definedName name="L_KEYWORD_ISSR_208002861_SALES_FX_NGN">#REF!</definedName>
    <definedName name="L_KEYWORD_ISSR_208002861_SALES_FX_OTH" localSheetId="24">#REF!</definedName>
    <definedName name="L_KEYWORD_ISSR_208002861_SALES_FX_OTH" localSheetId="18">#REF!</definedName>
    <definedName name="L_KEYWORD_ISSR_208002861_SALES_FX_OTH" localSheetId="12">#REF!</definedName>
    <definedName name="L_KEYWORD_ISSR_208002861_SALES_FX_OTH" localSheetId="23">#REF!</definedName>
    <definedName name="L_KEYWORD_ISSR_208002861_SALES_FX_OTH" localSheetId="19">#REF!</definedName>
    <definedName name="L_KEYWORD_ISSR_208002861_SALES_FX_OTH" localSheetId="21">#REF!</definedName>
    <definedName name="L_KEYWORD_ISSR_208002861_SALES_FX_OTH">#REF!</definedName>
    <definedName name="L_KEYWORD_ISSR_208002861_SALES_FX_RUB" localSheetId="24">#REF!</definedName>
    <definedName name="L_KEYWORD_ISSR_208002861_SALES_FX_RUB" localSheetId="18">#REF!</definedName>
    <definedName name="L_KEYWORD_ISSR_208002861_SALES_FX_RUB" localSheetId="12">#REF!</definedName>
    <definedName name="L_KEYWORD_ISSR_208002861_SALES_FX_RUB" localSheetId="23">#REF!</definedName>
    <definedName name="L_KEYWORD_ISSR_208002861_SALES_FX_RUB" localSheetId="19">#REF!</definedName>
    <definedName name="L_KEYWORD_ISSR_208002861_SALES_FX_RUB" localSheetId="21">#REF!</definedName>
    <definedName name="L_KEYWORD_ISSR_208002861_SALES_FX_RUB">#REF!</definedName>
    <definedName name="L_KEYWORD_ISSR_208002861_SALES_FX_TRY" localSheetId="24">#REF!</definedName>
    <definedName name="L_KEYWORD_ISSR_208002861_SALES_FX_TRY" localSheetId="18">#REF!</definedName>
    <definedName name="L_KEYWORD_ISSR_208002861_SALES_FX_TRY" localSheetId="12">#REF!</definedName>
    <definedName name="L_KEYWORD_ISSR_208002861_SALES_FX_TRY" localSheetId="23">#REF!</definedName>
    <definedName name="L_KEYWORD_ISSR_208002861_SALES_FX_TRY" localSheetId="19">#REF!</definedName>
    <definedName name="L_KEYWORD_ISSR_208002861_SALES_FX_TRY" localSheetId="21">#REF!</definedName>
    <definedName name="L_KEYWORD_ISSR_208002861_SALES_FX_TRY">#REF!</definedName>
    <definedName name="L_KEYWORD_ISSR_208002861_SALES_FX_USD" localSheetId="24">#REF!</definedName>
    <definedName name="L_KEYWORD_ISSR_208002861_SALES_FX_USD" localSheetId="18">#REF!</definedName>
    <definedName name="L_KEYWORD_ISSR_208002861_SALES_FX_USD" localSheetId="12">#REF!</definedName>
    <definedName name="L_KEYWORD_ISSR_208002861_SALES_FX_USD" localSheetId="23">#REF!</definedName>
    <definedName name="L_KEYWORD_ISSR_208002861_SALES_FX_USD" localSheetId="19">#REF!</definedName>
    <definedName name="L_KEYWORD_ISSR_208002861_SALES_FX_USD" localSheetId="21">#REF!</definedName>
    <definedName name="L_KEYWORD_ISSR_208002861_SALES_FX_USD">#REF!</definedName>
    <definedName name="L_KEYWORD_ISSR_208002861_SALES_FX_YEN" localSheetId="24">#REF!</definedName>
    <definedName name="L_KEYWORD_ISSR_208002861_SALES_FX_YEN" localSheetId="18">#REF!</definedName>
    <definedName name="L_KEYWORD_ISSR_208002861_SALES_FX_YEN" localSheetId="12">#REF!</definedName>
    <definedName name="L_KEYWORD_ISSR_208002861_SALES_FX_YEN" localSheetId="23">#REF!</definedName>
    <definedName name="L_KEYWORD_ISSR_208002861_SALES_FX_YEN" localSheetId="19">#REF!</definedName>
    <definedName name="L_KEYWORD_ISSR_208002861_SALES_FX_YEN" localSheetId="21">#REF!</definedName>
    <definedName name="L_KEYWORD_ISSR_208002861_SALES_FX_YEN">#REF!</definedName>
    <definedName name="L_KEYWORD_ISSR_208002861_SALES_FX_ZAR" localSheetId="24">#REF!</definedName>
    <definedName name="L_KEYWORD_ISSR_208002861_SALES_FX_ZAR" localSheetId="18">#REF!</definedName>
    <definedName name="L_KEYWORD_ISSR_208002861_SALES_FX_ZAR" localSheetId="12">#REF!</definedName>
    <definedName name="L_KEYWORD_ISSR_208002861_SALES_FX_ZAR" localSheetId="23">#REF!</definedName>
    <definedName name="L_KEYWORD_ISSR_208002861_SALES_FX_ZAR" localSheetId="19">#REF!</definedName>
    <definedName name="L_KEYWORD_ISSR_208002861_SALES_FX_ZAR" localSheetId="21">#REF!</definedName>
    <definedName name="L_KEYWORD_ISSR_208002861_SALES_FX_ZAR">#REF!</definedName>
    <definedName name="L_KEYWORD_ISSR_208002861_SALES_GER" localSheetId="24">#REF!</definedName>
    <definedName name="L_KEYWORD_ISSR_208002861_SALES_GER" localSheetId="18">#REF!</definedName>
    <definedName name="L_KEYWORD_ISSR_208002861_SALES_GER" localSheetId="12">#REF!</definedName>
    <definedName name="L_KEYWORD_ISSR_208002861_SALES_GER" localSheetId="23">#REF!</definedName>
    <definedName name="L_KEYWORD_ISSR_208002861_SALES_GER" localSheetId="19">#REF!</definedName>
    <definedName name="L_KEYWORD_ISSR_208002861_SALES_GER" localSheetId="21">#REF!</definedName>
    <definedName name="L_KEYWORD_ISSR_208002861_SALES_GER">#REF!</definedName>
    <definedName name="L_KEYWORD_ISSR_208002861_SALES_GOV" localSheetId="24">#REF!</definedName>
    <definedName name="L_KEYWORD_ISSR_208002861_SALES_GOV" localSheetId="18">#REF!</definedName>
    <definedName name="L_KEYWORD_ISSR_208002861_SALES_GOV" localSheetId="12">#REF!</definedName>
    <definedName name="L_KEYWORD_ISSR_208002861_SALES_GOV" localSheetId="23">#REF!</definedName>
    <definedName name="L_KEYWORD_ISSR_208002861_SALES_GOV" localSheetId="19">#REF!</definedName>
    <definedName name="L_KEYWORD_ISSR_208002861_SALES_GOV" localSheetId="21">#REF!</definedName>
    <definedName name="L_KEYWORD_ISSR_208002861_SALES_GOV">#REF!</definedName>
    <definedName name="L_KEYWORD_ISSR_208002861_SALES_IND" localSheetId="24">#REF!</definedName>
    <definedName name="L_KEYWORD_ISSR_208002861_SALES_IND" localSheetId="18">#REF!</definedName>
    <definedName name="L_KEYWORD_ISSR_208002861_SALES_IND" localSheetId="12">#REF!</definedName>
    <definedName name="L_KEYWORD_ISSR_208002861_SALES_IND" localSheetId="23">#REF!</definedName>
    <definedName name="L_KEYWORD_ISSR_208002861_SALES_IND" localSheetId="19">#REF!</definedName>
    <definedName name="L_KEYWORD_ISSR_208002861_SALES_IND" localSheetId="21">#REF!</definedName>
    <definedName name="L_KEYWORD_ISSR_208002861_SALES_IND">#REF!</definedName>
    <definedName name="L_KEYWORD_ISSR_208002861_SALES_INDIA" localSheetId="24">#REF!</definedName>
    <definedName name="L_KEYWORD_ISSR_208002861_SALES_INDIA" localSheetId="18">#REF!</definedName>
    <definedName name="L_KEYWORD_ISSR_208002861_SALES_INDIA" localSheetId="12">#REF!</definedName>
    <definedName name="L_KEYWORD_ISSR_208002861_SALES_INDIA" localSheetId="23">#REF!</definedName>
    <definedName name="L_KEYWORD_ISSR_208002861_SALES_INDIA" localSheetId="19">#REF!</definedName>
    <definedName name="L_KEYWORD_ISSR_208002861_SALES_INDIA" localSheetId="21">#REF!</definedName>
    <definedName name="L_KEYWORD_ISSR_208002861_SALES_INDIA">#REF!</definedName>
    <definedName name="L_KEYWORD_ISSR_208002861_SALES_ITA" localSheetId="24">#REF!</definedName>
    <definedName name="L_KEYWORD_ISSR_208002861_SALES_ITA" localSheetId="18">#REF!</definedName>
    <definedName name="L_KEYWORD_ISSR_208002861_SALES_ITA" localSheetId="12">#REF!</definedName>
    <definedName name="L_KEYWORD_ISSR_208002861_SALES_ITA" localSheetId="23">#REF!</definedName>
    <definedName name="L_KEYWORD_ISSR_208002861_SALES_ITA" localSheetId="19">#REF!</definedName>
    <definedName name="L_KEYWORD_ISSR_208002861_SALES_ITA" localSheetId="21">#REF!</definedName>
    <definedName name="L_KEYWORD_ISSR_208002861_SALES_ITA">#REF!</definedName>
    <definedName name="L_KEYWORD_ISSR_208002861_SALES_JAPAN" localSheetId="24">#REF!</definedName>
    <definedName name="L_KEYWORD_ISSR_208002861_SALES_JAPAN" localSheetId="18">#REF!</definedName>
    <definedName name="L_KEYWORD_ISSR_208002861_SALES_JAPAN" localSheetId="12">#REF!</definedName>
    <definedName name="L_KEYWORD_ISSR_208002861_SALES_JAPAN" localSheetId="23">#REF!</definedName>
    <definedName name="L_KEYWORD_ISSR_208002861_SALES_JAPAN" localSheetId="19">#REF!</definedName>
    <definedName name="L_KEYWORD_ISSR_208002861_SALES_JAPAN" localSheetId="21">#REF!</definedName>
    <definedName name="L_KEYWORD_ISSR_208002861_SALES_JAPAN">#REF!</definedName>
    <definedName name="L_KEYWORD_ISSR_208002861_SALES_ME" localSheetId="24">#REF!</definedName>
    <definedName name="L_KEYWORD_ISSR_208002861_SALES_ME" localSheetId="18">#REF!</definedName>
    <definedName name="L_KEYWORD_ISSR_208002861_SALES_ME" localSheetId="12">#REF!</definedName>
    <definedName name="L_KEYWORD_ISSR_208002861_SALES_ME" localSheetId="23">#REF!</definedName>
    <definedName name="L_KEYWORD_ISSR_208002861_SALES_ME" localSheetId="19">#REF!</definedName>
    <definedName name="L_KEYWORD_ISSR_208002861_SALES_ME" localSheetId="21">#REF!</definedName>
    <definedName name="L_KEYWORD_ISSR_208002861_SALES_ME">#REF!</definedName>
    <definedName name="L_KEYWORD_ISSR_208002861_SALES_NIGERIA" localSheetId="24">#REF!</definedName>
    <definedName name="L_KEYWORD_ISSR_208002861_SALES_NIGERIA" localSheetId="18">#REF!</definedName>
    <definedName name="L_KEYWORD_ISSR_208002861_SALES_NIGERIA" localSheetId="12">#REF!</definedName>
    <definedName name="L_KEYWORD_ISSR_208002861_SALES_NIGERIA" localSheetId="23">#REF!</definedName>
    <definedName name="L_KEYWORD_ISSR_208002861_SALES_NIGERIA" localSheetId="19">#REF!</definedName>
    <definedName name="L_KEYWORD_ISSR_208002861_SALES_NIGERIA" localSheetId="21">#REF!</definedName>
    <definedName name="L_KEYWORD_ISSR_208002861_SALES_NIGERIA">#REF!</definedName>
    <definedName name="L_KEYWORD_ISSR_208002861_SALES_OTH_AEJ" localSheetId="24">#REF!</definedName>
    <definedName name="L_KEYWORD_ISSR_208002861_SALES_OTH_AEJ" localSheetId="18">#REF!</definedName>
    <definedName name="L_KEYWORD_ISSR_208002861_SALES_OTH_AEJ" localSheetId="12">#REF!</definedName>
    <definedName name="L_KEYWORD_ISSR_208002861_SALES_OTH_AEJ" localSheetId="23">#REF!</definedName>
    <definedName name="L_KEYWORD_ISSR_208002861_SALES_OTH_AEJ" localSheetId="19">#REF!</definedName>
    <definedName name="L_KEYWORD_ISSR_208002861_SALES_OTH_AEJ" localSheetId="21">#REF!</definedName>
    <definedName name="L_KEYWORD_ISSR_208002861_SALES_OTH_AEJ">#REF!</definedName>
    <definedName name="L_KEYWORD_ISSR_208002861_SALES_OTH_AFRICA" localSheetId="24">#REF!</definedName>
    <definedName name="L_KEYWORD_ISSR_208002861_SALES_OTH_AFRICA" localSheetId="18">#REF!</definedName>
    <definedName name="L_KEYWORD_ISSR_208002861_SALES_OTH_AFRICA" localSheetId="12">#REF!</definedName>
    <definedName name="L_KEYWORD_ISSR_208002861_SALES_OTH_AFRICA" localSheetId="23">#REF!</definedName>
    <definedName name="L_KEYWORD_ISSR_208002861_SALES_OTH_AFRICA" localSheetId="19">#REF!</definedName>
    <definedName name="L_KEYWORD_ISSR_208002861_SALES_OTH_AFRICA" localSheetId="21">#REF!</definedName>
    <definedName name="L_KEYWORD_ISSR_208002861_SALES_OTH_AFRICA">#REF!</definedName>
    <definedName name="L_KEYWORD_ISSR_208002861_SALES_OTH_AM" localSheetId="24">#REF!</definedName>
    <definedName name="L_KEYWORD_ISSR_208002861_SALES_OTH_AM" localSheetId="18">#REF!</definedName>
    <definedName name="L_KEYWORD_ISSR_208002861_SALES_OTH_AM" localSheetId="12">#REF!</definedName>
    <definedName name="L_KEYWORD_ISSR_208002861_SALES_OTH_AM" localSheetId="23">#REF!</definedName>
    <definedName name="L_KEYWORD_ISSR_208002861_SALES_OTH_AM" localSheetId="19">#REF!</definedName>
    <definedName name="L_KEYWORD_ISSR_208002861_SALES_OTH_AM" localSheetId="21">#REF!</definedName>
    <definedName name="L_KEYWORD_ISSR_208002861_SALES_OTH_AM">#REF!</definedName>
    <definedName name="L_KEYWORD_ISSR_208002861_SALES_OTH_COMMODITY" localSheetId="24">#REF!</definedName>
    <definedName name="L_KEYWORD_ISSR_208002861_SALES_OTH_COMMODITY" localSheetId="18">#REF!</definedName>
    <definedName name="L_KEYWORD_ISSR_208002861_SALES_OTH_COMMODITY" localSheetId="12">#REF!</definedName>
    <definedName name="L_KEYWORD_ISSR_208002861_SALES_OTH_COMMODITY" localSheetId="23">#REF!</definedName>
    <definedName name="L_KEYWORD_ISSR_208002861_SALES_OTH_COMMODITY" localSheetId="19">#REF!</definedName>
    <definedName name="L_KEYWORD_ISSR_208002861_SALES_OTH_COMMODITY" localSheetId="21">#REF!</definedName>
    <definedName name="L_KEYWORD_ISSR_208002861_SALES_OTH_COMMODITY">#REF!</definedName>
    <definedName name="L_KEYWORD_ISSR_208002861_SALES_OTH_EMEA" localSheetId="24">#REF!</definedName>
    <definedName name="L_KEYWORD_ISSR_208002861_SALES_OTH_EMEA" localSheetId="18">#REF!</definedName>
    <definedName name="L_KEYWORD_ISSR_208002861_SALES_OTH_EMEA" localSheetId="12">#REF!</definedName>
    <definedName name="L_KEYWORD_ISSR_208002861_SALES_OTH_EMEA" localSheetId="23">#REF!</definedName>
    <definedName name="L_KEYWORD_ISSR_208002861_SALES_OTH_EMEA" localSheetId="19">#REF!</definedName>
    <definedName name="L_KEYWORD_ISSR_208002861_SALES_OTH_EMEA" localSheetId="21">#REF!</definedName>
    <definedName name="L_KEYWORD_ISSR_208002861_SALES_OTH_EMEA">#REF!</definedName>
    <definedName name="L_KEYWORD_ISSR_208002861_SALES_OTH_EU_EX_UK" localSheetId="24">#REF!</definedName>
    <definedName name="L_KEYWORD_ISSR_208002861_SALES_OTH_EU_EX_UK" localSheetId="18">#REF!</definedName>
    <definedName name="L_KEYWORD_ISSR_208002861_SALES_OTH_EU_EX_UK" localSheetId="12">#REF!</definedName>
    <definedName name="L_KEYWORD_ISSR_208002861_SALES_OTH_EU_EX_UK" localSheetId="23">#REF!</definedName>
    <definedName name="L_KEYWORD_ISSR_208002861_SALES_OTH_EU_EX_UK" localSheetId="19">#REF!</definedName>
    <definedName name="L_KEYWORD_ISSR_208002861_SALES_OTH_EU_EX_UK" localSheetId="21">#REF!</definedName>
    <definedName name="L_KEYWORD_ISSR_208002861_SALES_OTH_EU_EX_UK">#REF!</definedName>
    <definedName name="L_KEYWORD_ISSR_208002861_SALES_OTH_SALES_SOURCES" localSheetId="24">#REF!</definedName>
    <definedName name="L_KEYWORD_ISSR_208002861_SALES_OTH_SALES_SOURCES" localSheetId="18">#REF!</definedName>
    <definedName name="L_KEYWORD_ISSR_208002861_SALES_OTH_SALES_SOURCES" localSheetId="12">#REF!</definedName>
    <definedName name="L_KEYWORD_ISSR_208002861_SALES_OTH_SALES_SOURCES" localSheetId="23">#REF!</definedName>
    <definedName name="L_KEYWORD_ISSR_208002861_SALES_OTH_SALES_SOURCES" localSheetId="19">#REF!</definedName>
    <definedName name="L_KEYWORD_ISSR_208002861_SALES_OTH_SALES_SOURCES" localSheetId="21">#REF!</definedName>
    <definedName name="L_KEYWORD_ISSR_208002861_SALES_OTH_SALES_SOURCES">#REF!</definedName>
    <definedName name="L_KEYWORD_ISSR_208002861_SALES_OTHER" localSheetId="24">#REF!</definedName>
    <definedName name="L_KEYWORD_ISSR_208002861_SALES_OTHER" localSheetId="18">#REF!</definedName>
    <definedName name="L_KEYWORD_ISSR_208002861_SALES_OTHER" localSheetId="12">#REF!</definedName>
    <definedName name="L_KEYWORD_ISSR_208002861_SALES_OTHER" localSheetId="23">#REF!</definedName>
    <definedName name="L_KEYWORD_ISSR_208002861_SALES_OTHER" localSheetId="19">#REF!</definedName>
    <definedName name="L_KEYWORD_ISSR_208002861_SALES_OTHER" localSheetId="21">#REF!</definedName>
    <definedName name="L_KEYWORD_ISSR_208002861_SALES_OTHER">#REF!</definedName>
    <definedName name="L_KEYWORD_ISSR_208002861_SALES_RUSSIA" localSheetId="24">#REF!</definedName>
    <definedName name="L_KEYWORD_ISSR_208002861_SALES_RUSSIA" localSheetId="18">#REF!</definedName>
    <definedName name="L_KEYWORD_ISSR_208002861_SALES_RUSSIA" localSheetId="12">#REF!</definedName>
    <definedName name="L_KEYWORD_ISSR_208002861_SALES_RUSSIA" localSheetId="23">#REF!</definedName>
    <definedName name="L_KEYWORD_ISSR_208002861_SALES_RUSSIA" localSheetId="19">#REF!</definedName>
    <definedName name="L_KEYWORD_ISSR_208002861_SALES_RUSSIA" localSheetId="21">#REF!</definedName>
    <definedName name="L_KEYWORD_ISSR_208002861_SALES_RUSSIA">#REF!</definedName>
    <definedName name="L_KEYWORD_ISSR_208002861_SALES_SO_AFRICA" localSheetId="24">#REF!</definedName>
    <definedName name="L_KEYWORD_ISSR_208002861_SALES_SO_AFRICA" localSheetId="18">#REF!</definedName>
    <definedName name="L_KEYWORD_ISSR_208002861_SALES_SO_AFRICA" localSheetId="12">#REF!</definedName>
    <definedName name="L_KEYWORD_ISSR_208002861_SALES_SO_AFRICA" localSheetId="23">#REF!</definedName>
    <definedName name="L_KEYWORD_ISSR_208002861_SALES_SO_AFRICA" localSheetId="19">#REF!</definedName>
    <definedName name="L_KEYWORD_ISSR_208002861_SALES_SO_AFRICA" localSheetId="21">#REF!</definedName>
    <definedName name="L_KEYWORD_ISSR_208002861_SALES_SO_AFRICA">#REF!</definedName>
    <definedName name="L_KEYWORD_ISSR_208002861_SALES_SPA" localSheetId="24">#REF!</definedName>
    <definedName name="L_KEYWORD_ISSR_208002861_SALES_SPA" localSheetId="18">#REF!</definedName>
    <definedName name="L_KEYWORD_ISSR_208002861_SALES_SPA" localSheetId="12">#REF!</definedName>
    <definedName name="L_KEYWORD_ISSR_208002861_SALES_SPA" localSheetId="23">#REF!</definedName>
    <definedName name="L_KEYWORD_ISSR_208002861_SALES_SPA" localSheetId="19">#REF!</definedName>
    <definedName name="L_KEYWORD_ISSR_208002861_SALES_SPA" localSheetId="21">#REF!</definedName>
    <definedName name="L_KEYWORD_ISSR_208002861_SALES_SPA">#REF!</definedName>
    <definedName name="L_KEYWORD_ISSR_208002861_SALES_TOT_AFRICA" localSheetId="24">#REF!</definedName>
    <definedName name="L_KEYWORD_ISSR_208002861_SALES_TOT_AFRICA" localSheetId="18">#REF!</definedName>
    <definedName name="L_KEYWORD_ISSR_208002861_SALES_TOT_AFRICA" localSheetId="12">#REF!</definedName>
    <definedName name="L_KEYWORD_ISSR_208002861_SALES_TOT_AFRICA" localSheetId="23">#REF!</definedName>
    <definedName name="L_KEYWORD_ISSR_208002861_SALES_TOT_AFRICA" localSheetId="19">#REF!</definedName>
    <definedName name="L_KEYWORD_ISSR_208002861_SALES_TOT_AFRICA" localSheetId="21">#REF!</definedName>
    <definedName name="L_KEYWORD_ISSR_208002861_SALES_TOT_AFRICA">#REF!</definedName>
    <definedName name="L_KEYWORD_ISSR_208002861_SALES_TOT_AM" localSheetId="24">#REF!</definedName>
    <definedName name="L_KEYWORD_ISSR_208002861_SALES_TOT_AM" localSheetId="18">#REF!</definedName>
    <definedName name="L_KEYWORD_ISSR_208002861_SALES_TOT_AM" localSheetId="12">#REF!</definedName>
    <definedName name="L_KEYWORD_ISSR_208002861_SALES_TOT_AM" localSheetId="23">#REF!</definedName>
    <definedName name="L_KEYWORD_ISSR_208002861_SALES_TOT_AM" localSheetId="19">#REF!</definedName>
    <definedName name="L_KEYWORD_ISSR_208002861_SALES_TOT_AM" localSheetId="21">#REF!</definedName>
    <definedName name="L_KEYWORD_ISSR_208002861_SALES_TOT_AM">#REF!</definedName>
    <definedName name="L_KEYWORD_ISSR_208002861_SALES_TOT_ASIA" localSheetId="24">#REF!</definedName>
    <definedName name="L_KEYWORD_ISSR_208002861_SALES_TOT_ASIA" localSheetId="18">#REF!</definedName>
    <definedName name="L_KEYWORD_ISSR_208002861_SALES_TOT_ASIA" localSheetId="12">#REF!</definedName>
    <definedName name="L_KEYWORD_ISSR_208002861_SALES_TOT_ASIA" localSheetId="23">#REF!</definedName>
    <definedName name="L_KEYWORD_ISSR_208002861_SALES_TOT_ASIA" localSheetId="19">#REF!</definedName>
    <definedName name="L_KEYWORD_ISSR_208002861_SALES_TOT_ASIA" localSheetId="21">#REF!</definedName>
    <definedName name="L_KEYWORD_ISSR_208002861_SALES_TOT_ASIA">#REF!</definedName>
    <definedName name="L_KEYWORD_ISSR_208002861_SALES_TOT_EMEA" localSheetId="24">#REF!</definedName>
    <definedName name="L_KEYWORD_ISSR_208002861_SALES_TOT_EMEA" localSheetId="18">#REF!</definedName>
    <definedName name="L_KEYWORD_ISSR_208002861_SALES_TOT_EMEA" localSheetId="12">#REF!</definedName>
    <definedName name="L_KEYWORD_ISSR_208002861_SALES_TOT_EMEA" localSheetId="23">#REF!</definedName>
    <definedName name="L_KEYWORD_ISSR_208002861_SALES_TOT_EMEA" localSheetId="19">#REF!</definedName>
    <definedName name="L_KEYWORD_ISSR_208002861_SALES_TOT_EMEA" localSheetId="21">#REF!</definedName>
    <definedName name="L_KEYWORD_ISSR_208002861_SALES_TOT_EMEA">#REF!</definedName>
    <definedName name="L_KEYWORD_ISSR_208002861_SALES_UK" localSheetId="24">#REF!</definedName>
    <definedName name="L_KEYWORD_ISSR_208002861_SALES_UK" localSheetId="18">#REF!</definedName>
    <definedName name="L_KEYWORD_ISSR_208002861_SALES_UK" localSheetId="12">#REF!</definedName>
    <definedName name="L_KEYWORD_ISSR_208002861_SALES_UK" localSheetId="23">#REF!</definedName>
    <definedName name="L_KEYWORD_ISSR_208002861_SALES_UK" localSheetId="19">#REF!</definedName>
    <definedName name="L_KEYWORD_ISSR_208002861_SALES_UK" localSheetId="21">#REF!</definedName>
    <definedName name="L_KEYWORD_ISSR_208002861_SALES_UK">#REF!</definedName>
    <definedName name="L_KEYWORD_ISSR_208002861_SALES_US" localSheetId="24">#REF!</definedName>
    <definedName name="L_KEYWORD_ISSR_208002861_SALES_US" localSheetId="18">#REF!</definedName>
    <definedName name="L_KEYWORD_ISSR_208002861_SALES_US" localSheetId="12">#REF!</definedName>
    <definedName name="L_KEYWORD_ISSR_208002861_SALES_US" localSheetId="23">#REF!</definedName>
    <definedName name="L_KEYWORD_ISSR_208002861_SALES_US" localSheetId="19">#REF!</definedName>
    <definedName name="L_KEYWORD_ISSR_208002861_SALES_US" localSheetId="21">#REF!</definedName>
    <definedName name="L_KEYWORD_ISSR_208002861_SALES_US">#REF!</definedName>
    <definedName name="L_KEYWORD_ISSR_208002861_SEL_GL_AD" localSheetId="24">#REF!</definedName>
    <definedName name="L_KEYWORD_ISSR_208002861_SEL_GL_AD" localSheetId="18">#REF!</definedName>
    <definedName name="L_KEYWORD_ISSR_208002861_SEL_GL_AD" localSheetId="12">#REF!</definedName>
    <definedName name="L_KEYWORD_ISSR_208002861_SEL_GL_AD" localSheetId="23">#REF!</definedName>
    <definedName name="L_KEYWORD_ISSR_208002861_SEL_GL_AD" localSheetId="19">#REF!</definedName>
    <definedName name="L_KEYWORD_ISSR_208002861_SEL_GL_AD" localSheetId="21">#REF!</definedName>
    <definedName name="L_KEYWORD_ISSR_208002861_SEL_GL_AD">#REF!</definedName>
    <definedName name="L_KEYWORD_ISSR_208002861_SH_REPUR" localSheetId="24">#REF!</definedName>
    <definedName name="L_KEYWORD_ISSR_208002861_SH_REPUR" localSheetId="18">#REF!</definedName>
    <definedName name="L_KEYWORD_ISSR_208002861_SH_REPUR" localSheetId="12">#REF!</definedName>
    <definedName name="L_KEYWORD_ISSR_208002861_SH_REPUR" localSheetId="23">#REF!</definedName>
    <definedName name="L_KEYWORD_ISSR_208002861_SH_REPUR" localSheetId="19">#REF!</definedName>
    <definedName name="L_KEYWORD_ISSR_208002861_SH_REPUR" localSheetId="21">#REF!</definedName>
    <definedName name="L_KEYWORD_ISSR_208002861_SH_REPUR">#REF!</definedName>
    <definedName name="L_KEYWORD_ISSR_208002861_SHORT_T_DEBT" localSheetId="24">#REF!</definedName>
    <definedName name="L_KEYWORD_ISSR_208002861_SHORT_T_DEBT" localSheetId="18">#REF!</definedName>
    <definedName name="L_KEYWORD_ISSR_208002861_SHORT_T_DEBT" localSheetId="12">#REF!</definedName>
    <definedName name="L_KEYWORD_ISSR_208002861_SHORT_T_DEBT" localSheetId="23">#REF!</definedName>
    <definedName name="L_KEYWORD_ISSR_208002861_SHORT_T_DEBT" localSheetId="19">#REF!</definedName>
    <definedName name="L_KEYWORD_ISSR_208002861_SHORT_T_DEBT" localSheetId="21">#REF!</definedName>
    <definedName name="L_KEYWORD_ISSR_208002861_SHORT_T_DEBT">#REF!</definedName>
    <definedName name="L_KEYWORD_ISSR_208002861_SHORT_TERM_LIABS" localSheetId="24">#REF!</definedName>
    <definedName name="L_KEYWORD_ISSR_208002861_SHORT_TERM_LIABS" localSheetId="18">#REF!</definedName>
    <definedName name="L_KEYWORD_ISSR_208002861_SHORT_TERM_LIABS" localSheetId="12">#REF!</definedName>
    <definedName name="L_KEYWORD_ISSR_208002861_SHORT_TERM_LIABS" localSheetId="23">#REF!</definedName>
    <definedName name="L_KEYWORD_ISSR_208002861_SHORT_TERM_LIABS" localSheetId="19">#REF!</definedName>
    <definedName name="L_KEYWORD_ISSR_208002861_SHORT_TERM_LIABS" localSheetId="21">#REF!</definedName>
    <definedName name="L_KEYWORD_ISSR_208002861_SHORT_TERM_LIABS">#REF!</definedName>
    <definedName name="L_KEYWORD_ISSR_208002861_STOCKS" localSheetId="24">#REF!</definedName>
    <definedName name="L_KEYWORD_ISSR_208002861_STOCKS" localSheetId="18">#REF!</definedName>
    <definedName name="L_KEYWORD_ISSR_208002861_STOCKS" localSheetId="12">#REF!</definedName>
    <definedName name="L_KEYWORD_ISSR_208002861_STOCKS" localSheetId="23">#REF!</definedName>
    <definedName name="L_KEYWORD_ISSR_208002861_STOCKS" localSheetId="19">#REF!</definedName>
    <definedName name="L_KEYWORD_ISSR_208002861_STOCKS" localSheetId="21">#REF!</definedName>
    <definedName name="L_KEYWORD_ISSR_208002861_STOCKS">#REF!</definedName>
    <definedName name="L_KEYWORD_ISSR_208002861_TOT_ASSET" localSheetId="24">#REF!</definedName>
    <definedName name="L_KEYWORD_ISSR_208002861_TOT_ASSET" localSheetId="18">#REF!</definedName>
    <definedName name="L_KEYWORD_ISSR_208002861_TOT_ASSET" localSheetId="12">#REF!</definedName>
    <definedName name="L_KEYWORD_ISSR_208002861_TOT_ASSET" localSheetId="23">#REF!</definedName>
    <definedName name="L_KEYWORD_ISSR_208002861_TOT_ASSET" localSheetId="19">#REF!</definedName>
    <definedName name="L_KEYWORD_ISSR_208002861_TOT_ASSET" localSheetId="21">#REF!</definedName>
    <definedName name="L_KEYWORD_ISSR_208002861_TOT_ASSET">#REF!</definedName>
    <definedName name="L_KEYWORD_ISSR_208002861_TOT_CF" localSheetId="24">#REF!</definedName>
    <definedName name="L_KEYWORD_ISSR_208002861_TOT_CF" localSheetId="18">#REF!</definedName>
    <definedName name="L_KEYWORD_ISSR_208002861_TOT_CF" localSheetId="12">#REF!</definedName>
    <definedName name="L_KEYWORD_ISSR_208002861_TOT_CF" localSheetId="23">#REF!</definedName>
    <definedName name="L_KEYWORD_ISSR_208002861_TOT_CF" localSheetId="19">#REF!</definedName>
    <definedName name="L_KEYWORD_ISSR_208002861_TOT_CF" localSheetId="21">#REF!</definedName>
    <definedName name="L_KEYWORD_ISSR_208002861_TOT_CF">#REF!</definedName>
    <definedName name="L_KEYWORD_ISSR_208002861_TOT_LIAB" localSheetId="24">#REF!</definedName>
    <definedName name="L_KEYWORD_ISSR_208002861_TOT_LIAB" localSheetId="18">#REF!</definedName>
    <definedName name="L_KEYWORD_ISSR_208002861_TOT_LIAB" localSheetId="12">#REF!</definedName>
    <definedName name="L_KEYWORD_ISSR_208002861_TOT_LIAB" localSheetId="23">#REF!</definedName>
    <definedName name="L_KEYWORD_ISSR_208002861_TOT_LIAB" localSheetId="19">#REF!</definedName>
    <definedName name="L_KEYWORD_ISSR_208002861_TOT_LIAB" localSheetId="21">#REF!</definedName>
    <definedName name="L_KEYWORD_ISSR_208002861_TOT_LIAB">#REF!</definedName>
    <definedName name="L_KEYWORD_ISSR_208002861_TOT_LIAB_EQ" localSheetId="24">#REF!</definedName>
    <definedName name="L_KEYWORD_ISSR_208002861_TOT_LIAB_EQ" localSheetId="18">#REF!</definedName>
    <definedName name="L_KEYWORD_ISSR_208002861_TOT_LIAB_EQ" localSheetId="12">#REF!</definedName>
    <definedName name="L_KEYWORD_ISSR_208002861_TOT_LIAB_EQ" localSheetId="23">#REF!</definedName>
    <definedName name="L_KEYWORD_ISSR_208002861_TOT_LIAB_EQ" localSheetId="19">#REF!</definedName>
    <definedName name="L_KEYWORD_ISSR_208002861_TOT_LIAB_EQ" localSheetId="21">#REF!</definedName>
    <definedName name="L_KEYWORD_ISSR_208002861_TOT_LIAB_EQ">#REF!</definedName>
    <definedName name="L_KEYWORD_ISSR_208002861_TOT_LT_LIAB" localSheetId="24">#REF!</definedName>
    <definedName name="L_KEYWORD_ISSR_208002861_TOT_LT_LIAB" localSheetId="18">#REF!</definedName>
    <definedName name="L_KEYWORD_ISSR_208002861_TOT_LT_LIAB" localSheetId="12">#REF!</definedName>
    <definedName name="L_KEYWORD_ISSR_208002861_TOT_LT_LIAB" localSheetId="23">#REF!</definedName>
    <definedName name="L_KEYWORD_ISSR_208002861_TOT_LT_LIAB" localSheetId="19">#REF!</definedName>
    <definedName name="L_KEYWORD_ISSR_208002861_TOT_LT_LIAB" localSheetId="21">#REF!</definedName>
    <definedName name="L_KEYWORD_ISSR_208002861_TOT_LT_LIAB">#REF!</definedName>
    <definedName name="L_KEYWORD_ISSR_208002861_TOT_OPS_EXP" localSheetId="24">#REF!</definedName>
    <definedName name="L_KEYWORD_ISSR_208002861_TOT_OPS_EXP" localSheetId="18">#REF!</definedName>
    <definedName name="L_KEYWORD_ISSR_208002861_TOT_OPS_EXP" localSheetId="12">#REF!</definedName>
    <definedName name="L_KEYWORD_ISSR_208002861_TOT_OPS_EXP" localSheetId="23">#REF!</definedName>
    <definedName name="L_KEYWORD_ISSR_208002861_TOT_OPS_EXP" localSheetId="19">#REF!</definedName>
    <definedName name="L_KEYWORD_ISSR_208002861_TOT_OPS_EXP" localSheetId="21">#REF!</definedName>
    <definedName name="L_KEYWORD_ISSR_208002861_TOT_OPS_EXP">#REF!</definedName>
    <definedName name="L_KEYWORD_ISSR_208002861_TOT_OPS_EXP_DDA" localSheetId="24">#REF!</definedName>
    <definedName name="L_KEYWORD_ISSR_208002861_TOT_OPS_EXP_DDA" localSheetId="18">#REF!</definedName>
    <definedName name="L_KEYWORD_ISSR_208002861_TOT_OPS_EXP_DDA" localSheetId="12">#REF!</definedName>
    <definedName name="L_KEYWORD_ISSR_208002861_TOT_OPS_EXP_DDA" localSheetId="23">#REF!</definedName>
    <definedName name="L_KEYWORD_ISSR_208002861_TOT_OPS_EXP_DDA" localSheetId="19">#REF!</definedName>
    <definedName name="L_KEYWORD_ISSR_208002861_TOT_OPS_EXP_DDA" localSheetId="21">#REF!</definedName>
    <definedName name="L_KEYWORD_ISSR_208002861_TOT_OPS_EXP_DDA">#REF!</definedName>
    <definedName name="L_KEYWORD_ISSR_208002861_UNF_PENS" localSheetId="24">#REF!</definedName>
    <definedName name="L_KEYWORD_ISSR_208002861_UNF_PENS" localSheetId="18">#REF!</definedName>
    <definedName name="L_KEYWORD_ISSR_208002861_UNF_PENS" localSheetId="12">#REF!</definedName>
    <definedName name="L_KEYWORD_ISSR_208002861_UNF_PENS" localSheetId="23">#REF!</definedName>
    <definedName name="L_KEYWORD_ISSR_208002861_UNF_PENS" localSheetId="19">#REF!</definedName>
    <definedName name="L_KEYWORD_ISSR_208002861_UNF_PENS" localSheetId="21">#REF!</definedName>
    <definedName name="L_KEYWORD_ISSR_208002861_UNF_PENS">#REF!</definedName>
    <definedName name="L_KEYWORD_ISSR_208002861_UNF_PENS_LIAB_OTH" localSheetId="24">#REF!</definedName>
    <definedName name="L_KEYWORD_ISSR_208002861_UNF_PENS_LIAB_OTH" localSheetId="18">#REF!</definedName>
    <definedName name="L_KEYWORD_ISSR_208002861_UNF_PENS_LIAB_OTH" localSheetId="12">#REF!</definedName>
    <definedName name="L_KEYWORD_ISSR_208002861_UNF_PENS_LIAB_OTH" localSheetId="23">#REF!</definedName>
    <definedName name="L_KEYWORD_ISSR_208002861_UNF_PENS_LIAB_OTH" localSheetId="19">#REF!</definedName>
    <definedName name="L_KEYWORD_ISSR_208002861_UNF_PENS_LIAB_OTH" localSheetId="21">#REF!</definedName>
    <definedName name="L_KEYWORD_ISSR_208002861_UNF_PENS_LIAB_OTH">#REF!</definedName>
    <definedName name="L_KEYWORD_ISSR_208002861_UNF_PENS_OFF" localSheetId="24">#REF!</definedName>
    <definedName name="L_KEYWORD_ISSR_208002861_UNF_PENS_OFF" localSheetId="18">#REF!</definedName>
    <definedName name="L_KEYWORD_ISSR_208002861_UNF_PENS_OFF" localSheetId="12">#REF!</definedName>
    <definedName name="L_KEYWORD_ISSR_208002861_UNF_PENS_OFF" localSheetId="23">#REF!</definedName>
    <definedName name="L_KEYWORD_ISSR_208002861_UNF_PENS_OFF" localSheetId="19">#REF!</definedName>
    <definedName name="L_KEYWORD_ISSR_208002861_UNF_PENS_OFF" localSheetId="21">#REF!</definedName>
    <definedName name="L_KEYWORD_ISSR_208002861_UNF_PENS_OFF">#REF!</definedName>
    <definedName name="L_KEYWORD_ISSR_208002861_WORK_CAP" localSheetId="24">#REF!</definedName>
    <definedName name="L_KEYWORD_ISSR_208002861_WORK_CAP" localSheetId="18">#REF!</definedName>
    <definedName name="L_KEYWORD_ISSR_208002861_WORK_CAP" localSheetId="12">#REF!</definedName>
    <definedName name="L_KEYWORD_ISSR_208002861_WORK_CAP" localSheetId="23">#REF!</definedName>
    <definedName name="L_KEYWORD_ISSR_208002861_WORK_CAP" localSheetId="19">#REF!</definedName>
    <definedName name="L_KEYWORD_ISSR_208002861_WORK_CAP" localSheetId="21">#REF!</definedName>
    <definedName name="L_KEYWORD_ISSR_208002861_WORK_CAP">#REF!</definedName>
    <definedName name="L_LIVEDATA_EQTY_200007513" localSheetId="24">#REF!</definedName>
    <definedName name="L_LIVEDATA_EQTY_200007513" localSheetId="18">#REF!</definedName>
    <definedName name="L_LIVEDATA_EQTY_200007513" localSheetId="12">#REF!</definedName>
    <definedName name="L_LIVEDATA_EQTY_200007513" localSheetId="23">#REF!</definedName>
    <definedName name="L_LIVEDATA_EQTY_200007513" localSheetId="19">#REF!</definedName>
    <definedName name="L_LIVEDATA_EQTY_200007513" localSheetId="21">#REF!</definedName>
    <definedName name="L_LIVEDATA_EQTY_200007513">#REF!</definedName>
    <definedName name="L_LIVEDATA_ISSR_208002861" localSheetId="24">#REF!</definedName>
    <definedName name="L_LIVEDATA_ISSR_208002861" localSheetId="18">#REF!</definedName>
    <definedName name="L_LIVEDATA_ISSR_208002861" localSheetId="12">#REF!</definedName>
    <definedName name="L_LIVEDATA_ISSR_208002861" localSheetId="23">#REF!</definedName>
    <definedName name="L_LIVEDATA_ISSR_208002861" localSheetId="19">#REF!</definedName>
    <definedName name="L_LIVEDATA_ISSR_208002861" localSheetId="21">#REF!</definedName>
    <definedName name="L_LIVEDATA_ISSR_208002861">#REF!</definedName>
    <definedName name="L_PERIOD_2002" localSheetId="12">#REF!</definedName>
    <definedName name="L_PERIOD_2003" localSheetId="12">#REF!</definedName>
    <definedName name="L_PERIOD_2004" localSheetId="12">#REF!</definedName>
    <definedName name="L_PERIOD_2005" localSheetId="12">#REF!</definedName>
    <definedName name="L_PERIOD_2006_Q1" localSheetId="24">#REF!</definedName>
    <definedName name="L_PERIOD_2006_Q1" localSheetId="18">#REF!</definedName>
    <definedName name="L_PERIOD_2006_Q1" localSheetId="12">#REF!</definedName>
    <definedName name="L_PERIOD_2006_Q1" localSheetId="23">#REF!</definedName>
    <definedName name="L_PERIOD_2006_Q1" localSheetId="19">#REF!</definedName>
    <definedName name="L_PERIOD_2006_Q1" localSheetId="21">#REF!</definedName>
    <definedName name="L_PERIOD_2006_Q1">#REF!</definedName>
    <definedName name="L_PERIOD_2006_Q2" localSheetId="24">#REF!</definedName>
    <definedName name="L_PERIOD_2006_Q2" localSheetId="18">#REF!</definedName>
    <definedName name="L_PERIOD_2006_Q2" localSheetId="12">#REF!</definedName>
    <definedName name="L_PERIOD_2006_Q2" localSheetId="23">#REF!</definedName>
    <definedName name="L_PERIOD_2006_Q2" localSheetId="19">#REF!</definedName>
    <definedName name="L_PERIOD_2006_Q2" localSheetId="21">#REF!</definedName>
    <definedName name="L_PERIOD_2006_Q2">#REF!</definedName>
    <definedName name="L_PERIOD_2006_Q3" localSheetId="24">#REF!</definedName>
    <definedName name="L_PERIOD_2006_Q3" localSheetId="18">#REF!</definedName>
    <definedName name="L_PERIOD_2006_Q3" localSheetId="12">#REF!</definedName>
    <definedName name="L_PERIOD_2006_Q3" localSheetId="23">#REF!</definedName>
    <definedName name="L_PERIOD_2006_Q3" localSheetId="19">#REF!</definedName>
    <definedName name="L_PERIOD_2006_Q3" localSheetId="21">#REF!</definedName>
    <definedName name="L_PERIOD_2006_Q3">#REF!</definedName>
    <definedName name="L_PERIOD_2006_Q4" localSheetId="24">#REF!</definedName>
    <definedName name="L_PERIOD_2006_Q4" localSheetId="18">#REF!</definedName>
    <definedName name="L_PERIOD_2006_Q4" localSheetId="12">#REF!</definedName>
    <definedName name="L_PERIOD_2006_Q4" localSheetId="23">#REF!</definedName>
    <definedName name="L_PERIOD_2006_Q4" localSheetId="19">#REF!</definedName>
    <definedName name="L_PERIOD_2006_Q4" localSheetId="21">#REF!</definedName>
    <definedName name="L_PERIOD_2006_Q4">#REF!</definedName>
    <definedName name="L_PERIOD_2007_Q1" localSheetId="24">#REF!</definedName>
    <definedName name="L_PERIOD_2007_Q1" localSheetId="18">#REF!</definedName>
    <definedName name="L_PERIOD_2007_Q1" localSheetId="12">#REF!</definedName>
    <definedName name="L_PERIOD_2007_Q1" localSheetId="23">#REF!</definedName>
    <definedName name="L_PERIOD_2007_Q1" localSheetId="19">#REF!</definedName>
    <definedName name="L_PERIOD_2007_Q1" localSheetId="21">#REF!</definedName>
    <definedName name="L_PERIOD_2007_Q1">#REF!</definedName>
    <definedName name="L_PERIOD_2007_Q2" localSheetId="24">#REF!</definedName>
    <definedName name="L_PERIOD_2007_Q2" localSheetId="18">#REF!</definedName>
    <definedName name="L_PERIOD_2007_Q2" localSheetId="12">#REF!</definedName>
    <definedName name="L_PERIOD_2007_Q2" localSheetId="23">#REF!</definedName>
    <definedName name="L_PERIOD_2007_Q2" localSheetId="19">#REF!</definedName>
    <definedName name="L_PERIOD_2007_Q2" localSheetId="21">#REF!</definedName>
    <definedName name="L_PERIOD_2007_Q2">#REF!</definedName>
    <definedName name="L_PERIOD_2007_Q3" localSheetId="24">#REF!</definedName>
    <definedName name="L_PERIOD_2007_Q3" localSheetId="18">#REF!</definedName>
    <definedName name="L_PERIOD_2007_Q3" localSheetId="12">#REF!</definedName>
    <definedName name="L_PERIOD_2007_Q3" localSheetId="23">#REF!</definedName>
    <definedName name="L_PERIOD_2007_Q3" localSheetId="19">#REF!</definedName>
    <definedName name="L_PERIOD_2007_Q3" localSheetId="21">#REF!</definedName>
    <definedName name="L_PERIOD_2007_Q3">#REF!</definedName>
    <definedName name="L_PERIOD_2007_Q4" localSheetId="24">#REF!</definedName>
    <definedName name="L_PERIOD_2007_Q4" localSheetId="18">#REF!</definedName>
    <definedName name="L_PERIOD_2007_Q4" localSheetId="12">#REF!</definedName>
    <definedName name="L_PERIOD_2007_Q4" localSheetId="23">#REF!</definedName>
    <definedName name="L_PERIOD_2007_Q4" localSheetId="19">#REF!</definedName>
    <definedName name="L_PERIOD_2007_Q4" localSheetId="21">#REF!</definedName>
    <definedName name="L_PERIOD_2007_Q4">#REF!</definedName>
    <definedName name="L_PERIOD_2008_Q1" localSheetId="24">#REF!</definedName>
    <definedName name="L_PERIOD_2008_Q1" localSheetId="18">#REF!</definedName>
    <definedName name="L_PERIOD_2008_Q1" localSheetId="12">#REF!</definedName>
    <definedName name="L_PERIOD_2008_Q1" localSheetId="23">#REF!</definedName>
    <definedName name="L_PERIOD_2008_Q1" localSheetId="19">#REF!</definedName>
    <definedName name="L_PERIOD_2008_Q1" localSheetId="21">#REF!</definedName>
    <definedName name="L_PERIOD_2008_Q1">#REF!</definedName>
    <definedName name="L_PERIOD_2008_Q2" localSheetId="24">#REF!</definedName>
    <definedName name="L_PERIOD_2008_Q2" localSheetId="18">#REF!</definedName>
    <definedName name="L_PERIOD_2008_Q2" localSheetId="12">#REF!</definedName>
    <definedName name="L_PERIOD_2008_Q2" localSheetId="23">#REF!</definedName>
    <definedName name="L_PERIOD_2008_Q2" localSheetId="19">#REF!</definedName>
    <definedName name="L_PERIOD_2008_Q2" localSheetId="21">#REF!</definedName>
    <definedName name="L_PERIOD_2008_Q2">#REF!</definedName>
    <definedName name="L_PERIOD_2008_Q3" localSheetId="24">#REF!</definedName>
    <definedName name="L_PERIOD_2008_Q3" localSheetId="18">#REF!</definedName>
    <definedName name="L_PERIOD_2008_Q3" localSheetId="12">#REF!</definedName>
    <definedName name="L_PERIOD_2008_Q3" localSheetId="23">#REF!</definedName>
    <definedName name="L_PERIOD_2008_Q3" localSheetId="19">#REF!</definedName>
    <definedName name="L_PERIOD_2008_Q3" localSheetId="21">#REF!</definedName>
    <definedName name="L_PERIOD_2008_Q3">#REF!</definedName>
    <definedName name="L_PERIOD_2008_Q4" localSheetId="24">#REF!</definedName>
    <definedName name="L_PERIOD_2008_Q4" localSheetId="18">#REF!</definedName>
    <definedName name="L_PERIOD_2008_Q4" localSheetId="12">#REF!</definedName>
    <definedName name="L_PERIOD_2008_Q4" localSheetId="23">#REF!</definedName>
    <definedName name="L_PERIOD_2008_Q4" localSheetId="19">#REF!</definedName>
    <definedName name="L_PERIOD_2008_Q4" localSheetId="21">#REF!</definedName>
    <definedName name="L_PERIOD_2008_Q4">#REF!</definedName>
    <definedName name="L_PERIOD_2009_Q1" localSheetId="24">#REF!</definedName>
    <definedName name="L_PERIOD_2009_Q1" localSheetId="18">#REF!</definedName>
    <definedName name="L_PERIOD_2009_Q1" localSheetId="12">#REF!</definedName>
    <definedName name="L_PERIOD_2009_Q1" localSheetId="23">#REF!</definedName>
    <definedName name="L_PERIOD_2009_Q1" localSheetId="19">#REF!</definedName>
    <definedName name="L_PERIOD_2009_Q1" localSheetId="21">#REF!</definedName>
    <definedName name="L_PERIOD_2009_Q1">#REF!</definedName>
    <definedName name="L_PERIOD_2009_Q2" localSheetId="24">#REF!</definedName>
    <definedName name="L_PERIOD_2009_Q2" localSheetId="18">#REF!</definedName>
    <definedName name="L_PERIOD_2009_Q2" localSheetId="12">#REF!</definedName>
    <definedName name="L_PERIOD_2009_Q2" localSheetId="23">#REF!</definedName>
    <definedName name="L_PERIOD_2009_Q2" localSheetId="19">#REF!</definedName>
    <definedName name="L_PERIOD_2009_Q2" localSheetId="21">#REF!</definedName>
    <definedName name="L_PERIOD_2009_Q2">#REF!</definedName>
    <definedName name="L_PERIOD_2009_Q3" localSheetId="24">#REF!</definedName>
    <definedName name="L_PERIOD_2009_Q3" localSheetId="18">#REF!</definedName>
    <definedName name="L_PERIOD_2009_Q3" localSheetId="12">#REF!</definedName>
    <definedName name="L_PERIOD_2009_Q3" localSheetId="23">#REF!</definedName>
    <definedName name="L_PERIOD_2009_Q3" localSheetId="19">#REF!</definedName>
    <definedName name="L_PERIOD_2009_Q3" localSheetId="21">#REF!</definedName>
    <definedName name="L_PERIOD_2009_Q3">#REF!</definedName>
    <definedName name="L_PERIOD_2009_Q4" localSheetId="24">#REF!</definedName>
    <definedName name="L_PERIOD_2009_Q4" localSheetId="18">#REF!</definedName>
    <definedName name="L_PERIOD_2009_Q4" localSheetId="12">#REF!</definedName>
    <definedName name="L_PERIOD_2009_Q4" localSheetId="23">#REF!</definedName>
    <definedName name="L_PERIOD_2009_Q4" localSheetId="19">#REF!</definedName>
    <definedName name="L_PERIOD_2009_Q4" localSheetId="21">#REF!</definedName>
    <definedName name="L_PERIOD_2009_Q4">#REF!</definedName>
    <definedName name="L_PERIOD_2010_Q1" localSheetId="24">#REF!</definedName>
    <definedName name="L_PERIOD_2010_Q1" localSheetId="18">#REF!</definedName>
    <definedName name="L_PERIOD_2010_Q1" localSheetId="12">#REF!</definedName>
    <definedName name="L_PERIOD_2010_Q1" localSheetId="23">#REF!</definedName>
    <definedName name="L_PERIOD_2010_Q1" localSheetId="19">#REF!</definedName>
    <definedName name="L_PERIOD_2010_Q1" localSheetId="21">#REF!</definedName>
    <definedName name="L_PERIOD_2010_Q1">#REF!</definedName>
    <definedName name="L_PERIOD_2010_Q2" localSheetId="24">#REF!</definedName>
    <definedName name="L_PERIOD_2010_Q2" localSheetId="18">#REF!</definedName>
    <definedName name="L_PERIOD_2010_Q2" localSheetId="12">#REF!</definedName>
    <definedName name="L_PERIOD_2010_Q2" localSheetId="23">#REF!</definedName>
    <definedName name="L_PERIOD_2010_Q2" localSheetId="19">#REF!</definedName>
    <definedName name="L_PERIOD_2010_Q2" localSheetId="21">#REF!</definedName>
    <definedName name="L_PERIOD_2010_Q2">#REF!</definedName>
    <definedName name="L_PERIOD_2010_Q3" localSheetId="24">#REF!</definedName>
    <definedName name="L_PERIOD_2010_Q3" localSheetId="18">#REF!</definedName>
    <definedName name="L_PERIOD_2010_Q3" localSheetId="12">#REF!</definedName>
    <definedName name="L_PERIOD_2010_Q3" localSheetId="23">#REF!</definedName>
    <definedName name="L_PERIOD_2010_Q3" localSheetId="19">#REF!</definedName>
    <definedName name="L_PERIOD_2010_Q3" localSheetId="21">#REF!</definedName>
    <definedName name="L_PERIOD_2010_Q3">#REF!</definedName>
    <definedName name="L_PERIOD_2010_Q4" localSheetId="24">#REF!</definedName>
    <definedName name="L_PERIOD_2010_Q4" localSheetId="18">#REF!</definedName>
    <definedName name="L_PERIOD_2010_Q4" localSheetId="12">#REF!</definedName>
    <definedName name="L_PERIOD_2010_Q4" localSheetId="23">#REF!</definedName>
    <definedName name="L_PERIOD_2010_Q4" localSheetId="19">#REF!</definedName>
    <definedName name="L_PERIOD_2010_Q4" localSheetId="21">#REF!</definedName>
    <definedName name="L_PERIOD_2010_Q4">#REF!</definedName>
    <definedName name="L_PERIOD_2011_Q1" localSheetId="24">#REF!</definedName>
    <definedName name="L_PERIOD_2011_Q1" localSheetId="18">#REF!</definedName>
    <definedName name="L_PERIOD_2011_Q1" localSheetId="12">#REF!</definedName>
    <definedName name="L_PERIOD_2011_Q1" localSheetId="23">#REF!</definedName>
    <definedName name="L_PERIOD_2011_Q1" localSheetId="19">#REF!</definedName>
    <definedName name="L_PERIOD_2011_Q1" localSheetId="21">#REF!</definedName>
    <definedName name="L_PERIOD_2011_Q1">#REF!</definedName>
    <definedName name="L_PERIOD_2011_Q2" localSheetId="24">#REF!</definedName>
    <definedName name="L_PERIOD_2011_Q2" localSheetId="18">#REF!</definedName>
    <definedName name="L_PERIOD_2011_Q2" localSheetId="12">#REF!</definedName>
    <definedName name="L_PERIOD_2011_Q2" localSheetId="23">#REF!</definedName>
    <definedName name="L_PERIOD_2011_Q2" localSheetId="19">#REF!</definedName>
    <definedName name="L_PERIOD_2011_Q2" localSheetId="21">#REF!</definedName>
    <definedName name="L_PERIOD_2011_Q2">#REF!</definedName>
    <definedName name="L_PERIOD_2011_Q3" localSheetId="24">#REF!</definedName>
    <definedName name="L_PERIOD_2011_Q3" localSheetId="18">#REF!</definedName>
    <definedName name="L_PERIOD_2011_Q3" localSheetId="12">#REF!</definedName>
    <definedName name="L_PERIOD_2011_Q3" localSheetId="23">#REF!</definedName>
    <definedName name="L_PERIOD_2011_Q3" localSheetId="19">#REF!</definedName>
    <definedName name="L_PERIOD_2011_Q3" localSheetId="21">#REF!</definedName>
    <definedName name="L_PERIOD_2011_Q3">#REF!</definedName>
    <definedName name="L_PERIOD_2011_Q4" localSheetId="24">#REF!</definedName>
    <definedName name="L_PERIOD_2011_Q4" localSheetId="18">#REF!</definedName>
    <definedName name="L_PERIOD_2011_Q4" localSheetId="12">#REF!</definedName>
    <definedName name="L_PERIOD_2011_Q4" localSheetId="23">#REF!</definedName>
    <definedName name="L_PERIOD_2011_Q4" localSheetId="19">#REF!</definedName>
    <definedName name="L_PERIOD_2011_Q4" localSheetId="21">#REF!</definedName>
    <definedName name="L_PERIOD_2011_Q4">#REF!</definedName>
    <definedName name="L_PERIOD_2012_Q1" localSheetId="24">#REF!</definedName>
    <definedName name="L_PERIOD_2012_Q1" localSheetId="18">#REF!</definedName>
    <definedName name="L_PERIOD_2012_Q1" localSheetId="12">#REF!</definedName>
    <definedName name="L_PERIOD_2012_Q1" localSheetId="23">#REF!</definedName>
    <definedName name="L_PERIOD_2012_Q1" localSheetId="19">#REF!</definedName>
    <definedName name="L_PERIOD_2012_Q1" localSheetId="21">#REF!</definedName>
    <definedName name="L_PERIOD_2012_Q1">#REF!</definedName>
    <definedName name="L_PERIOD_2012_Q2" localSheetId="24">#REF!</definedName>
    <definedName name="L_PERIOD_2012_Q2" localSheetId="18">#REF!</definedName>
    <definedName name="L_PERIOD_2012_Q2" localSheetId="12">#REF!</definedName>
    <definedName name="L_PERIOD_2012_Q2" localSheetId="23">#REF!</definedName>
    <definedName name="L_PERIOD_2012_Q2" localSheetId="19">#REF!</definedName>
    <definedName name="L_PERIOD_2012_Q2" localSheetId="21">#REF!</definedName>
    <definedName name="L_PERIOD_2012_Q2">#REF!</definedName>
    <definedName name="L_PERIOD_2012_Q3" localSheetId="24">#REF!</definedName>
    <definedName name="L_PERIOD_2012_Q3" localSheetId="18">#REF!</definedName>
    <definedName name="L_PERIOD_2012_Q3" localSheetId="12">#REF!</definedName>
    <definedName name="L_PERIOD_2012_Q3" localSheetId="23">#REF!</definedName>
    <definedName name="L_PERIOD_2012_Q3" localSheetId="19">#REF!</definedName>
    <definedName name="L_PERIOD_2012_Q3" localSheetId="21">#REF!</definedName>
    <definedName name="L_PERIOD_2012_Q3">#REF!</definedName>
    <definedName name="L_PERIOD_2012_Q4" localSheetId="24">#REF!</definedName>
    <definedName name="L_PERIOD_2012_Q4" localSheetId="18">#REF!</definedName>
    <definedName name="L_PERIOD_2012_Q4" localSheetId="12">#REF!</definedName>
    <definedName name="L_PERIOD_2012_Q4" localSheetId="23">#REF!</definedName>
    <definedName name="L_PERIOD_2012_Q4" localSheetId="19">#REF!</definedName>
    <definedName name="L_PERIOD_2012_Q4" localSheetId="21">#REF!</definedName>
    <definedName name="L_PERIOD_2012_Q4">#REF!</definedName>
    <definedName name="L_PERIOD_2020_H1" localSheetId="12">#REF!</definedName>
    <definedName name="L_PERIOD_2020_H1" localSheetId="19">#REF!</definedName>
    <definedName name="L_PERIOD_2020_H1" localSheetId="21">#REF!</definedName>
    <definedName name="L_PERIOD_2020_H1">#REF!</definedName>
    <definedName name="L_PERIOD_2020_H2" localSheetId="12">#REF!</definedName>
    <definedName name="L_PERIOD_2020_H2" localSheetId="19">#REF!</definedName>
    <definedName name="L_PERIOD_2020_H2" localSheetId="21">#REF!</definedName>
    <definedName name="L_PERIOD_2020_H2">#REF!</definedName>
    <definedName name="L_PERIOD_2021_Q1" localSheetId="24">#REF!</definedName>
    <definedName name="L_PERIOD_2021_Q1" localSheetId="18">#REF!</definedName>
    <definedName name="L_PERIOD_2021_Q1" localSheetId="12">#REF!</definedName>
    <definedName name="L_PERIOD_2021_Q1" localSheetId="23">#REF!</definedName>
    <definedName name="L_PERIOD_2021_Q1" localSheetId="19">#REF!</definedName>
    <definedName name="L_PERIOD_2021_Q1" localSheetId="21">#REF!</definedName>
    <definedName name="L_PERIOD_2021_Q1">#REF!</definedName>
    <definedName name="L_PERIOD_2021_Q2" localSheetId="24">#REF!</definedName>
    <definedName name="L_PERIOD_2021_Q2" localSheetId="18">#REF!</definedName>
    <definedName name="L_PERIOD_2021_Q2" localSheetId="12">#REF!</definedName>
    <definedName name="L_PERIOD_2021_Q2" localSheetId="23">#REF!</definedName>
    <definedName name="L_PERIOD_2021_Q2" localSheetId="19">#REF!</definedName>
    <definedName name="L_PERIOD_2021_Q2" localSheetId="21">#REF!</definedName>
    <definedName name="L_PERIOD_2021_Q2">#REF!</definedName>
    <definedName name="L_PERIOD_2021_Q3" localSheetId="24">#REF!</definedName>
    <definedName name="L_PERIOD_2021_Q3" localSheetId="18">#REF!</definedName>
    <definedName name="L_PERIOD_2021_Q3" localSheetId="12">#REF!</definedName>
    <definedName name="L_PERIOD_2021_Q3" localSheetId="23">#REF!</definedName>
    <definedName name="L_PERIOD_2021_Q3" localSheetId="19">#REF!</definedName>
    <definedName name="L_PERIOD_2021_Q3" localSheetId="21">#REF!</definedName>
    <definedName name="L_PERIOD_2021_Q3">#REF!</definedName>
    <definedName name="L_PERIOD_2021_Q4" localSheetId="24">#REF!</definedName>
    <definedName name="L_PERIOD_2021_Q4" localSheetId="18">#REF!</definedName>
    <definedName name="L_PERIOD_2021_Q4" localSheetId="12">#REF!</definedName>
    <definedName name="L_PERIOD_2021_Q4" localSheetId="23">#REF!</definedName>
    <definedName name="L_PERIOD_2021_Q4" localSheetId="19">#REF!</definedName>
    <definedName name="L_PERIOD_2021_Q4" localSheetId="21">#REF!</definedName>
    <definedName name="L_PERIOD_2021_Q4">#REF!</definedName>
    <definedName name="L_SECTION_EQTY_200007513_1314" localSheetId="24">#REF!</definedName>
    <definedName name="L_SECTION_EQTY_200007513_1314" localSheetId="18">#REF!</definedName>
    <definedName name="L_SECTION_EQTY_200007513_1314" localSheetId="12">#REF!</definedName>
    <definedName name="L_SECTION_EQTY_200007513_1314" localSheetId="23">#REF!</definedName>
    <definedName name="L_SECTION_EQTY_200007513_1314" localSheetId="19">#REF!</definedName>
    <definedName name="L_SECTION_EQTY_200007513_1314" localSheetId="21">#REF!</definedName>
    <definedName name="L_SECTION_EQTY_200007513_1314">#REF!</definedName>
    <definedName name="L_SECTION_EQTY_200007513_131E" localSheetId="24">#REF!</definedName>
    <definedName name="L_SECTION_EQTY_200007513_131E" localSheetId="18">#REF!</definedName>
    <definedName name="L_SECTION_EQTY_200007513_131E" localSheetId="12">#REF!</definedName>
    <definedName name="L_SECTION_EQTY_200007513_131E" localSheetId="23">#REF!</definedName>
    <definedName name="L_SECTION_EQTY_200007513_131E" localSheetId="19">#REF!</definedName>
    <definedName name="L_SECTION_EQTY_200007513_131E" localSheetId="21">#REF!</definedName>
    <definedName name="L_SECTION_EQTY_200007513_131E">#REF!</definedName>
    <definedName name="L_SECTION_EQTY_200007513_131O" localSheetId="24">#REF!</definedName>
    <definedName name="L_SECTION_EQTY_200007513_131O" localSheetId="18">#REF!</definedName>
    <definedName name="L_SECTION_EQTY_200007513_131O" localSheetId="12">#REF!</definedName>
    <definedName name="L_SECTION_EQTY_200007513_131O" localSheetId="23">#REF!</definedName>
    <definedName name="L_SECTION_EQTY_200007513_131O" localSheetId="19">#REF!</definedName>
    <definedName name="L_SECTION_EQTY_200007513_131O" localSheetId="21">#REF!</definedName>
    <definedName name="L_SECTION_EQTY_200007513_131O">#REF!</definedName>
    <definedName name="L_SECTION_EQTY_200007513_13A" localSheetId="24">#REF!</definedName>
    <definedName name="L_SECTION_EQTY_200007513_13A" localSheetId="18">#REF!</definedName>
    <definedName name="L_SECTION_EQTY_200007513_13A" localSheetId="12">#REF!</definedName>
    <definedName name="L_SECTION_EQTY_200007513_13A" localSheetId="23">#REF!</definedName>
    <definedName name="L_SECTION_EQTY_200007513_13A" localSheetId="19">#REF!</definedName>
    <definedName name="L_SECTION_EQTY_200007513_13A" localSheetId="21">#REF!</definedName>
    <definedName name="L_SECTION_EQTY_200007513_13A">#REF!</definedName>
    <definedName name="L_SECTION_EQTY_200007513_13K" localSheetId="24">#REF!</definedName>
    <definedName name="L_SECTION_EQTY_200007513_13K" localSheetId="18">#REF!</definedName>
    <definedName name="L_SECTION_EQTY_200007513_13K" localSheetId="12">#REF!</definedName>
    <definedName name="L_SECTION_EQTY_200007513_13K" localSheetId="23">#REF!</definedName>
    <definedName name="L_SECTION_EQTY_200007513_13K" localSheetId="19">#REF!</definedName>
    <definedName name="L_SECTION_EQTY_200007513_13K" localSheetId="21">#REF!</definedName>
    <definedName name="L_SECTION_EQTY_200007513_13K">#REF!</definedName>
    <definedName name="L_SECTION_EQTY_200007513_13U" localSheetId="24">#REF!</definedName>
    <definedName name="L_SECTION_EQTY_200007513_13U" localSheetId="18">#REF!</definedName>
    <definedName name="L_SECTION_EQTY_200007513_13U" localSheetId="12">#REF!</definedName>
    <definedName name="L_SECTION_EQTY_200007513_13U" localSheetId="23">#REF!</definedName>
    <definedName name="L_SECTION_EQTY_200007513_13U" localSheetId="19">#REF!</definedName>
    <definedName name="L_SECTION_EQTY_200007513_13U" localSheetId="21">#REF!</definedName>
    <definedName name="L_SECTION_EQTY_200007513_13U">#REF!</definedName>
    <definedName name="L_SECTION_EQTY_200007513_13V" localSheetId="24">#REF!</definedName>
    <definedName name="L_SECTION_EQTY_200007513_13V" localSheetId="18">#REF!</definedName>
    <definedName name="L_SECTION_EQTY_200007513_13V" localSheetId="12">#REF!</definedName>
    <definedName name="L_SECTION_EQTY_200007513_13V" localSheetId="23">#REF!</definedName>
    <definedName name="L_SECTION_EQTY_200007513_13V" localSheetId="19">#REF!</definedName>
    <definedName name="L_SECTION_EQTY_200007513_13V" localSheetId="21">#REF!</definedName>
    <definedName name="L_SECTION_EQTY_200007513_13V">#REF!</definedName>
    <definedName name="L_SECTION_EQTY_200007513_Reference_Data" localSheetId="24">#REF!</definedName>
    <definedName name="L_SECTION_EQTY_200007513_Reference_Data" localSheetId="18">#REF!</definedName>
    <definedName name="L_SECTION_EQTY_200007513_Reference_Data" localSheetId="12">#REF!</definedName>
    <definedName name="L_SECTION_EQTY_200007513_Reference_Data" localSheetId="23">#REF!</definedName>
    <definedName name="L_SECTION_EQTY_200007513_Reference_Data" localSheetId="19">#REF!</definedName>
    <definedName name="L_SECTION_EQTY_200007513_Reference_Data" localSheetId="21">#REF!</definedName>
    <definedName name="L_SECTION_EQTY_200007513_Reference_Data">#REF!</definedName>
    <definedName name="L_SECTION_ISSR_208002861_1314" localSheetId="24">#REF!</definedName>
    <definedName name="L_SECTION_ISSR_208002861_1314" localSheetId="18">#REF!</definedName>
    <definedName name="L_SECTION_ISSR_208002861_1314" localSheetId="12">#REF!</definedName>
    <definedName name="L_SECTION_ISSR_208002861_1314" localSheetId="23">#REF!</definedName>
    <definedName name="L_SECTION_ISSR_208002861_1314" localSheetId="19">#REF!</definedName>
    <definedName name="L_SECTION_ISSR_208002861_1314" localSheetId="21">#REF!</definedName>
    <definedName name="L_SECTION_ISSR_208002861_1314">#REF!</definedName>
    <definedName name="L_SECTION_ISSR_208002861_13168" localSheetId="24">#REF!</definedName>
    <definedName name="L_SECTION_ISSR_208002861_13168" localSheetId="18">#REF!</definedName>
    <definedName name="L_SECTION_ISSR_208002861_13168" localSheetId="12">#REF!</definedName>
    <definedName name="L_SECTION_ISSR_208002861_13168" localSheetId="23">#REF!</definedName>
    <definedName name="L_SECTION_ISSR_208002861_13168" localSheetId="19">#REF!</definedName>
    <definedName name="L_SECTION_ISSR_208002861_13168" localSheetId="21">#REF!</definedName>
    <definedName name="L_SECTION_ISSR_208002861_13168">#REF!</definedName>
    <definedName name="L_SECTION_ISSR_208002861_1316S" localSheetId="24">#REF!</definedName>
    <definedName name="L_SECTION_ISSR_208002861_1316S" localSheetId="18">#REF!</definedName>
    <definedName name="L_SECTION_ISSR_208002861_1316S" localSheetId="12">#REF!</definedName>
    <definedName name="L_SECTION_ISSR_208002861_1316S" localSheetId="23">#REF!</definedName>
    <definedName name="L_SECTION_ISSR_208002861_1316S" localSheetId="19">#REF!</definedName>
    <definedName name="L_SECTION_ISSR_208002861_1316S" localSheetId="21">#REF!</definedName>
    <definedName name="L_SECTION_ISSR_208002861_1316S">#REF!</definedName>
    <definedName name="L_SECTION_ISSR_208002861_1316T" localSheetId="24">#REF!</definedName>
    <definedName name="L_SECTION_ISSR_208002861_1316T" localSheetId="18">#REF!</definedName>
    <definedName name="L_SECTION_ISSR_208002861_1316T" localSheetId="12">#REF!</definedName>
    <definedName name="L_SECTION_ISSR_208002861_1316T" localSheetId="23">#REF!</definedName>
    <definedName name="L_SECTION_ISSR_208002861_1316T" localSheetId="19">#REF!</definedName>
    <definedName name="L_SECTION_ISSR_208002861_1316T" localSheetId="21">#REF!</definedName>
    <definedName name="L_SECTION_ISSR_208002861_1316T">#REF!</definedName>
    <definedName name="L_SECTION_ISSR_208002861_1316U" localSheetId="24">#REF!</definedName>
    <definedName name="L_SECTION_ISSR_208002861_1316U" localSheetId="18">#REF!</definedName>
    <definedName name="L_SECTION_ISSR_208002861_1316U" localSheetId="12">#REF!</definedName>
    <definedName name="L_SECTION_ISSR_208002861_1316U" localSheetId="23">#REF!</definedName>
    <definedName name="L_SECTION_ISSR_208002861_1316U" localSheetId="19">#REF!</definedName>
    <definedName name="L_SECTION_ISSR_208002861_1316U" localSheetId="21">#REF!</definedName>
    <definedName name="L_SECTION_ISSR_208002861_1316U">#REF!</definedName>
    <definedName name="L_SECTION_ISSR_208002861_1319" localSheetId="24">#REF!</definedName>
    <definedName name="L_SECTION_ISSR_208002861_1319" localSheetId="18">#REF!</definedName>
    <definedName name="L_SECTION_ISSR_208002861_1319" localSheetId="12">#REF!</definedName>
    <definedName name="L_SECTION_ISSR_208002861_1319" localSheetId="23">#REF!</definedName>
    <definedName name="L_SECTION_ISSR_208002861_1319" localSheetId="19">#REF!</definedName>
    <definedName name="L_SECTION_ISSR_208002861_1319" localSheetId="21">#REF!</definedName>
    <definedName name="L_SECTION_ISSR_208002861_1319">#REF!</definedName>
    <definedName name="L_SECTION_ISSR_208002861_131E" localSheetId="24">#REF!</definedName>
    <definedName name="L_SECTION_ISSR_208002861_131E" localSheetId="18">#REF!</definedName>
    <definedName name="L_SECTION_ISSR_208002861_131E" localSheetId="12">#REF!</definedName>
    <definedName name="L_SECTION_ISSR_208002861_131E" localSheetId="23">#REF!</definedName>
    <definedName name="L_SECTION_ISSR_208002861_131E" localSheetId="19">#REF!</definedName>
    <definedName name="L_SECTION_ISSR_208002861_131E" localSheetId="21">#REF!</definedName>
    <definedName name="L_SECTION_ISSR_208002861_131E">#REF!</definedName>
    <definedName name="L_SECTION_ISSR_208002861_131J" localSheetId="24">#REF!</definedName>
    <definedName name="L_SECTION_ISSR_208002861_131J" localSheetId="18">#REF!</definedName>
    <definedName name="L_SECTION_ISSR_208002861_131J" localSheetId="12">#REF!</definedName>
    <definedName name="L_SECTION_ISSR_208002861_131J" localSheetId="23">#REF!</definedName>
    <definedName name="L_SECTION_ISSR_208002861_131J" localSheetId="19">#REF!</definedName>
    <definedName name="L_SECTION_ISSR_208002861_131J" localSheetId="21">#REF!</definedName>
    <definedName name="L_SECTION_ISSR_208002861_131J">#REF!</definedName>
    <definedName name="L_SECTION_ISSR_208002861_131O" localSheetId="24">#REF!</definedName>
    <definedName name="L_SECTION_ISSR_208002861_131O" localSheetId="18">#REF!</definedName>
    <definedName name="L_SECTION_ISSR_208002861_131O" localSheetId="12">#REF!</definedName>
    <definedName name="L_SECTION_ISSR_208002861_131O" localSheetId="23">#REF!</definedName>
    <definedName name="L_SECTION_ISSR_208002861_131O" localSheetId="19">#REF!</definedName>
    <definedName name="L_SECTION_ISSR_208002861_131O" localSheetId="21">#REF!</definedName>
    <definedName name="L_SECTION_ISSR_208002861_131O">#REF!</definedName>
    <definedName name="L_SECTION_ISSR_208002861_13U" localSheetId="24">#REF!</definedName>
    <definedName name="L_SECTION_ISSR_208002861_13U" localSheetId="18">#REF!</definedName>
    <definedName name="L_SECTION_ISSR_208002861_13U" localSheetId="12">#REF!</definedName>
    <definedName name="L_SECTION_ISSR_208002861_13U" localSheetId="23">#REF!</definedName>
    <definedName name="L_SECTION_ISSR_208002861_13U" localSheetId="19">#REF!</definedName>
    <definedName name="L_SECTION_ISSR_208002861_13U" localSheetId="21">#REF!</definedName>
    <definedName name="L_SECTION_ISSR_208002861_13U">#REF!</definedName>
    <definedName name="L_SECTION_ISSR_208002861_13V" localSheetId="24">#REF!</definedName>
    <definedName name="L_SECTION_ISSR_208002861_13V" localSheetId="18">#REF!</definedName>
    <definedName name="L_SECTION_ISSR_208002861_13V" localSheetId="12">#REF!</definedName>
    <definedName name="L_SECTION_ISSR_208002861_13V" localSheetId="23">#REF!</definedName>
    <definedName name="L_SECTION_ISSR_208002861_13V" localSheetId="19">#REF!</definedName>
    <definedName name="L_SECTION_ISSR_208002861_13V" localSheetId="21">#REF!</definedName>
    <definedName name="L_SECTION_ISSR_208002861_13V">#REF!</definedName>
    <definedName name="L_SECTION_ISSR_208002861_Reference_Data" localSheetId="24">#REF!</definedName>
    <definedName name="L_SECTION_ISSR_208002861_Reference_Data" localSheetId="18">#REF!</definedName>
    <definedName name="L_SECTION_ISSR_208002861_Reference_Data" localSheetId="12">#REF!</definedName>
    <definedName name="L_SECTION_ISSR_208002861_Reference_Data" localSheetId="23">#REF!</definedName>
    <definedName name="L_SECTION_ISSR_208002861_Reference_Data" localSheetId="19">#REF!</definedName>
    <definedName name="L_SECTION_ISSR_208002861_Reference_Data" localSheetId="21">#REF!</definedName>
    <definedName name="L_SECTION_ISSR_208002861_Reference_Data">#REF!</definedName>
    <definedName name="Last_Update" localSheetId="2">#REF!</definedName>
    <definedName name="Last_Update">#REF!</definedName>
    <definedName name="LastHistoricYear">#REF!</definedName>
    <definedName name="LastProblemKeyword" localSheetId="5">MigrationOutput_QP_SAF.PA!$B$7:$F$7</definedName>
    <definedName name="LatestPaid">#REF!</definedName>
    <definedName name="LatestPaidDate">#REF!</definedName>
    <definedName name="lbo" localSheetId="1" hidden="1">{"a",#N/A,FALSE,"LBO - 100%, Sell C,CT 98......";"aa",#N/A,FALSE,"LBO - 100%, Sell C,CT 98......";"aaa",#N/A,FALSE,"LBO - 100%, Sell C,CT 98......";"aaaa",#N/A,FALSE,"LBO - 100%, Sell C,CT 98......";"aaaaa",#N/A,FALSE,"LBO - 100%, Sell C,CT 98......";"aaaaaa",#N/A,FALSE,"LBO - 100%, Sell C,CT 98......"}</definedName>
    <definedName name="lbo" localSheetId="2" hidden="1">{"a",#N/A,FALSE,"LBO - 100%, Sell C,CT 98......";"aa",#N/A,FALSE,"LBO - 100%, Sell C,CT 98......";"aaa",#N/A,FALSE,"LBO - 100%, Sell C,CT 98......";"aaaa",#N/A,FALSE,"LBO - 100%, Sell C,CT 98......";"aaaaa",#N/A,FALSE,"LBO - 100%, Sell C,CT 98......";"aaaaaa",#N/A,FALSE,"LBO - 100%, Sell C,CT 98......"}</definedName>
    <definedName name="lbo" localSheetId="19" hidden="1">{"a",#N/A,FALSE,"LBO - 100%, Sell C,CT 98......";"aa",#N/A,FALSE,"LBO - 100%, Sell C,CT 98......";"aaa",#N/A,FALSE,"LBO - 100%, Sell C,CT 98......";"aaaa",#N/A,FALSE,"LBO - 100%, Sell C,CT 98......";"aaaaa",#N/A,FALSE,"LBO - 100%, Sell C,CT 98......";"aaaaaa",#N/A,FALSE,"LBO - 100%, Sell C,CT 98......"}</definedName>
    <definedName name="lbo" localSheetId="21" hidden="1">{"a",#N/A,FALSE,"LBO - 100%, Sell C,CT 98......";"aa",#N/A,FALSE,"LBO - 100%, Sell C,CT 98......";"aaa",#N/A,FALSE,"LBO - 100%, Sell C,CT 98......";"aaaa",#N/A,FALSE,"LBO - 100%, Sell C,CT 98......";"aaaaa",#N/A,FALSE,"LBO - 100%, Sell C,CT 98......";"aaaaaa",#N/A,FALSE,"LBO - 100%, Sell C,CT 98......"}</definedName>
    <definedName name="lbo" hidden="1">{"a",#N/A,FALSE,"LBO - 100%, Sell C,CT 98......";"aa",#N/A,FALSE,"LBO - 100%, Sell C,CT 98......";"aaa",#N/A,FALSE,"LBO - 100%, Sell C,CT 98......";"aaaa",#N/A,FALSE,"LBO - 100%, Sell C,CT 98......";"aaaaa",#N/A,FALSE,"LBO - 100%, Sell C,CT 98......";"aaaaaa",#N/A,FALSE,"LBO - 100%, Sell C,CT 98......"}</definedName>
    <definedName name="LeaseObligation">#REF!</definedName>
    <definedName name="Links" localSheetId="2">#REF!</definedName>
    <definedName name="Links">#REF!</definedName>
    <definedName name="LiveReqs" localSheetId="2">#REF!</definedName>
    <definedName name="LiveReqs">#REF!</definedName>
    <definedName name="lkjlklkjlkjlkj" localSheetId="1" hidden="1">{"page1",#N/A,TRUE,"CSC";"page2",#N/A,TRUE,"CSC"}</definedName>
    <definedName name="lkjlklkjlkjlkj" localSheetId="2" hidden="1">{"page1",#N/A,TRUE,"CSC";"page2",#N/A,TRUE,"CSC"}</definedName>
    <definedName name="lkjlklkjlkjlkj" localSheetId="19" hidden="1">{"page1",#N/A,TRUE,"CSC";"page2",#N/A,TRUE,"CSC"}</definedName>
    <definedName name="lkjlklkjlkjlkj" localSheetId="21" hidden="1">{"page1",#N/A,TRUE,"CSC";"page2",#N/A,TRUE,"CSC"}</definedName>
    <definedName name="lkjlklkjlkjlkj" hidden="1">{"page1",#N/A,TRUE,"CSC";"page2",#N/A,TRUE,"CSC"}</definedName>
    <definedName name="ll" localSheetId="1" hidden="1">{"Balance Sheet",#N/A,FALSE,"Balance Sheet";"Sum Cash Flow",#N/A,FALSE,"Sum Cash Flow";"Income Statement 1",#N/A,FALSE,"Income Statement 1";"DCF Projections",#N/A,FALSE,"DCF Projections";"DCF1",#N/A,FALSE,"DCF1";"AVP",#N/A,FALSE,"AVP";"CalcWorksheet",#N/A,FALSE,"Calc Wksht New";"PV of Future Prices",#N/A,FALSE,"Fut Share Price - New EPS";"FutureSharePrices",#N/A,FALSE,"Future Share Prices"}</definedName>
    <definedName name="ll" localSheetId="2" hidden="1">{"Balance Sheet",#N/A,FALSE,"Balance Sheet";"Sum Cash Flow",#N/A,FALSE,"Sum Cash Flow";"Income Statement 1",#N/A,FALSE,"Income Statement 1";"DCF Projections",#N/A,FALSE,"DCF Projections";"DCF1",#N/A,FALSE,"DCF1";"AVP",#N/A,FALSE,"AVP";"CalcWorksheet",#N/A,FALSE,"Calc Wksht New";"PV of Future Prices",#N/A,FALSE,"Fut Share Price - New EPS";"FutureSharePrices",#N/A,FALSE,"Future Share Prices"}</definedName>
    <definedName name="ll" localSheetId="19" hidden="1">{"Balance Sheet",#N/A,FALSE,"Balance Sheet";"Sum Cash Flow",#N/A,FALSE,"Sum Cash Flow";"Income Statement 1",#N/A,FALSE,"Income Statement 1";"DCF Projections",#N/A,FALSE,"DCF Projections";"DCF1",#N/A,FALSE,"DCF1";"AVP",#N/A,FALSE,"AVP";"CalcWorksheet",#N/A,FALSE,"Calc Wksht New";"PV of Future Prices",#N/A,FALSE,"Fut Share Price - New EPS";"FutureSharePrices",#N/A,FALSE,"Future Share Prices"}</definedName>
    <definedName name="ll" localSheetId="21" hidden="1">{"Balance Sheet",#N/A,FALSE,"Balance Sheet";"Sum Cash Flow",#N/A,FALSE,"Sum Cash Flow";"Income Statement 1",#N/A,FALSE,"Income Statement 1";"DCF Projections",#N/A,FALSE,"DCF Projections";"DCF1",#N/A,FALSE,"DCF1";"AVP",#N/A,FALSE,"AVP";"CalcWorksheet",#N/A,FALSE,"Calc Wksht New";"PV of Future Prices",#N/A,FALSE,"Fut Share Price - New EPS";"FutureSharePrices",#N/A,FALSE,"Future Share Prices"}</definedName>
    <definedName name="ll" hidden="1">{"Balance Sheet",#N/A,FALSE,"Balance Sheet";"Sum Cash Flow",#N/A,FALSE,"Sum Cash Flow";"Income Statement 1",#N/A,FALSE,"Income Statement 1";"DCF Projections",#N/A,FALSE,"DCF Projections";"DCF1",#N/A,FALSE,"DCF1";"AVP",#N/A,FALSE,"AVP";"CalcWorksheet",#N/A,FALSE,"Calc Wksht New";"PV of Future Prices",#N/A,FALSE,"Fut Share Price - New EPS";"FutureSharePrices",#N/A,FALSE,"Future Share Prices"}</definedName>
    <definedName name="lllllllllllllllllllllllllllllllll" localSheetId="1" hidden="1">{"Geographic P1",#N/A,FALSE,"Division &amp; Geog"}</definedName>
    <definedName name="lllllllllllllllllllllllllllllllll" localSheetId="2" hidden="1">{"Geographic P1",#N/A,FALSE,"Division &amp; Geog"}</definedName>
    <definedName name="lllllllllllllllllllllllllllllllll" localSheetId="19" hidden="1">{"Geographic P1",#N/A,FALSE,"Division &amp; Geog"}</definedName>
    <definedName name="lllllllllllllllllllllllllllllllll" localSheetId="21" hidden="1">{"Geographic P1",#N/A,FALSE,"Division &amp; Geog"}</definedName>
    <definedName name="lllllllllllllllllllllllllllllllll" hidden="1">{"Geographic P1",#N/A,FALSE,"Division &amp; Geog"}</definedName>
    <definedName name="LoanProceeds">#REF!</definedName>
    <definedName name="LoanRepayments">#REF!</definedName>
    <definedName name="LocalIndexFiveYear">#REF!</definedName>
    <definedName name="LocalIndexFiveYearRebased">#REF!</definedName>
    <definedName name="LocalIndexLabel">#REF!</definedName>
    <definedName name="LocalIndexName">#REF!</definedName>
    <definedName name="LocalIndexYear">#REF!</definedName>
    <definedName name="LocalIndexYearRebased">#REF!</definedName>
    <definedName name="LongBondYield">#REF!</definedName>
    <definedName name="LongTermFinancialInvestments">#REF!</definedName>
    <definedName name="LongTermInterestBearingDebt">#REF!</definedName>
    <definedName name="LongTermLiabilities">#REF!</definedName>
    <definedName name="Main" localSheetId="2">#REF!</definedName>
    <definedName name="Main" localSheetId="12">#REF!</definedName>
    <definedName name="Main" localSheetId="23">#REF!</definedName>
    <definedName name="Main">#REF!</definedName>
    <definedName name="Main1" localSheetId="24">#REF!</definedName>
    <definedName name="Main1" localSheetId="18">#REF!</definedName>
    <definedName name="Main1" localSheetId="12">#REF!</definedName>
    <definedName name="Main1" localSheetId="23">#REF!</definedName>
    <definedName name="Main1" localSheetId="19">#REF!</definedName>
    <definedName name="Main1" localSheetId="21">#REF!</definedName>
    <definedName name="Main1">#REF!</definedName>
    <definedName name="Main2" localSheetId="24">#REF!</definedName>
    <definedName name="Main2" localSheetId="18">#REF!</definedName>
    <definedName name="Main2" localSheetId="12">#REF!</definedName>
    <definedName name="Main2" localSheetId="23">#REF!</definedName>
    <definedName name="Main2" localSheetId="19">#REF!</definedName>
    <definedName name="Main2" localSheetId="21">#REF!</definedName>
    <definedName name="Main2">#REF!</definedName>
    <definedName name="MarketableAssets">#REF!</definedName>
    <definedName name="MarketCap_Avg">#REF!</definedName>
    <definedName name="MarketCap_High">#REF!</definedName>
    <definedName name="MarketCap_Low">#REF!</definedName>
    <definedName name="MarketCap_Today">#REF!</definedName>
    <definedName name="MarketCap_Ye">#REF!</definedName>
    <definedName name="MarketingAdmin">#REF!</definedName>
    <definedName name="MaterialsGoodsServices">#REF!</definedName>
    <definedName name="Mcap1">#REF!</definedName>
    <definedName name="Mcap2">#REF!</definedName>
    <definedName name="MemFree" localSheetId="2">#REF!</definedName>
    <definedName name="MemFree">#REF!</definedName>
    <definedName name="MemTotal" localSheetId="2">#REF!</definedName>
    <definedName name="MemTotal">#REF!</definedName>
    <definedName name="MinInterestRAT">#REF!</definedName>
    <definedName name="MinorityInterestBS">#REF!</definedName>
    <definedName name="MinorityInterestPL">#REF!</definedName>
    <definedName name="mon" localSheetId="1" hidden="1">{"page 1",#N/A,FALSE,"A";"page 2",#N/A,FALSE,"A";"page 3",#N/A,FALSE,"A";"page 4",#N/A,FALSE,"A";"page 5",#N/A,FALSE,"A";"page 6",#N/A,FALSE,"A";"page 7",#N/A,FALSE,"A";"page 8",#N/A,FALSE,"A";"page 9",#N/A,FALSE,"A";"page 10",#N/A,FALSE,"A";"page 11",#N/A,FALSE,"A";"page 12",#N/A,FALSE,"A";"page 13",#N/A,FALSE,"A";"page 14",#N/A,FALSE,"A"}</definedName>
    <definedName name="mon" localSheetId="2" hidden="1">{"page 1",#N/A,FALSE,"A";"page 2",#N/A,FALSE,"A";"page 3",#N/A,FALSE,"A";"page 4",#N/A,FALSE,"A";"page 5",#N/A,FALSE,"A";"page 6",#N/A,FALSE,"A";"page 7",#N/A,FALSE,"A";"page 8",#N/A,FALSE,"A";"page 9",#N/A,FALSE,"A";"page 10",#N/A,FALSE,"A";"page 11",#N/A,FALSE,"A";"page 12",#N/A,FALSE,"A";"page 13",#N/A,FALSE,"A";"page 14",#N/A,FALSE,"A"}</definedName>
    <definedName name="mon" localSheetId="19" hidden="1">{"page 1",#N/A,FALSE,"A";"page 2",#N/A,FALSE,"A";"page 3",#N/A,FALSE,"A";"page 4",#N/A,FALSE,"A";"page 5",#N/A,FALSE,"A";"page 6",#N/A,FALSE,"A";"page 7",#N/A,FALSE,"A";"page 8",#N/A,FALSE,"A";"page 9",#N/A,FALSE,"A";"page 10",#N/A,FALSE,"A";"page 11",#N/A,FALSE,"A";"page 12",#N/A,FALSE,"A";"page 13",#N/A,FALSE,"A";"page 14",#N/A,FALSE,"A"}</definedName>
    <definedName name="mon" localSheetId="21" hidden="1">{"page 1",#N/A,FALSE,"A";"page 2",#N/A,FALSE,"A";"page 3",#N/A,FALSE,"A";"page 4",#N/A,FALSE,"A";"page 5",#N/A,FALSE,"A";"page 6",#N/A,FALSE,"A";"page 7",#N/A,FALSE,"A";"page 8",#N/A,FALSE,"A";"page 9",#N/A,FALSE,"A";"page 10",#N/A,FALSE,"A";"page 11",#N/A,FALSE,"A";"page 12",#N/A,FALSE,"A";"page 13",#N/A,FALSE,"A";"page 14",#N/A,FALSE,"A"}</definedName>
    <definedName name="mon" hidden="1">{"page 1",#N/A,FALSE,"A";"page 2",#N/A,FALSE,"A";"page 3",#N/A,FALSE,"A";"page 4",#N/A,FALSE,"A";"page 5",#N/A,FALSE,"A";"page 6",#N/A,FALSE,"A";"page 7",#N/A,FALSE,"A";"page 8",#N/A,FALSE,"A";"page 9",#N/A,FALSE,"A";"page 10",#N/A,FALSE,"A";"page 11",#N/A,FALSE,"A";"page 12",#N/A,FALSE,"A";"page 13",#N/A,FALSE,"A";"page 14",#N/A,FALSE,"A"}</definedName>
    <definedName name="MostTradedInstrumentId">#REF!</definedName>
    <definedName name="n" localSheetId="1" hidden="1">{#N/A,#N/A,FALSE,"Annual Earnings Model";#N/A,#N/A,FALSE,"Quarterly Earnings Model";#N/A,#N/A,FALSE,"Header";#N/A,#N/A,FALSE,"Notes"}</definedName>
    <definedName name="n" localSheetId="2" hidden="1">{#N/A,#N/A,FALSE,"Annual Earnings Model";#N/A,#N/A,FALSE,"Quarterly Earnings Model";#N/A,#N/A,FALSE,"Header";#N/A,#N/A,FALSE,"Notes"}</definedName>
    <definedName name="n" localSheetId="19" hidden="1">{#N/A,#N/A,FALSE,"Annual Earnings Model";#N/A,#N/A,FALSE,"Quarterly Earnings Model";#N/A,#N/A,FALSE,"Header";#N/A,#N/A,FALSE,"Notes"}</definedName>
    <definedName name="n" localSheetId="21" hidden="1">{#N/A,#N/A,FALSE,"Annual Earnings Model";#N/A,#N/A,FALSE,"Quarterly Earnings Model";#N/A,#N/A,FALSE,"Header";#N/A,#N/A,FALSE,"Notes"}</definedName>
    <definedName name="n" hidden="1">{#N/A,#N/A,FALSE,"Annual Earnings Model";#N/A,#N/A,FALSE,"Quarterly Earnings Model";#N/A,#N/A,FALSE,"Header";#N/A,#N/A,FALSE,"Notes"}</definedName>
    <definedName name="Ndebt">#REF!</definedName>
    <definedName name="Nequity">#REF!</definedName>
    <definedName name="NetAssetPerShare">#REF!</definedName>
    <definedName name="NetChangeInCash">#REF!</definedName>
    <definedName name="NetDebt">#REF!</definedName>
    <definedName name="NetDebtAdj">#REF!</definedName>
    <definedName name="NetDebtEquityMax">#REF!</definedName>
    <definedName name="NetDebtPerShare">#REF!</definedName>
    <definedName name="NetGearing">#REF!</definedName>
    <definedName name="NetGearingChart">#REF!</definedName>
    <definedName name="NetMargin">#REF!</definedName>
    <definedName name="NetOtherLiabilities">#REF!</definedName>
    <definedName name="NetProfit">#REF!</definedName>
    <definedName name="NetRevenuePerAccountAvg">#REF!</definedName>
    <definedName name="NetRevenuePerTrade">#REF!</definedName>
    <definedName name="NetSales">#REF!</definedName>
    <definedName name="NetSalesChart">#REF!</definedName>
    <definedName name="NetSalesNormalized">#REF!</definedName>
    <definedName name="NetSalesPerEmpAvg">#REF!</definedName>
    <definedName name="NetWorkingCapital">#REF!</definedName>
    <definedName name="New" localSheetId="1" hidden="1">{"CSC_1",#N/A,FALSE,"CSC Outputs";"CSC_2",#N/A,FALSE,"CSC Outputs"}</definedName>
    <definedName name="New" localSheetId="2" hidden="1">{"CSC_1",#N/A,FALSE,"CSC Outputs";"CSC_2",#N/A,FALSE,"CSC Outputs"}</definedName>
    <definedName name="New" localSheetId="19" hidden="1">{"CSC_1",#N/A,FALSE,"CSC Outputs";"CSC_2",#N/A,FALSE,"CSC Outputs"}</definedName>
    <definedName name="New" localSheetId="21" hidden="1">{"CSC_1",#N/A,FALSE,"CSC Outputs";"CSC_2",#N/A,FALSE,"CSC Outputs"}</definedName>
    <definedName name="New" hidden="1">{"CSC_1",#N/A,FALSE,"CSC Outputs";"CSC_2",#N/A,FALSE,"CSC Outputs"}</definedName>
    <definedName name="NewConvMonth">#REF!</definedName>
    <definedName name="NewConvNo">#REF!</definedName>
    <definedName name="NewConvPrice">#REF!</definedName>
    <definedName name="NewIssueMonthClass1">#REF!</definedName>
    <definedName name="NewIssueMonthClass2">#REF!</definedName>
    <definedName name="NewIssuePricePerShareClass1">#REF!</definedName>
    <definedName name="NewIssuePricePerShareClass2">#REF!</definedName>
    <definedName name="NewIssueShareNoClass1">#REF!</definedName>
    <definedName name="NewIssueShareNoClass2">#REF!</definedName>
    <definedName name="NO" hidden="1">{"'Sheet1'!$A$1:$J$121"}</definedName>
    <definedName name="NomDividendBlended">#REF!</definedName>
    <definedName name="NomDividendFrontpage">#REF!</definedName>
    <definedName name="NomDividendPrefs">#REF!</definedName>
    <definedName name="NonInterestBearingFixedAssets">#REF!</definedName>
    <definedName name="NonRecurringExpenses">#REF!</definedName>
    <definedName name="NumberOfTrades">#REF!</definedName>
    <definedName name="okdkd" hidden="1">{"'TABLE82'!$A$1:$D$102"}</definedName>
    <definedName name="old" localSheetId="1" hidden="1">{"QIncStmt",#N/A,FALSE,"Quarter Inc St";"QGrthNMrgn",#N/A,FALSE,"Quarter Inc St";"SummIncStmt",#N/A,FALSE,"Income Statement";"BalanceSheet",#N/A,FALSE,"Balance Sheet";"SumCashFlow",#N/A,FALSE,"Sum Cash Flow";"DCFProjections",#N/A,FALSE,"DCF Projections";"CalcWorksheet",#N/A,FALSE,"Calc Wksht New";"DCFPresent Value",#N/A,FALSE,"DCF1";"FutureSharePrices",#N/A,FALSE,"Future Share Prices";"AVP",#N/A,FALSE,"AVP";"PV of Future Prices",#N/A,FALSE,"Fut Share Price - New EPS"}</definedName>
    <definedName name="old" localSheetId="2" hidden="1">{"QIncStmt",#N/A,FALSE,"Quarter Inc St";"QGrthNMrgn",#N/A,FALSE,"Quarter Inc St";"SummIncStmt",#N/A,FALSE,"Income Statement";"BalanceSheet",#N/A,FALSE,"Balance Sheet";"SumCashFlow",#N/A,FALSE,"Sum Cash Flow";"DCFProjections",#N/A,FALSE,"DCF Projections";"CalcWorksheet",#N/A,FALSE,"Calc Wksht New";"DCFPresent Value",#N/A,FALSE,"DCF1";"FutureSharePrices",#N/A,FALSE,"Future Share Prices";"AVP",#N/A,FALSE,"AVP";"PV of Future Prices",#N/A,FALSE,"Fut Share Price - New EPS"}</definedName>
    <definedName name="old" localSheetId="19" hidden="1">{"QIncStmt",#N/A,FALSE,"Quarter Inc St";"QGrthNMrgn",#N/A,FALSE,"Quarter Inc St";"SummIncStmt",#N/A,FALSE,"Income Statement";"BalanceSheet",#N/A,FALSE,"Balance Sheet";"SumCashFlow",#N/A,FALSE,"Sum Cash Flow";"DCFProjections",#N/A,FALSE,"DCF Projections";"CalcWorksheet",#N/A,FALSE,"Calc Wksht New";"DCFPresent Value",#N/A,FALSE,"DCF1";"FutureSharePrices",#N/A,FALSE,"Future Share Prices";"AVP",#N/A,FALSE,"AVP";"PV of Future Prices",#N/A,FALSE,"Fut Share Price - New EPS"}</definedName>
    <definedName name="old" localSheetId="21" hidden="1">{"QIncStmt",#N/A,FALSE,"Quarter Inc St";"QGrthNMrgn",#N/A,FALSE,"Quarter Inc St";"SummIncStmt",#N/A,FALSE,"Income Statement";"BalanceSheet",#N/A,FALSE,"Balance Sheet";"SumCashFlow",#N/A,FALSE,"Sum Cash Flow";"DCFProjections",#N/A,FALSE,"DCF Projections";"CalcWorksheet",#N/A,FALSE,"Calc Wksht New";"DCFPresent Value",#N/A,FALSE,"DCF1";"FutureSharePrices",#N/A,FALSE,"Future Share Prices";"AVP",#N/A,FALSE,"AVP";"PV of Future Prices",#N/A,FALSE,"Fut Share Price - New EPS"}</definedName>
    <definedName name="old" hidden="1">{"QIncStmt",#N/A,FALSE,"Quarter Inc St";"QGrthNMrgn",#N/A,FALSE,"Quarter Inc St";"SummIncStmt",#N/A,FALSE,"Income Statement";"BalanceSheet",#N/A,FALSE,"Balance Sheet";"SumCashFlow",#N/A,FALSE,"Sum Cash Flow";"DCFProjections",#N/A,FALSE,"DCF Projections";"CalcWorksheet",#N/A,FALSE,"Calc Wksht New";"DCFPresent Value",#N/A,FALSE,"DCF1";"FutureSharePrices",#N/A,FALSE,"Future Share Prices";"AVP",#N/A,FALSE,"AVP";"PV of Future Prices",#N/A,FALSE,"Fut Share Price - New EPS"}</definedName>
    <definedName name="Operating_Sys" localSheetId="2">#REF!</definedName>
    <definedName name="Operating_Sys">#REF!</definedName>
    <definedName name="OperatingCashFlow">#REF!</definedName>
    <definedName name="OperatingMargin">#REF!</definedName>
    <definedName name="OperatingMarginChart">#REF!</definedName>
    <definedName name="OperatingMarginMax">#REF!</definedName>
    <definedName name="OperatingProfit">#REF!</definedName>
    <definedName name="OperatingProfitPerEmpAvg">#REF!</definedName>
    <definedName name="OperCashFlowPerShare">#REF!</definedName>
    <definedName name="opopo" hidden="1">{"'TABLE82'!$A$1:$D$102"}</definedName>
    <definedName name="OtherAdjAfterTax">#REF!</definedName>
    <definedName name="OtherBeforeChangeCash">#REF!</definedName>
    <definedName name="OtherBeforeChangeNetDebt">#REF!</definedName>
    <definedName name="OtherBeforeChangeWorkingCapital">#REF!</definedName>
    <definedName name="OtherCurrentAssets">#REF!</definedName>
    <definedName name="OtherCurrentLiabilities">#REF!</definedName>
    <definedName name="OtherFinancialAssets">#REF!</definedName>
    <definedName name="OtherFinItems">#REF!</definedName>
    <definedName name="OtherFixedAssets">#REF!</definedName>
    <definedName name="OtherLongTermLiabilities">#REF!</definedName>
    <definedName name="OtherOperatingExpenses">#REF!</definedName>
    <definedName name="OtherProvisions">#REF!</definedName>
    <definedName name="OtherRevenue">#REF!</definedName>
    <definedName name="OtherTradeFinancing">#REF!</definedName>
    <definedName name="OtherTradeFinancingSalesDays">#REF!</definedName>
    <definedName name="OthNonCashAdjustments">#REF!</definedName>
    <definedName name="OutputProfitType">#REF!</definedName>
    <definedName name="OutstandandingShareNomAvg">#REF!</definedName>
    <definedName name="OutstandandingShareNomAvgClass1">#REF!</definedName>
    <definedName name="OutstandandingShareNomAvgClass2">#REF!</definedName>
    <definedName name="OutstandingConvertibleNomAvg">#REF!</definedName>
    <definedName name="OutstandingConvertibleNomYe">#REF!</definedName>
    <definedName name="OutstandingPrefShareNomAvg">#REF!</definedName>
    <definedName name="OutstandingPrefSharesNomYe">#REF!</definedName>
    <definedName name="OutstandingShareNomYe">#REF!</definedName>
    <definedName name="OutstandingShareNomYeClass1">#REF!</definedName>
    <definedName name="OutstandingShareNomYeClass2">#REF!</definedName>
    <definedName name="PayOutRatio">#REF!</definedName>
    <definedName name="PBTME">#REF!</definedName>
    <definedName name="PBV_Today">#REF!</definedName>
    <definedName name="PBV_Ye">#REF!</definedName>
    <definedName name="PBVForward">#REF!</definedName>
    <definedName name="Peer1FiveYear">#REF!</definedName>
    <definedName name="Peer1FiveYearRebased">#REF!</definedName>
    <definedName name="Peer1Label">#REF!</definedName>
    <definedName name="Peer1Name">#REF!</definedName>
    <definedName name="Peer1Year">#REF!</definedName>
    <definedName name="Peer1YearRebased">#REF!</definedName>
    <definedName name="Peer2Label">#REF!</definedName>
    <definedName name="Peer2Name">#REF!</definedName>
    <definedName name="Peer2Year">#REF!</definedName>
    <definedName name="Peer2YearRebased">#REF!</definedName>
    <definedName name="PEForward">#REF!</definedName>
    <definedName name="PensionProvisions">#REF!</definedName>
    <definedName name="PER_Today">#REF!</definedName>
    <definedName name="PER_Ye">#REF!</definedName>
    <definedName name="PercentOfShares1">#REF!</definedName>
    <definedName name="PercentOfShares2">#REF!</definedName>
    <definedName name="PercentOfShares3">#REF!</definedName>
    <definedName name="PercentOfVotes1">#REF!</definedName>
    <definedName name="PercentOfVotes2">#REF!</definedName>
    <definedName name="PercentOfVotes3">#REF!</definedName>
    <definedName name="Perfdata">#REF!</definedName>
    <definedName name="PERrelative_Today">#REF!</definedName>
    <definedName name="PERrelative_Ye">#REF!</definedName>
    <definedName name="PeTrail">#REF!</definedName>
    <definedName name="PhoneNo">#REF!</definedName>
    <definedName name="PNAV_Today">#REF!</definedName>
    <definedName name="PNAV_Ye">#REF!</definedName>
    <definedName name="ppp" localSheetId="1" hidden="1">{"Geographic P1",#N/A,FALSE,"Division &amp; Geog"}</definedName>
    <definedName name="ppp" localSheetId="2" hidden="1">{"Geographic P1",#N/A,FALSE,"Division &amp; Geog"}</definedName>
    <definedName name="ppp" localSheetId="19" hidden="1">{"Geographic P1",#N/A,FALSE,"Division &amp; Geog"}</definedName>
    <definedName name="ppp" localSheetId="21" hidden="1">{"Geographic P1",#N/A,FALSE,"Division &amp; Geog"}</definedName>
    <definedName name="ppp" hidden="1">{"Geographic P1",#N/A,FALSE,"Division &amp; Geog"}</definedName>
    <definedName name="pppp" localSheetId="1" hidden="1">{"Five Year Record",#N/A,FALSE,"Front and Back"}</definedName>
    <definedName name="pppp" localSheetId="2" hidden="1">{"Five Year Record",#N/A,FALSE,"Front and Back"}</definedName>
    <definedName name="pppp" localSheetId="19" hidden="1">{"Five Year Record",#N/A,FALSE,"Front and Back"}</definedName>
    <definedName name="pppp" localSheetId="21" hidden="1">{"Five Year Record",#N/A,FALSE,"Front and Back"}</definedName>
    <definedName name="pppp" hidden="1">{"Five Year Record",#N/A,FALSE,"Front and Back"}</definedName>
    <definedName name="ppppppppppppppppppppppppppppp" localSheetId="1" hidden="1">{"FTSE100","COMPANIES",TRUE}</definedName>
    <definedName name="ppppppppppppppppppppppppppppp" localSheetId="2" hidden="1">{"FTSE100","COMPANIES",TRUE}</definedName>
    <definedName name="ppppppppppppppppppppppppppppp" localSheetId="19" hidden="1">{"FTSE100","COMPANIES",TRUE}</definedName>
    <definedName name="ppppppppppppppppppppppppppppp" localSheetId="21" hidden="1">{"FTSE100","COMPANIES",TRUE}</definedName>
    <definedName name="ppppppppppppppppppppppppppppp" hidden="1">{"FTSE100","COMPANIES",TRUE}</definedName>
    <definedName name="PrefNewIssueMonth">#REF!</definedName>
    <definedName name="PrefNewIssuePricePerShare">#REF!</definedName>
    <definedName name="PrefsIssueSplitNoNewShare">#REF!</definedName>
    <definedName name="PremiumFund">#REF!</definedName>
    <definedName name="PretaxMargin">#REF!</definedName>
    <definedName name="PretaxProfit">#REF!</definedName>
    <definedName name="Price_Avg">#REF!</definedName>
    <definedName name="Price_High">#REF!</definedName>
    <definedName name="Price_Low">#REF!</definedName>
    <definedName name="Price_Today">#REF!</definedName>
    <definedName name="Price_Ye">#REF!</definedName>
    <definedName name="PriceCurrencyShort">#REF!</definedName>
    <definedName name="PriceDate">#REF!</definedName>
    <definedName name="PriceFiveYear">#REF!</definedName>
    <definedName name="PriceFiveYearPeer1">#REF!</definedName>
    <definedName name="PriceYear">#REF!</definedName>
    <definedName name="PriceYearPeer1">#REF!</definedName>
    <definedName name="PriceYearPeer2">#REF!</definedName>
    <definedName name="Print_CSC_Report_2" localSheetId="1" hidden="1">{"CSC_1",#N/A,FALSE,"CSC Outputs";"CSC_2",#N/A,FALSE,"CSC Outputs"}</definedName>
    <definedName name="Print_CSC_Report_2" localSheetId="2" hidden="1">{"CSC_1",#N/A,FALSE,"CSC Outputs";"CSC_2",#N/A,FALSE,"CSC Outputs"}</definedName>
    <definedName name="Print_CSC_Report_2" localSheetId="19" hidden="1">{"CSC_1",#N/A,FALSE,"CSC Outputs";"CSC_2",#N/A,FALSE,"CSC Outputs"}</definedName>
    <definedName name="Print_CSC_Report_2" localSheetId="21" hidden="1">{"CSC_1",#N/A,FALSE,"CSC Outputs";"CSC_2",#N/A,FALSE,"CSC Outputs"}</definedName>
    <definedName name="Print_CSC_Report_2" hidden="1">{"CSC_1",#N/A,FALSE,"CSC Outputs";"CSC_2",#N/A,FALSE,"CSC Outputs"}</definedName>
    <definedName name="Print_CSC_Report_3" localSheetId="1" hidden="1">{"CSC_1",#N/A,FALSE,"CSC Outputs";"CSC_2",#N/A,FALSE,"CSC Outputs"}</definedName>
    <definedName name="Print_CSC_Report_3" localSheetId="2" hidden="1">{"CSC_1",#N/A,FALSE,"CSC Outputs";"CSC_2",#N/A,FALSE,"CSC Outputs"}</definedName>
    <definedName name="Print_CSC_Report_3" localSheetId="19" hidden="1">{"CSC_1",#N/A,FALSE,"CSC Outputs";"CSC_2",#N/A,FALSE,"CSC Outputs"}</definedName>
    <definedName name="Print_CSC_Report_3" localSheetId="21" hidden="1">{"CSC_1",#N/A,FALSE,"CSC Outputs";"CSC_2",#N/A,FALSE,"CSC Outputs"}</definedName>
    <definedName name="Print_CSC_Report_3" hidden="1">{"CSC_1",#N/A,FALSE,"CSC Outputs";"CSC_2",#N/A,FALSE,"CSC Outputs"}</definedName>
    <definedName name="ProfitBeforeDepreciation">#REF!</definedName>
    <definedName name="PropertyBookValue">#REF!</definedName>
    <definedName name="PropertyDomestic">#REF!</definedName>
    <definedName name="PropertyMarketValue">#REF!</definedName>
    <definedName name="PropertyOccupancy">#REF!</definedName>
    <definedName name="PropertyRentalArea">#REF!</definedName>
    <definedName name="PropertyYieldRequirement">#REF!</definedName>
    <definedName name="Q2Div">#REF!</definedName>
    <definedName name="Q2Group">#REF!</definedName>
    <definedName name="Q3Div">#REF!</definedName>
    <definedName name="Q3Group">#REF!</definedName>
    <definedName name="qq" localSheetId="1" hidden="1">{"Back Page",#N/A,FALSE,"Front and Back"}</definedName>
    <definedName name="qq" localSheetId="2" hidden="1">{"Back Page",#N/A,FALSE,"Front and Back"}</definedName>
    <definedName name="qq" localSheetId="19" hidden="1">{"Back Page",#N/A,FALSE,"Front and Back"}</definedName>
    <definedName name="qq" localSheetId="21" hidden="1">{"Back Page",#N/A,FALSE,"Front and Back"}</definedName>
    <definedName name="qq" hidden="1">{"Back Page",#N/A,FALSE,"Front and Back"}</definedName>
    <definedName name="qqqqqqqqqqqqqqqqqqqqqqq" localSheetId="1" hidden="1">{"Five Year Record",#N/A,FALSE,"Front and Back"}</definedName>
    <definedName name="qqqqqqqqqqqqqqqqqqqqqqq" localSheetId="2" hidden="1">{"Five Year Record",#N/A,FALSE,"Front and Back"}</definedName>
    <definedName name="qqqqqqqqqqqqqqqqqqqqqqq" localSheetId="19" hidden="1">{"Five Year Record",#N/A,FALSE,"Front and Back"}</definedName>
    <definedName name="qqqqqqqqqqqqqqqqqqqqqqq" localSheetId="21" hidden="1">{"Five Year Record",#N/A,FALSE,"Front and Back"}</definedName>
    <definedName name="qqqqqqqqqqqqqqqqqqqqqqq" hidden="1">{"Five Year Record",#N/A,FALSE,"Front and Back"}</definedName>
    <definedName name="qqqqqqqqqqqqqqqqqqqqqqqqqqq" localSheetId="1" hidden="1">{"Front Page",#N/A,FALSE,"Front and Back"}</definedName>
    <definedName name="qqqqqqqqqqqqqqqqqqqqqqqqqqq" localSheetId="2" hidden="1">{"Front Page",#N/A,FALSE,"Front and Back"}</definedName>
    <definedName name="qqqqqqqqqqqqqqqqqqqqqqqqqqq" localSheetId="19" hidden="1">{"Front Page",#N/A,FALSE,"Front and Back"}</definedName>
    <definedName name="qqqqqqqqqqqqqqqqqqqqqqqqqqq" localSheetId="21" hidden="1">{"Front Page",#N/A,FALSE,"Front and Back"}</definedName>
    <definedName name="qqqqqqqqqqqqqqqqqqqqqqqqqqq" hidden="1">{"Front Page",#N/A,FALSE,"Front and Back"}</definedName>
    <definedName name="qqqqqqqqqqqqqqqqqqqqqqqqqqqqqqqqq" localSheetId="1" hidden="1">{"Five Year Record",#N/A,FALSE,"Front and Back"}</definedName>
    <definedName name="qqqqqqqqqqqqqqqqqqqqqqqqqqqqqqqqq" localSheetId="2" hidden="1">{"Five Year Record",#N/A,FALSE,"Front and Back"}</definedName>
    <definedName name="qqqqqqqqqqqqqqqqqqqqqqqqqqqqqqqqq" localSheetId="19" hidden="1">{"Five Year Record",#N/A,FALSE,"Front and Back"}</definedName>
    <definedName name="qqqqqqqqqqqqqqqqqqqqqqqqqqqqqqqqq" localSheetId="21" hidden="1">{"Five Year Record",#N/A,FALSE,"Front and Back"}</definedName>
    <definedName name="qqqqqqqqqqqqqqqqqqqqqqqqqqqqqqqqq" hidden="1">{"Five Year Record",#N/A,FALSE,"Front and Back"}</definedName>
    <definedName name="qqqqqqqqqqqqqqqqqqqqqqqqqqqqqqqqqqq" localSheetId="1" hidden="1">{"Geographic P1",#N/A,FALSE,"Division &amp; Geog"}</definedName>
    <definedName name="qqqqqqqqqqqqqqqqqqqqqqqqqqqqqqqqqqq" localSheetId="2" hidden="1">{"Geographic P1",#N/A,FALSE,"Division &amp; Geog"}</definedName>
    <definedName name="qqqqqqqqqqqqqqqqqqqqqqqqqqqqqqqqqqq" localSheetId="19" hidden="1">{"Geographic P1",#N/A,FALSE,"Division &amp; Geog"}</definedName>
    <definedName name="qqqqqqqqqqqqqqqqqqqqqqqqqqqqqqqqqqq" localSheetId="21" hidden="1">{"Geographic P1",#N/A,FALSE,"Division &amp; Geog"}</definedName>
    <definedName name="qqqqqqqqqqqqqqqqqqqqqqqqqqqqqqqqqqq" hidden="1">{"Geographic P1",#N/A,FALSE,"Division &amp; Geog"}</definedName>
    <definedName name="qqqqqqqqqqqqqqqqqqqqqqqqqqqqqqqqqqqq" localSheetId="1" hidden="1">{"PAGE1",#N/A,FALSE,"Consolidation";"PAGE2",#N/A,FALSE,"Consolidation";"PAGE3",#N/A,FALSE,"Consolidation";"PAGE4",#N/A,FALSE,"Consolidation";"PAGE5",#N/A,FALSE,"Consolidation";"PAGE6",#N/A,FALSE,"Consolidation";"PAGE7",#N/A,FALSE,"Consolidation"}</definedName>
    <definedName name="qqqqqqqqqqqqqqqqqqqqqqqqqqqqqqqqqqqq" localSheetId="2" hidden="1">{"PAGE1",#N/A,FALSE,"Consolidation";"PAGE2",#N/A,FALSE,"Consolidation";"PAGE3",#N/A,FALSE,"Consolidation";"PAGE4",#N/A,FALSE,"Consolidation";"PAGE5",#N/A,FALSE,"Consolidation";"PAGE6",#N/A,FALSE,"Consolidation";"PAGE7",#N/A,FALSE,"Consolidation"}</definedName>
    <definedName name="qqqqqqqqqqqqqqqqqqqqqqqqqqqqqqqqqqqq" localSheetId="19" hidden="1">{"PAGE1",#N/A,FALSE,"Consolidation";"PAGE2",#N/A,FALSE,"Consolidation";"PAGE3",#N/A,FALSE,"Consolidation";"PAGE4",#N/A,FALSE,"Consolidation";"PAGE5",#N/A,FALSE,"Consolidation";"PAGE6",#N/A,FALSE,"Consolidation";"PAGE7",#N/A,FALSE,"Consolidation"}</definedName>
    <definedName name="qqqqqqqqqqqqqqqqqqqqqqqqqqqqqqqqqqqq" localSheetId="21" hidden="1">{"PAGE1",#N/A,FALSE,"Consolidation";"PAGE2",#N/A,FALSE,"Consolidation";"PAGE3",#N/A,FALSE,"Consolidation";"PAGE4",#N/A,FALSE,"Consolidation";"PAGE5",#N/A,FALSE,"Consolidation";"PAGE6",#N/A,FALSE,"Consolidation";"PAGE7",#N/A,FALSE,"Consolidation"}</definedName>
    <definedName name="qqqqqqqqqqqqqqqqqqqqqqqqqqqqqqqqqqqq" hidden="1">{"PAGE1",#N/A,FALSE,"Consolidation";"PAGE2",#N/A,FALSE,"Consolidation";"PAGE3",#N/A,FALSE,"Consolidation";"PAGE4",#N/A,FALSE,"Consolidation";"PAGE5",#N/A,FALSE,"Consolidation";"PAGE6",#N/A,FALSE,"Consolidation";"PAGE7",#N/A,FALSE,"Consolidation"}</definedName>
    <definedName name="QuickRatio">#REF!</definedName>
    <definedName name="Quicky">#REF!</definedName>
    <definedName name="Recommendation">#REF!</definedName>
    <definedName name="RecommendationDate">#REF!</definedName>
    <definedName name="RecommendationText">#REF!</definedName>
    <definedName name="RelLocalMarket12m">#REF!</definedName>
    <definedName name="RelLocalMarket1m">#REF!</definedName>
    <definedName name="RelLocalMarket3m">#REF!</definedName>
    <definedName name="RelLocalMarketId">#REF!</definedName>
    <definedName name="RelLocalMarketName">#REF!</definedName>
    <definedName name="RelRegionalMarket12m">#REF!</definedName>
    <definedName name="RelRegionalMarket1m">#REF!</definedName>
    <definedName name="RelRegionalMarket3m">#REF!</definedName>
    <definedName name="RelRegionalMarketId">#REF!</definedName>
    <definedName name="RelSector12m">#REF!</definedName>
    <definedName name="RelSector1m">#REF!</definedName>
    <definedName name="RelSector3m">#REF!</definedName>
    <definedName name="RelSectorMarketId">#REF!</definedName>
    <definedName name="rename_of_wrn.CSC" localSheetId="1" hidden="1">{"page1",#N/A,TRUE,"CSC";"page2",#N/A,TRUE,"CSC"}</definedName>
    <definedName name="rename_of_wrn.CSC" localSheetId="2" hidden="1">{"page1",#N/A,TRUE,"CSC";"page2",#N/A,TRUE,"CSC"}</definedName>
    <definedName name="rename_of_wrn.CSC" localSheetId="19" hidden="1">{"page1",#N/A,TRUE,"CSC";"page2",#N/A,TRUE,"CSC"}</definedName>
    <definedName name="rename_of_wrn.CSC" localSheetId="21" hidden="1">{"page1",#N/A,TRUE,"CSC";"page2",#N/A,TRUE,"CSC"}</definedName>
    <definedName name="rename_of_wrn.CSC" hidden="1">{"page1",#N/A,TRUE,"CSC";"page2",#N/A,TRUE,"CSC"}</definedName>
    <definedName name="RepEps">#REF!</definedName>
    <definedName name="reqdetails" localSheetId="2">#REF!</definedName>
    <definedName name="reqdetails">#REF!</definedName>
    <definedName name="ResearchDevelopment">#REF!</definedName>
    <definedName name="ResearchDevelopmentMarketing">#REF!</definedName>
    <definedName name="RetainedEarnings">#REF!</definedName>
    <definedName name="ReuterCode">#REF!</definedName>
    <definedName name="RoA">#REF!</definedName>
    <definedName name="RoCE">#REF!</definedName>
    <definedName name="RoE">#REF!</definedName>
    <definedName name="rrrrrrrrrrrrrrrrrrrrrr" localSheetId="1" hidden="1">{"Back Page",#N/A,FALSE,"Front and Back"}</definedName>
    <definedName name="rrrrrrrrrrrrrrrrrrrrrr" localSheetId="2" hidden="1">{"Back Page",#N/A,FALSE,"Front and Back"}</definedName>
    <definedName name="rrrrrrrrrrrrrrrrrrrrrr" localSheetId="19" hidden="1">{"Back Page",#N/A,FALSE,"Front and Back"}</definedName>
    <definedName name="rrrrrrrrrrrrrrrrrrrrrr" localSheetId="21" hidden="1">{"Back Page",#N/A,FALSE,"Front and Back"}</definedName>
    <definedName name="rrrrrrrrrrrrrrrrrrrrrr" hidden="1">{"Back Page",#N/A,FALSE,"Front and Back"}</definedName>
    <definedName name="s" localSheetId="2">#REF!</definedName>
    <definedName name="s" localSheetId="12">#REF!</definedName>
    <definedName name="s" localSheetId="23">#REF!</definedName>
    <definedName name="s">#REF!</definedName>
    <definedName name="sales08">#REF!</definedName>
    <definedName name="sales09">#REF!</definedName>
    <definedName name="sales10">#REF!</definedName>
    <definedName name="SalesAssetsRatio">#REF!</definedName>
    <definedName name="Schedule" localSheetId="2">#REF!</definedName>
    <definedName name="Schedule">#REF!</definedName>
    <definedName name="SecondaryInstrumentId">#REF!</definedName>
    <definedName name="SectorIndexLabel">#REF!</definedName>
    <definedName name="SectorIndexName">#REF!</definedName>
    <definedName name="SectorIndexYear">#REF!</definedName>
    <definedName name="SectorIndexYearRebased">#REF!</definedName>
    <definedName name="SecuritiesPerAccountAvg">#REF!</definedName>
    <definedName name="SelCompanyID">#REF!</definedName>
    <definedName name="SelCurrency">#REF!</definedName>
    <definedName name="SelCurrencyM">#REF!</definedName>
    <definedName name="Setup" localSheetId="2">#REF!</definedName>
    <definedName name="Setup">#REF!</definedName>
    <definedName name="sFormat" localSheetId="2">#REF!</definedName>
    <definedName name="sFormat">#REF!</definedName>
    <definedName name="sFreq" localSheetId="2">#REF!</definedName>
    <definedName name="sFreq">#REF!</definedName>
    <definedName name="sgdzhet" localSheetId="1" hidden="1">{"subs",#N/A,FALSE,"database ";"proportional",#N/A,FALSE,"database "}</definedName>
    <definedName name="sgdzhet" localSheetId="2" hidden="1">{"subs",#N/A,FALSE,"database ";"proportional",#N/A,FALSE,"database "}</definedName>
    <definedName name="sgdzhet" localSheetId="19" hidden="1">{"subs",#N/A,FALSE,"database ";"proportional",#N/A,FALSE,"database "}</definedName>
    <definedName name="sgdzhet" localSheetId="21" hidden="1">{"subs",#N/A,FALSE,"database ";"proportional",#N/A,FALSE,"database "}</definedName>
    <definedName name="sgdzhet" hidden="1">{"subs",#N/A,FALSE,"database ";"proportional",#N/A,FALSE,"database "}</definedName>
    <definedName name="ShareCapital">#REF!</definedName>
    <definedName name="ShareHolder1">#REF!</definedName>
    <definedName name="ShareHolder2">#REF!</definedName>
    <definedName name="ShareHolder3">#REF!</definedName>
    <definedName name="ShareholderForeignShares">#REF!</definedName>
    <definedName name="ShareholderForeignVotes">#REF!</definedName>
    <definedName name="ShareholdersEquity">#REF!</definedName>
    <definedName name="ShareIssue">#REF!</definedName>
    <definedName name="sheet" localSheetId="1" hidden="1">{"Assumptions1",#N/A,FALSE,"Assumptions";"MergerPlans1","20yearamort",FALSE,"MergerPlans";"MergerPlans1","40yearamort",FALSE,"MergerPlans";"MergerPlans2",#N/A,FALSE,"MergerPlans";"inputs",#N/A,FALSE,"MergerPlans"}</definedName>
    <definedName name="sheet" localSheetId="2" hidden="1">{"Assumptions1",#N/A,FALSE,"Assumptions";"MergerPlans1","20yearamort",FALSE,"MergerPlans";"MergerPlans1","40yearamort",FALSE,"MergerPlans";"MergerPlans2",#N/A,FALSE,"MergerPlans";"inputs",#N/A,FALSE,"MergerPlans"}</definedName>
    <definedName name="sheet" localSheetId="19" hidden="1">{"Assumptions1",#N/A,FALSE,"Assumptions";"MergerPlans1","20yearamort",FALSE,"MergerPlans";"MergerPlans1","40yearamort",FALSE,"MergerPlans";"MergerPlans2",#N/A,FALSE,"MergerPlans";"inputs",#N/A,FALSE,"MergerPlans"}</definedName>
    <definedName name="sheet" localSheetId="21" hidden="1">{"Assumptions1",#N/A,FALSE,"Assumptions";"MergerPlans1","20yearamort",FALSE,"MergerPlans";"MergerPlans1","40yearamort",FALSE,"MergerPlans";"MergerPlans2",#N/A,FALSE,"MergerPlans";"inputs",#N/A,FALSE,"MergerPlans"}</definedName>
    <definedName name="sheet" hidden="1">{"Assumptions1",#N/A,FALSE,"Assumptions";"MergerPlans1","20yearamort",FALSE,"MergerPlans";"MergerPlans1","40yearamort",FALSE,"MergerPlans";"MergerPlans2",#N/A,FALSE,"MergerPlans";"inputs",#N/A,FALSE,"MergerPlans"}</definedName>
    <definedName name="ShortTermInterestBearingDebt">#REF!</definedName>
    <definedName name="ShOut">#REF!</definedName>
    <definedName name="ShowDetails" localSheetId="2">#REF!</definedName>
    <definedName name="ShowDetails">#REF!</definedName>
    <definedName name="SmallCap">#REF!</definedName>
    <definedName name="SmallCapCase">#REF!</definedName>
    <definedName name="SmallCapConcern">#REF!</definedName>
    <definedName name="SmallCapValuation">#REF!</definedName>
    <definedName name="solver_adj" localSheetId="19" hidden="1">'Aerospace Propulsion Division'!$T$160</definedName>
    <definedName name="solver_cvg" localSheetId="19" hidden="1">0.0001</definedName>
    <definedName name="solver_drv" localSheetId="19" hidden="1">1</definedName>
    <definedName name="solver_eng" localSheetId="19" hidden="1">1</definedName>
    <definedName name="solver_est" localSheetId="19" hidden="1">1</definedName>
    <definedName name="solver_itr" localSheetId="19" hidden="1">2147483647</definedName>
    <definedName name="solver_lin" hidden="1">0</definedName>
    <definedName name="solver_mip" localSheetId="19" hidden="1">2147483647</definedName>
    <definedName name="solver_mni" localSheetId="19" hidden="1">30</definedName>
    <definedName name="solver_mrt" localSheetId="19" hidden="1">0.075</definedName>
    <definedName name="solver_msl" localSheetId="19" hidden="1">2</definedName>
    <definedName name="solver_neg" localSheetId="19" hidden="1">1</definedName>
    <definedName name="solver_nod" localSheetId="19" hidden="1">2147483647</definedName>
    <definedName name="solver_num" localSheetId="19" hidden="1">0</definedName>
    <definedName name="solver_num" hidden="1">0</definedName>
    <definedName name="solver_nwt" localSheetId="19" hidden="1">1</definedName>
    <definedName name="solver_opt" localSheetId="19" hidden="1">'Aerospace Propulsion Division'!#REF!</definedName>
    <definedName name="solver_pre" localSheetId="19" hidden="1">0.000001</definedName>
    <definedName name="solver_rbv" localSheetId="19" hidden="1">1</definedName>
    <definedName name="solver_rlx" localSheetId="19" hidden="1">2</definedName>
    <definedName name="solver_rsd" localSheetId="19" hidden="1">0</definedName>
    <definedName name="solver_scl" localSheetId="19" hidden="1">1</definedName>
    <definedName name="solver_sho" localSheetId="19" hidden="1">2</definedName>
    <definedName name="solver_ssz" localSheetId="19" hidden="1">100</definedName>
    <definedName name="solver_tim" localSheetId="19" hidden="1">2147483647</definedName>
    <definedName name="solver_tol" localSheetId="19" hidden="1">0.01</definedName>
    <definedName name="solver_typ" localSheetId="19" hidden="1">3</definedName>
    <definedName name="solver_typ" hidden="1">3</definedName>
    <definedName name="solver_val" localSheetId="19" hidden="1">5300</definedName>
    <definedName name="solver_val" hidden="1">0.1076</definedName>
    <definedName name="solver_ver" localSheetId="19" hidden="1">3</definedName>
    <definedName name="Source">#REF!</definedName>
    <definedName name="srn" localSheetId="1" hidden="1">{"ANNUAL",#N/A,FALSE,"DDCLINK";"DDC94",#N/A,FALSE,"DDCLINK"}</definedName>
    <definedName name="srn" localSheetId="2" hidden="1">{"ANNUAL",#N/A,FALSE,"DDCLINK";"DDC94",#N/A,FALSE,"DDCLINK"}</definedName>
    <definedName name="srn" localSheetId="19" hidden="1">{"ANNUAL",#N/A,FALSE,"DDCLINK";"DDC94",#N/A,FALSE,"DDCLINK"}</definedName>
    <definedName name="srn" localSheetId="21" hidden="1">{"ANNUAL",#N/A,FALSE,"DDCLINK";"DDC94",#N/A,FALSE,"DDCLINK"}</definedName>
    <definedName name="srn" hidden="1">{"ANNUAL",#N/A,FALSE,"DDCLINK";"DDC94",#N/A,FALSE,"DDCLINK"}</definedName>
    <definedName name="ss" localSheetId="1" hidden="1">{"P and L",#N/A,FALSE,"Financial Output";"Cashflow",#N/A,FALSE,"Financial Output";"Balance Sheet",#N/A,FALSE,"Financial Output"}</definedName>
    <definedName name="ss" localSheetId="2" hidden="1">{"P and L",#N/A,FALSE,"Financial Output";"Cashflow",#N/A,FALSE,"Financial Output";"Balance Sheet",#N/A,FALSE,"Financial Output"}</definedName>
    <definedName name="ss" localSheetId="19" hidden="1">{"P and L",#N/A,FALSE,"Financial Output";"Cashflow",#N/A,FALSE,"Financial Output";"Balance Sheet",#N/A,FALSE,"Financial Output"}</definedName>
    <definedName name="ss" localSheetId="21" hidden="1">{"P and L",#N/A,FALSE,"Financial Output";"Cashflow",#N/A,FALSE,"Financial Output";"Balance Sheet",#N/A,FALSE,"Financial Output"}</definedName>
    <definedName name="ss" hidden="1">{"P and L",#N/A,FALSE,"Financial Output";"Cashflow",#N/A,FALSE,"Financial Output";"Balance Sheet",#N/A,FALSE,"Financial Output"}</definedName>
    <definedName name="ssss" localSheetId="1" hidden="1">{"P and L Detail Page 1",#N/A,FALSE,"Data";"P and L Detail Page 2",#N/A,FALSE,"Data"}</definedName>
    <definedName name="ssss" localSheetId="2" hidden="1">{"P and L Detail Page 1",#N/A,FALSE,"Data";"P and L Detail Page 2",#N/A,FALSE,"Data"}</definedName>
    <definedName name="ssss" localSheetId="19" hidden="1">{"P and L Detail Page 1",#N/A,FALSE,"Data";"P and L Detail Page 2",#N/A,FALSE,"Data"}</definedName>
    <definedName name="ssss" localSheetId="21" hidden="1">{"P and L Detail Page 1",#N/A,FALSE,"Data";"P and L Detail Page 2",#N/A,FALSE,"Data"}</definedName>
    <definedName name="ssss" hidden="1">{"P and L Detail Page 1",#N/A,FALSE,"Data";"P and L Detail Page 2",#N/A,FALSE,"Data"}</definedName>
    <definedName name="sssss" localSheetId="1" hidden="1">{"Five Year Record",#N/A,FALSE,"Front and Back"}</definedName>
    <definedName name="sssss" localSheetId="2" hidden="1">{"Five Year Record",#N/A,FALSE,"Front and Back"}</definedName>
    <definedName name="sssss" localSheetId="19" hidden="1">{"Five Year Record",#N/A,FALSE,"Front and Back"}</definedName>
    <definedName name="sssss" localSheetId="21" hidden="1">{"Five Year Record",#N/A,FALSE,"Front and Back"}</definedName>
    <definedName name="sssss" hidden="1">{"Five Year Record",#N/A,FALSE,"Front and Back"}</definedName>
    <definedName name="sTopic" localSheetId="2">#REF!</definedName>
    <definedName name="sTopic">#REF!</definedName>
    <definedName name="sYesNo" localSheetId="2">#REF!</definedName>
    <definedName name="sYesNo">#REF!</definedName>
    <definedName name="Table" localSheetId="2">#REF!</definedName>
    <definedName name="Table">#REF!</definedName>
    <definedName name="TableName" localSheetId="2">#REF!</definedName>
    <definedName name="TableName">#REF!</definedName>
    <definedName name="TaxDeferred">#REF!</definedName>
    <definedName name="TaxesOnExtraOrdinaryItems">#REF!</definedName>
    <definedName name="TaxGainsSaleFixedAssets">#REF!</definedName>
    <definedName name="TaxPaidPretaxPct">#REF!</definedName>
    <definedName name="TaxPaidPretaxProfit">#REF!</definedName>
    <definedName name="test" localSheetId="1" hidden="1">{#N/A,#N/A,FALSE,"F_Plan";#N/A,#N/A,FALSE,"Parameter"}</definedName>
    <definedName name="test" localSheetId="2" hidden="1">{#N/A,#N/A,FALSE,"F_Plan";#N/A,#N/A,FALSE,"Parameter"}</definedName>
    <definedName name="test" localSheetId="19" hidden="1">{#N/A,#N/A,FALSE,"F_Plan";#N/A,#N/A,FALSE,"Parameter"}</definedName>
    <definedName name="test" localSheetId="21" hidden="1">{#N/A,#N/A,FALSE,"F_Plan";#N/A,#N/A,FALSE,"Parameter"}</definedName>
    <definedName name="test" hidden="1">{#N/A,#N/A,FALSE,"F_Plan";#N/A,#N/A,FALSE,"Parameter"}</definedName>
    <definedName name="test1" localSheetId="1" hidden="1">{#N/A,#N/A,FALSE,"Umsatz";#N/A,#N/A,FALSE,"Base V.02";#N/A,#N/A,FALSE,"Charts"}</definedName>
    <definedName name="test1" localSheetId="2" hidden="1">{#N/A,#N/A,FALSE,"Umsatz";#N/A,#N/A,FALSE,"Base V.02";#N/A,#N/A,FALSE,"Charts"}</definedName>
    <definedName name="test1" localSheetId="19" hidden="1">{#N/A,#N/A,FALSE,"Umsatz";#N/A,#N/A,FALSE,"Base V.02";#N/A,#N/A,FALSE,"Charts"}</definedName>
    <definedName name="test1" localSheetId="21" hidden="1">{#N/A,#N/A,FALSE,"Umsatz";#N/A,#N/A,FALSE,"Base V.02";#N/A,#N/A,FALSE,"Charts"}</definedName>
    <definedName name="test1" hidden="1">{#N/A,#N/A,FALSE,"Umsatz";#N/A,#N/A,FALSE,"Base V.02";#N/A,#N/A,FALSE,"Charts"}</definedName>
    <definedName name="test2" localSheetId="1" hidden="1">{#N/A,#N/A,FALSE,"F_Plan";#N/A,#N/A,FALSE,"Parameter"}</definedName>
    <definedName name="test2" localSheetId="2" hidden="1">{#N/A,#N/A,FALSE,"F_Plan";#N/A,#N/A,FALSE,"Parameter"}</definedName>
    <definedName name="test2" localSheetId="19" hidden="1">{#N/A,#N/A,FALSE,"F_Plan";#N/A,#N/A,FALSE,"Parameter"}</definedName>
    <definedName name="test2" localSheetId="21" hidden="1">{#N/A,#N/A,FALSE,"F_Plan";#N/A,#N/A,FALSE,"Parameter"}</definedName>
    <definedName name="test2" hidden="1">{#N/A,#N/A,FALSE,"F_Plan";#N/A,#N/A,FALSE,"Parameter"}</definedName>
    <definedName name="tests" localSheetId="1" hidden="1">{#N/A,#N/A,FALSE,"F_Plan";#N/A,#N/A,FALSE,"Parameter"}</definedName>
    <definedName name="tests" localSheetId="2" hidden="1">{#N/A,#N/A,FALSE,"F_Plan";#N/A,#N/A,FALSE,"Parameter"}</definedName>
    <definedName name="tests" localSheetId="19" hidden="1">{#N/A,#N/A,FALSE,"F_Plan";#N/A,#N/A,FALSE,"Parameter"}</definedName>
    <definedName name="tests" localSheetId="21" hidden="1">{#N/A,#N/A,FALSE,"F_Plan";#N/A,#N/A,FALSE,"Parameter"}</definedName>
    <definedName name="tests" hidden="1">{#N/A,#N/A,FALSE,"F_Plan";#N/A,#N/A,FALSE,"Parameter"}</definedName>
    <definedName name="Ticker">#REF!</definedName>
    <definedName name="Tigr_Exhibit028fd485_1b37_4ed8_94ed_7f18a8c0d292" hidden="1">#REF!</definedName>
    <definedName name="Tigr_Exhibit0302f456_530f_4ef8_8984_f86b24b9b0b7" localSheetId="24" hidden="1">#REF!</definedName>
    <definedName name="Tigr_Exhibit0302f456_530f_4ef8_8984_f86b24b9b0b7" localSheetId="18" hidden="1">#REF!</definedName>
    <definedName name="Tigr_Exhibit0302f456_530f_4ef8_8984_f86b24b9b0b7" localSheetId="12" hidden="1">#REF!</definedName>
    <definedName name="Tigr_Exhibit0302f456_530f_4ef8_8984_f86b24b9b0b7" localSheetId="23" hidden="1">#REF!</definedName>
    <definedName name="Tigr_Exhibit0302f456_530f_4ef8_8984_f86b24b9b0b7" localSheetId="21" hidden="1">#REF!</definedName>
    <definedName name="Tigr_Exhibit0302f456_530f_4ef8_8984_f86b24b9b0b7" hidden="1">#REF!</definedName>
    <definedName name="Tigr_Exhibit03e85314_b577_47f1_b03b_8d0a2ccbf72b" hidden="1">#REF!</definedName>
    <definedName name="Tigr_Exhibit04805e19_8560_4010_a0ca_6abb08205f64" hidden="1">#REF!</definedName>
    <definedName name="Tigr_Exhibit050fd584_e8ca_47ab_ae23_57a1f658e02c" localSheetId="24" hidden="1">#REF!</definedName>
    <definedName name="Tigr_Exhibit050fd584_e8ca_47ab_ae23_57a1f658e02c" localSheetId="1" hidden="1">#REF!</definedName>
    <definedName name="Tigr_Exhibit050fd584_e8ca_47ab_ae23_57a1f658e02c" localSheetId="18" hidden="1">#REF!</definedName>
    <definedName name="Tigr_Exhibit050fd584_e8ca_47ab_ae23_57a1f658e02c" localSheetId="12" hidden="1">#REF!</definedName>
    <definedName name="Tigr_Exhibit050fd584_e8ca_47ab_ae23_57a1f658e02c" localSheetId="23" hidden="1">#REF!</definedName>
    <definedName name="Tigr_Exhibit050fd584_e8ca_47ab_ae23_57a1f658e02c" localSheetId="19" hidden="1">#REF!</definedName>
    <definedName name="Tigr_Exhibit050fd584_e8ca_47ab_ae23_57a1f658e02c" localSheetId="21" hidden="1">#REF!</definedName>
    <definedName name="Tigr_Exhibit050fd584_e8ca_47ab_ae23_57a1f658e02c" hidden="1">#REF!</definedName>
    <definedName name="Tigr_Exhibit063f96a7_334f_4945_97c7_03923e8395ce" localSheetId="24" hidden="1">#REF!</definedName>
    <definedName name="Tigr_Exhibit063f96a7_334f_4945_97c7_03923e8395ce" localSheetId="18" hidden="1">#REF!</definedName>
    <definedName name="Tigr_Exhibit063f96a7_334f_4945_97c7_03923e8395ce" localSheetId="12" hidden="1">#REF!</definedName>
    <definedName name="Tigr_Exhibit063f96a7_334f_4945_97c7_03923e8395ce" localSheetId="23" hidden="1">#REF!</definedName>
    <definedName name="Tigr_Exhibit063f96a7_334f_4945_97c7_03923e8395ce" localSheetId="19" hidden="1">#REF!</definedName>
    <definedName name="Tigr_Exhibit063f96a7_334f_4945_97c7_03923e8395ce" localSheetId="21" hidden="1">#REF!</definedName>
    <definedName name="Tigr_Exhibit063f96a7_334f_4945_97c7_03923e8395ce" hidden="1">#REF!</definedName>
    <definedName name="Tigr_Exhibit09597f33_8561_499d_8acb_c72ef56920f4" hidden="1">#REF!</definedName>
    <definedName name="Tigr_Exhibit097fdbb8_5c7c_490d_b9d7_e070d19008a8" hidden="1">#REF!</definedName>
    <definedName name="Tigr_Exhibit09f1f5bc_aee1_4228_9933_527dd7fd7ce3" hidden="1">#REF!</definedName>
    <definedName name="Tigr_Exhibit0b694bdd_badd_4799_8184_81f693e5888a" hidden="1">#REF!</definedName>
    <definedName name="Tigr_Exhibit0e9d861a_b6b6_495d_ae68_c705d6ee5a03" localSheetId="24" hidden="1">#REF!</definedName>
    <definedName name="Tigr_Exhibit0e9d861a_b6b6_495d_ae68_c705d6ee5a03" localSheetId="1" hidden="1">#REF!</definedName>
    <definedName name="Tigr_Exhibit0e9d861a_b6b6_495d_ae68_c705d6ee5a03" localSheetId="18" hidden="1">#REF!</definedName>
    <definedName name="Tigr_Exhibit0e9d861a_b6b6_495d_ae68_c705d6ee5a03" localSheetId="12" hidden="1">#REF!</definedName>
    <definedName name="Tigr_Exhibit0e9d861a_b6b6_495d_ae68_c705d6ee5a03" localSheetId="23" hidden="1">#REF!</definedName>
    <definedName name="Tigr_Exhibit0e9d861a_b6b6_495d_ae68_c705d6ee5a03" localSheetId="19" hidden="1">#REF!</definedName>
    <definedName name="Tigr_Exhibit0e9d861a_b6b6_495d_ae68_c705d6ee5a03" localSheetId="21" hidden="1">#REF!</definedName>
    <definedName name="Tigr_Exhibit0e9d861a_b6b6_495d_ae68_c705d6ee5a03" hidden="1">#REF!</definedName>
    <definedName name="Tigr_Exhibit0ed84a30_2dca_4d40_9efa_69cf4f557e31" hidden="1">#REF!</definedName>
    <definedName name="Tigr_Exhibit1592cba0_95d7_4860_977f_015d79f5d963" localSheetId="24" hidden="1">#REF!</definedName>
    <definedName name="Tigr_Exhibit1592cba0_95d7_4860_977f_015d79f5d963" localSheetId="1" hidden="1">#REF!</definedName>
    <definedName name="Tigr_Exhibit1592cba0_95d7_4860_977f_015d79f5d963" localSheetId="18" hidden="1">#REF!</definedName>
    <definedName name="Tigr_Exhibit1592cba0_95d7_4860_977f_015d79f5d963" localSheetId="12" hidden="1">#REF!</definedName>
    <definedName name="Tigr_Exhibit1592cba0_95d7_4860_977f_015d79f5d963" localSheetId="23" hidden="1">#REF!</definedName>
    <definedName name="Tigr_Exhibit1592cba0_95d7_4860_977f_015d79f5d963" localSheetId="19" hidden="1">#REF!</definedName>
    <definedName name="Tigr_Exhibit1592cba0_95d7_4860_977f_015d79f5d963" localSheetId="21" hidden="1">#REF!</definedName>
    <definedName name="Tigr_Exhibit1592cba0_95d7_4860_977f_015d79f5d963" hidden="1">#REF!</definedName>
    <definedName name="Tigr_Exhibit15e41a17_7e94_4a1a_9745_5dc864514687" hidden="1">#REF!</definedName>
    <definedName name="Tigr_Exhibit17d573a6_1102_4560_8af9_6700e9d29bb8" localSheetId="24" hidden="1">#REF!</definedName>
    <definedName name="Tigr_Exhibit17d573a6_1102_4560_8af9_6700e9d29bb8" localSheetId="18" hidden="1">#REF!</definedName>
    <definedName name="Tigr_Exhibit17d573a6_1102_4560_8af9_6700e9d29bb8" localSheetId="12" hidden="1">#REF!</definedName>
    <definedName name="Tigr_Exhibit17d573a6_1102_4560_8af9_6700e9d29bb8" localSheetId="23" hidden="1">#REF!</definedName>
    <definedName name="Tigr_Exhibit17d573a6_1102_4560_8af9_6700e9d29bb8" hidden="1">#REF!</definedName>
    <definedName name="Tigr_Exhibit17e90fe5_1003_4e49_b175_9de4cf2aa39a" hidden="1">#REF!</definedName>
    <definedName name="Tigr_Exhibit1a517a42_ff67_4be2_b8ac_e1bc4a03d9bc" hidden="1">#REF!</definedName>
    <definedName name="Tigr_Exhibit1a6b11e0_120d_490f_b3c8_0450ecc77ebd" localSheetId="24" hidden="1">#REF!</definedName>
    <definedName name="Tigr_Exhibit1a6b11e0_120d_490f_b3c8_0450ecc77ebd" localSheetId="1" hidden="1">#REF!</definedName>
    <definedName name="Tigr_Exhibit1a6b11e0_120d_490f_b3c8_0450ecc77ebd" localSheetId="18" hidden="1">#REF!</definedName>
    <definedName name="Tigr_Exhibit1a6b11e0_120d_490f_b3c8_0450ecc77ebd" localSheetId="12" hidden="1">#REF!</definedName>
    <definedName name="Tigr_Exhibit1a6b11e0_120d_490f_b3c8_0450ecc77ebd" localSheetId="23" hidden="1">#REF!</definedName>
    <definedName name="Tigr_Exhibit1a6b11e0_120d_490f_b3c8_0450ecc77ebd" localSheetId="19" hidden="1">#REF!</definedName>
    <definedName name="Tigr_Exhibit1a6b11e0_120d_490f_b3c8_0450ecc77ebd" localSheetId="21" hidden="1">#REF!</definedName>
    <definedName name="Tigr_Exhibit1a6b11e0_120d_490f_b3c8_0450ecc77ebd" hidden="1">#REF!</definedName>
    <definedName name="Tigr_Exhibit1fa97c00_6612_442e_afee_cec6ea87b26a" localSheetId="24" hidden="1">#REF!</definedName>
    <definedName name="Tigr_Exhibit1fa97c00_6612_442e_afee_cec6ea87b26a" localSheetId="18" hidden="1">#REF!</definedName>
    <definedName name="Tigr_Exhibit1fa97c00_6612_442e_afee_cec6ea87b26a" localSheetId="12" hidden="1">#REF!</definedName>
    <definedName name="Tigr_Exhibit1fa97c00_6612_442e_afee_cec6ea87b26a" localSheetId="23" hidden="1">#REF!</definedName>
    <definedName name="Tigr_Exhibit1fa97c00_6612_442e_afee_cec6ea87b26a" localSheetId="19" hidden="1">#REF!</definedName>
    <definedName name="Tigr_Exhibit1fa97c00_6612_442e_afee_cec6ea87b26a" localSheetId="21" hidden="1">#REF!</definedName>
    <definedName name="Tigr_Exhibit1fa97c00_6612_442e_afee_cec6ea87b26a" hidden="1">#REF!</definedName>
    <definedName name="Tigr_Exhibit1ffcbdf4_472a_4079_ad6e_d7e2f6a085e7" hidden="1">#REF!</definedName>
    <definedName name="Tigr_Exhibit209e2849_c935_48b0_b81d_228692de2793" hidden="1">#REF!</definedName>
    <definedName name="Tigr_Exhibit23bf0673_f652_43ad_a270_062203b1d569" localSheetId="24" hidden="1">#REF!</definedName>
    <definedName name="Tigr_Exhibit23bf0673_f652_43ad_a270_062203b1d569" localSheetId="18" hidden="1">#REF!</definedName>
    <definedName name="Tigr_Exhibit23bf0673_f652_43ad_a270_062203b1d569" localSheetId="12" hidden="1">#REF!</definedName>
    <definedName name="Tigr_Exhibit23bf0673_f652_43ad_a270_062203b1d569" localSheetId="23" hidden="1">#REF!</definedName>
    <definedName name="Tigr_Exhibit23bf0673_f652_43ad_a270_062203b1d569" localSheetId="19" hidden="1">#REF!</definedName>
    <definedName name="Tigr_Exhibit23bf0673_f652_43ad_a270_062203b1d569" localSheetId="21" hidden="1">#REF!</definedName>
    <definedName name="Tigr_Exhibit23bf0673_f652_43ad_a270_062203b1d569" hidden="1">#REF!</definedName>
    <definedName name="Tigr_Exhibit24935a98_a1a9_4463_80cb_47718b8b4da7" hidden="1">#REF!</definedName>
    <definedName name="Tigr_Exhibit293adbe7_ad59_42a2_9185_897e9fece8e4" localSheetId="24" hidden="1">CMD!$A$1:$D$7</definedName>
    <definedName name="Tigr_Exhibit293adbe7_ad59_42a2_9185_897e9fece8e4" localSheetId="2" hidden="1">#REF!</definedName>
    <definedName name="Tigr_Exhibit293adbe7_ad59_42a2_9185_897e9fece8e4" localSheetId="18" hidden="1">'GSe vs Consensus'!$A$1:$D$7</definedName>
    <definedName name="Tigr_Exhibit293adbe7_ad59_42a2_9185_897e9fece8e4" localSheetId="12" hidden="1">#REF!</definedName>
    <definedName name="Tigr_Exhibit293adbe7_ad59_42a2_9185_897e9fece8e4" localSheetId="23" hidden="1">#REF!</definedName>
    <definedName name="Tigr_Exhibit293adbe7_ad59_42a2_9185_897e9fece8e4" localSheetId="21" hidden="1">'Results table'!#REF!</definedName>
    <definedName name="Tigr_Exhibit293adbe7_ad59_42a2_9185_897e9fece8e4" hidden="1">#REF!</definedName>
    <definedName name="Tigr_Exhibit2a337612_4ae2_4738_96ce_fd04dc659b23" localSheetId="24" hidden="1">CMD!$A$1:$A$7</definedName>
    <definedName name="Tigr_Exhibit2a337612_4ae2_4738_96ce_fd04dc659b23" localSheetId="2" hidden="1">#REF!</definedName>
    <definedName name="Tigr_Exhibit2a337612_4ae2_4738_96ce_fd04dc659b23" localSheetId="18" hidden="1">'GSe vs Consensus'!$A$1:$A$7</definedName>
    <definedName name="Tigr_Exhibit2a337612_4ae2_4738_96ce_fd04dc659b23" localSheetId="12" hidden="1">#REF!</definedName>
    <definedName name="Tigr_Exhibit2a337612_4ae2_4738_96ce_fd04dc659b23" localSheetId="23" hidden="1">#REF!</definedName>
    <definedName name="Tigr_Exhibit2a337612_4ae2_4738_96ce_fd04dc659b23" localSheetId="21" hidden="1">'Results table'!#REF!</definedName>
    <definedName name="Tigr_Exhibit2a337612_4ae2_4738_96ce_fd04dc659b23" hidden="1">#REF!</definedName>
    <definedName name="Tigr_Exhibit2cb3c787_24d1_4df9_91db_fd0c414feb51" hidden="1">#REF!</definedName>
    <definedName name="Tigr_Exhibit2ec3c61e_440f_48f6_9c44_eb4d9f40ec75" localSheetId="24" hidden="1">#REF!</definedName>
    <definedName name="Tigr_Exhibit2ec3c61e_440f_48f6_9c44_eb4d9f40ec75" localSheetId="1" hidden="1">#REF!</definedName>
    <definedName name="Tigr_Exhibit2ec3c61e_440f_48f6_9c44_eb4d9f40ec75" localSheetId="2" hidden="1">#REF!</definedName>
    <definedName name="Tigr_Exhibit2ec3c61e_440f_48f6_9c44_eb4d9f40ec75" localSheetId="18" hidden="1">#REF!</definedName>
    <definedName name="Tigr_Exhibit2ec3c61e_440f_48f6_9c44_eb4d9f40ec75" localSheetId="12" hidden="1">#REF!</definedName>
    <definedName name="Tigr_Exhibit2ec3c61e_440f_48f6_9c44_eb4d9f40ec75" localSheetId="23" hidden="1">#REF!</definedName>
    <definedName name="Tigr_Exhibit2ec3c61e_440f_48f6_9c44_eb4d9f40ec75" localSheetId="19" hidden="1">#REF!</definedName>
    <definedName name="Tigr_Exhibit2ec3c61e_440f_48f6_9c44_eb4d9f40ec75" localSheetId="21" hidden="1">#REF!</definedName>
    <definedName name="Tigr_Exhibit2ec3c61e_440f_48f6_9c44_eb4d9f40ec75" hidden="1">#REF!</definedName>
    <definedName name="Tigr_Exhibit30ad66da_7ea6_4eb2_88b1_6d3332ad88ac" localSheetId="2" hidden="1">#REF!</definedName>
    <definedName name="Tigr_Exhibit30ad66da_7ea6_4eb2_88b1_6d3332ad88ac" hidden="1">#REF!</definedName>
    <definedName name="Tigr_Exhibit317c15d1_f414_4140_ae9a_4e7a6a024be2" hidden="1">#REF!</definedName>
    <definedName name="Tigr_Exhibit34dc2f38_4c33_4260_979b_b424762e3ebc" localSheetId="24" hidden="1">#REF!</definedName>
    <definedName name="Tigr_Exhibit34dc2f38_4c33_4260_979b_b424762e3ebc" localSheetId="18" hidden="1">#REF!</definedName>
    <definedName name="Tigr_Exhibit34dc2f38_4c33_4260_979b_b424762e3ebc" localSheetId="12" hidden="1">#REF!</definedName>
    <definedName name="Tigr_Exhibit34dc2f38_4c33_4260_979b_b424762e3ebc" localSheetId="23" hidden="1">#REF!</definedName>
    <definedName name="Tigr_Exhibit34dc2f38_4c33_4260_979b_b424762e3ebc" localSheetId="21" hidden="1">#REF!</definedName>
    <definedName name="Tigr_Exhibit34dc2f38_4c33_4260_979b_b424762e3ebc" hidden="1">#REF!</definedName>
    <definedName name="Tigr_Exhibit3626858b_350d_4365_b976_97db8ae79acc" hidden="1">#REF!</definedName>
    <definedName name="Tigr_Exhibit377f7527_e4e0_4a67_915c_b4a232665db7" hidden="1">#REF!</definedName>
    <definedName name="Tigr_Exhibit396bf6ab_47f1_4aad_bea0_f3874c070d33" localSheetId="24" hidden="1">#REF!</definedName>
    <definedName name="Tigr_Exhibit396bf6ab_47f1_4aad_bea0_f3874c070d33" localSheetId="1" hidden="1">#REF!</definedName>
    <definedName name="Tigr_Exhibit396bf6ab_47f1_4aad_bea0_f3874c070d33" localSheetId="18" hidden="1">#REF!</definedName>
    <definedName name="Tigr_Exhibit396bf6ab_47f1_4aad_bea0_f3874c070d33" localSheetId="12" hidden="1">#REF!</definedName>
    <definedName name="Tigr_Exhibit396bf6ab_47f1_4aad_bea0_f3874c070d33" localSheetId="23" hidden="1">#REF!</definedName>
    <definedName name="Tigr_Exhibit396bf6ab_47f1_4aad_bea0_f3874c070d33" localSheetId="19" hidden="1">#REF!</definedName>
    <definedName name="Tigr_Exhibit396bf6ab_47f1_4aad_bea0_f3874c070d33" localSheetId="21" hidden="1">#REF!</definedName>
    <definedName name="Tigr_Exhibit396bf6ab_47f1_4aad_bea0_f3874c070d33" hidden="1">#REF!</definedName>
    <definedName name="Tigr_Exhibit3df4d20f_aeaf_4a27_a74e_9b3bc585b3fb" localSheetId="1" hidden="1">#REF!</definedName>
    <definedName name="Tigr_Exhibit3df4d20f_aeaf_4a27_a74e_9b3bc585b3fb" localSheetId="2" hidden="1">#REF!</definedName>
    <definedName name="Tigr_Exhibit3df4d20f_aeaf_4a27_a74e_9b3bc585b3fb" hidden="1">#REF!</definedName>
    <definedName name="Tigr_Exhibit405e0256_a402_4a56_9006_0d232e8d32ac" localSheetId="2" hidden="1">#REF!</definedName>
    <definedName name="Tigr_Exhibit405e0256_a402_4a56_9006_0d232e8d32ac" localSheetId="12" hidden="1">#REF!</definedName>
    <definedName name="Tigr_Exhibit405e0256_a402_4a56_9006_0d232e8d32ac" hidden="1">#REF!</definedName>
    <definedName name="Tigr_Exhibit4304deff_e9a9_4cb3_824d_9fc446610131" localSheetId="1" hidden="1">#REF!</definedName>
    <definedName name="Tigr_Exhibit4304deff_e9a9_4cb3_824d_9fc446610131" localSheetId="2" hidden="1">#REF!</definedName>
    <definedName name="Tigr_Exhibit4304deff_e9a9_4cb3_824d_9fc446610131" hidden="1">#REF!</definedName>
    <definedName name="Tigr_Exhibit46b4e7f3_ddac_4671_80f7_f21a5559b2b7" localSheetId="24" hidden="1">#REF!</definedName>
    <definedName name="Tigr_Exhibit46b4e7f3_ddac_4671_80f7_f21a5559b2b7" localSheetId="1" hidden="1">#REF!</definedName>
    <definedName name="Tigr_Exhibit46b4e7f3_ddac_4671_80f7_f21a5559b2b7" localSheetId="18" hidden="1">#REF!</definedName>
    <definedName name="Tigr_Exhibit46b4e7f3_ddac_4671_80f7_f21a5559b2b7" localSheetId="12" hidden="1">#REF!</definedName>
    <definedName name="Tigr_Exhibit46b4e7f3_ddac_4671_80f7_f21a5559b2b7" localSheetId="23" hidden="1">#REF!</definedName>
    <definedName name="Tigr_Exhibit46b4e7f3_ddac_4671_80f7_f21a5559b2b7" localSheetId="19" hidden="1">#REF!</definedName>
    <definedName name="Tigr_Exhibit46b4e7f3_ddac_4671_80f7_f21a5559b2b7" localSheetId="21" hidden="1">#REF!</definedName>
    <definedName name="Tigr_Exhibit46b4e7f3_ddac_4671_80f7_f21a5559b2b7" hidden="1">#REF!</definedName>
    <definedName name="Tigr_Exhibit477da07b_1624_4d5b_97be_a963c1717028" localSheetId="24" hidden="1">#REF!</definedName>
    <definedName name="Tigr_Exhibit477da07b_1624_4d5b_97be_a963c1717028" localSheetId="18" hidden="1">#REF!</definedName>
    <definedName name="Tigr_Exhibit477da07b_1624_4d5b_97be_a963c1717028" localSheetId="12" hidden="1">#REF!</definedName>
    <definedName name="Tigr_Exhibit477da07b_1624_4d5b_97be_a963c1717028" localSheetId="23" hidden="1">#REF!</definedName>
    <definedName name="Tigr_Exhibit477da07b_1624_4d5b_97be_a963c1717028" hidden="1">#REF!</definedName>
    <definedName name="Tigr_Exhibit48d7dc8b_e86c_4e9d_ad75_444680fa39b3" hidden="1">#REF!</definedName>
    <definedName name="Tigr_Exhibit4abe3947_f481_48e8_8305_81f5646672a5" hidden="1">#REF!</definedName>
    <definedName name="Tigr_Exhibit4c7545b8_bd03_450b_9c5d_8db7865f67ea" hidden="1">#REF!</definedName>
    <definedName name="Tigr_Exhibit4cae116d_a5d7_44d6_a808_8a2e3b3d17fe" hidden="1">#REF!</definedName>
    <definedName name="Tigr_Exhibit4db33ac6_9516_4942_af8f_de768bc47d36" hidden="1">#REF!</definedName>
    <definedName name="Tigr_Exhibit535b6e57_627d_42ca_ac0f_76ad78be5728" hidden="1">#REF!</definedName>
    <definedName name="Tigr_Exhibit546d557d_2ce9_4f5a_8d3a_a8e77a0e5240" localSheetId="24" hidden="1">CMD!$A$1:$A$7</definedName>
    <definedName name="Tigr_Exhibit546d557d_2ce9_4f5a_8d3a_a8e77a0e5240" localSheetId="2" hidden="1">#REF!</definedName>
    <definedName name="Tigr_Exhibit546d557d_2ce9_4f5a_8d3a_a8e77a0e5240" localSheetId="18" hidden="1">'GSe vs Consensus'!$A$1:$A$7</definedName>
    <definedName name="Tigr_Exhibit546d557d_2ce9_4f5a_8d3a_a8e77a0e5240" localSheetId="12" hidden="1">#REF!</definedName>
    <definedName name="Tigr_Exhibit546d557d_2ce9_4f5a_8d3a_a8e77a0e5240" localSheetId="23" hidden="1">#REF!</definedName>
    <definedName name="Tigr_Exhibit546d557d_2ce9_4f5a_8d3a_a8e77a0e5240" localSheetId="21" hidden="1">'Results table'!#REF!</definedName>
    <definedName name="Tigr_Exhibit546d557d_2ce9_4f5a_8d3a_a8e77a0e5240" hidden="1">#REF!</definedName>
    <definedName name="Tigr_Exhibit550877ef_218d_47e5_a2a8_afcf5d19760d" localSheetId="24" hidden="1">#REF!</definedName>
    <definedName name="Tigr_Exhibit550877ef_218d_47e5_a2a8_afcf5d19760d" localSheetId="18" hidden="1">#REF!</definedName>
    <definedName name="Tigr_Exhibit550877ef_218d_47e5_a2a8_afcf5d19760d" localSheetId="12" hidden="1">#REF!</definedName>
    <definedName name="Tigr_Exhibit550877ef_218d_47e5_a2a8_afcf5d19760d" localSheetId="23" hidden="1">#REF!</definedName>
    <definedName name="Tigr_Exhibit550877ef_218d_47e5_a2a8_afcf5d19760d" localSheetId="21" hidden="1">#REF!</definedName>
    <definedName name="Tigr_Exhibit550877ef_218d_47e5_a2a8_afcf5d19760d" hidden="1">#REF!</definedName>
    <definedName name="Tigr_Exhibit5659d6d2_194d_46ed_be3d_52213b9857cc" localSheetId="24" hidden="1">#REF!</definedName>
    <definedName name="Tigr_Exhibit5659d6d2_194d_46ed_be3d_52213b9857cc" localSheetId="1" hidden="1">#REF!</definedName>
    <definedName name="Tigr_Exhibit5659d6d2_194d_46ed_be3d_52213b9857cc" localSheetId="18" hidden="1">#REF!</definedName>
    <definedName name="Tigr_Exhibit5659d6d2_194d_46ed_be3d_52213b9857cc" localSheetId="12" hidden="1">#REF!</definedName>
    <definedName name="Tigr_Exhibit5659d6d2_194d_46ed_be3d_52213b9857cc" localSheetId="23" hidden="1">#REF!</definedName>
    <definedName name="Tigr_Exhibit5659d6d2_194d_46ed_be3d_52213b9857cc" localSheetId="19" hidden="1">#REF!</definedName>
    <definedName name="Tigr_Exhibit5659d6d2_194d_46ed_be3d_52213b9857cc" localSheetId="21" hidden="1">#REF!</definedName>
    <definedName name="Tigr_Exhibit5659d6d2_194d_46ed_be3d_52213b9857cc" hidden="1">#REF!</definedName>
    <definedName name="Tigr_Exhibit57c26769_cd60_499e_ae76_ecbd4a1c0ac0" hidden="1">#REF!</definedName>
    <definedName name="Tigr_Exhibit595de645_fe0f_416e_aee1_1e83532a9046" hidden="1">#REF!</definedName>
    <definedName name="Tigr_Exhibit5b67c3e2_bfd9_4b00_bccc_a33be4bd5375" hidden="1">#REF!</definedName>
    <definedName name="Tigr_Exhibit5d670e05_6d1b_483a_9d66_a982bec79a8d" hidden="1">#REF!</definedName>
    <definedName name="Tigr_Exhibit5df8f6b8_68a3_42ea_91bf_e7fd67339081" localSheetId="24" hidden="1">#REF!</definedName>
    <definedName name="Tigr_Exhibit5df8f6b8_68a3_42ea_91bf_e7fd67339081" localSheetId="18" hidden="1">#REF!</definedName>
    <definedName name="Tigr_Exhibit5df8f6b8_68a3_42ea_91bf_e7fd67339081" localSheetId="12" hidden="1">#REF!</definedName>
    <definedName name="Tigr_Exhibit5df8f6b8_68a3_42ea_91bf_e7fd67339081" localSheetId="23" hidden="1">#REF!</definedName>
    <definedName name="Tigr_Exhibit5df8f6b8_68a3_42ea_91bf_e7fd67339081" hidden="1">#REF!</definedName>
    <definedName name="Tigr_Exhibit6437d798_a4e1_433f_a04f_859606582a71" localSheetId="24" hidden="1">#REF!</definedName>
    <definedName name="Tigr_Exhibit6437d798_a4e1_433f_a04f_859606582a71" localSheetId="18" hidden="1">#REF!</definedName>
    <definedName name="Tigr_Exhibit6437d798_a4e1_433f_a04f_859606582a71" localSheetId="12" hidden="1">#REF!</definedName>
    <definedName name="Tigr_Exhibit6437d798_a4e1_433f_a04f_859606582a71" localSheetId="23" hidden="1">#REF!</definedName>
    <definedName name="Tigr_Exhibit6437d798_a4e1_433f_a04f_859606582a71" localSheetId="19" hidden="1">#REF!</definedName>
    <definedName name="Tigr_Exhibit6437d798_a4e1_433f_a04f_859606582a71" localSheetId="21" hidden="1">#REF!</definedName>
    <definedName name="Tigr_Exhibit6437d798_a4e1_433f_a04f_859606582a71" hidden="1">#REF!</definedName>
    <definedName name="Tigr_Exhibit6602a83c_d49b_464a_96c0_75ec4b57dfd4" localSheetId="24" hidden="1">#REF!</definedName>
    <definedName name="Tigr_Exhibit6602a83c_d49b_464a_96c0_75ec4b57dfd4" localSheetId="18" hidden="1">#REF!</definedName>
    <definedName name="Tigr_Exhibit6602a83c_d49b_464a_96c0_75ec4b57dfd4" localSheetId="12" hidden="1">#REF!</definedName>
    <definedName name="Tigr_Exhibit6602a83c_d49b_464a_96c0_75ec4b57dfd4" localSheetId="23" hidden="1">#REF!</definedName>
    <definedName name="Tigr_Exhibit6602a83c_d49b_464a_96c0_75ec4b57dfd4" localSheetId="19" hidden="1">#REF!</definedName>
    <definedName name="Tigr_Exhibit6602a83c_d49b_464a_96c0_75ec4b57dfd4" localSheetId="21" hidden="1">#REF!</definedName>
    <definedName name="Tigr_Exhibit6602a83c_d49b_464a_96c0_75ec4b57dfd4" hidden="1">#REF!</definedName>
    <definedName name="Tigr_Exhibit6ada990e_00f4_4290_bbc2_ef95cd7730de" localSheetId="24" hidden="1">CMD!$A$1:$A$7</definedName>
    <definedName name="Tigr_Exhibit6ada990e_00f4_4290_bbc2_ef95cd7730de" localSheetId="2" hidden="1">#REF!</definedName>
    <definedName name="Tigr_Exhibit6ada990e_00f4_4290_bbc2_ef95cd7730de" localSheetId="18" hidden="1">'GSe vs Consensus'!$A$1:$A$7</definedName>
    <definedName name="Tigr_Exhibit6ada990e_00f4_4290_bbc2_ef95cd7730de" localSheetId="12" hidden="1">#REF!</definedName>
    <definedName name="Tigr_Exhibit6ada990e_00f4_4290_bbc2_ef95cd7730de" localSheetId="23" hidden="1">#REF!</definedName>
    <definedName name="Tigr_Exhibit6ada990e_00f4_4290_bbc2_ef95cd7730de" localSheetId="21" hidden="1">'Results table'!#REF!</definedName>
    <definedName name="Tigr_Exhibit6ada990e_00f4_4290_bbc2_ef95cd7730de" hidden="1">#REF!</definedName>
    <definedName name="Tigr_Exhibit6cd3de4b_b469_4b55_b723_45ba1e0164e3" localSheetId="24" hidden="1">#REF!</definedName>
    <definedName name="Tigr_Exhibit6cd3de4b_b469_4b55_b723_45ba1e0164e3" localSheetId="18" hidden="1">#REF!</definedName>
    <definedName name="Tigr_Exhibit6cd3de4b_b469_4b55_b723_45ba1e0164e3" localSheetId="12" hidden="1">#REF!</definedName>
    <definedName name="Tigr_Exhibit6cd3de4b_b469_4b55_b723_45ba1e0164e3" localSheetId="23" hidden="1">#REF!</definedName>
    <definedName name="Tigr_Exhibit6cd3de4b_b469_4b55_b723_45ba1e0164e3" localSheetId="21" hidden="1">#REF!</definedName>
    <definedName name="Tigr_Exhibit6cd3de4b_b469_4b55_b723_45ba1e0164e3" hidden="1">#REF!</definedName>
    <definedName name="Tigr_Exhibit6d4464e8_ca77_471a_abe8_ac475a62d563" localSheetId="24" hidden="1">#REF!</definedName>
    <definedName name="Tigr_Exhibit6d4464e8_ca77_471a_abe8_ac475a62d563" localSheetId="18" hidden="1">#REF!</definedName>
    <definedName name="Tigr_Exhibit6d4464e8_ca77_471a_abe8_ac475a62d563" localSheetId="12" hidden="1">#REF!</definedName>
    <definedName name="Tigr_Exhibit6d4464e8_ca77_471a_abe8_ac475a62d563" localSheetId="23" hidden="1">#REF!</definedName>
    <definedName name="Tigr_Exhibit6d4464e8_ca77_471a_abe8_ac475a62d563" localSheetId="21" hidden="1">#REF!</definedName>
    <definedName name="Tigr_Exhibit6d4464e8_ca77_471a_abe8_ac475a62d563" hidden="1">#REF!</definedName>
    <definedName name="Tigr_Exhibit6f81e85d_c595_44ce_8fa0_410f55673137" hidden="1">#REF!</definedName>
    <definedName name="Tigr_Exhibit7186ff81_b55e_4959_a429_5e5aaff48371" localSheetId="24" hidden="1">#REF!</definedName>
    <definedName name="Tigr_Exhibit7186ff81_b55e_4959_a429_5e5aaff48371" localSheetId="1" hidden="1">#REF!</definedName>
    <definedName name="Tigr_Exhibit7186ff81_b55e_4959_a429_5e5aaff48371" localSheetId="18" hidden="1">#REF!</definedName>
    <definedName name="Tigr_Exhibit7186ff81_b55e_4959_a429_5e5aaff48371" localSheetId="12" hidden="1">#REF!</definedName>
    <definedName name="Tigr_Exhibit7186ff81_b55e_4959_a429_5e5aaff48371" localSheetId="23" hidden="1">#REF!</definedName>
    <definedName name="Tigr_Exhibit7186ff81_b55e_4959_a429_5e5aaff48371" localSheetId="19" hidden="1">#REF!</definedName>
    <definedName name="Tigr_Exhibit7186ff81_b55e_4959_a429_5e5aaff48371" localSheetId="21" hidden="1">#REF!</definedName>
    <definedName name="Tigr_Exhibit7186ff81_b55e_4959_a429_5e5aaff48371" hidden="1">#REF!</definedName>
    <definedName name="Tigr_Exhibit730381d1_af67_4f3d_8c70_e3fc04144df1" localSheetId="24" hidden="1">CMD!$A$1:$D$7</definedName>
    <definedName name="Tigr_Exhibit730381d1_af67_4f3d_8c70_e3fc04144df1" localSheetId="2" hidden="1">#REF!</definedName>
    <definedName name="Tigr_Exhibit730381d1_af67_4f3d_8c70_e3fc04144df1" localSheetId="18" hidden="1">'GSe vs Consensus'!$A$1:$D$7</definedName>
    <definedName name="Tigr_Exhibit730381d1_af67_4f3d_8c70_e3fc04144df1" localSheetId="12" hidden="1">#REF!</definedName>
    <definedName name="Tigr_Exhibit730381d1_af67_4f3d_8c70_e3fc04144df1" localSheetId="23" hidden="1">#REF!</definedName>
    <definedName name="Tigr_Exhibit730381d1_af67_4f3d_8c70_e3fc04144df1" localSheetId="21" hidden="1">'Results table'!#REF!</definedName>
    <definedName name="Tigr_Exhibit730381d1_af67_4f3d_8c70_e3fc04144df1" hidden="1">#REF!</definedName>
    <definedName name="Tigr_Exhibit7375ce11_d828_40b2_bcc9_dc8bd0a4fcb9" hidden="1">#REF!</definedName>
    <definedName name="Tigr_Exhibit7483c271_a804_404c_b9bf_8a2e94a69e12" localSheetId="1" hidden="1">#REF!</definedName>
    <definedName name="Tigr_Exhibit7483c271_a804_404c_b9bf_8a2e94a69e12" localSheetId="2" hidden="1">#REF!</definedName>
    <definedName name="Tigr_Exhibit7483c271_a804_404c_b9bf_8a2e94a69e12" hidden="1">#REF!</definedName>
    <definedName name="Tigr_Exhibit7606bc5c_f844_40e5_b2b5_a5bd50765b2c" localSheetId="24" hidden="1">#REF!</definedName>
    <definedName name="Tigr_Exhibit7606bc5c_f844_40e5_b2b5_a5bd50765b2c" localSheetId="18" hidden="1">#REF!</definedName>
    <definedName name="Tigr_Exhibit7606bc5c_f844_40e5_b2b5_a5bd50765b2c" localSheetId="12" hidden="1">#REF!</definedName>
    <definedName name="Tigr_Exhibit7606bc5c_f844_40e5_b2b5_a5bd50765b2c" localSheetId="23" hidden="1">#REF!</definedName>
    <definedName name="Tigr_Exhibit7606bc5c_f844_40e5_b2b5_a5bd50765b2c" localSheetId="21" hidden="1">#REF!</definedName>
    <definedName name="Tigr_Exhibit7606bc5c_f844_40e5_b2b5_a5bd50765b2c" hidden="1">#REF!</definedName>
    <definedName name="Tigr_Exhibit77e97a30_fb34_4e07_9622_bb28c086f806" localSheetId="1" hidden="1">#REF!</definedName>
    <definedName name="Tigr_Exhibit77e97a30_fb34_4e07_9622_bb28c086f806" localSheetId="2" hidden="1">#REF!</definedName>
    <definedName name="Tigr_Exhibit77e97a30_fb34_4e07_9622_bb28c086f806" hidden="1">#REF!</definedName>
    <definedName name="Tigr_Exhibit7a26ff5a_c113_4611_8089_040b40c50b28" localSheetId="24" hidden="1">#REF!</definedName>
    <definedName name="Tigr_Exhibit7a26ff5a_c113_4611_8089_040b40c50b28" localSheetId="1" hidden="1">#REF!</definedName>
    <definedName name="Tigr_Exhibit7a26ff5a_c113_4611_8089_040b40c50b28" localSheetId="18" hidden="1">#REF!</definedName>
    <definedName name="Tigr_Exhibit7a26ff5a_c113_4611_8089_040b40c50b28" localSheetId="12" hidden="1">#REF!</definedName>
    <definedName name="Tigr_Exhibit7a26ff5a_c113_4611_8089_040b40c50b28" localSheetId="23" hidden="1">#REF!</definedName>
    <definedName name="Tigr_Exhibit7a26ff5a_c113_4611_8089_040b40c50b28" localSheetId="19" hidden="1">#REF!</definedName>
    <definedName name="Tigr_Exhibit7a26ff5a_c113_4611_8089_040b40c50b28" localSheetId="21" hidden="1">#REF!</definedName>
    <definedName name="Tigr_Exhibit7a26ff5a_c113_4611_8089_040b40c50b28" hidden="1">#REF!</definedName>
    <definedName name="Tigr_Exhibit7b162cd5_4b8a_4b24_8d1f_d91b69b197af" localSheetId="2" hidden="1">#REF!</definedName>
    <definedName name="Tigr_Exhibit7b162cd5_4b8a_4b24_8d1f_d91b69b197af" localSheetId="13" hidden="1">#REF!</definedName>
    <definedName name="Tigr_Exhibit7b162cd5_4b8a_4b24_8d1f_d91b69b197af" localSheetId="12" hidden="1">#REF!</definedName>
    <definedName name="Tigr_Exhibit7b162cd5_4b8a_4b24_8d1f_d91b69b197af" hidden="1">#REF!</definedName>
    <definedName name="Tigr_Exhibit7d6b0d1a_38cc_45ae_9c8f_7ec1d6a16fbb" hidden="1">#REF!</definedName>
    <definedName name="Tigr_Exhibit7e10dee4_f9fa_4032_b4e5_0d1d3c9074b7" hidden="1">#REF!</definedName>
    <definedName name="Tigr_Exhibit80a44168_00e4_4334_b458_4478fc4d0c78" hidden="1">#REF!</definedName>
    <definedName name="Tigr_Exhibit81b70657_cecc_426e_95a9_1b9fae2b8222" hidden="1">#REF!</definedName>
    <definedName name="Tigr_Exhibit81fcb1ae_e306_4ac9_9ddf_7b0001b6c816" localSheetId="24" hidden="1">CMD!$A$1:$A$7</definedName>
    <definedName name="Tigr_Exhibit81fcb1ae_e306_4ac9_9ddf_7b0001b6c816" localSheetId="2" hidden="1">#REF!</definedName>
    <definedName name="Tigr_Exhibit81fcb1ae_e306_4ac9_9ddf_7b0001b6c816" localSheetId="18" hidden="1">'GSe vs Consensus'!$A$1:$A$7</definedName>
    <definedName name="Tigr_Exhibit81fcb1ae_e306_4ac9_9ddf_7b0001b6c816" localSheetId="12" hidden="1">#REF!</definedName>
    <definedName name="Tigr_Exhibit81fcb1ae_e306_4ac9_9ddf_7b0001b6c816" localSheetId="23" hidden="1">#REF!</definedName>
    <definedName name="Tigr_Exhibit81fcb1ae_e306_4ac9_9ddf_7b0001b6c816" localSheetId="21" hidden="1">'Results table'!#REF!</definedName>
    <definedName name="Tigr_Exhibit81fcb1ae_e306_4ac9_9ddf_7b0001b6c816" hidden="1">#REF!</definedName>
    <definedName name="Tigr_Exhibit826be858_e7ae_45ab_976c_ab73d7fb29b6" localSheetId="24" hidden="1">#REF!</definedName>
    <definedName name="Tigr_Exhibit826be858_e7ae_45ab_976c_ab73d7fb29b6" localSheetId="1" hidden="1">#REF!</definedName>
    <definedName name="Tigr_Exhibit826be858_e7ae_45ab_976c_ab73d7fb29b6" localSheetId="18" hidden="1">#REF!</definedName>
    <definedName name="Tigr_Exhibit826be858_e7ae_45ab_976c_ab73d7fb29b6" localSheetId="12" hidden="1">#REF!</definedName>
    <definedName name="Tigr_Exhibit826be858_e7ae_45ab_976c_ab73d7fb29b6" localSheetId="23" hidden="1">#REF!</definedName>
    <definedName name="Tigr_Exhibit826be858_e7ae_45ab_976c_ab73d7fb29b6" localSheetId="19" hidden="1">#REF!</definedName>
    <definedName name="Tigr_Exhibit826be858_e7ae_45ab_976c_ab73d7fb29b6" localSheetId="21" hidden="1">#REF!</definedName>
    <definedName name="Tigr_Exhibit826be858_e7ae_45ab_976c_ab73d7fb29b6" hidden="1">#REF!</definedName>
    <definedName name="Tigr_Exhibit83522e8d_af05_4922_a66f_8044892b68e8" localSheetId="24" hidden="1">#REF!</definedName>
    <definedName name="Tigr_Exhibit83522e8d_af05_4922_a66f_8044892b68e8" localSheetId="18" hidden="1">#REF!</definedName>
    <definedName name="Tigr_Exhibit83522e8d_af05_4922_a66f_8044892b68e8" localSheetId="12" hidden="1">#REF!</definedName>
    <definedName name="Tigr_Exhibit83522e8d_af05_4922_a66f_8044892b68e8" localSheetId="23" hidden="1">#REF!</definedName>
    <definedName name="Tigr_Exhibit83522e8d_af05_4922_a66f_8044892b68e8" hidden="1">#REF!</definedName>
    <definedName name="Tigr_Exhibit845f680a_56f9_4e5d_97ef_68d1a9534548" localSheetId="24" hidden="1">CMD!#REF!</definedName>
    <definedName name="Tigr_Exhibit845f680a_56f9_4e5d_97ef_68d1a9534548" localSheetId="1" hidden="1">#REF!</definedName>
    <definedName name="Tigr_Exhibit845f680a_56f9_4e5d_97ef_68d1a9534548" localSheetId="2" hidden="1">#REF!</definedName>
    <definedName name="Tigr_Exhibit845f680a_56f9_4e5d_97ef_68d1a9534548" localSheetId="18" hidden="1">'GSe vs Consensus'!#REF!</definedName>
    <definedName name="Tigr_Exhibit845f680a_56f9_4e5d_97ef_68d1a9534548" localSheetId="12" hidden="1">#REF!</definedName>
    <definedName name="Tigr_Exhibit845f680a_56f9_4e5d_97ef_68d1a9534548" localSheetId="23" hidden="1">#REF!</definedName>
    <definedName name="Tigr_Exhibit845f680a_56f9_4e5d_97ef_68d1a9534548" localSheetId="19" hidden="1">#REF!</definedName>
    <definedName name="Tigr_Exhibit845f680a_56f9_4e5d_97ef_68d1a9534548" localSheetId="21" hidden="1">'Results table'!#REF!</definedName>
    <definedName name="Tigr_Exhibit845f680a_56f9_4e5d_97ef_68d1a9534548" hidden="1">#REF!</definedName>
    <definedName name="Tigr_Exhibit864312ca_808a_4470_aa00_c6a80c8883bf" localSheetId="24" hidden="1">#REF!</definedName>
    <definedName name="Tigr_Exhibit864312ca_808a_4470_aa00_c6a80c8883bf" localSheetId="18" hidden="1">#REF!</definedName>
    <definedName name="Tigr_Exhibit864312ca_808a_4470_aa00_c6a80c8883bf" localSheetId="12" hidden="1">#REF!</definedName>
    <definedName name="Tigr_Exhibit864312ca_808a_4470_aa00_c6a80c8883bf" localSheetId="23" hidden="1">#REF!</definedName>
    <definedName name="Tigr_Exhibit864312ca_808a_4470_aa00_c6a80c8883bf" localSheetId="21" hidden="1">#REF!</definedName>
    <definedName name="Tigr_Exhibit864312ca_808a_4470_aa00_c6a80c8883bf" hidden="1">#REF!</definedName>
    <definedName name="Tigr_Exhibit8767106c_834c_4952_82a7_49f882aa1abf" hidden="1">#REF!</definedName>
    <definedName name="Tigr_Exhibit87d6fb12_7a68_4ac2_b664_bb639cb8fb71" hidden="1">#REF!</definedName>
    <definedName name="Tigr_Exhibit8888518c_1cee_4634_9eb5_b3e21660b026" localSheetId="24" hidden="1">#REF!</definedName>
    <definedName name="Tigr_Exhibit8888518c_1cee_4634_9eb5_b3e21660b026" localSheetId="1" hidden="1">#REF!</definedName>
    <definedName name="Tigr_Exhibit8888518c_1cee_4634_9eb5_b3e21660b026" localSheetId="18" hidden="1">#REF!</definedName>
    <definedName name="Tigr_Exhibit8888518c_1cee_4634_9eb5_b3e21660b026" localSheetId="12" hidden="1">#REF!</definedName>
    <definedName name="Tigr_Exhibit8888518c_1cee_4634_9eb5_b3e21660b026" localSheetId="23" hidden="1">#REF!</definedName>
    <definedName name="Tigr_Exhibit8888518c_1cee_4634_9eb5_b3e21660b026" localSheetId="19" hidden="1">#REF!</definedName>
    <definedName name="Tigr_Exhibit8888518c_1cee_4634_9eb5_b3e21660b026" localSheetId="21" hidden="1">#REF!</definedName>
    <definedName name="Tigr_Exhibit8888518c_1cee_4634_9eb5_b3e21660b026" hidden="1">#REF!</definedName>
    <definedName name="Tigr_Exhibit88ac60a1_294f_416f_bb40_92abf0c43c09" localSheetId="24" hidden="1">CMD!#REF!</definedName>
    <definedName name="Tigr_Exhibit88ac60a1_294f_416f_bb40_92abf0c43c09" localSheetId="1" hidden="1">#REF!</definedName>
    <definedName name="Tigr_Exhibit88ac60a1_294f_416f_bb40_92abf0c43c09" localSheetId="2" hidden="1">#REF!</definedName>
    <definedName name="Tigr_Exhibit88ac60a1_294f_416f_bb40_92abf0c43c09" localSheetId="18" hidden="1">'GSe vs Consensus'!#REF!</definedName>
    <definedName name="Tigr_Exhibit88ac60a1_294f_416f_bb40_92abf0c43c09" localSheetId="12" hidden="1">#REF!</definedName>
    <definedName name="Tigr_Exhibit88ac60a1_294f_416f_bb40_92abf0c43c09" localSheetId="23" hidden="1">#REF!</definedName>
    <definedName name="Tigr_Exhibit88ac60a1_294f_416f_bb40_92abf0c43c09" localSheetId="19" hidden="1">#REF!</definedName>
    <definedName name="Tigr_Exhibit88ac60a1_294f_416f_bb40_92abf0c43c09" localSheetId="21" hidden="1">'Results table'!#REF!</definedName>
    <definedName name="Tigr_Exhibit88ac60a1_294f_416f_bb40_92abf0c43c09" hidden="1">#REF!</definedName>
    <definedName name="Tigr_Exhibit88ffb718_cf89_45b4_bfcd_b3b4165d0721" localSheetId="24" hidden="1">#REF!</definedName>
    <definedName name="Tigr_Exhibit88ffb718_cf89_45b4_bfcd_b3b4165d0721" localSheetId="18" hidden="1">#REF!</definedName>
    <definedName name="Tigr_Exhibit88ffb718_cf89_45b4_bfcd_b3b4165d0721" localSheetId="12" hidden="1">#REF!</definedName>
    <definedName name="Tigr_Exhibit88ffb718_cf89_45b4_bfcd_b3b4165d0721" localSheetId="23" hidden="1">#REF!</definedName>
    <definedName name="Tigr_Exhibit88ffb718_cf89_45b4_bfcd_b3b4165d0721" localSheetId="21" hidden="1">#REF!</definedName>
    <definedName name="Tigr_Exhibit88ffb718_cf89_45b4_bfcd_b3b4165d0721" hidden="1">#REF!</definedName>
    <definedName name="Tigr_Exhibit8d200884_3d6c_4b3f_a787_0fc230c30cc4" localSheetId="24" hidden="1">#REF!</definedName>
    <definedName name="Tigr_Exhibit8d200884_3d6c_4b3f_a787_0fc230c30cc4" localSheetId="1" hidden="1">#REF!</definedName>
    <definedName name="Tigr_Exhibit8d200884_3d6c_4b3f_a787_0fc230c30cc4" localSheetId="18" hidden="1">#REF!</definedName>
    <definedName name="Tigr_Exhibit8d200884_3d6c_4b3f_a787_0fc230c30cc4" localSheetId="12" hidden="1">#REF!</definedName>
    <definedName name="Tigr_Exhibit8d200884_3d6c_4b3f_a787_0fc230c30cc4" localSheetId="23" hidden="1">#REF!</definedName>
    <definedName name="Tigr_Exhibit8d200884_3d6c_4b3f_a787_0fc230c30cc4" localSheetId="19" hidden="1">#REF!</definedName>
    <definedName name="Tigr_Exhibit8d200884_3d6c_4b3f_a787_0fc230c30cc4" localSheetId="21" hidden="1">#REF!</definedName>
    <definedName name="Tigr_Exhibit8d200884_3d6c_4b3f_a787_0fc230c30cc4" hidden="1">#REF!</definedName>
    <definedName name="Tigr_Exhibit909712c0_3869_45ea_8a74_3a034af09051" hidden="1">#REF!</definedName>
    <definedName name="Tigr_Exhibit92ecc90c_50ac_43a7_958d_28a95332a4c1" localSheetId="24" hidden="1">#REF!</definedName>
    <definedName name="Tigr_Exhibit92ecc90c_50ac_43a7_958d_28a95332a4c1" localSheetId="18" hidden="1">#REF!</definedName>
    <definedName name="Tigr_Exhibit92ecc90c_50ac_43a7_958d_28a95332a4c1" localSheetId="12" hidden="1">#REF!</definedName>
    <definedName name="Tigr_Exhibit92ecc90c_50ac_43a7_958d_28a95332a4c1" localSheetId="23" hidden="1">#REF!</definedName>
    <definedName name="Tigr_Exhibit92ecc90c_50ac_43a7_958d_28a95332a4c1" hidden="1">#REF!</definedName>
    <definedName name="Tigr_Exhibit948f35a2_f2ef_4e15_a8dd_e33204c6c04a" hidden="1">#REF!</definedName>
    <definedName name="Tigr_Exhibit953bc95e_954b_4426_b262_13e0b6a97564" localSheetId="24" hidden="1">#REF!</definedName>
    <definedName name="Tigr_Exhibit953bc95e_954b_4426_b262_13e0b6a97564" localSheetId="18" hidden="1">#REF!</definedName>
    <definedName name="Tigr_Exhibit953bc95e_954b_4426_b262_13e0b6a97564" localSheetId="12" hidden="1">#REF!</definedName>
    <definedName name="Tigr_Exhibit953bc95e_954b_4426_b262_13e0b6a97564" localSheetId="23" hidden="1">#REF!</definedName>
    <definedName name="Tigr_Exhibit953bc95e_954b_4426_b262_13e0b6a97564" localSheetId="19" hidden="1">#REF!</definedName>
    <definedName name="Tigr_Exhibit953bc95e_954b_4426_b262_13e0b6a97564" localSheetId="21" hidden="1">#REF!</definedName>
    <definedName name="Tigr_Exhibit953bc95e_954b_4426_b262_13e0b6a97564" hidden="1">#REF!</definedName>
    <definedName name="Tigr_Exhibit9585a1e6_8a4d_40e0_8bd1_da18e7ecc622" localSheetId="24" hidden="1">#REF!</definedName>
    <definedName name="Tigr_Exhibit9585a1e6_8a4d_40e0_8bd1_da18e7ecc622" localSheetId="18" hidden="1">#REF!</definedName>
    <definedName name="Tigr_Exhibit9585a1e6_8a4d_40e0_8bd1_da18e7ecc622" localSheetId="12" hidden="1">#REF!</definedName>
    <definedName name="Tigr_Exhibit9585a1e6_8a4d_40e0_8bd1_da18e7ecc622" localSheetId="23" hidden="1">#REF!</definedName>
    <definedName name="Tigr_Exhibit9585a1e6_8a4d_40e0_8bd1_da18e7ecc622" localSheetId="19" hidden="1">#REF!</definedName>
    <definedName name="Tigr_Exhibit9585a1e6_8a4d_40e0_8bd1_da18e7ecc622" localSheetId="21" hidden="1">#REF!</definedName>
    <definedName name="Tigr_Exhibit9585a1e6_8a4d_40e0_8bd1_da18e7ecc622" hidden="1">#REF!</definedName>
    <definedName name="Tigr_Exhibit9621e706_8db2_40c7_9601_34be2acee308" hidden="1">#REF!</definedName>
    <definedName name="Tigr_Exhibit966c588b_791d_4af5_96d7_3ebd599e1020" hidden="1">#REF!</definedName>
    <definedName name="Tigr_Exhibit97b24daa_3a43_48f5_9108_841ee1edb1e7" localSheetId="24" hidden="1">#REF!</definedName>
    <definedName name="Tigr_Exhibit97b24daa_3a43_48f5_9108_841ee1edb1e7" localSheetId="18" hidden="1">#REF!</definedName>
    <definedName name="Tigr_Exhibit97b24daa_3a43_48f5_9108_841ee1edb1e7" localSheetId="12" hidden="1">#REF!</definedName>
    <definedName name="Tigr_Exhibit97b24daa_3a43_48f5_9108_841ee1edb1e7" localSheetId="23" hidden="1">#REF!</definedName>
    <definedName name="Tigr_Exhibit97b24daa_3a43_48f5_9108_841ee1edb1e7" localSheetId="21" hidden="1">#REF!</definedName>
    <definedName name="Tigr_Exhibit97b24daa_3a43_48f5_9108_841ee1edb1e7" hidden="1">#REF!</definedName>
    <definedName name="Tigr_Exhibit97f1cb9a_74ed_46c9_8ad0_8547a3020bbe" hidden="1">#REF!</definedName>
    <definedName name="Tigr_Exhibit98fb9a33_716b_4842_a273_13baec8e3ef4" localSheetId="24" hidden="1">CMD!$A$3:$A$7</definedName>
    <definedName name="Tigr_Exhibit98fb9a33_716b_4842_a273_13baec8e3ef4" localSheetId="2" hidden="1">#REF!</definedName>
    <definedName name="Tigr_Exhibit98fb9a33_716b_4842_a273_13baec8e3ef4" localSheetId="18" hidden="1">'GSe vs Consensus'!$A$3:$A$7</definedName>
    <definedName name="Tigr_Exhibit98fb9a33_716b_4842_a273_13baec8e3ef4" localSheetId="12" hidden="1">#REF!</definedName>
    <definedName name="Tigr_Exhibit98fb9a33_716b_4842_a273_13baec8e3ef4" localSheetId="23" hidden="1">#REF!</definedName>
    <definedName name="Tigr_Exhibit98fb9a33_716b_4842_a273_13baec8e3ef4" localSheetId="21" hidden="1">'Results table'!#REF!</definedName>
    <definedName name="Tigr_Exhibit98fb9a33_716b_4842_a273_13baec8e3ef4" hidden="1">#REF!</definedName>
    <definedName name="Tigr_Exhibit99103715_4c54_4b13_9280_af00030a072e" hidden="1">#REF!</definedName>
    <definedName name="Tigr_Exhibit99e0cdfa_2761_49b4_b511_14ff70828e26" localSheetId="24" hidden="1">CMD!$A$1:$D$7</definedName>
    <definedName name="Tigr_Exhibit99e0cdfa_2761_49b4_b511_14ff70828e26" localSheetId="2" hidden="1">#REF!</definedName>
    <definedName name="Tigr_Exhibit99e0cdfa_2761_49b4_b511_14ff70828e26" localSheetId="18" hidden="1">'GSe vs Consensus'!$A$1:$D$7</definedName>
    <definedName name="Tigr_Exhibit99e0cdfa_2761_49b4_b511_14ff70828e26" localSheetId="12" hidden="1">#REF!</definedName>
    <definedName name="Tigr_Exhibit99e0cdfa_2761_49b4_b511_14ff70828e26" localSheetId="23" hidden="1">#REF!</definedName>
    <definedName name="Tigr_Exhibit99e0cdfa_2761_49b4_b511_14ff70828e26" localSheetId="21" hidden="1">'Results table'!#REF!</definedName>
    <definedName name="Tigr_Exhibit99e0cdfa_2761_49b4_b511_14ff70828e26" hidden="1">#REF!</definedName>
    <definedName name="Tigr_Exhibit9ba3a61c_7534_45b0_b622_3507e2ddf6dc" localSheetId="24" hidden="1">#REF!</definedName>
    <definedName name="Tigr_Exhibit9ba3a61c_7534_45b0_b622_3507e2ddf6dc" localSheetId="1" hidden="1">#REF!</definedName>
    <definedName name="Tigr_Exhibit9ba3a61c_7534_45b0_b622_3507e2ddf6dc" localSheetId="18" hidden="1">#REF!</definedName>
    <definedName name="Tigr_Exhibit9ba3a61c_7534_45b0_b622_3507e2ddf6dc" localSheetId="12" hidden="1">#REF!</definedName>
    <definedName name="Tigr_Exhibit9ba3a61c_7534_45b0_b622_3507e2ddf6dc" localSheetId="23" hidden="1">#REF!</definedName>
    <definedName name="Tigr_Exhibit9ba3a61c_7534_45b0_b622_3507e2ddf6dc" localSheetId="19" hidden="1">#REF!</definedName>
    <definedName name="Tigr_Exhibit9ba3a61c_7534_45b0_b622_3507e2ddf6dc" localSheetId="21" hidden="1">#REF!</definedName>
    <definedName name="Tigr_Exhibit9ba3a61c_7534_45b0_b622_3507e2ddf6dc" hidden="1">#REF!</definedName>
    <definedName name="Tigr_Exhibit9c19ba11_f436_4fa0_aab1_65af2b36c3bb" localSheetId="24" hidden="1">#REF!</definedName>
    <definedName name="Tigr_Exhibit9c19ba11_f436_4fa0_aab1_65af2b36c3bb" localSheetId="18" hidden="1">#REF!</definedName>
    <definedName name="Tigr_Exhibit9c19ba11_f436_4fa0_aab1_65af2b36c3bb" localSheetId="12" hidden="1">#REF!</definedName>
    <definedName name="Tigr_Exhibit9c19ba11_f436_4fa0_aab1_65af2b36c3bb" localSheetId="23" hidden="1">#REF!</definedName>
    <definedName name="Tigr_Exhibit9c19ba11_f436_4fa0_aab1_65af2b36c3bb" hidden="1">#REF!</definedName>
    <definedName name="Tigr_Exhibit9e3a0dd0_c07f_451d_ba62_def0598a4db5" localSheetId="24" hidden="1">#REF!</definedName>
    <definedName name="Tigr_Exhibit9e3a0dd0_c07f_451d_ba62_def0598a4db5" localSheetId="1" hidden="1">#REF!</definedName>
    <definedName name="Tigr_Exhibit9e3a0dd0_c07f_451d_ba62_def0598a4db5" localSheetId="18" hidden="1">#REF!</definedName>
    <definedName name="Tigr_Exhibit9e3a0dd0_c07f_451d_ba62_def0598a4db5" localSheetId="12" hidden="1">#REF!</definedName>
    <definedName name="Tigr_Exhibit9e3a0dd0_c07f_451d_ba62_def0598a4db5" localSheetId="23" hidden="1">#REF!</definedName>
    <definedName name="Tigr_Exhibit9e3a0dd0_c07f_451d_ba62_def0598a4db5" localSheetId="19" hidden="1">#REF!</definedName>
    <definedName name="Tigr_Exhibit9e3a0dd0_c07f_451d_ba62_def0598a4db5" localSheetId="21" hidden="1">#REF!</definedName>
    <definedName name="Tigr_Exhibit9e3a0dd0_c07f_451d_ba62_def0598a4db5" hidden="1">#REF!</definedName>
    <definedName name="Tigr_Exhibita166f9eb_fe2b_4e6b_a8a8_0f9b8669d4b8" hidden="1">#REF!</definedName>
    <definedName name="Tigr_Exhibita412f06d_75b1_45d3_a0e6_b6feb5f14d8c" localSheetId="24" hidden="1">CMD!$A$1:$A$7</definedName>
    <definedName name="Tigr_Exhibita412f06d_75b1_45d3_a0e6_b6feb5f14d8c" localSheetId="2" hidden="1">#REF!</definedName>
    <definedName name="Tigr_Exhibita412f06d_75b1_45d3_a0e6_b6feb5f14d8c" localSheetId="18" hidden="1">'GSe vs Consensus'!$A$1:$A$7</definedName>
    <definedName name="Tigr_Exhibita412f06d_75b1_45d3_a0e6_b6feb5f14d8c" localSheetId="12" hidden="1">#REF!</definedName>
    <definedName name="Tigr_Exhibita412f06d_75b1_45d3_a0e6_b6feb5f14d8c" localSheetId="23" hidden="1">#REF!</definedName>
    <definedName name="Tigr_Exhibita412f06d_75b1_45d3_a0e6_b6feb5f14d8c" localSheetId="21" hidden="1">'Results table'!#REF!</definedName>
    <definedName name="Tigr_Exhibita412f06d_75b1_45d3_a0e6_b6feb5f14d8c" hidden="1">#REF!</definedName>
    <definedName name="Tigr_Exhibita643194c_c9a4_41ec_807c_9bc723b88bd6" localSheetId="24" hidden="1">#REF!</definedName>
    <definedName name="Tigr_Exhibita643194c_c9a4_41ec_807c_9bc723b88bd6" localSheetId="18" hidden="1">#REF!</definedName>
    <definedName name="Tigr_Exhibita643194c_c9a4_41ec_807c_9bc723b88bd6" localSheetId="12" hidden="1">#REF!</definedName>
    <definedName name="Tigr_Exhibita643194c_c9a4_41ec_807c_9bc723b88bd6" localSheetId="23" hidden="1">#REF!</definedName>
    <definedName name="Tigr_Exhibita643194c_c9a4_41ec_807c_9bc723b88bd6" localSheetId="21" hidden="1">#REF!</definedName>
    <definedName name="Tigr_Exhibita643194c_c9a4_41ec_807c_9bc723b88bd6" hidden="1">#REF!</definedName>
    <definedName name="Tigr_Exhibitae890284_7c6e_4c38_af79_d0d0795b6d9a" localSheetId="24" hidden="1">#REF!</definedName>
    <definedName name="Tigr_Exhibitae890284_7c6e_4c38_af79_d0d0795b6d9a" localSheetId="18" hidden="1">#REF!</definedName>
    <definedName name="Tigr_Exhibitae890284_7c6e_4c38_af79_d0d0795b6d9a" localSheetId="12" hidden="1">#REF!</definedName>
    <definedName name="Tigr_Exhibitae890284_7c6e_4c38_af79_d0d0795b6d9a" localSheetId="23" hidden="1">#REF!</definedName>
    <definedName name="Tigr_Exhibitae890284_7c6e_4c38_af79_d0d0795b6d9a" localSheetId="21" hidden="1">#REF!</definedName>
    <definedName name="Tigr_Exhibitae890284_7c6e_4c38_af79_d0d0795b6d9a" hidden="1">#REF!</definedName>
    <definedName name="Tigr_Exhibitb13feb4b_5fd3_41d9_ae81_d5d5dd27af58" hidden="1">#REF!</definedName>
    <definedName name="Tigr_Exhibitb1af0451_a8a6_49ea_b09c_c48cdddb1511" hidden="1">#REF!</definedName>
    <definedName name="Tigr_Exhibitb28b5db8_e44d_4f71_adfd_5b46e045cd90" hidden="1">#REF!</definedName>
    <definedName name="Tigr_Exhibitb2a8ace8_6d4a_4d18_b2d4_85d87250719e" localSheetId="24" hidden="1">#REF!</definedName>
    <definedName name="Tigr_Exhibitb2a8ace8_6d4a_4d18_b2d4_85d87250719e" localSheetId="18" hidden="1">#REF!</definedName>
    <definedName name="Tigr_Exhibitb2a8ace8_6d4a_4d18_b2d4_85d87250719e" localSheetId="12" hidden="1">#REF!</definedName>
    <definedName name="Tigr_Exhibitb2a8ace8_6d4a_4d18_b2d4_85d87250719e" localSheetId="23" hidden="1">#REF!</definedName>
    <definedName name="Tigr_Exhibitb2a8ace8_6d4a_4d18_b2d4_85d87250719e" hidden="1">#REF!</definedName>
    <definedName name="Tigr_Exhibitb2c24187_6779_4c09_8c14_c335ce944433" localSheetId="24" hidden="1">#REF!</definedName>
    <definedName name="Tigr_Exhibitb2c24187_6779_4c09_8c14_c335ce944433" localSheetId="18" hidden="1">#REF!</definedName>
    <definedName name="Tigr_Exhibitb2c24187_6779_4c09_8c14_c335ce944433" localSheetId="12" hidden="1">#REF!</definedName>
    <definedName name="Tigr_Exhibitb2c24187_6779_4c09_8c14_c335ce944433" localSheetId="23" hidden="1">#REF!</definedName>
    <definedName name="Tigr_Exhibitb2c24187_6779_4c09_8c14_c335ce944433" hidden="1">#REF!</definedName>
    <definedName name="Tigr_Exhibitb413f982_2cc1_4dfd_9317_c11834ea9d6b" hidden="1">#REF!</definedName>
    <definedName name="Tigr_Exhibitb53b83e6_4a7f_4e5f_81fa_06e13743d0e0" localSheetId="24" hidden="1">#REF!</definedName>
    <definedName name="Tigr_Exhibitb53b83e6_4a7f_4e5f_81fa_06e13743d0e0" localSheetId="18" hidden="1">#REF!</definedName>
    <definedName name="Tigr_Exhibitb53b83e6_4a7f_4e5f_81fa_06e13743d0e0" localSheetId="12" hidden="1">#REF!</definedName>
    <definedName name="Tigr_Exhibitb53b83e6_4a7f_4e5f_81fa_06e13743d0e0" localSheetId="23" hidden="1">#REF!</definedName>
    <definedName name="Tigr_Exhibitb53b83e6_4a7f_4e5f_81fa_06e13743d0e0" hidden="1">#REF!</definedName>
    <definedName name="Tigr_Exhibitb58a29f6_500c_4c45_96b4_e7e9dce5727b" hidden="1">#REF!</definedName>
    <definedName name="Tigr_Exhibitb6193ffb_d638_428b_9c98_b3b93607751c" hidden="1">#REF!</definedName>
    <definedName name="Tigr_Exhibitb7669c64_a551_4a0b_9d28_a6747292afbf" localSheetId="24" hidden="1">#REF!</definedName>
    <definedName name="Tigr_Exhibitb7669c64_a551_4a0b_9d28_a6747292afbf" localSheetId="1" hidden="1">#REF!</definedName>
    <definedName name="Tigr_Exhibitb7669c64_a551_4a0b_9d28_a6747292afbf" localSheetId="18" hidden="1">#REF!</definedName>
    <definedName name="Tigr_Exhibitb7669c64_a551_4a0b_9d28_a6747292afbf" localSheetId="12" hidden="1">#REF!</definedName>
    <definedName name="Tigr_Exhibitb7669c64_a551_4a0b_9d28_a6747292afbf" localSheetId="23" hidden="1">#REF!</definedName>
    <definedName name="Tigr_Exhibitb7669c64_a551_4a0b_9d28_a6747292afbf" localSheetId="19" hidden="1">#REF!</definedName>
    <definedName name="Tigr_Exhibitb7669c64_a551_4a0b_9d28_a6747292afbf" localSheetId="21" hidden="1">#REF!</definedName>
    <definedName name="Tigr_Exhibitb7669c64_a551_4a0b_9d28_a6747292afbf" hidden="1">#REF!</definedName>
    <definedName name="Tigr_Exhibitb914deb6_6fef_4080_a95c_53e821f3167c" localSheetId="24" hidden="1" xml:space="preserve"> CMD!#REF!</definedName>
    <definedName name="Tigr_Exhibitb914deb6_6fef_4080_a95c_53e821f3167c" localSheetId="1" hidden="1">#REF!</definedName>
    <definedName name="Tigr_Exhibitb914deb6_6fef_4080_a95c_53e821f3167c" localSheetId="2" hidden="1">#REF!</definedName>
    <definedName name="Tigr_Exhibitb914deb6_6fef_4080_a95c_53e821f3167c" localSheetId="18" hidden="1" xml:space="preserve"> 'GSe vs Consensus'!#REF!</definedName>
    <definedName name="Tigr_Exhibitb914deb6_6fef_4080_a95c_53e821f3167c" localSheetId="12" hidden="1">#REF!</definedName>
    <definedName name="Tigr_Exhibitb914deb6_6fef_4080_a95c_53e821f3167c" localSheetId="23" hidden="1">#REF!</definedName>
    <definedName name="Tigr_Exhibitb914deb6_6fef_4080_a95c_53e821f3167c" localSheetId="19" hidden="1">#REF!</definedName>
    <definedName name="Tigr_Exhibitb914deb6_6fef_4080_a95c_53e821f3167c" localSheetId="21" hidden="1" xml:space="preserve"> 'Results table'!#REF!</definedName>
    <definedName name="Tigr_Exhibitb914deb6_6fef_4080_a95c_53e821f3167c" hidden="1">#REF!</definedName>
    <definedName name="Tigr_Exhibitb92285c2_0fcf_4c57_bba2_77edb7256d80" localSheetId="24" hidden="1">#REF!</definedName>
    <definedName name="Tigr_Exhibitb92285c2_0fcf_4c57_bba2_77edb7256d80" localSheetId="1" hidden="1">#REF!</definedName>
    <definedName name="Tigr_Exhibitb92285c2_0fcf_4c57_bba2_77edb7256d80" localSheetId="18" hidden="1">#REF!</definedName>
    <definedName name="Tigr_Exhibitb92285c2_0fcf_4c57_bba2_77edb7256d80" localSheetId="12" hidden="1">#REF!</definedName>
    <definedName name="Tigr_Exhibitb92285c2_0fcf_4c57_bba2_77edb7256d80" localSheetId="23" hidden="1">#REF!</definedName>
    <definedName name="Tigr_Exhibitb92285c2_0fcf_4c57_bba2_77edb7256d80" localSheetId="19" hidden="1">#REF!</definedName>
    <definedName name="Tigr_Exhibitb92285c2_0fcf_4c57_bba2_77edb7256d80" localSheetId="21" hidden="1">#REF!</definedName>
    <definedName name="Tigr_Exhibitb92285c2_0fcf_4c57_bba2_77edb7256d80" hidden="1">#REF!</definedName>
    <definedName name="Tigr_Exhibitbda7e524_d557_47ac_86b5_5507ff0e0fab" localSheetId="24" hidden="1">#REF!</definedName>
    <definedName name="Tigr_Exhibitbda7e524_d557_47ac_86b5_5507ff0e0fab" localSheetId="18" hidden="1">#REF!</definedName>
    <definedName name="Tigr_Exhibitbda7e524_d557_47ac_86b5_5507ff0e0fab" localSheetId="12" hidden="1">#REF!</definedName>
    <definedName name="Tigr_Exhibitbda7e524_d557_47ac_86b5_5507ff0e0fab" localSheetId="23" hidden="1">#REF!</definedName>
    <definedName name="Tigr_Exhibitbda7e524_d557_47ac_86b5_5507ff0e0fab" hidden="1">#REF!</definedName>
    <definedName name="Tigr_Exhibitbeeaaf63_65ef_4179_9c08_62c89ebbd821" localSheetId="24" hidden="1">CMD!#REF!</definedName>
    <definedName name="Tigr_Exhibitbeeaaf63_65ef_4179_9c08_62c89ebbd821" localSheetId="1" hidden="1">#REF!</definedName>
    <definedName name="Tigr_Exhibitbeeaaf63_65ef_4179_9c08_62c89ebbd821" localSheetId="2" hidden="1">#REF!</definedName>
    <definedName name="Tigr_Exhibitbeeaaf63_65ef_4179_9c08_62c89ebbd821" localSheetId="18" hidden="1">'GSe vs Consensus'!#REF!</definedName>
    <definedName name="Tigr_Exhibitbeeaaf63_65ef_4179_9c08_62c89ebbd821" localSheetId="12" hidden="1">#REF!</definedName>
    <definedName name="Tigr_Exhibitbeeaaf63_65ef_4179_9c08_62c89ebbd821" localSheetId="23" hidden="1">#REF!</definedName>
    <definedName name="Tigr_Exhibitbeeaaf63_65ef_4179_9c08_62c89ebbd821" localSheetId="19" hidden="1">#REF!</definedName>
    <definedName name="Tigr_Exhibitbeeaaf63_65ef_4179_9c08_62c89ebbd821" localSheetId="21" hidden="1">'Results table'!#REF!</definedName>
    <definedName name="Tigr_Exhibitbeeaaf63_65ef_4179_9c08_62c89ebbd821" hidden="1">#REF!</definedName>
    <definedName name="Tigr_Exhibitbf851bf9_3826_4ac4_9282_566526fda96e" localSheetId="24" hidden="1">CMD!$A$1:$A$7</definedName>
    <definedName name="Tigr_Exhibitbf851bf9_3826_4ac4_9282_566526fda96e" localSheetId="2" hidden="1">#REF!</definedName>
    <definedName name="Tigr_Exhibitbf851bf9_3826_4ac4_9282_566526fda96e" localSheetId="18" hidden="1">'GSe vs Consensus'!$A$1:$A$7</definedName>
    <definedName name="Tigr_Exhibitbf851bf9_3826_4ac4_9282_566526fda96e" localSheetId="12" hidden="1">#REF!</definedName>
    <definedName name="Tigr_Exhibitbf851bf9_3826_4ac4_9282_566526fda96e" localSheetId="23" hidden="1">#REF!</definedName>
    <definedName name="Tigr_Exhibitbf851bf9_3826_4ac4_9282_566526fda96e" localSheetId="21" hidden="1">'Results table'!#REF!</definedName>
    <definedName name="Tigr_Exhibitbf851bf9_3826_4ac4_9282_566526fda96e" hidden="1">#REF!</definedName>
    <definedName name="Tigr_Exhibitbfd8e340_356d_41f7_adc0_0ce4fb9b4c04" localSheetId="24" hidden="1">#REF!</definedName>
    <definedName name="Tigr_Exhibitbfd8e340_356d_41f7_adc0_0ce4fb9b4c04" localSheetId="1" hidden="1">#REF!</definedName>
    <definedName name="Tigr_Exhibitbfd8e340_356d_41f7_adc0_0ce4fb9b4c04" localSheetId="18" hidden="1">#REF!</definedName>
    <definedName name="Tigr_Exhibitbfd8e340_356d_41f7_adc0_0ce4fb9b4c04" localSheetId="12" hidden="1">#REF!</definedName>
    <definedName name="Tigr_Exhibitbfd8e340_356d_41f7_adc0_0ce4fb9b4c04" localSheetId="23" hidden="1">#REF!</definedName>
    <definedName name="Tigr_Exhibitbfd8e340_356d_41f7_adc0_0ce4fb9b4c04" localSheetId="19" hidden="1">#REF!</definedName>
    <definedName name="Tigr_Exhibitbfd8e340_356d_41f7_adc0_0ce4fb9b4c04" localSheetId="21" hidden="1">#REF!</definedName>
    <definedName name="Tigr_Exhibitbfd8e340_356d_41f7_adc0_0ce4fb9b4c04" hidden="1">#REF!</definedName>
    <definedName name="Tigr_Exhibitc13167f1_b29a_46f1_8dc1_af607cbad642" hidden="1">#REF!</definedName>
    <definedName name="Tigr_Exhibitc72cef6a_7b00_4e55_9cfa_4f9ab806053d" localSheetId="24" hidden="1">CMD!#REF!</definedName>
    <definedName name="Tigr_Exhibitc72cef6a_7b00_4e55_9cfa_4f9ab806053d" localSheetId="1" hidden="1">#REF!</definedName>
    <definedName name="Tigr_Exhibitc72cef6a_7b00_4e55_9cfa_4f9ab806053d" localSheetId="2" hidden="1">#REF!</definedName>
    <definedName name="Tigr_Exhibitc72cef6a_7b00_4e55_9cfa_4f9ab806053d" localSheetId="18" hidden="1">'GSe vs Consensus'!#REF!</definedName>
    <definedName name="Tigr_Exhibitc72cef6a_7b00_4e55_9cfa_4f9ab806053d" localSheetId="12" hidden="1">#REF!</definedName>
    <definedName name="Tigr_Exhibitc72cef6a_7b00_4e55_9cfa_4f9ab806053d" localSheetId="23" hidden="1">#REF!</definedName>
    <definedName name="Tigr_Exhibitc72cef6a_7b00_4e55_9cfa_4f9ab806053d" localSheetId="19" hidden="1">#REF!</definedName>
    <definedName name="Tigr_Exhibitc72cef6a_7b00_4e55_9cfa_4f9ab806053d" localSheetId="21" hidden="1">'Results table'!#REF!</definedName>
    <definedName name="Tigr_Exhibitc72cef6a_7b00_4e55_9cfa_4f9ab806053d" hidden="1">#REF!</definedName>
    <definedName name="Tigr_Exhibitc8326494_9a9c_476f_8361_05f49cf3e489" localSheetId="2" hidden="1">#REF!</definedName>
    <definedName name="Tigr_Exhibitc8326494_9a9c_476f_8361_05f49cf3e489" hidden="1">#REF!</definedName>
    <definedName name="Tigr_Exhibitc84fa021_16f3_4b54_9f8f_3e05f457e620" localSheetId="24" hidden="1">CMD!#REF!</definedName>
    <definedName name="Tigr_Exhibitc84fa021_16f3_4b54_9f8f_3e05f457e620" localSheetId="1" hidden="1">#REF!</definedName>
    <definedName name="Tigr_Exhibitc84fa021_16f3_4b54_9f8f_3e05f457e620" localSheetId="2" hidden="1">#REF!</definedName>
    <definedName name="Tigr_Exhibitc84fa021_16f3_4b54_9f8f_3e05f457e620" localSheetId="18" hidden="1">'GSe vs Consensus'!#REF!</definedName>
    <definedName name="Tigr_Exhibitc84fa021_16f3_4b54_9f8f_3e05f457e620" localSheetId="12" hidden="1">#REF!</definedName>
    <definedName name="Tigr_Exhibitc84fa021_16f3_4b54_9f8f_3e05f457e620" localSheetId="23" hidden="1">#REF!</definedName>
    <definedName name="Tigr_Exhibitc84fa021_16f3_4b54_9f8f_3e05f457e620" localSheetId="19" hidden="1">#REF!</definedName>
    <definedName name="Tigr_Exhibitc84fa021_16f3_4b54_9f8f_3e05f457e620" localSheetId="21" hidden="1">'Results table'!#REF!</definedName>
    <definedName name="Tigr_Exhibitc84fa021_16f3_4b54_9f8f_3e05f457e620" hidden="1">#REF!</definedName>
    <definedName name="Tigr_Exhibitc857747e_a216_4aec_bd2b_abcdedc37cb8" hidden="1">#REF!</definedName>
    <definedName name="Tigr_Exhibitc8e3ab28_8767_4af5_b4a6_86c2d495f527" hidden="1">#REF!</definedName>
    <definedName name="Tigr_Exhibitca1ffdd1_a745_41b6_9d0e_c6f33ee55743" hidden="1">#REF!</definedName>
    <definedName name="Tigr_Exhibitca522c88_9825_4832_9849_38abacd2d50d" hidden="1">#REF!</definedName>
    <definedName name="Tigr_Exhibitcb1b6d22_b0e0_4752_9e8e_af4d3771a889" localSheetId="24" hidden="1">CMD!#REF!</definedName>
    <definedName name="Tigr_Exhibitcb1b6d22_b0e0_4752_9e8e_af4d3771a889" localSheetId="1" hidden="1">#REF!</definedName>
    <definedName name="Tigr_Exhibitcb1b6d22_b0e0_4752_9e8e_af4d3771a889" localSheetId="2" hidden="1">#REF!</definedName>
    <definedName name="Tigr_Exhibitcb1b6d22_b0e0_4752_9e8e_af4d3771a889" localSheetId="18" hidden="1">'GSe vs Consensus'!#REF!</definedName>
    <definedName name="Tigr_Exhibitcb1b6d22_b0e0_4752_9e8e_af4d3771a889" localSheetId="12" hidden="1">#REF!</definedName>
    <definedName name="Tigr_Exhibitcb1b6d22_b0e0_4752_9e8e_af4d3771a889" localSheetId="23" hidden="1">#REF!</definedName>
    <definedName name="Tigr_Exhibitcb1b6d22_b0e0_4752_9e8e_af4d3771a889" localSheetId="19" hidden="1">#REF!</definedName>
    <definedName name="Tigr_Exhibitcb1b6d22_b0e0_4752_9e8e_af4d3771a889" localSheetId="21" hidden="1">'Results table'!#REF!</definedName>
    <definedName name="Tigr_Exhibitcb1b6d22_b0e0_4752_9e8e_af4d3771a889" hidden="1">#REF!</definedName>
    <definedName name="Tigr_Exhibitcbc59270_f71d_49a9_87b5_91f2c98ffd7b" localSheetId="1" hidden="1">#REF!</definedName>
    <definedName name="Tigr_Exhibitcbc59270_f71d_49a9_87b5_91f2c98ffd7b" localSheetId="2" hidden="1">#REF!</definedName>
    <definedName name="Tigr_Exhibitcbc59270_f71d_49a9_87b5_91f2c98ffd7b" localSheetId="23" hidden="1">#REF!</definedName>
    <definedName name="Tigr_Exhibitcbc59270_f71d_49a9_87b5_91f2c98ffd7b" hidden="1">#REF!</definedName>
    <definedName name="Tigr_Exhibitcbcc151e_d789_47e2_b6f0_661c319e111a" localSheetId="24" hidden="1">CMD!$A$1:$D$7</definedName>
    <definedName name="Tigr_Exhibitcbcc151e_d789_47e2_b6f0_661c319e111a" localSheetId="2" hidden="1">#REF!</definedName>
    <definedName name="Tigr_Exhibitcbcc151e_d789_47e2_b6f0_661c319e111a" localSheetId="18" hidden="1">'GSe vs Consensus'!$A$1:$D$7</definedName>
    <definedName name="Tigr_Exhibitcbcc151e_d789_47e2_b6f0_661c319e111a" localSheetId="12" hidden="1">#REF!</definedName>
    <definedName name="Tigr_Exhibitcbcc151e_d789_47e2_b6f0_661c319e111a" localSheetId="23" hidden="1">#REF!</definedName>
    <definedName name="Tigr_Exhibitcbcc151e_d789_47e2_b6f0_661c319e111a" localSheetId="21" hidden="1">'Results table'!#REF!</definedName>
    <definedName name="Tigr_Exhibitcbcc151e_d789_47e2_b6f0_661c319e111a" hidden="1">#REF!</definedName>
    <definedName name="Tigr_Exhibitcdae728d_4886_44bb_98fc_a8f48a072806" hidden="1">#REF!</definedName>
    <definedName name="Tigr_Exhibitd0c69ba7_acc3_430d_90e6_91a5fd3dce25" localSheetId="24" hidden="1">#REF!</definedName>
    <definedName name="Tigr_Exhibitd0c69ba7_acc3_430d_90e6_91a5fd3dce25" localSheetId="1" hidden="1">#REF!</definedName>
    <definedName name="Tigr_Exhibitd0c69ba7_acc3_430d_90e6_91a5fd3dce25" localSheetId="18" hidden="1">#REF!</definedName>
    <definedName name="Tigr_Exhibitd0c69ba7_acc3_430d_90e6_91a5fd3dce25" localSheetId="12" hidden="1">#REF!</definedName>
    <definedName name="Tigr_Exhibitd0c69ba7_acc3_430d_90e6_91a5fd3dce25" localSheetId="23" hidden="1">#REF!</definedName>
    <definedName name="Tigr_Exhibitd0c69ba7_acc3_430d_90e6_91a5fd3dce25" localSheetId="19" hidden="1">#REF!</definedName>
    <definedName name="Tigr_Exhibitd0c69ba7_acc3_430d_90e6_91a5fd3dce25" localSheetId="21" hidden="1">#REF!</definedName>
    <definedName name="Tigr_Exhibitd0c69ba7_acc3_430d_90e6_91a5fd3dce25" hidden="1">#REF!</definedName>
    <definedName name="Tigr_Exhibitd16c07d6_bdf1_4332_9e8c_1259e9df26ec" localSheetId="24" hidden="1">#REF!</definedName>
    <definedName name="Tigr_Exhibitd16c07d6_bdf1_4332_9e8c_1259e9df26ec" localSheetId="18" hidden="1">#REF!</definedName>
    <definedName name="Tigr_Exhibitd16c07d6_bdf1_4332_9e8c_1259e9df26ec" localSheetId="12" hidden="1">#REF!</definedName>
    <definedName name="Tigr_Exhibitd16c07d6_bdf1_4332_9e8c_1259e9df26ec" localSheetId="23" hidden="1">#REF!</definedName>
    <definedName name="Tigr_Exhibitd16c07d6_bdf1_4332_9e8c_1259e9df26ec" hidden="1">#REF!</definedName>
    <definedName name="Tigr_Exhibitd1824f5f_6929_4a41_8ede_08d78ff3a77d" localSheetId="24" hidden="1">#REF!</definedName>
    <definedName name="Tigr_Exhibitd1824f5f_6929_4a41_8ede_08d78ff3a77d" localSheetId="18" hidden="1">#REF!</definedName>
    <definedName name="Tigr_Exhibitd1824f5f_6929_4a41_8ede_08d78ff3a77d" localSheetId="12" hidden="1">#REF!</definedName>
    <definedName name="Tigr_Exhibitd1824f5f_6929_4a41_8ede_08d78ff3a77d" localSheetId="23" hidden="1">#REF!</definedName>
    <definedName name="Tigr_Exhibitd1824f5f_6929_4a41_8ede_08d78ff3a77d" hidden="1">#REF!</definedName>
    <definedName name="Tigr_Exhibitd235b590_b8bd_45a9_a31f_9377260c2b04" localSheetId="24" hidden="1">#REF!</definedName>
    <definedName name="Tigr_Exhibitd235b590_b8bd_45a9_a31f_9377260c2b04" localSheetId="1" hidden="1">#REF!</definedName>
    <definedName name="Tigr_Exhibitd235b590_b8bd_45a9_a31f_9377260c2b04" localSheetId="2" hidden="1">#REF!</definedName>
    <definedName name="Tigr_Exhibitd235b590_b8bd_45a9_a31f_9377260c2b04" localSheetId="18" hidden="1">#REF!</definedName>
    <definedName name="Tigr_Exhibitd235b590_b8bd_45a9_a31f_9377260c2b04" localSheetId="12" hidden="1">#REF!</definedName>
    <definedName name="Tigr_Exhibitd235b590_b8bd_45a9_a31f_9377260c2b04" localSheetId="23" hidden="1">#REF!</definedName>
    <definedName name="Tigr_Exhibitd235b590_b8bd_45a9_a31f_9377260c2b04" localSheetId="19" hidden="1">#REF!</definedName>
    <definedName name="Tigr_Exhibitd235b590_b8bd_45a9_a31f_9377260c2b04" localSheetId="21" hidden="1">#REF!</definedName>
    <definedName name="Tigr_Exhibitd235b590_b8bd_45a9_a31f_9377260c2b04" hidden="1">#REF!</definedName>
    <definedName name="Tigr_Exhibitd2ae655c_4a9f_4164_8a3a_91b7ba439025" localSheetId="24" hidden="1">#REF!</definedName>
    <definedName name="Tigr_Exhibitd2ae655c_4a9f_4164_8a3a_91b7ba439025" localSheetId="18" hidden="1">#REF!</definedName>
    <definedName name="Tigr_Exhibitd2ae655c_4a9f_4164_8a3a_91b7ba439025" localSheetId="12" hidden="1">#REF!</definedName>
    <definedName name="Tigr_Exhibitd2ae655c_4a9f_4164_8a3a_91b7ba439025" localSheetId="23" hidden="1">#REF!</definedName>
    <definedName name="Tigr_Exhibitd2ae655c_4a9f_4164_8a3a_91b7ba439025" localSheetId="21" hidden="1">#REF!</definedName>
    <definedName name="Tigr_Exhibitd2ae655c_4a9f_4164_8a3a_91b7ba439025" hidden="1">#REF!</definedName>
    <definedName name="Tigr_Exhibitd662044d_637e_41c3_8d32_be9503f112b0" hidden="1">#REF!</definedName>
    <definedName name="Tigr_Exhibitd7f211d5_676e_4eae_b0cc_ba67682342c2" localSheetId="1" hidden="1">#REF!</definedName>
    <definedName name="Tigr_Exhibitd7f211d5_676e_4eae_b0cc_ba67682342c2" localSheetId="2" hidden="1">#REF!</definedName>
    <definedName name="Tigr_Exhibitd7f211d5_676e_4eae_b0cc_ba67682342c2" hidden="1">#REF!</definedName>
    <definedName name="Tigr_Exhibitdb12008d_0ec9_4d77_97bb_aac6265bc376" localSheetId="24" hidden="1">#REF!</definedName>
    <definedName name="Tigr_Exhibitdb12008d_0ec9_4d77_97bb_aac6265bc376" localSheetId="18" hidden="1">#REF!</definedName>
    <definedName name="Tigr_Exhibitdb12008d_0ec9_4d77_97bb_aac6265bc376" localSheetId="12" hidden="1">#REF!</definedName>
    <definedName name="Tigr_Exhibitdb12008d_0ec9_4d77_97bb_aac6265bc376" localSheetId="23" hidden="1">#REF!</definedName>
    <definedName name="Tigr_Exhibitdb12008d_0ec9_4d77_97bb_aac6265bc376" localSheetId="21" hidden="1">#REF!</definedName>
    <definedName name="Tigr_Exhibitdb12008d_0ec9_4d77_97bb_aac6265bc376" hidden="1">#REF!</definedName>
    <definedName name="Tigr_Exhibitdc4ec690_8b00_428f_acbb_2a87bbd7025c" localSheetId="24" hidden="1">#REF!</definedName>
    <definedName name="Tigr_Exhibitdc4ec690_8b00_428f_acbb_2a87bbd7025c" localSheetId="18" hidden="1">#REF!</definedName>
    <definedName name="Tigr_Exhibitdc4ec690_8b00_428f_acbb_2a87bbd7025c" localSheetId="12" hidden="1">#REF!</definedName>
    <definedName name="Tigr_Exhibitdc4ec690_8b00_428f_acbb_2a87bbd7025c" localSheetId="23" hidden="1">#REF!</definedName>
    <definedName name="Tigr_Exhibitdc4ec690_8b00_428f_acbb_2a87bbd7025c" localSheetId="21" hidden="1">#REF!</definedName>
    <definedName name="Tigr_Exhibitdc4ec690_8b00_428f_acbb_2a87bbd7025c" hidden="1">#REF!</definedName>
    <definedName name="Tigr_Exhibitdc74ee1a_a27b_49e8_a666_290c00ae7886" hidden="1">#REF!</definedName>
    <definedName name="Tigr_Exhibitdd3e6400_d47f_4bcb_b35a_a2c893fa8f28" localSheetId="24" hidden="1">CMD!$A$1:$D$7</definedName>
    <definedName name="Tigr_Exhibitdd3e6400_d47f_4bcb_b35a_a2c893fa8f28" localSheetId="2" hidden="1">#REF!</definedName>
    <definedName name="Tigr_Exhibitdd3e6400_d47f_4bcb_b35a_a2c893fa8f28" localSheetId="18" hidden="1">'GSe vs Consensus'!$A$1:$D$7</definedName>
    <definedName name="Tigr_Exhibitdd3e6400_d47f_4bcb_b35a_a2c893fa8f28" localSheetId="12" hidden="1">#REF!</definedName>
    <definedName name="Tigr_Exhibitdd3e6400_d47f_4bcb_b35a_a2c893fa8f28" localSheetId="23" hidden="1">#REF!</definedName>
    <definedName name="Tigr_Exhibitdd3e6400_d47f_4bcb_b35a_a2c893fa8f28" localSheetId="21" hidden="1">'Results table'!#REF!</definedName>
    <definedName name="Tigr_Exhibitdd3e6400_d47f_4bcb_b35a_a2c893fa8f28" hidden="1">#REF!</definedName>
    <definedName name="Tigr_Exhibite0365b8a_1e88_49c0_92c6_67e15d2bb714" localSheetId="24" hidden="1">#REF!</definedName>
    <definedName name="Tigr_Exhibite0365b8a_1e88_49c0_92c6_67e15d2bb714" localSheetId="18" hidden="1">#REF!</definedName>
    <definedName name="Tigr_Exhibite0365b8a_1e88_49c0_92c6_67e15d2bb714" localSheetId="12" hidden="1">#REF!</definedName>
    <definedName name="Tigr_Exhibite0365b8a_1e88_49c0_92c6_67e15d2bb714" localSheetId="23" hidden="1">#REF!</definedName>
    <definedName name="Tigr_Exhibite0365b8a_1e88_49c0_92c6_67e15d2bb714" localSheetId="21" hidden="1">#REF!</definedName>
    <definedName name="Tigr_Exhibite0365b8a_1e88_49c0_92c6_67e15d2bb714" hidden="1">#REF!</definedName>
    <definedName name="Tigr_Exhibite24162b9_c6a8_4659_8ecc_4f5c707cfd8a" localSheetId="24" hidden="1">#REF!</definedName>
    <definedName name="Tigr_Exhibite24162b9_c6a8_4659_8ecc_4f5c707cfd8a" localSheetId="18" hidden="1">#REF!</definedName>
    <definedName name="Tigr_Exhibite24162b9_c6a8_4659_8ecc_4f5c707cfd8a" localSheetId="12" hidden="1">#REF!</definedName>
    <definedName name="Tigr_Exhibite24162b9_c6a8_4659_8ecc_4f5c707cfd8a" localSheetId="23" hidden="1">#REF!</definedName>
    <definedName name="Tigr_Exhibite24162b9_c6a8_4659_8ecc_4f5c707cfd8a" localSheetId="21" hidden="1">#REF!</definedName>
    <definedName name="Tigr_Exhibite24162b9_c6a8_4659_8ecc_4f5c707cfd8a" hidden="1">#REF!</definedName>
    <definedName name="Tigr_Exhibite5506369_8705_4cff_845a_26e3de73cc57" hidden="1">#REF!</definedName>
    <definedName name="Tigr_Exhibite93e6b73_24a9_4f77_9793_568bceddf471" hidden="1">#REF!</definedName>
    <definedName name="Tigr_Exhibite95ea148_a38e_4c74_a7f8_7b4ff44988ac" localSheetId="1" hidden="1">#REF!</definedName>
    <definedName name="Tigr_Exhibite95ea148_a38e_4c74_a7f8_7b4ff44988ac" localSheetId="2" hidden="1">#REF!</definedName>
    <definedName name="Tigr_Exhibite95ea148_a38e_4c74_a7f8_7b4ff44988ac" localSheetId="12" hidden="1">#REF!</definedName>
    <definedName name="Tigr_Exhibite95ea148_a38e_4c74_a7f8_7b4ff44988ac" hidden="1">#REF!</definedName>
    <definedName name="Tigr_Exhibitecffe75f_45b0_4dee_a6ac_3721264c4cd6" localSheetId="24" hidden="1">#REF!</definedName>
    <definedName name="Tigr_Exhibitecffe75f_45b0_4dee_a6ac_3721264c4cd6" localSheetId="1" hidden="1">#REF!</definedName>
    <definedName name="Tigr_Exhibitecffe75f_45b0_4dee_a6ac_3721264c4cd6" localSheetId="18" hidden="1">#REF!</definedName>
    <definedName name="Tigr_Exhibitecffe75f_45b0_4dee_a6ac_3721264c4cd6" localSheetId="12" hidden="1">#REF!</definedName>
    <definedName name="Tigr_Exhibitecffe75f_45b0_4dee_a6ac_3721264c4cd6" localSheetId="23" hidden="1">#REF!</definedName>
    <definedName name="Tigr_Exhibitecffe75f_45b0_4dee_a6ac_3721264c4cd6" localSheetId="19" hidden="1">#REF!</definedName>
    <definedName name="Tigr_Exhibitecffe75f_45b0_4dee_a6ac_3721264c4cd6" localSheetId="21" hidden="1">#REF!</definedName>
    <definedName name="Tigr_Exhibitecffe75f_45b0_4dee_a6ac_3721264c4cd6" hidden="1">#REF!</definedName>
    <definedName name="Tigr_Exhibitf3977d61_caab_4935_9b9e_1021ecdcdb6f" hidden="1">#REF!</definedName>
    <definedName name="Tigr_Exhibitf60817f5_c088_47d5_8c0b_a8b756b5cc9e" localSheetId="24" hidden="1">#REF!</definedName>
    <definedName name="Tigr_Exhibitf60817f5_c088_47d5_8c0b_a8b756b5cc9e" localSheetId="1" hidden="1">#REF!</definedName>
    <definedName name="Tigr_Exhibitf60817f5_c088_47d5_8c0b_a8b756b5cc9e" localSheetId="18" hidden="1">#REF!</definedName>
    <definedName name="Tigr_Exhibitf60817f5_c088_47d5_8c0b_a8b756b5cc9e" localSheetId="12" hidden="1">#REF!</definedName>
    <definedName name="Tigr_Exhibitf60817f5_c088_47d5_8c0b_a8b756b5cc9e" localSheetId="23" hidden="1">#REF!</definedName>
    <definedName name="Tigr_Exhibitf60817f5_c088_47d5_8c0b_a8b756b5cc9e" localSheetId="19" hidden="1">#REF!</definedName>
    <definedName name="Tigr_Exhibitf60817f5_c088_47d5_8c0b_a8b756b5cc9e" localSheetId="21" hidden="1">#REF!</definedName>
    <definedName name="Tigr_Exhibitf60817f5_c088_47d5_8c0b_a8b756b5cc9e" hidden="1">#REF!</definedName>
    <definedName name="Tigr_Exhibitfae0efaa_0267_4758_8c3f_d4ba0225f3bc" hidden="1">#REF!</definedName>
    <definedName name="Tigr_Exhibitfbde01df_6136_42c7_a4a1_973ae647e993" hidden="1">#REF!</definedName>
    <definedName name="Tigr_Exhibitfd0d12a2_cadf_4121_a421_ef9cb79c9cd1" localSheetId="2" hidden="1">#REF!</definedName>
    <definedName name="Tigr_Exhibitfd0d12a2_cadf_4121_a421_ef9cb79c9cd1" hidden="1">#REF!</definedName>
    <definedName name="Tigr_Exhibitff6f4354_cb6c_44a4_a232_7c5f7d291dc2" hidden="1">#REF!</definedName>
    <definedName name="Title" localSheetId="2">#REF!</definedName>
    <definedName name="Title">#REF!</definedName>
    <definedName name="TotalAssets">#REF!</definedName>
    <definedName name="TotalCashDeposits">#REF!</definedName>
    <definedName name="TotalDerivativesAnalyst">#REF!</definedName>
    <definedName name="TotalExpenses">#REF!</definedName>
    <definedName name="TotalFinancialItems">#REF!</definedName>
    <definedName name="TotalLiabilitiesEquity">#REF!</definedName>
    <definedName name="TotalReqs" localSheetId="2">#REF!</definedName>
    <definedName name="TotalReqs">#REF!</definedName>
    <definedName name="TotalRevenue">#REF!</definedName>
    <definedName name="TotalRevenueMax">#REF!</definedName>
    <definedName name="TotalSecurities">#REF!</definedName>
    <definedName name="TotalSharesAnalyst">#REF!</definedName>
    <definedName name="TotalSharesEmployees">#REF!</definedName>
    <definedName name="TotalSharesES">#REF!</definedName>
    <definedName name="TotalTime" localSheetId="2">#REF!</definedName>
    <definedName name="TotalTime">#REF!</definedName>
    <definedName name="TradesPerAccountAvg">#REF!</definedName>
    <definedName name="TRNR_20c5f071bf82430d96420b80475ec343_473_4" hidden="1">#REF!</definedName>
    <definedName name="TRNR_49b44b0e22464e52a1c45e34419fc423_5463_6" hidden="1">#REF!</definedName>
    <definedName name="TRNR_71251922ba344f8196f28099e2190926_5428_17" hidden="1">#REF!</definedName>
    <definedName name="TRNR_80d1c101faa3415a81489c48b9cdfd9a_2949_2" hidden="1">#REF!</definedName>
    <definedName name="TRNR_cce82653f88c4340b3960d39375277c1_5428_17" hidden="1">#REF!</definedName>
    <definedName name="ttttttttttttttttttttttttttttttt" localSheetId="1" hidden="1">{"Geographic P1",#N/A,FALSE,"Division &amp; Geog"}</definedName>
    <definedName name="ttttttttttttttttttttttttttttttt" localSheetId="2" hidden="1">{"Geographic P1",#N/A,FALSE,"Division &amp; Geog"}</definedName>
    <definedName name="ttttttttttttttttttttttttttttttt" localSheetId="19" hidden="1">{"Geographic P1",#N/A,FALSE,"Division &amp; Geog"}</definedName>
    <definedName name="ttttttttttttttttttttttttttttttt" localSheetId="21" hidden="1">{"Geographic P1",#N/A,FALSE,"Division &amp; Geog"}</definedName>
    <definedName name="ttttttttttttttttttttttttttttttt" hidden="1">{"Geographic P1",#N/A,FALSE,"Division &amp; Geog"}</definedName>
    <definedName name="UnderlayingChangeInWorkingCapital">#REF!</definedName>
    <definedName name="UndisResBooked">#REF!</definedName>
    <definedName name="UndisResDeferred">#REF!</definedName>
    <definedName name="UndisResMarketValuePerShare">#REF!</definedName>
    <definedName name="undisrestot">#REF!</definedName>
    <definedName name="UndisResTotal">#REF!</definedName>
    <definedName name="UndisResTotalPerShare">#REF!</definedName>
    <definedName name="UnrealizedForExchangeLoss">#REF!</definedName>
    <definedName name="usus" hidden="1">{"'TABLE82'!$A$1:$D$102"}</definedName>
    <definedName name="uu" localSheetId="1" hidden="1">{"Financials",#N/A,FALSE,"Financials";"AVP",#N/A,FALSE,"AVP";"DCF",#N/A,FALSE,"DCF";"CSC",#N/A,FALSE,"CSC";"Deal_Comp",#N/A,FALSE,"DealComp"}</definedName>
    <definedName name="uu" localSheetId="2" hidden="1">{"Financials",#N/A,FALSE,"Financials";"AVP",#N/A,FALSE,"AVP";"DCF",#N/A,FALSE,"DCF";"CSC",#N/A,FALSE,"CSC";"Deal_Comp",#N/A,FALSE,"DealComp"}</definedName>
    <definedName name="uu" localSheetId="19" hidden="1">{"Financials",#N/A,FALSE,"Financials";"AVP",#N/A,FALSE,"AVP";"DCF",#N/A,FALSE,"DCF";"CSC",#N/A,FALSE,"CSC";"Deal_Comp",#N/A,FALSE,"DealComp"}</definedName>
    <definedName name="uu" localSheetId="21" hidden="1">{"Financials",#N/A,FALSE,"Financials";"AVP",#N/A,FALSE,"AVP";"DCF",#N/A,FALSE,"DCF";"CSC",#N/A,FALSE,"CSC";"Deal_Comp",#N/A,FALSE,"DealComp"}</definedName>
    <definedName name="uu" hidden="1">{"Financials",#N/A,FALSE,"Financials";"AVP",#N/A,FALSE,"AVP";"DCF",#N/A,FALSE,"DCF";"CSC",#N/A,FALSE,"CSC";"Deal_Comp",#N/A,FALSE,"DealComp"}</definedName>
    <definedName name="V_ALL_ABBN.S" localSheetId="2">#REF!</definedName>
    <definedName name="V_ALL_ABBN.S">#REF!</definedName>
    <definedName name="V_ALL_AIR.PA" localSheetId="2">#REF!</definedName>
    <definedName name="V_ALL_AIR.PA" localSheetId="12">#REF!</definedName>
    <definedName name="V_ALL_AIR.PA" localSheetId="23">#REF!</definedName>
    <definedName name="V_ALL_AIR.PA">#REF!</definedName>
    <definedName name="V_ALL_AIR.PA_" localSheetId="24">#REF!</definedName>
    <definedName name="V_ALL_AIR.PA_" localSheetId="18">#REF!</definedName>
    <definedName name="V_ALL_AIR.PA_" localSheetId="12">#REF!</definedName>
    <definedName name="V_ALL_AIR.PA_" localSheetId="23">#REF!</definedName>
    <definedName name="V_ALL_AIR.PA_" localSheetId="19">#REF!</definedName>
    <definedName name="V_ALL_AIR.PA_" localSheetId="21">#REF!</definedName>
    <definedName name="V_ALL_AIR.PA_">#REF!</definedName>
    <definedName name="V_ALL_ATCOa.ST">#REF!</definedName>
    <definedName name="V_ALL_AVMD.PA" localSheetId="2">#REF!</definedName>
    <definedName name="V_ALL_AVMD.PA">#REF!</definedName>
    <definedName name="V_ALL_BAES.L" localSheetId="2">#REF!</definedName>
    <definedName name="V_ALL_BAES.L" localSheetId="12">#REF!</definedName>
    <definedName name="V_ALL_BAES.L" localSheetId="23">#REF!</definedName>
    <definedName name="V_ALL_BAES.L">#REF!</definedName>
    <definedName name="V_ALL_BAES.L_" localSheetId="24">#REF!</definedName>
    <definedName name="V_ALL_BAES.L_" localSheetId="18">#REF!</definedName>
    <definedName name="V_ALL_BAES.L_" localSheetId="12">#REF!</definedName>
    <definedName name="V_ALL_BAES.L_" localSheetId="23">#REF!</definedName>
    <definedName name="V_ALL_BAES.L_" localSheetId="19">#REF!</definedName>
    <definedName name="V_ALL_BAES.L_" localSheetId="21">#REF!</definedName>
    <definedName name="V_ALL_BAES.L_">#REF!</definedName>
    <definedName name="V_ALL_COB.L" localSheetId="2">#REF!</definedName>
    <definedName name="V_ALL_COB.L" localSheetId="12">#REF!</definedName>
    <definedName name="V_ALL_COB.L" localSheetId="23">#REF!</definedName>
    <definedName name="V_ALL_COB.L">#REF!</definedName>
    <definedName name="V_ALL_DTGGe.DE">#REF!</definedName>
    <definedName name="V_ALL_EAD.PA" localSheetId="2">#REF!</definedName>
    <definedName name="V_ALL_EAD.PA" localSheetId="12">#REF!</definedName>
    <definedName name="V_ALL_EAD.PA">#REF!</definedName>
    <definedName name="V_ALL_KEYWORDS_TYPE_ScalarContributed_EQTY_200000267">#REF!,#REF!</definedName>
    <definedName name="V_ALL_KEYWORDS_TYPE_ScalarContributed_EQTY_200003162" localSheetId="2">#REF!,#REF!</definedName>
    <definedName name="V_ALL_KEYWORDS_TYPE_ScalarContributed_EQTY_200003162" localSheetId="12">#REF!,#REF!</definedName>
    <definedName name="V_ALL_KEYWORDS_TYPE_ScalarContributed_EQTY_200003162">#REF!,#REF!</definedName>
    <definedName name="V_ALL_KEYWORDS_TYPE_ScalarContributed_EQTY_200003170" localSheetId="2">#REF!,#REF!</definedName>
    <definedName name="V_ALL_KEYWORDS_TYPE_ScalarContributed_EQTY_200003170" localSheetId="12">#REF!,#REF!</definedName>
    <definedName name="V_ALL_KEYWORDS_TYPE_ScalarContributed_EQTY_200003170">#REF!,#REF!</definedName>
    <definedName name="V_ALL_KEYWORDS_TYPE_ScalarContributed_EQTY_200003173" localSheetId="2">#REF!,#REF!</definedName>
    <definedName name="V_ALL_KEYWORDS_TYPE_ScalarContributed_EQTY_200003173" localSheetId="12">#REF!,#REF!</definedName>
    <definedName name="V_ALL_KEYWORDS_TYPE_ScalarContributed_EQTY_200003173">#REF!,#REF!</definedName>
    <definedName name="V_ALL_KEYWORDS_TYPE_ScalarContributed_EQTY_200003183" localSheetId="2">#REF!,#REF!</definedName>
    <definedName name="V_ALL_KEYWORDS_TYPE_ScalarContributed_EQTY_200003183" localSheetId="12">#REF!,#REF!</definedName>
    <definedName name="V_ALL_KEYWORDS_TYPE_ScalarContributed_EQTY_200003183">#REF!,#REF!</definedName>
    <definedName name="V_ALL_KEYWORDS_TYPE_ScalarContributed_EQTY_200003821" localSheetId="2">#REF!,#REF!</definedName>
    <definedName name="V_ALL_KEYWORDS_TYPE_ScalarContributed_EQTY_200003821" localSheetId="12">#REF!,#REF!</definedName>
    <definedName name="V_ALL_KEYWORDS_TYPE_ScalarContributed_EQTY_200003821">#REF!,#REF!</definedName>
    <definedName name="V_ALL_KEYWORDS_TYPE_ScalarContributed_EQTY_200004285" localSheetId="2">#REF!,#REF!</definedName>
    <definedName name="V_ALL_KEYWORDS_TYPE_ScalarContributed_EQTY_200004285">#REF!,#REF!</definedName>
    <definedName name="V_ALL_KEYWORDS_TYPE_ScalarContributed_EQTY_200005121" localSheetId="2">#REF!,#REF!</definedName>
    <definedName name="V_ALL_KEYWORDS_TYPE_ScalarContributed_EQTY_200005121" localSheetId="12">#REF!,#REF!</definedName>
    <definedName name="V_ALL_KEYWORDS_TYPE_ScalarContributed_EQTY_200005121">#REF!,#REF!</definedName>
    <definedName name="V_ALL_KEYWORDS_TYPE_ScalarContributed_EQTY_200007513" localSheetId="2">#REF!,#REF!</definedName>
    <definedName name="V_ALL_KEYWORDS_TYPE_ScalarContributed_EQTY_200007513" localSheetId="12">#REF!,#REF!</definedName>
    <definedName name="V_ALL_KEYWORDS_TYPE_ScalarContributed_EQTY_200007513">#REF!,#REF!</definedName>
    <definedName name="V_ALL_KEYWORDS_TYPE_ScalarContributed_EQTY_200008448">#REF!,#REF!,#REF!</definedName>
    <definedName name="V_ALL_KEYWORDS_TYPE_ScalarContributed_EQTY_200009618" localSheetId="2">#REF!,#REF!</definedName>
    <definedName name="V_ALL_KEYWORDS_TYPE_ScalarContributed_EQTY_200009618" localSheetId="12">#REF!,#REF!</definedName>
    <definedName name="V_ALL_KEYWORDS_TYPE_ScalarContributed_EQTY_200009618">#REF!,#REF!</definedName>
    <definedName name="V_ALL_KEYWORDS_TYPE_ScalarContributed_EQTY_200009619" localSheetId="2">#REF!,#REF!</definedName>
    <definedName name="V_ALL_KEYWORDS_TYPE_ScalarContributed_EQTY_200009619" localSheetId="12">#REF!,#REF!</definedName>
    <definedName name="V_ALL_KEYWORDS_TYPE_ScalarContributed_EQTY_200009619">#REF!,#REF!</definedName>
    <definedName name="V_ALL_KEYWORDS_TYPE_ScalarContributed_EQTY_200009620" localSheetId="2">#REF!,#REF!</definedName>
    <definedName name="V_ALL_KEYWORDS_TYPE_ScalarContributed_EQTY_200009620" localSheetId="12">#REF!,#REF!</definedName>
    <definedName name="V_ALL_KEYWORDS_TYPE_ScalarContributed_EQTY_200009620">#REF!,#REF!</definedName>
    <definedName name="V_ALL_KEYWORDS_TYPE_ScalarContributed_EQTY_200011295" localSheetId="2">#REF!,#REF!</definedName>
    <definedName name="V_ALL_KEYWORDS_TYPE_ScalarContributed_EQTY_200011295">#REF!,#REF!</definedName>
    <definedName name="V_ALL_KEYWORDS_TYPE_ScalarContributed_ISSR_208000023">#REF!,#REF!,#REF!,#REF!,#REF!,#REF!,#REF!,#REF!,#REF!,#REF!</definedName>
    <definedName name="V_ALL_KEYWORDS_TYPE_ScalarContributed_ISSR_208001092" localSheetId="2">#REF!,#REF!</definedName>
    <definedName name="V_ALL_KEYWORDS_TYPE_ScalarContributed_ISSR_208001092">#REF!,#REF!</definedName>
    <definedName name="V_ALL_KEYWORDS_TYPE_ScalarContributed_ISSR_208001095" localSheetId="2">#REF!,#REF!</definedName>
    <definedName name="V_ALL_KEYWORDS_TYPE_ScalarContributed_ISSR_208001095">#REF!,#REF!</definedName>
    <definedName name="V_ALL_KEYWORDS_TYPE_ScalarContributed_ISSR_208001100" localSheetId="2">#REF!,#REF!</definedName>
    <definedName name="V_ALL_KEYWORDS_TYPE_ScalarContributed_ISSR_208001100">#REF!,#REF!</definedName>
    <definedName name="V_ALL_KEYWORDS_TYPE_ScalarContributed_ISSR_208001219" localSheetId="2">#REF!,#REF!,#REF!,#REF!,#REF!,#REF!,#REF!,#REF!</definedName>
    <definedName name="V_ALL_KEYWORDS_TYPE_ScalarContributed_ISSR_208001219">#REF!,#REF!,#REF!,#REF!,#REF!,#REF!,#REF!,#REF!</definedName>
    <definedName name="V_ALL_KEYWORDS_TYPE_ScalarContributed_ISSR_208001433" localSheetId="2">#REF!,#REF!</definedName>
    <definedName name="V_ALL_KEYWORDS_TYPE_ScalarContributed_ISSR_208001433" localSheetId="23">#REF!,#REF!</definedName>
    <definedName name="V_ALL_KEYWORDS_TYPE_ScalarContributed_ISSR_208001433">#REF!,#REF!</definedName>
    <definedName name="V_ALL_KEYWORDS_TYPE_ScalarContributed_ISSR_208006659" localSheetId="2">#REF!,#REF!,#REF!</definedName>
    <definedName name="V_ALL_KEYWORDS_TYPE_ScalarContributed_ISSR_208006659" localSheetId="19">#REF!,#REF!,#REF!</definedName>
    <definedName name="V_ALL_KEYWORDS_TYPE_ScalarContributed_ISSR_208006659">#REF!,#REF!,#REF!</definedName>
    <definedName name="V_ALL_KEYWORDS_TYPE_ScalarContributed_ISSR_208007415" localSheetId="2">#REF!,#REF!</definedName>
    <definedName name="V_ALL_KEYWORDS_TYPE_ScalarContributed_ISSR_208007415">#REF!,#REF!</definedName>
    <definedName name="V_ALL_KEYWORDS_TYPE_ScalarContributed_ISSR_208008646" localSheetId="2">#REF!,#REF!</definedName>
    <definedName name="V_ALL_KEYWORDS_TYPE_ScalarContributed_ISSR_208008646">#REF!,#REF!</definedName>
    <definedName name="V_ALL_KEYWORDS_TYPE_ScalarReference_EQTY_200007513" localSheetId="24">#REF!</definedName>
    <definedName name="V_ALL_KEYWORDS_TYPE_ScalarReference_EQTY_200007513" localSheetId="18">#REF!</definedName>
    <definedName name="V_ALL_KEYWORDS_TYPE_ScalarReference_EQTY_200007513" localSheetId="12">#REF!</definedName>
    <definedName name="V_ALL_KEYWORDS_TYPE_ScalarReference_EQTY_200007513" localSheetId="23">#REF!</definedName>
    <definedName name="V_ALL_KEYWORDS_TYPE_ScalarReference_EQTY_200007513" localSheetId="19">#REF!</definedName>
    <definedName name="V_ALL_KEYWORDS_TYPE_ScalarReference_EQTY_200007513" localSheetId="21">#REF!</definedName>
    <definedName name="V_ALL_KEYWORDS_TYPE_ScalarReference_EQTY_200007513">#REF!</definedName>
    <definedName name="V_ALL_KEYWORDS_TYPE_ScalarReference_ISSR_208002861" localSheetId="24">#REF!</definedName>
    <definedName name="V_ALL_KEYWORDS_TYPE_ScalarReference_ISSR_208002861" localSheetId="18">#REF!</definedName>
    <definedName name="V_ALL_KEYWORDS_TYPE_ScalarReference_ISSR_208002861" localSheetId="12">#REF!</definedName>
    <definedName name="V_ALL_KEYWORDS_TYPE_ScalarReference_ISSR_208002861" localSheetId="23">#REF!</definedName>
    <definedName name="V_ALL_KEYWORDS_TYPE_ScalarReference_ISSR_208002861" localSheetId="19">#REF!</definedName>
    <definedName name="V_ALL_KEYWORDS_TYPE_ScalarReference_ISSR_208002861" localSheetId="21">#REF!</definedName>
    <definedName name="V_ALL_KEYWORDS_TYPE_ScalarReference_ISSR_208002861">#REF!</definedName>
    <definedName name="V_ALL_KEYWORDS_TYPE_Vector_EQTY_200000267">#REF!,#REF!,#REF!,#REF!,#REF!</definedName>
    <definedName name="V_ALL_KEYWORDS_TYPE_Vector_EQTY_200003162" localSheetId="2">#REF!,#REF!,#REF!,#REF!,#REF!</definedName>
    <definedName name="V_ALL_KEYWORDS_TYPE_Vector_EQTY_200003162" localSheetId="12">#REF!,#REF!,#REF!,#REF!,#REF!</definedName>
    <definedName name="V_ALL_KEYWORDS_TYPE_Vector_EQTY_200003162">#REF!,#REF!,#REF!,#REF!,#REF!</definedName>
    <definedName name="V_ALL_KEYWORDS_TYPE_Vector_EQTY_200003169" localSheetId="2">#REF!,#REF!,#REF!,#REF!,#REF!</definedName>
    <definedName name="V_ALL_KEYWORDS_TYPE_Vector_EQTY_200003169">#REF!,#REF!,#REF!,#REF!,#REF!</definedName>
    <definedName name="V_ALL_KEYWORDS_TYPE_Vector_EQTY_200003170" localSheetId="2">#REF!,#REF!,#REF!,#REF!,#REF!</definedName>
    <definedName name="V_ALL_KEYWORDS_TYPE_Vector_EQTY_200003170" localSheetId="12">#REF!,#REF!,#REF!,#REF!,#REF!</definedName>
    <definedName name="V_ALL_KEYWORDS_TYPE_Vector_EQTY_200003170">#REF!,#REF!,#REF!,#REF!,#REF!</definedName>
    <definedName name="V_ALL_KEYWORDS_TYPE_Vector_EQTY_200003173" localSheetId="2">#REF!,#REF!,#REF!,#REF!,#REF!</definedName>
    <definedName name="V_ALL_KEYWORDS_TYPE_Vector_EQTY_200003173" localSheetId="12">#REF!,#REF!,#REF!,#REF!,#REF!</definedName>
    <definedName name="V_ALL_KEYWORDS_TYPE_Vector_EQTY_200003173">#REF!,#REF!,#REF!,#REF!,#REF!</definedName>
    <definedName name="V_ALL_KEYWORDS_TYPE_Vector_EQTY_200003183" localSheetId="2">#REF!,#REF!,#REF!,#REF!,#REF!</definedName>
    <definedName name="V_ALL_KEYWORDS_TYPE_Vector_EQTY_200003183" localSheetId="12">#REF!,#REF!,#REF!,#REF!,#REF!</definedName>
    <definedName name="V_ALL_KEYWORDS_TYPE_Vector_EQTY_200003183">#REF!,#REF!,#REF!,#REF!,#REF!</definedName>
    <definedName name="V_ALL_KEYWORDS_TYPE_Vector_EQTY_200003821" localSheetId="2">#REF!,#REF!,#REF!,#REF!,#REF!</definedName>
    <definedName name="V_ALL_KEYWORDS_TYPE_Vector_EQTY_200003821" localSheetId="12">#REF!,#REF!,#REF!,#REF!,#REF!</definedName>
    <definedName name="V_ALL_KEYWORDS_TYPE_Vector_EQTY_200003821">#REF!,#REF!,#REF!,#REF!,#REF!</definedName>
    <definedName name="V_ALL_KEYWORDS_TYPE_Vector_EQTY_200004285" localSheetId="2">#REF!,#REF!,#REF!,#REF!,#REF!</definedName>
    <definedName name="V_ALL_KEYWORDS_TYPE_Vector_EQTY_200004285">#REF!,#REF!,#REF!,#REF!,#REF!</definedName>
    <definedName name="V_ALL_KEYWORDS_TYPE_Vector_EQTY_200005121" localSheetId="2">#REF!,#REF!,#REF!,#REF!,#REF!</definedName>
    <definedName name="V_ALL_KEYWORDS_TYPE_Vector_EQTY_200005121" localSheetId="12">#REF!,#REF!,#REF!,#REF!,#REF!</definedName>
    <definedName name="V_ALL_KEYWORDS_TYPE_Vector_EQTY_200005121" localSheetId="23">#REF!,#REF!,#REF!,#REF!,#REF!</definedName>
    <definedName name="V_ALL_KEYWORDS_TYPE_Vector_EQTY_200005121">#REF!,#REF!,#REF!,#REF!,#REF!</definedName>
    <definedName name="V_ALL_KEYWORDS_TYPE_Vector_EQTY_200007513" localSheetId="2">#REF!,#REF!,#REF!,#REF!,#REF!</definedName>
    <definedName name="V_ALL_KEYWORDS_TYPE_Vector_EQTY_200007513" localSheetId="12">#REF!,#REF!,#REF!,#REF!,#REF!</definedName>
    <definedName name="V_ALL_KEYWORDS_TYPE_Vector_EQTY_200007513">#REF!,#REF!,#REF!,#REF!,#REF!</definedName>
    <definedName name="V_ALL_KEYWORDS_TYPE_Vector_EQTY_200008448" localSheetId="2">#REF!,#REF!,#REF!,#REF!,#REF!</definedName>
    <definedName name="V_ALL_KEYWORDS_TYPE_Vector_EQTY_200008448" localSheetId="12">#REF!,#REF!,#REF!,#REF!,#REF!</definedName>
    <definedName name="V_ALL_KEYWORDS_TYPE_Vector_EQTY_200008448" localSheetId="19">#REF!,#REF!,#REF!,#REF!,#REF!</definedName>
    <definedName name="V_ALL_KEYWORDS_TYPE_Vector_EQTY_200008448">#REF!,#REF!,#REF!,#REF!,#REF!</definedName>
    <definedName name="V_ALL_KEYWORDS_TYPE_Vector_EQTY_200009618" localSheetId="2">#REF!,#REF!,#REF!,#REF!,#REF!</definedName>
    <definedName name="V_ALL_KEYWORDS_TYPE_Vector_EQTY_200009618" localSheetId="12">#REF!,#REF!,#REF!,#REF!,#REF!</definedName>
    <definedName name="V_ALL_KEYWORDS_TYPE_Vector_EQTY_200009618">#REF!,#REF!,#REF!,#REF!,#REF!</definedName>
    <definedName name="V_ALL_KEYWORDS_TYPE_Vector_EQTY_200009619" localSheetId="2">#REF!,#REF!,#REF!,#REF!,#REF!</definedName>
    <definedName name="V_ALL_KEYWORDS_TYPE_Vector_EQTY_200009619" localSheetId="12">#REF!,#REF!,#REF!,#REF!,#REF!</definedName>
    <definedName name="V_ALL_KEYWORDS_TYPE_Vector_EQTY_200009619">#REF!,#REF!,#REF!,#REF!,#REF!</definedName>
    <definedName name="V_ALL_KEYWORDS_TYPE_Vector_EQTY_200009620" localSheetId="2">#REF!,#REF!,#REF!,#REF!,#REF!</definedName>
    <definedName name="V_ALL_KEYWORDS_TYPE_Vector_EQTY_200009620" localSheetId="12">#REF!,#REF!,#REF!,#REF!,#REF!</definedName>
    <definedName name="V_ALL_KEYWORDS_TYPE_Vector_EQTY_200009620">#REF!,#REF!,#REF!,#REF!,#REF!</definedName>
    <definedName name="V_ALL_KEYWORDS_TYPE_Vector_EQTY_200011295" localSheetId="2">#REF!,#REF!,#REF!,#REF!,#REF!</definedName>
    <definedName name="V_ALL_KEYWORDS_TYPE_Vector_EQTY_200011295" localSheetId="12">#REF!,#REF!,#REF!,#REF!,#REF!</definedName>
    <definedName name="V_ALL_KEYWORDS_TYPE_Vector_EQTY_200011295">#REF!,#REF!,#REF!,#REF!,#REF!</definedName>
    <definedName name="V_ALL_KEYWORDS_TYPE_Vector_ISSR_208000023">#REF!,#REF!,#REF!,#REF!,#REF!,#REF!,#REF!,#REF!,#REF!,#REF!,#REF!,#REF!,#REF!,#REF!,#REF!,#REF!,#REF!,#REF!,#REF!,#REF!,#REF!,#REF!,#REF!,#REF!,#REF!</definedName>
    <definedName name="V_ALL_KEYWORDS_TYPE_Vector_ISSR_208001092" localSheetId="2">#REF!,#REF!,#REF!,#REF!,#REF!,#REF!,#REF!,#REF!,#REF!,#REF!,#REF!,#REF!,#REF!,#REF!,#REF!,#REF!,#REF!,#REF!,#REF!,#REF!,#REF!,#REF!,#REF!,#REF!,#REF!,#REF!</definedName>
    <definedName name="V_ALL_KEYWORDS_TYPE_Vector_ISSR_208001092" localSheetId="12">#REF!,#REF!,#REF!,#REF!,#REF!,#REF!,#REF!,#REF!,#REF!,#REF!,#REF!,#REF!,#REF!,#REF!,#REF!,#REF!,#REF!,#REF!,#REF!,#REF!,#REF!,#REF!,#REF!,#REF!,#REF!,#REF!</definedName>
    <definedName name="V_ALL_KEYWORDS_TYPE_Vector_ISSR_208001092">#REF!,#REF!,#REF!,#REF!,#REF!,#REF!,#REF!,#REF!,#REF!,#REF!,#REF!,#REF!,#REF!,#REF!,#REF!,#REF!,#REF!,#REF!,#REF!,#REF!,#REF!,#REF!,#REF!,#REF!,#REF!,#REF!</definedName>
    <definedName name="V_ALL_KEYWORDS_TYPE_Vector_ISSR_208001095" localSheetId="2">#REF!,#REF!,#REF!,#REF!,#REF!,#REF!,#REF!,#REF!,#REF!,#REF!,#REF!,#REF!,#REF!,#REF!</definedName>
    <definedName name="V_ALL_KEYWORDS_TYPE_Vector_ISSR_208001095">#REF!,#REF!,#REF!,#REF!,#REF!,#REF!,#REF!,#REF!,#REF!,#REF!,#REF!,#REF!,#REF!,#REF!</definedName>
    <definedName name="V_ALL_KEYWORDS_TYPE_Vector_ISSR_208001096" localSheetId="2">#REF!,#REF!,#REF!,#REF!,#REF!,#REF!,#REF!,#REF!,#REF!,#REF!,#REF!,#REF!,#REF!,#REF!,#REF!,#REF!,#REF!,#REF!,#REF!,#REF!,#REF!,#REF!,#REF!,#REF!,#REF!,#REF!</definedName>
    <definedName name="V_ALL_KEYWORDS_TYPE_Vector_ISSR_208001096" localSheetId="12">#REF!,#REF!,#REF!,#REF!,#REF!,#REF!,#REF!,#REF!,#REF!,#REF!,#REF!,#REF!,#REF!,#REF!,#REF!,#REF!,#REF!,#REF!,#REF!,#REF!,#REF!,#REF!,#REF!,#REF!,#REF!,#REF!</definedName>
    <definedName name="V_ALL_KEYWORDS_TYPE_Vector_ISSR_208001096">#REF!,#REF!,#REF!,#REF!,#REF!,#REF!,#REF!,#REF!,#REF!,#REF!,#REF!,#REF!,#REF!,#REF!,#REF!,#REF!,#REF!,#REF!,#REF!,#REF!,#REF!,#REF!,#REF!,#REF!,#REF!,#REF!</definedName>
    <definedName name="V_ALL_KEYWORDS_TYPE_Vector_ISSR_208001098" localSheetId="2">#REF!,#REF!,#REF!,#REF!,#REF!,#REF!,#REF!,#REF!,#REF!,#REF!,#REF!,#REF!,#REF!,#REF!,#REF!,#REF!,#REF!,#REF!,#REF!,#REF!,#REF!,#REF!,#REF!,#REF!,#REF!,#REF!</definedName>
    <definedName name="V_ALL_KEYWORDS_TYPE_Vector_ISSR_208001098" localSheetId="12">#REF!,#REF!,#REF!,#REF!,#REF!,#REF!,#REF!,#REF!,#REF!,#REF!,#REF!,#REF!,#REF!,#REF!,#REF!,#REF!,#REF!,#REF!,#REF!,#REF!,#REF!,#REF!,#REF!,#REF!,#REF!,#REF!</definedName>
    <definedName name="V_ALL_KEYWORDS_TYPE_Vector_ISSR_208001098">#REF!,#REF!,#REF!,#REF!,#REF!,#REF!,#REF!,#REF!,#REF!,#REF!,#REF!,#REF!,#REF!,#REF!,#REF!,#REF!,#REF!,#REF!,#REF!,#REF!,#REF!,#REF!,#REF!,#REF!,#REF!,#REF!</definedName>
    <definedName name="V_ALL_KEYWORDS_TYPE_Vector_ISSR_208001100" localSheetId="2">#REF!,#REF!,#REF!,#REF!,#REF!,#REF!,#REF!,#REF!,#REF!,#REF!,#REF!,#REF!,#REF!,#REF!,#REF!,#REF!,#REF!,#REF!,#REF!,#REF!,#REF!,#REF!,#REF!,#REF!,#REF!,#REF!</definedName>
    <definedName name="V_ALL_KEYWORDS_TYPE_Vector_ISSR_208001100" localSheetId="12">#REF!,#REF!,#REF!,#REF!,#REF!,#REF!,#REF!,#REF!,#REF!,#REF!,#REF!,#REF!,#REF!,#REF!,#REF!,#REF!,#REF!,#REF!,#REF!,#REF!,#REF!,#REF!,#REF!,#REF!,#REF!,#REF!</definedName>
    <definedName name="V_ALL_KEYWORDS_TYPE_Vector_ISSR_208001100">#REF!,#REF!,#REF!,#REF!,#REF!,#REF!,#REF!,#REF!,#REF!,#REF!,#REF!,#REF!,#REF!,#REF!,#REF!,#REF!,#REF!,#REF!,#REF!,#REF!,#REF!,#REF!,#REF!,#REF!,#REF!,#REF!</definedName>
    <definedName name="V_ALL_KEYWORDS_TYPE_Vector_ISSR_208001129" localSheetId="2">#REF!,#REF!,#REF!,#REF!,#REF!,#REF!,#REF!,#REF!,#REF!,#REF!,#REF!,#REF!,#REF!,#REF!,#REF!,#REF!,#REF!,#REF!,#REF!,#REF!,#REF!,#REF!,#REF!,#REF!,#REF!,#REF!</definedName>
    <definedName name="V_ALL_KEYWORDS_TYPE_Vector_ISSR_208001129" localSheetId="12">#REF!,#REF!,#REF!,#REF!,#REF!,#REF!,#REF!,#REF!,#REF!,#REF!,#REF!,#REF!,#REF!,#REF!,#REF!,#REF!,#REF!,#REF!,#REF!,#REF!,#REF!,#REF!,#REF!,#REF!,#REF!,#REF!</definedName>
    <definedName name="V_ALL_KEYWORDS_TYPE_Vector_ISSR_208001129">#REF!,#REF!,#REF!,#REF!,#REF!,#REF!,#REF!,#REF!,#REF!,#REF!,#REF!,#REF!,#REF!,#REF!,#REF!,#REF!,#REF!,#REF!,#REF!,#REF!,#REF!,#REF!,#REF!,#REF!,#REF!,#REF!</definedName>
    <definedName name="V_ALL_KEYWORDS_TYPE_Vector_ISSR_208001219" localSheetId="2">#REF!,#REF!,#REF!,#REF!,#REF!,#REF!,#REF!,#REF!,#REF!,#REF!,#REF!,#REF!,#REF!,#REF!,#REF!,#REF!,#REF!,#REF!,#REF!</definedName>
    <definedName name="V_ALL_KEYWORDS_TYPE_Vector_ISSR_208001219">#REF!,#REF!,#REF!,#REF!,#REF!,#REF!,#REF!,#REF!,#REF!,#REF!,#REF!,#REF!,#REF!,#REF!,#REF!,#REF!,#REF!,#REF!,#REF!</definedName>
    <definedName name="V_ALL_KEYWORDS_TYPE_Vector_ISSR_208001433" localSheetId="2">#REF!,#REF!,#REF!,#REF!,#REF!,#REF!,#REF!,#REF!,#REF!,#REF!,#REF!,#REF!,#REF!,#REF!,#REF!,#REF!,#REF!,#REF!,#REF!,#REF!,#REF!,#REF!,#REF!,#REF!,#REF!,#REF!</definedName>
    <definedName name="V_ALL_KEYWORDS_TYPE_Vector_ISSR_208001433" localSheetId="12">#REF!,#REF!,#REF!,#REF!,#REF!,#REF!,#REF!,#REF!,#REF!,#REF!,#REF!,#REF!,#REF!,#REF!</definedName>
    <definedName name="V_ALL_KEYWORDS_TYPE_Vector_ISSR_208001433" localSheetId="23">#REF!,#REF!,#REF!,#REF!,#REF!,#REF!,#REF!,#REF!,#REF!,#REF!,#REF!,#REF!,#REF!,#REF!</definedName>
    <definedName name="V_ALL_KEYWORDS_TYPE_Vector_ISSR_208001433">#REF!,#REF!,#REF!,#REF!,#REF!,#REF!,#REF!,#REF!,#REF!,#REF!,#REF!,#REF!,#REF!,#REF!,#REF!,#REF!,#REF!,#REF!,#REF!,#REF!,#REF!,#REF!,#REF!,#REF!,#REF!,#REF!</definedName>
    <definedName name="V_ALL_KEYWORDS_TYPE_Vector_ISSR_208002861" localSheetId="2">#REF!,#REF!,#REF!,#REF!,#REF!,#REF!,#REF!,#REF!,#REF!,#REF!,#REF!,#REF!,#REF!,#REF!,#REF!,#REF!,#REF!,#REF!,#REF!,#REF!,#REF!,#REF!,#REF!,#REF!,#REF!,#REF!</definedName>
    <definedName name="V_ALL_KEYWORDS_TYPE_Vector_ISSR_208002861" localSheetId="12">#REF!,#REF!,#REF!,#REF!,#REF!,#REF!,#REF!,#REF!,#REF!,#REF!,#REF!,#REF!,#REF!,#REF!,#REF!,#REF!,#REF!,#REF!,#REF!,#REF!,#REF!,#REF!,#REF!,#REF!,#REF!,#REF!</definedName>
    <definedName name="V_ALL_KEYWORDS_TYPE_Vector_ISSR_208002861">#REF!,#REF!,#REF!,#REF!,#REF!,#REF!,#REF!,#REF!,#REF!,#REF!,#REF!,#REF!,#REF!,#REF!,#REF!,#REF!,#REF!,#REF!,#REF!,#REF!,#REF!,#REF!,#REF!,#REF!,#REF!,#REF!</definedName>
    <definedName name="V_ALL_KEYWORDS_TYPE_Vector_ISSR_208006659" localSheetId="2">#REF!,#REF!,#REF!,#REF!,#REF!,#REF!,#REF!,#REF!,#REF!,#REF!,#REF!,#REF!,#REF!,#REF!</definedName>
    <definedName name="V_ALL_KEYWORDS_TYPE_Vector_ISSR_208006659" localSheetId="12">#REF!,#REF!,#REF!,#REF!,#REF!,#REF!,#REF!,#REF!,#REF!,#REF!,#REF!,#REF!,#REF!,#REF!,#REF!,#REF!,#REF!,#REF!,#REF!,#REF!,#REF!,#REF!,#REF!,#REF!,#REF!,#REF!</definedName>
    <definedName name="V_ALL_KEYWORDS_TYPE_Vector_ISSR_208006659" localSheetId="19">#REF!,#REF!,#REF!,#REF!,#REF!,#REF!,#REF!,#REF!,#REF!,#REF!,#REF!,#REF!,#REF!,#REF!</definedName>
    <definedName name="V_ALL_KEYWORDS_TYPE_Vector_ISSR_208006659">#REF!,#REF!,#REF!,#REF!,#REF!,#REF!,#REF!,#REF!,#REF!,#REF!,#REF!,#REF!,#REF!,#REF!,#REF!,#REF!,#REF!,#REF!,#REF!,#REF!,#REF!,#REF!</definedName>
    <definedName name="V_ALL_KEYWORDS_TYPE_Vector_ISSR_208007413" localSheetId="2">#REF!,#REF!,#REF!,#REF!,#REF!,#REF!,#REF!,#REF!,#REF!,#REF!,#REF!,#REF!,#REF!,#REF!,#REF!,#REF!,#REF!,#REF!,#REF!,#REF!,#REF!,#REF!,#REF!,#REF!,#REF!,#REF!</definedName>
    <definedName name="V_ALL_KEYWORDS_TYPE_Vector_ISSR_208007413" localSheetId="12">#REF!,#REF!,#REF!,#REF!,#REF!,#REF!,#REF!,#REF!,#REF!,#REF!,#REF!,#REF!</definedName>
    <definedName name="V_ALL_KEYWORDS_TYPE_Vector_ISSR_208007413">#REF!,#REF!,#REF!,#REF!,#REF!,#REF!,#REF!,#REF!,#REF!,#REF!,#REF!,#REF!,#REF!,#REF!,#REF!,#REF!,#REF!,#REF!,#REF!,#REF!,#REF!,#REF!,#REF!,#REF!,#REF!,#REF!</definedName>
    <definedName name="V_ALL_KEYWORDS_TYPE_Vector_ISSR_208007414" localSheetId="2">#REF!,#REF!,#REF!,#REF!,#REF!,#REF!,#REF!,#REF!,#REF!</definedName>
    <definedName name="V_ALL_KEYWORDS_TYPE_Vector_ISSR_208007414" localSheetId="12">#REF!,#REF!,#REF!,#REF!,#REF!,#REF!,#REF!,#REF!,#REF!</definedName>
    <definedName name="V_ALL_KEYWORDS_TYPE_Vector_ISSR_208007414">#REF!,#REF!,#REF!,#REF!,#REF!,#REF!,#REF!,#REF!,#REF!</definedName>
    <definedName name="V_ALL_KEYWORDS_TYPE_Vector_ISSR_208007415" localSheetId="2">#REF!,#REF!,#REF!,#REF!,#REF!,#REF!,#REF!,#REF!,#REF!,#REF!,#REF!,#REF!,#REF!,#REF!,#REF!,#REF!,#REF!,#REF!,#REF!,#REF!,#REF!,#REF!,#REF!,#REF!,#REF!,#REF!</definedName>
    <definedName name="V_ALL_KEYWORDS_TYPE_Vector_ISSR_208007415" localSheetId="12">#REF!,#REF!,#REF!,#REF!,#REF!,#REF!,#REF!,#REF!,#REF!,#REF!,#REF!,#REF!,#REF!,#REF!</definedName>
    <definedName name="V_ALL_KEYWORDS_TYPE_Vector_ISSR_208007415">#REF!,#REF!,#REF!,#REF!,#REF!,#REF!,#REF!,#REF!,#REF!,#REF!,#REF!,#REF!,#REF!,#REF!,#REF!,#REF!,#REF!,#REF!,#REF!,#REF!,#REF!,#REF!,#REF!,#REF!,#REF!,#REF!</definedName>
    <definedName name="V_ALL_KEYWORDS_TYPE_Vector_ISSR_208008646" localSheetId="2">#REF!,#REF!,#REF!,#REF!,#REF!,#REF!,#REF!,#REF!,#REF!,#REF!,#REF!,#REF!,#REF!,#REF!</definedName>
    <definedName name="V_ALL_KEYWORDS_TYPE_Vector_ISSR_208008646" localSheetId="12">#REF!,#REF!,#REF!,#REF!,#REF!,#REF!,#REF!,#REF!,#REF!,#REF!,#REF!,#REF!,#REF!,#REF!,#REF!,#REF!,#REF!,#REF!,#REF!,#REF!,#REF!,#REF!,#REF!,#REF!,#REF!,#REF!</definedName>
    <definedName name="V_ALL_KEYWORDS_TYPE_Vector_ISSR_208008646">#REF!,#REF!,#REF!,#REF!,#REF!,#REF!,#REF!,#REF!,#REF!,#REF!,#REF!,#REF!,#REF!,#REF!</definedName>
    <definedName name="V_ALL_MGGT.L" localSheetId="2">#REF!</definedName>
    <definedName name="V_ALL_MGGT.L" localSheetId="12">#REF!</definedName>
    <definedName name="V_ALL_MGGT.L">#REF!</definedName>
    <definedName name="V_ALL_MTXGn.DE" localSheetId="2">#REF!</definedName>
    <definedName name="V_ALL_MTXGn.DE" localSheetId="12">#REF!</definedName>
    <definedName name="V_ALL_MTXGn.DE">#REF!</definedName>
    <definedName name="V_ALL_PERIODS_MTXGn.DE" localSheetId="24">#REF!</definedName>
    <definedName name="V_ALL_PERIODS_MTXGn.DE" localSheetId="18">#REF!</definedName>
    <definedName name="V_ALL_PERIODS_MTXGn.DE" localSheetId="12">#REF!</definedName>
    <definedName name="V_ALL_PERIODS_MTXGn.DE" localSheetId="23">#REF!</definedName>
    <definedName name="V_ALL_PERIODS_MTXGn.DE" localSheetId="19">#REF!</definedName>
    <definedName name="V_ALL_PERIODS_MTXGn.DE" localSheetId="21">#REF!</definedName>
    <definedName name="V_ALL_PERIODS_MTXGn.DE">#REF!</definedName>
    <definedName name="V_ALL_QQ.L" localSheetId="2">#REF!</definedName>
    <definedName name="V_ALL_QQ.L" localSheetId="12">#REF!</definedName>
    <definedName name="V_ALL_QQ.L">#REF!</definedName>
    <definedName name="V_ALL_RR.L" localSheetId="2">#REF!</definedName>
    <definedName name="V_ALL_RR.L" localSheetId="12">#REF!</definedName>
    <definedName name="V_ALL_RR.L">#REF!</definedName>
    <definedName name="V_ALL_SAABb.ST" localSheetId="2">#REF!</definedName>
    <definedName name="V_ALL_SAABb.ST" localSheetId="12">#REF!</definedName>
    <definedName name="V_ALL_SAABb.ST">#REF!</definedName>
    <definedName name="V_ALL_SAABb.ST_" localSheetId="24">#REF!</definedName>
    <definedName name="V_ALL_SAABb.ST_" localSheetId="18">#REF!</definedName>
    <definedName name="V_ALL_SAABb.ST_" localSheetId="12">#REF!</definedName>
    <definedName name="V_ALL_SAABb.ST_" localSheetId="23">#REF!</definedName>
    <definedName name="V_ALL_SAABb.ST_" localSheetId="19">#REF!</definedName>
    <definedName name="V_ALL_SAABb.ST_" localSheetId="21">#REF!</definedName>
    <definedName name="V_ALL_SAABb.ST_">#REF!</definedName>
    <definedName name="V_ALL_SAF.PA" localSheetId="13">#REF!</definedName>
    <definedName name="V_ALL_SAF.PA" localSheetId="12">#REF!</definedName>
    <definedName name="V_ALL_SAF.PA" localSheetId="19">#REF!</definedName>
    <definedName name="V_ALL_SAF.PA">#REF!</definedName>
    <definedName name="V_ALL_SAF.PA_" localSheetId="24">#REF!</definedName>
    <definedName name="V_ALL_SAF.PA_" localSheetId="18">#REF!</definedName>
    <definedName name="V_ALL_SAF.PA_" localSheetId="12">#REF!</definedName>
    <definedName name="V_ALL_SAF.PA_" localSheetId="23">#REF!</definedName>
    <definedName name="V_ALL_SAF.PA_" localSheetId="19">#REF!</definedName>
    <definedName name="V_ALL_SAF.PA_" localSheetId="21">#REF!</definedName>
    <definedName name="V_ALL_SAF.PA_">#REF!</definedName>
    <definedName name="V_ALL_SAND.ST">#REF!</definedName>
    <definedName name="V_ALL_SECTION_KEYWORDS_EQTY_200007513_1314" localSheetId="24">#REF!</definedName>
    <definedName name="V_ALL_SECTION_KEYWORDS_EQTY_200007513_1314" localSheetId="18">#REF!</definedName>
    <definedName name="V_ALL_SECTION_KEYWORDS_EQTY_200007513_1314" localSheetId="12">#REF!</definedName>
    <definedName name="V_ALL_SECTION_KEYWORDS_EQTY_200007513_1314" localSheetId="23">#REF!</definedName>
    <definedName name="V_ALL_SECTION_KEYWORDS_EQTY_200007513_1314" localSheetId="19">#REF!</definedName>
    <definedName name="V_ALL_SECTION_KEYWORDS_EQTY_200007513_1314" localSheetId="21">#REF!</definedName>
    <definedName name="V_ALL_SECTION_KEYWORDS_EQTY_200007513_1314">#REF!</definedName>
    <definedName name="V_ALL_SECTION_KEYWORDS_EQTY_200007513_131E" localSheetId="24">#REF!</definedName>
    <definedName name="V_ALL_SECTION_KEYWORDS_EQTY_200007513_131E" localSheetId="18">#REF!</definedName>
    <definedName name="V_ALL_SECTION_KEYWORDS_EQTY_200007513_131E" localSheetId="12">#REF!</definedName>
    <definedName name="V_ALL_SECTION_KEYWORDS_EQTY_200007513_131E" localSheetId="23">#REF!</definedName>
    <definedName name="V_ALL_SECTION_KEYWORDS_EQTY_200007513_131E" localSheetId="19">#REF!</definedName>
    <definedName name="V_ALL_SECTION_KEYWORDS_EQTY_200007513_131E" localSheetId="21">#REF!</definedName>
    <definedName name="V_ALL_SECTION_KEYWORDS_EQTY_200007513_131E">#REF!</definedName>
    <definedName name="V_ALL_SECTION_KEYWORDS_EQTY_200007513_131O" localSheetId="24">#REF!</definedName>
    <definedName name="V_ALL_SECTION_KEYWORDS_EQTY_200007513_131O" localSheetId="18">#REF!</definedName>
    <definedName name="V_ALL_SECTION_KEYWORDS_EQTY_200007513_131O" localSheetId="12">#REF!</definedName>
    <definedName name="V_ALL_SECTION_KEYWORDS_EQTY_200007513_131O" localSheetId="23">#REF!</definedName>
    <definedName name="V_ALL_SECTION_KEYWORDS_EQTY_200007513_131O" localSheetId="19">#REF!</definedName>
    <definedName name="V_ALL_SECTION_KEYWORDS_EQTY_200007513_131O" localSheetId="21">#REF!</definedName>
    <definedName name="V_ALL_SECTION_KEYWORDS_EQTY_200007513_131O">#REF!</definedName>
    <definedName name="V_ALL_SECTION_KEYWORDS_EQTY_200007513_13A" localSheetId="24">#REF!</definedName>
    <definedName name="V_ALL_SECTION_KEYWORDS_EQTY_200007513_13A" localSheetId="18">#REF!</definedName>
    <definedName name="V_ALL_SECTION_KEYWORDS_EQTY_200007513_13A" localSheetId="12">#REF!</definedName>
    <definedName name="V_ALL_SECTION_KEYWORDS_EQTY_200007513_13A" localSheetId="23">#REF!</definedName>
    <definedName name="V_ALL_SECTION_KEYWORDS_EQTY_200007513_13A" localSheetId="19">#REF!</definedName>
    <definedName name="V_ALL_SECTION_KEYWORDS_EQTY_200007513_13A" localSheetId="21">#REF!</definedName>
    <definedName name="V_ALL_SECTION_KEYWORDS_EQTY_200007513_13A">#REF!</definedName>
    <definedName name="V_ALL_SECTION_KEYWORDS_EQTY_200007513_13K" localSheetId="24">#REF!</definedName>
    <definedName name="V_ALL_SECTION_KEYWORDS_EQTY_200007513_13K" localSheetId="18">#REF!</definedName>
    <definedName name="V_ALL_SECTION_KEYWORDS_EQTY_200007513_13K" localSheetId="12">#REF!</definedName>
    <definedName name="V_ALL_SECTION_KEYWORDS_EQTY_200007513_13K" localSheetId="23">#REF!</definedName>
    <definedName name="V_ALL_SECTION_KEYWORDS_EQTY_200007513_13K" localSheetId="19">#REF!</definedName>
    <definedName name="V_ALL_SECTION_KEYWORDS_EQTY_200007513_13K" localSheetId="21">#REF!</definedName>
    <definedName name="V_ALL_SECTION_KEYWORDS_EQTY_200007513_13K">#REF!</definedName>
    <definedName name="V_ALL_SECTION_KEYWORDS_EQTY_200007513_13U" localSheetId="24">#REF!</definedName>
    <definedName name="V_ALL_SECTION_KEYWORDS_EQTY_200007513_13U" localSheetId="18">#REF!</definedName>
    <definedName name="V_ALL_SECTION_KEYWORDS_EQTY_200007513_13U" localSheetId="12">#REF!</definedName>
    <definedName name="V_ALL_SECTION_KEYWORDS_EQTY_200007513_13U" localSheetId="23">#REF!</definedName>
    <definedName name="V_ALL_SECTION_KEYWORDS_EQTY_200007513_13U" localSheetId="19">#REF!</definedName>
    <definedName name="V_ALL_SECTION_KEYWORDS_EQTY_200007513_13U" localSheetId="21">#REF!</definedName>
    <definedName name="V_ALL_SECTION_KEYWORDS_EQTY_200007513_13U">#REF!</definedName>
    <definedName name="V_ALL_SECTION_KEYWORDS_EQTY_200007513_13V" localSheetId="24">#REF!</definedName>
    <definedName name="V_ALL_SECTION_KEYWORDS_EQTY_200007513_13V" localSheetId="18">#REF!</definedName>
    <definedName name="V_ALL_SECTION_KEYWORDS_EQTY_200007513_13V" localSheetId="12">#REF!</definedName>
    <definedName name="V_ALL_SECTION_KEYWORDS_EQTY_200007513_13V" localSheetId="23">#REF!</definedName>
    <definedName name="V_ALL_SECTION_KEYWORDS_EQTY_200007513_13V" localSheetId="19">#REF!</definedName>
    <definedName name="V_ALL_SECTION_KEYWORDS_EQTY_200007513_13V" localSheetId="21">#REF!</definedName>
    <definedName name="V_ALL_SECTION_KEYWORDS_EQTY_200007513_13V">#REF!</definedName>
    <definedName name="V_ALL_SECTION_KEYWORDS_EQTY_200007513_Reference_Data" localSheetId="24">#REF!</definedName>
    <definedName name="V_ALL_SECTION_KEYWORDS_EQTY_200007513_Reference_Data" localSheetId="18">#REF!</definedName>
    <definedName name="V_ALL_SECTION_KEYWORDS_EQTY_200007513_Reference_Data" localSheetId="12">#REF!</definedName>
    <definedName name="V_ALL_SECTION_KEYWORDS_EQTY_200007513_Reference_Data" localSheetId="23">#REF!</definedName>
    <definedName name="V_ALL_SECTION_KEYWORDS_EQTY_200007513_Reference_Data" localSheetId="19">#REF!</definedName>
    <definedName name="V_ALL_SECTION_KEYWORDS_EQTY_200007513_Reference_Data" localSheetId="21">#REF!</definedName>
    <definedName name="V_ALL_SECTION_KEYWORDS_EQTY_200007513_Reference_Data">#REF!</definedName>
    <definedName name="V_ALL_SECTION_KEYWORDS_EQTY_200008448_13A">#REF!</definedName>
    <definedName name="V_ALL_SECTION_KEYWORDS_ISSR_208000023_13V">#REF!,#REF!</definedName>
    <definedName name="V_ALL_SECTION_KEYWORDS_ISSR_208001092_13V" localSheetId="2">#REF!,#REF!</definedName>
    <definedName name="V_ALL_SECTION_KEYWORDS_ISSR_208001092_13V">#REF!,#REF!</definedName>
    <definedName name="V_ALL_SECTION_KEYWORDS_ISSR_208001095_13V" localSheetId="2">#REF!,#REF!</definedName>
    <definedName name="V_ALL_SECTION_KEYWORDS_ISSR_208001095_13V">#REF!,#REF!</definedName>
    <definedName name="V_ALL_SECTION_KEYWORDS_ISSR_208001098_13173">#REF!,#REF!</definedName>
    <definedName name="V_ALL_SECTION_KEYWORDS_ISSR_208001098_13178">#REF!,#REF!</definedName>
    <definedName name="V_ALL_SECTION_KEYWORDS_ISSR_208001098_136J">#REF!,#REF!</definedName>
    <definedName name="V_ALL_SECTION_KEYWORDS_ISSR_208001100_13V" localSheetId="2">#REF!,#REF!</definedName>
    <definedName name="V_ALL_SECTION_KEYWORDS_ISSR_208001100_13V">#REF!,#REF!</definedName>
    <definedName name="V_ALL_SECTION_KEYWORDS_ISSR_208001219_136E" localSheetId="2">#REF!,#REF!</definedName>
    <definedName name="V_ALL_SECTION_KEYWORDS_ISSR_208001219_136E">#REF!,#REF!</definedName>
    <definedName name="V_ALL_SECTION_KEYWORDS_ISSR_208001433_13173" localSheetId="2">#REF!,#REF!</definedName>
    <definedName name="V_ALL_SECTION_KEYWORDS_ISSR_208001433_13173">#REF!,#REF!</definedName>
    <definedName name="V_ALL_SECTION_KEYWORDS_ISSR_208001433_13178">#REF!,#REF!</definedName>
    <definedName name="V_ALL_SECTION_KEYWORDS_ISSR_208001433_131O">#REF!,#REF!</definedName>
    <definedName name="V_ALL_SECTION_KEYWORDS_ISSR_208001433_136J" localSheetId="2">#REF!,#REF!</definedName>
    <definedName name="V_ALL_SECTION_KEYWORDS_ISSR_208001433_136J">#REF!,#REF!</definedName>
    <definedName name="V_ALL_SECTION_KEYWORDS_ISSR_208001433_13V" localSheetId="2">#REF!,#REF!</definedName>
    <definedName name="V_ALL_SECTION_KEYWORDS_ISSR_208001433_13V" localSheetId="23">#REF!,#REF!</definedName>
    <definedName name="V_ALL_SECTION_KEYWORDS_ISSR_208001433_13V">#REF!,#REF!</definedName>
    <definedName name="V_ALL_SECTION_KEYWORDS_ISSR_208002861_1314" localSheetId="24">#REF!</definedName>
    <definedName name="V_ALL_SECTION_KEYWORDS_ISSR_208002861_1314" localSheetId="18">#REF!</definedName>
    <definedName name="V_ALL_SECTION_KEYWORDS_ISSR_208002861_1314" localSheetId="12">#REF!</definedName>
    <definedName name="V_ALL_SECTION_KEYWORDS_ISSR_208002861_1314" localSheetId="23">#REF!</definedName>
    <definedName name="V_ALL_SECTION_KEYWORDS_ISSR_208002861_1314" localSheetId="19">#REF!</definedName>
    <definedName name="V_ALL_SECTION_KEYWORDS_ISSR_208002861_1314" localSheetId="21">#REF!</definedName>
    <definedName name="V_ALL_SECTION_KEYWORDS_ISSR_208002861_1314">#REF!</definedName>
    <definedName name="V_ALL_SECTION_KEYWORDS_ISSR_208002861_13168" localSheetId="24">#REF!</definedName>
    <definedName name="V_ALL_SECTION_KEYWORDS_ISSR_208002861_13168" localSheetId="18">#REF!</definedName>
    <definedName name="V_ALL_SECTION_KEYWORDS_ISSR_208002861_13168" localSheetId="12">#REF!</definedName>
    <definedName name="V_ALL_SECTION_KEYWORDS_ISSR_208002861_13168" localSheetId="23">#REF!</definedName>
    <definedName name="V_ALL_SECTION_KEYWORDS_ISSR_208002861_13168" localSheetId="19">#REF!</definedName>
    <definedName name="V_ALL_SECTION_KEYWORDS_ISSR_208002861_13168" localSheetId="21">#REF!</definedName>
    <definedName name="V_ALL_SECTION_KEYWORDS_ISSR_208002861_13168">#REF!</definedName>
    <definedName name="V_ALL_SECTION_KEYWORDS_ISSR_208002861_1316S" localSheetId="24">#REF!</definedName>
    <definedName name="V_ALL_SECTION_KEYWORDS_ISSR_208002861_1316S" localSheetId="18">#REF!</definedName>
    <definedName name="V_ALL_SECTION_KEYWORDS_ISSR_208002861_1316S" localSheetId="12">#REF!</definedName>
    <definedName name="V_ALL_SECTION_KEYWORDS_ISSR_208002861_1316S" localSheetId="23">#REF!</definedName>
    <definedName name="V_ALL_SECTION_KEYWORDS_ISSR_208002861_1316S" localSheetId="19">#REF!</definedName>
    <definedName name="V_ALL_SECTION_KEYWORDS_ISSR_208002861_1316S" localSheetId="21">#REF!</definedName>
    <definedName name="V_ALL_SECTION_KEYWORDS_ISSR_208002861_1316S">#REF!</definedName>
    <definedName name="V_ALL_SECTION_KEYWORDS_ISSR_208002861_1316T" localSheetId="24">#REF!</definedName>
    <definedName name="V_ALL_SECTION_KEYWORDS_ISSR_208002861_1316T" localSheetId="18">#REF!</definedName>
    <definedName name="V_ALL_SECTION_KEYWORDS_ISSR_208002861_1316T" localSheetId="12">#REF!</definedName>
    <definedName name="V_ALL_SECTION_KEYWORDS_ISSR_208002861_1316T" localSheetId="23">#REF!</definedName>
    <definedName name="V_ALL_SECTION_KEYWORDS_ISSR_208002861_1316T" localSheetId="19">#REF!</definedName>
    <definedName name="V_ALL_SECTION_KEYWORDS_ISSR_208002861_1316T" localSheetId="21">#REF!</definedName>
    <definedName name="V_ALL_SECTION_KEYWORDS_ISSR_208002861_1316T">#REF!</definedName>
    <definedName name="V_ALL_SECTION_KEYWORDS_ISSR_208002861_1316U" localSheetId="24">#REF!</definedName>
    <definedName name="V_ALL_SECTION_KEYWORDS_ISSR_208002861_1316U" localSheetId="18">#REF!</definedName>
    <definedName name="V_ALL_SECTION_KEYWORDS_ISSR_208002861_1316U" localSheetId="12">#REF!</definedName>
    <definedName name="V_ALL_SECTION_KEYWORDS_ISSR_208002861_1316U" localSheetId="23">#REF!</definedName>
    <definedName name="V_ALL_SECTION_KEYWORDS_ISSR_208002861_1316U" localSheetId="19">#REF!</definedName>
    <definedName name="V_ALL_SECTION_KEYWORDS_ISSR_208002861_1316U" localSheetId="21">#REF!</definedName>
    <definedName name="V_ALL_SECTION_KEYWORDS_ISSR_208002861_1316U">#REF!</definedName>
    <definedName name="V_ALL_SECTION_KEYWORDS_ISSR_208002861_1319" localSheetId="24">#REF!</definedName>
    <definedName name="V_ALL_SECTION_KEYWORDS_ISSR_208002861_1319" localSheetId="18">#REF!</definedName>
    <definedName name="V_ALL_SECTION_KEYWORDS_ISSR_208002861_1319" localSheetId="12">#REF!</definedName>
    <definedName name="V_ALL_SECTION_KEYWORDS_ISSR_208002861_1319" localSheetId="23">#REF!</definedName>
    <definedName name="V_ALL_SECTION_KEYWORDS_ISSR_208002861_1319" localSheetId="19">#REF!</definedName>
    <definedName name="V_ALL_SECTION_KEYWORDS_ISSR_208002861_1319" localSheetId="21">#REF!</definedName>
    <definedName name="V_ALL_SECTION_KEYWORDS_ISSR_208002861_1319">#REF!</definedName>
    <definedName name="V_ALL_SECTION_KEYWORDS_ISSR_208002861_131E" localSheetId="24">#REF!</definedName>
    <definedName name="V_ALL_SECTION_KEYWORDS_ISSR_208002861_131E" localSheetId="18">#REF!</definedName>
    <definedName name="V_ALL_SECTION_KEYWORDS_ISSR_208002861_131E" localSheetId="12">#REF!</definedName>
    <definedName name="V_ALL_SECTION_KEYWORDS_ISSR_208002861_131E" localSheetId="23">#REF!</definedName>
    <definedName name="V_ALL_SECTION_KEYWORDS_ISSR_208002861_131E" localSheetId="19">#REF!</definedName>
    <definedName name="V_ALL_SECTION_KEYWORDS_ISSR_208002861_131E" localSheetId="21">#REF!</definedName>
    <definedName name="V_ALL_SECTION_KEYWORDS_ISSR_208002861_131E">#REF!</definedName>
    <definedName name="V_ALL_SECTION_KEYWORDS_ISSR_208002861_131J" localSheetId="24">#REF!</definedName>
    <definedName name="V_ALL_SECTION_KEYWORDS_ISSR_208002861_131J" localSheetId="18">#REF!</definedName>
    <definedName name="V_ALL_SECTION_KEYWORDS_ISSR_208002861_131J" localSheetId="12">#REF!</definedName>
    <definedName name="V_ALL_SECTION_KEYWORDS_ISSR_208002861_131J" localSheetId="23">#REF!</definedName>
    <definedName name="V_ALL_SECTION_KEYWORDS_ISSR_208002861_131J" localSheetId="19">#REF!</definedName>
    <definedName name="V_ALL_SECTION_KEYWORDS_ISSR_208002861_131J" localSheetId="21">#REF!</definedName>
    <definedName name="V_ALL_SECTION_KEYWORDS_ISSR_208002861_131J">#REF!</definedName>
    <definedName name="V_ALL_SECTION_KEYWORDS_ISSR_208002861_131O" localSheetId="24">#REF!</definedName>
    <definedName name="V_ALL_SECTION_KEYWORDS_ISSR_208002861_131O" localSheetId="18">#REF!</definedName>
    <definedName name="V_ALL_SECTION_KEYWORDS_ISSR_208002861_131O" localSheetId="12">#REF!</definedName>
    <definedName name="V_ALL_SECTION_KEYWORDS_ISSR_208002861_131O" localSheetId="23">#REF!</definedName>
    <definedName name="V_ALL_SECTION_KEYWORDS_ISSR_208002861_131O" localSheetId="19">#REF!</definedName>
    <definedName name="V_ALL_SECTION_KEYWORDS_ISSR_208002861_131O" localSheetId="21">#REF!</definedName>
    <definedName name="V_ALL_SECTION_KEYWORDS_ISSR_208002861_131O">#REF!</definedName>
    <definedName name="V_ALL_SECTION_KEYWORDS_ISSR_208002861_13U" localSheetId="24">#REF!</definedName>
    <definedName name="V_ALL_SECTION_KEYWORDS_ISSR_208002861_13U" localSheetId="18">#REF!</definedName>
    <definedName name="V_ALL_SECTION_KEYWORDS_ISSR_208002861_13U" localSheetId="12">#REF!</definedName>
    <definedName name="V_ALL_SECTION_KEYWORDS_ISSR_208002861_13U" localSheetId="23">#REF!</definedName>
    <definedName name="V_ALL_SECTION_KEYWORDS_ISSR_208002861_13U" localSheetId="19">#REF!</definedName>
    <definedName name="V_ALL_SECTION_KEYWORDS_ISSR_208002861_13U" localSheetId="21">#REF!</definedName>
    <definedName name="V_ALL_SECTION_KEYWORDS_ISSR_208002861_13U">#REF!</definedName>
    <definedName name="V_ALL_SECTION_KEYWORDS_ISSR_208002861_13V" localSheetId="24">#REF!</definedName>
    <definedName name="V_ALL_SECTION_KEYWORDS_ISSR_208002861_13V" localSheetId="18">#REF!</definedName>
    <definedName name="V_ALL_SECTION_KEYWORDS_ISSR_208002861_13V" localSheetId="12">#REF!</definedName>
    <definedName name="V_ALL_SECTION_KEYWORDS_ISSR_208002861_13V" localSheetId="23">#REF!</definedName>
    <definedName name="V_ALL_SECTION_KEYWORDS_ISSR_208002861_13V" localSheetId="19">#REF!</definedName>
    <definedName name="V_ALL_SECTION_KEYWORDS_ISSR_208002861_13V" localSheetId="21">#REF!</definedName>
    <definedName name="V_ALL_SECTION_KEYWORDS_ISSR_208002861_13V">#REF!</definedName>
    <definedName name="V_ALL_SECTION_KEYWORDS_ISSR_208002861_Reference_Data" localSheetId="24">#REF!</definedName>
    <definedName name="V_ALL_SECTION_KEYWORDS_ISSR_208002861_Reference_Data" localSheetId="18">#REF!</definedName>
    <definedName name="V_ALL_SECTION_KEYWORDS_ISSR_208002861_Reference_Data" localSheetId="12">#REF!</definedName>
    <definedName name="V_ALL_SECTION_KEYWORDS_ISSR_208002861_Reference_Data" localSheetId="23">#REF!</definedName>
    <definedName name="V_ALL_SECTION_KEYWORDS_ISSR_208002861_Reference_Data" localSheetId="19">#REF!</definedName>
    <definedName name="V_ALL_SECTION_KEYWORDS_ISSR_208002861_Reference_Data" localSheetId="21">#REF!</definedName>
    <definedName name="V_ALL_SECTION_KEYWORDS_ISSR_208002861_Reference_Data">#REF!</definedName>
    <definedName name="V_ALL_SECTION_KEYWORDS_ISSR_208006659_13173" localSheetId="2">#REF!,#REF!</definedName>
    <definedName name="V_ALL_SECTION_KEYWORDS_ISSR_208006659_13173" localSheetId="19">#REF!,#REF!</definedName>
    <definedName name="V_ALL_SECTION_KEYWORDS_ISSR_208006659_13173">#REF!,#REF!</definedName>
    <definedName name="V_ALL_SECTION_KEYWORDS_ISSR_208006659_13178">#REF!,#REF!</definedName>
    <definedName name="V_ALL_SECTION_KEYWORDS_ISSR_208006659_1319">#REF!,#REF!</definedName>
    <definedName name="V_ALL_SECTION_KEYWORDS_ISSR_208006659_131O" localSheetId="2">#REF!,#REF!</definedName>
    <definedName name="V_ALL_SECTION_KEYWORDS_ISSR_208006659_131O" localSheetId="19">#REF!,#REF!</definedName>
    <definedName name="V_ALL_SECTION_KEYWORDS_ISSR_208006659_131O">#REF!,#REF!</definedName>
    <definedName name="V_ALL_SECTION_KEYWORDS_ISSR_208006659_136J" localSheetId="2">#REF!,#REF!</definedName>
    <definedName name="V_ALL_SECTION_KEYWORDS_ISSR_208006659_136J" localSheetId="19">#REF!,#REF!</definedName>
    <definedName name="V_ALL_SECTION_KEYWORDS_ISSR_208006659_136J">#REF!</definedName>
    <definedName name="V_ALL_SECTION_KEYWORDS_ISSR_208007415_13V" localSheetId="2">#REF!,#REF!</definedName>
    <definedName name="V_ALL_SECTION_KEYWORDS_ISSR_208007415_13V">#REF!,#REF!</definedName>
    <definedName name="V_ALL_SECTION_KEYWORDS_ISSR_208008646_13V" localSheetId="2">#REF!,#REF!</definedName>
    <definedName name="V_ALL_SECTION_KEYWORDS_ISSR_208008646_13V">#REF!,#REF!</definedName>
    <definedName name="V_ALL_SECTIONS_EQTY_200003162" localSheetId="2">#REF!,#REF!,#REF!,#REF!,#REF!,#REF!,#REF!,#REF!</definedName>
    <definedName name="V_ALL_SECTIONS_EQTY_200003162" localSheetId="12">#REF!,#REF!,#REF!,#REF!,#REF!,#REF!,#REF!,#REF!</definedName>
    <definedName name="V_ALL_SECTIONS_EQTY_200003162">#REF!,#REF!,#REF!,#REF!,#REF!,#REF!,#REF!,#REF!</definedName>
    <definedName name="V_ALL_SECTIONS_EQTY_200003170" localSheetId="2">#REF!,#REF!,#REF!,#REF!,#REF!,#REF!,#REF!,#REF!</definedName>
    <definedName name="V_ALL_SECTIONS_EQTY_200003170" localSheetId="12">#REF!,#REF!,#REF!,#REF!,#REF!,#REF!,#REF!,#REF!</definedName>
    <definedName name="V_ALL_SECTIONS_EQTY_200003170">#REF!,#REF!,#REF!,#REF!,#REF!,#REF!,#REF!,#REF!</definedName>
    <definedName name="V_ALL_SECTIONS_EQTY_200003173" localSheetId="2">#REF!,#REF!,#REF!,#REF!,#REF!,#REF!,#REF!,#REF!</definedName>
    <definedName name="V_ALL_SECTIONS_EQTY_200003173" localSheetId="12">#REF!,#REF!,#REF!,#REF!,#REF!,#REF!,#REF!,#REF!</definedName>
    <definedName name="V_ALL_SECTIONS_EQTY_200003173">#REF!,#REF!,#REF!,#REF!,#REF!,#REF!,#REF!,#REF!</definedName>
    <definedName name="V_ALL_SECTIONS_EQTY_200003183" localSheetId="2">#REF!,#REF!,#REF!,#REF!,#REF!,#REF!,#REF!,#REF!</definedName>
    <definedName name="V_ALL_SECTIONS_EQTY_200003183" localSheetId="12">#REF!,#REF!,#REF!,#REF!,#REF!,#REF!,#REF!,#REF!</definedName>
    <definedName name="V_ALL_SECTIONS_EQTY_200003183">#REF!,#REF!,#REF!,#REF!,#REF!,#REF!,#REF!,#REF!</definedName>
    <definedName name="V_ALL_SECTIONS_EQTY_200003821" localSheetId="2">#REF!,#REF!,#REF!,#REF!,#REF!,#REF!,#REF!,#REF!</definedName>
    <definedName name="V_ALL_SECTIONS_EQTY_200003821" localSheetId="12">#REF!,#REF!,#REF!,#REF!,#REF!,#REF!,#REF!,#REF!</definedName>
    <definedName name="V_ALL_SECTIONS_EQTY_200003821">#REF!,#REF!,#REF!,#REF!,#REF!,#REF!,#REF!,#REF!</definedName>
    <definedName name="V_ALL_SECTIONS_EQTY_200004285" localSheetId="2">#REF!,#REF!,#REF!,#REF!,#REF!,#REF!,#REF!,#REF!</definedName>
    <definedName name="V_ALL_SECTIONS_EQTY_200004285">#REF!,#REF!,#REF!,#REF!,#REF!,#REF!,#REF!,#REF!</definedName>
    <definedName name="V_ALL_SECTIONS_EQTY_200005121" localSheetId="2">#REF!,#REF!,#REF!,#REF!,#REF!,#REF!,#REF!,#REF!</definedName>
    <definedName name="V_ALL_SECTIONS_EQTY_200005121" localSheetId="12">#REF!,#REF!,#REF!,#REF!,#REF!,#REF!,#REF!,#REF!</definedName>
    <definedName name="V_ALL_SECTIONS_EQTY_200005121">#REF!,#REF!,#REF!,#REF!,#REF!,#REF!,#REF!,#REF!</definedName>
    <definedName name="V_ALL_SECTIONS_EQTY_200007513" localSheetId="2">#REF!,#REF!,#REF!,#REF!,#REF!,#REF!,#REF!,#REF!</definedName>
    <definedName name="V_ALL_SECTIONS_EQTY_200007513" localSheetId="12">#REF!,#REF!,#REF!,#REF!,#REF!,#REF!,#REF!,#REF!</definedName>
    <definedName name="V_ALL_SECTIONS_EQTY_200007513">#REF!,#REF!,#REF!,#REF!,#REF!,#REF!,#REF!,#REF!</definedName>
    <definedName name="V_ALL_SECTIONS_EQTY_200009618" localSheetId="2">#REF!,#REF!,#REF!,#REF!,#REF!,#REF!,#REF!,#REF!</definedName>
    <definedName name="V_ALL_SECTIONS_EQTY_200009618" localSheetId="12">#REF!,#REF!,#REF!,#REF!,#REF!,#REF!,#REF!,#REF!</definedName>
    <definedName name="V_ALL_SECTIONS_EQTY_200009618">#REF!,#REF!,#REF!,#REF!,#REF!,#REF!,#REF!,#REF!</definedName>
    <definedName name="V_ALL_SECTIONS_EQTY_200009619" localSheetId="2">#REF!,#REF!,#REF!,#REF!,#REF!,#REF!,#REF!,#REF!</definedName>
    <definedName name="V_ALL_SECTIONS_EQTY_200009619" localSheetId="12">#REF!,#REF!,#REF!,#REF!,#REF!,#REF!,#REF!,#REF!</definedName>
    <definedName name="V_ALL_SECTIONS_EQTY_200009619">#REF!,#REF!,#REF!,#REF!,#REF!,#REF!,#REF!,#REF!</definedName>
    <definedName name="V_ALL_SECTIONS_EQTY_200009620" localSheetId="2">#REF!,#REF!,#REF!,#REF!,#REF!,#REF!,#REF!,#REF!</definedName>
    <definedName name="V_ALL_SECTIONS_EQTY_200009620" localSheetId="12">#REF!,#REF!,#REF!,#REF!,#REF!,#REF!,#REF!,#REF!</definedName>
    <definedName name="V_ALL_SECTIONS_EQTY_200009620">#REF!,#REF!,#REF!,#REF!,#REF!,#REF!,#REF!,#REF!</definedName>
    <definedName name="V_ALL_SECTIONS_EQTY_200011295" localSheetId="2">#REF!,#REF!,#REF!,#REF!,#REF!,#REF!,#REF!,#REF!</definedName>
    <definedName name="V_ALL_SECTIONS_EQTY_200011295">#REF!,#REF!,#REF!,#REF!,#REF!,#REF!,#REF!,#REF!</definedName>
    <definedName name="V_ALL_SECTIONS_ISSR_208001092" localSheetId="2">#REF!,#REF!,#REF!,#REF!,#REF!,#REF!,#REF!,#REF!,#REF!,#REF!</definedName>
    <definedName name="V_ALL_SECTIONS_ISSR_208001092" localSheetId="12">#REF!,#REF!,#REF!,#REF!,#REF!,#REF!,#REF!,#REF!,#REF!,#REF!</definedName>
    <definedName name="V_ALL_SECTIONS_ISSR_208001092">#REF!,#REF!,#REF!,#REF!,#REF!,#REF!,#REF!,#REF!,#REF!,#REF!</definedName>
    <definedName name="V_ALL_SECTIONS_ISSR_208001096" localSheetId="2">#REF!,#REF!,#REF!,#REF!,#REF!,#REF!,#REF!,#REF!,#REF!,#REF!</definedName>
    <definedName name="V_ALL_SECTIONS_ISSR_208001096" localSheetId="12">#REF!,#REF!,#REF!,#REF!,#REF!,#REF!,#REF!,#REF!,#REF!,#REF!</definedName>
    <definedName name="V_ALL_SECTIONS_ISSR_208001096">#REF!,#REF!,#REF!,#REF!,#REF!,#REF!,#REF!,#REF!,#REF!,#REF!</definedName>
    <definedName name="V_ALL_SECTIONS_ISSR_208001098" localSheetId="2">#REF!,#REF!,#REF!,#REF!,#REF!,#REF!,#REF!,#REF!,#REF!,#REF!</definedName>
    <definedName name="V_ALL_SECTIONS_ISSR_208001098" localSheetId="12">#REF!,#REF!,#REF!,#REF!,#REF!,#REF!,#REF!,#REF!,#REF!,#REF!</definedName>
    <definedName name="V_ALL_SECTIONS_ISSR_208001098">#REF!,#REF!,#REF!,#REF!,#REF!,#REF!,#REF!,#REF!,#REF!,#REF!</definedName>
    <definedName name="V_ALL_SECTIONS_ISSR_208001100" localSheetId="2">#REF!,#REF!,#REF!,#REF!,#REF!,#REF!,#REF!,#REF!,#REF!,#REF!</definedName>
    <definedName name="V_ALL_SECTIONS_ISSR_208001100" localSheetId="12">#REF!,#REF!,#REF!,#REF!,#REF!,#REF!,#REF!,#REF!,#REF!,#REF!</definedName>
    <definedName name="V_ALL_SECTIONS_ISSR_208001100">#REF!,#REF!,#REF!,#REF!,#REF!,#REF!,#REF!,#REF!,#REF!,#REF!</definedName>
    <definedName name="V_ALL_SECTIONS_ISSR_208001129" localSheetId="2">#REF!,#REF!,#REF!,#REF!,#REF!,#REF!,#REF!,#REF!,#REF!,#REF!</definedName>
    <definedName name="V_ALL_SECTIONS_ISSR_208001129" localSheetId="12">#REF!,#REF!,#REF!,#REF!,#REF!,#REF!,#REF!,#REF!,#REF!,#REF!</definedName>
    <definedName name="V_ALL_SECTIONS_ISSR_208001129">#REF!,#REF!,#REF!,#REF!,#REF!,#REF!,#REF!,#REF!,#REF!,#REF!</definedName>
    <definedName name="V_ALL_SECTIONS_ISSR_208001433" localSheetId="2">#REF!,#REF!,#REF!,#REF!,#REF!,#REF!,#REF!,#REF!,#REF!,#REF!</definedName>
    <definedName name="V_ALL_SECTIONS_ISSR_208001433" localSheetId="12">#REF!,#REF!,#REF!,#REF!,#REF!,#REF!,#REF!,#REF!,#REF!,#REF!</definedName>
    <definedName name="V_ALL_SECTIONS_ISSR_208001433">#REF!,#REF!,#REF!,#REF!,#REF!,#REF!,#REF!,#REF!,#REF!,#REF!</definedName>
    <definedName name="V_ALL_SECTIONS_ISSR_208002861" localSheetId="2">#REF!,#REF!,#REF!,#REF!,#REF!,#REF!,#REF!,#REF!,#REF!,#REF!</definedName>
    <definedName name="V_ALL_SECTIONS_ISSR_208002861" localSheetId="12">#REF!,#REF!,#REF!,#REF!,#REF!,#REF!,#REF!,#REF!,#REF!,#REF!</definedName>
    <definedName name="V_ALL_SECTIONS_ISSR_208002861">#REF!,#REF!,#REF!,#REF!,#REF!,#REF!,#REF!,#REF!,#REF!,#REF!</definedName>
    <definedName name="V_ALL_SECTIONS_ISSR_208007413" localSheetId="2">#REF!,#REF!,#REF!,#REF!,#REF!,#REF!,#REF!,#REF!,#REF!,#REF!</definedName>
    <definedName name="V_ALL_SECTIONS_ISSR_208007413" localSheetId="12">#REF!,#REF!,#REF!,#REF!,#REF!,#REF!,#REF!,#REF!,#REF!,#REF!,#REF!,#REF!</definedName>
    <definedName name="V_ALL_SECTIONS_ISSR_208007413">#REF!,#REF!,#REF!,#REF!,#REF!,#REF!,#REF!,#REF!,#REF!,#REF!</definedName>
    <definedName name="V_ALL_SECTIONS_ISSR_208007414" localSheetId="2">#REF!,#REF!,#REF!,#REF!,#REF!,#REF!,#REF!,#REF!,#REF!</definedName>
    <definedName name="V_ALL_SECTIONS_ISSR_208007414" localSheetId="12">#REF!,#REF!,#REF!,#REF!,#REF!,#REF!,#REF!,#REF!,#REF!</definedName>
    <definedName name="V_ALL_SECTIONS_ISSR_208007414">#REF!,#REF!,#REF!,#REF!,#REF!,#REF!,#REF!,#REF!,#REF!</definedName>
    <definedName name="V_ALL_SECTIONS_ISSR_208007415" localSheetId="2">#REF!,#REF!,#REF!,#REF!,#REF!,#REF!,#REF!,#REF!,#REF!,#REF!</definedName>
    <definedName name="V_ALL_SECTIONS_ISSR_208007415" localSheetId="12">#REF!,#REF!,#REF!,#REF!,#REF!,#REF!,#REF!,#REF!,#REF!,#REF!</definedName>
    <definedName name="V_ALL_SECTIONS_ISSR_208007415">#REF!,#REF!,#REF!,#REF!,#REF!,#REF!,#REF!,#REF!,#REF!,#REF!</definedName>
    <definedName name="V_ALL_SECTIONS_ISSR_208008646" localSheetId="2">#REF!,#REF!,#REF!,#REF!,#REF!,#REF!,#REF!,#REF!,#REF!,#REF!</definedName>
    <definedName name="V_ALL_SECTIONS_ISSR_208008646">#REF!,#REF!,#REF!,#REF!,#REF!,#REF!,#REF!,#REF!,#REF!,#REF!</definedName>
    <definedName name="V_ALL_SIFI.MI" localSheetId="2">#REF!</definedName>
    <definedName name="V_ALL_SIFI.MI" localSheetId="12">#REF!</definedName>
    <definedName name="V_ALL_SIFI.MI">#REF!</definedName>
    <definedName name="V_ALL_SKFb.ST">#REF!</definedName>
    <definedName name="V_ALL_TCFP.PA" localSheetId="2">#REF!</definedName>
    <definedName name="V_ALL_TCFP.PA" localSheetId="12">#REF!</definedName>
    <definedName name="V_ALL_TCFP.PA">#REF!</definedName>
    <definedName name="V_ALL_ULE.L" localSheetId="2">#REF!</definedName>
    <definedName name="V_ALL_ULE.L" localSheetId="12">#REF!</definedName>
    <definedName name="V_ALL_ULE.L" localSheetId="23">#REF!</definedName>
    <definedName name="V_ALL_ULE.L">#REF!</definedName>
    <definedName name="V_ALL_VOLVb.ST">#REF!</definedName>
    <definedName name="V_CURRENCY_EQTY_200007513_PRI" localSheetId="24">#REF!</definedName>
    <definedName name="V_CURRENCY_EQTY_200007513_PRI" localSheetId="18">#REF!</definedName>
    <definedName name="V_CURRENCY_EQTY_200007513_PRI" localSheetId="12">#REF!</definedName>
    <definedName name="V_CURRENCY_EQTY_200007513_PRI" localSheetId="23">#REF!</definedName>
    <definedName name="V_CURRENCY_EQTY_200007513_PRI" localSheetId="19">#REF!</definedName>
    <definedName name="V_CURRENCY_EQTY_200007513_PRI" localSheetId="21">#REF!</definedName>
    <definedName name="V_CURRENCY_EQTY_200007513_PRI">#REF!</definedName>
    <definedName name="V_CURRENCY_EQTY_200007513_PUB" localSheetId="24">#REF!</definedName>
    <definedName name="V_CURRENCY_EQTY_200007513_PUB" localSheetId="18">#REF!</definedName>
    <definedName name="V_CURRENCY_EQTY_200007513_PUB" localSheetId="12">#REF!</definedName>
    <definedName name="V_CURRENCY_EQTY_200007513_PUB" localSheetId="23">#REF!</definedName>
    <definedName name="V_CURRENCY_EQTY_200007513_PUB" localSheetId="19">#REF!</definedName>
    <definedName name="V_CURRENCY_EQTY_200007513_PUB" localSheetId="21">#REF!</definedName>
    <definedName name="V_CURRENCY_EQTY_200007513_PUB">#REF!</definedName>
    <definedName name="V_CURRENCY_EQTY_200007513_REP" localSheetId="24">#REF!</definedName>
    <definedName name="V_CURRENCY_EQTY_200007513_REP" localSheetId="18">#REF!</definedName>
    <definedName name="V_CURRENCY_EQTY_200007513_REP" localSheetId="12">#REF!</definedName>
    <definedName name="V_CURRENCY_EQTY_200007513_REP" localSheetId="23">#REF!</definedName>
    <definedName name="V_CURRENCY_EQTY_200007513_REP" localSheetId="19">#REF!</definedName>
    <definedName name="V_CURRENCY_EQTY_200007513_REP" localSheetId="21">#REF!</definedName>
    <definedName name="V_CURRENCY_EQTY_200007513_REP">#REF!</definedName>
    <definedName name="V_CURRENCY_ISSR_208002861_REP" localSheetId="24">#REF!</definedName>
    <definedName name="V_CURRENCY_ISSR_208002861_REP" localSheetId="18">#REF!</definedName>
    <definedName name="V_CURRENCY_ISSR_208002861_REP" localSheetId="12">#REF!</definedName>
    <definedName name="V_CURRENCY_ISSR_208002861_REP" localSheetId="23">#REF!</definedName>
    <definedName name="V_CURRENCY_ISSR_208002861_REP" localSheetId="19">#REF!</definedName>
    <definedName name="V_CURRENCY_ISSR_208002861_REP" localSheetId="21">#REF!</definedName>
    <definedName name="V_CURRENCY_ISSR_208002861_REP">#REF!</definedName>
    <definedName name="V_ENTITY_DATA_ISSR_208002861" localSheetId="24">#REF!</definedName>
    <definedName name="V_ENTITY_DATA_ISSR_208002861" localSheetId="18">#REF!</definedName>
    <definedName name="V_ENTITY_DATA_ISSR_208002861" localSheetId="12">#REF!</definedName>
    <definedName name="V_ENTITY_DATA_ISSR_208002861" localSheetId="23">#REF!</definedName>
    <definedName name="V_ENTITY_DATA_ISSR_208002861" localSheetId="19">#REF!</definedName>
    <definedName name="V_ENTITY_DATA_ISSR_208002861" localSheetId="21">#REF!</definedName>
    <definedName name="V_ENTITY_DATA_ISSR_208002861">#REF!</definedName>
    <definedName name="V_KEYWORD_EQTY_200007513_BETA_ANALYST" localSheetId="24">#REF!</definedName>
    <definedName name="V_KEYWORD_EQTY_200007513_BETA_ANALYST" localSheetId="18">#REF!</definedName>
    <definedName name="V_KEYWORD_EQTY_200007513_BETA_ANALYST" localSheetId="12">#REF!</definedName>
    <definedName name="V_KEYWORD_EQTY_200007513_BETA_ANALYST" localSheetId="23">#REF!</definedName>
    <definedName name="V_KEYWORD_EQTY_200007513_BETA_ANALYST" localSheetId="19">#REF!</definedName>
    <definedName name="V_KEYWORD_EQTY_200007513_BETA_ANALYST" localSheetId="21">#REF!</definedName>
    <definedName name="V_KEYWORD_EQTY_200007513_BETA_ANALYST">#REF!</definedName>
    <definedName name="V_KEYWORD_EQTY_200007513_BVPS" localSheetId="24">#REF!</definedName>
    <definedName name="V_KEYWORD_EQTY_200007513_BVPS" localSheetId="18">#REF!</definedName>
    <definedName name="V_KEYWORD_EQTY_200007513_BVPS" localSheetId="12">#REF!</definedName>
    <definedName name="V_KEYWORD_EQTY_200007513_BVPS" localSheetId="23">#REF!</definedName>
    <definedName name="V_KEYWORD_EQTY_200007513_BVPS" localSheetId="19">#REF!</definedName>
    <definedName name="V_KEYWORD_EQTY_200007513_BVPS" localSheetId="21">#REF!</definedName>
    <definedName name="V_KEYWORD_EQTY_200007513_BVPS">#REF!</definedName>
    <definedName name="V_KEYWORD_EQTY_200007513_BVPS_PUB" localSheetId="24">#REF!</definedName>
    <definedName name="V_KEYWORD_EQTY_200007513_BVPS_PUB" localSheetId="18">#REF!</definedName>
    <definedName name="V_KEYWORD_EQTY_200007513_BVPS_PUB" localSheetId="12">#REF!</definedName>
    <definedName name="V_KEYWORD_EQTY_200007513_BVPS_PUB" localSheetId="23">#REF!</definedName>
    <definedName name="V_KEYWORD_EQTY_200007513_BVPS_PUB" localSheetId="19">#REF!</definedName>
    <definedName name="V_KEYWORD_EQTY_200007513_BVPS_PUB" localSheetId="21">#REF!</definedName>
    <definedName name="V_KEYWORD_EQTY_200007513_BVPS_PUB">#REF!</definedName>
    <definedName name="V_KEYWORD_EQTY_200007513_CF_NI_PRE_PREF" localSheetId="24">#REF!</definedName>
    <definedName name="V_KEYWORD_EQTY_200007513_CF_NI_PRE_PREF" localSheetId="18">#REF!</definedName>
    <definedName name="V_KEYWORD_EQTY_200007513_CF_NI_PRE_PREF" localSheetId="12">#REF!</definedName>
    <definedName name="V_KEYWORD_EQTY_200007513_CF_NI_PRE_PREF" localSheetId="23">#REF!</definedName>
    <definedName name="V_KEYWORD_EQTY_200007513_CF_NI_PRE_PREF" localSheetId="19">#REF!</definedName>
    <definedName name="V_KEYWORD_EQTY_200007513_CF_NI_PRE_PREF" localSheetId="21">#REF!</definedName>
    <definedName name="V_KEYWORD_EQTY_200007513_CF_NI_PRE_PREF">#REF!</definedName>
    <definedName name="V_KEYWORD_EQTY_200007513_COMMON_DIV_PAID" localSheetId="24">#REF!</definedName>
    <definedName name="V_KEYWORD_EQTY_200007513_COMMON_DIV_PAID" localSheetId="18">#REF!</definedName>
    <definedName name="V_KEYWORD_EQTY_200007513_COMMON_DIV_PAID" localSheetId="12">#REF!</definedName>
    <definedName name="V_KEYWORD_EQTY_200007513_COMMON_DIV_PAID" localSheetId="23">#REF!</definedName>
    <definedName name="V_KEYWORD_EQTY_200007513_COMMON_DIV_PAID" localSheetId="19">#REF!</definedName>
    <definedName name="V_KEYWORD_EQTY_200007513_COMMON_DIV_PAID" localSheetId="21">#REF!</definedName>
    <definedName name="V_KEYWORD_EQTY_200007513_COMMON_DIV_PAID">#REF!</definedName>
    <definedName name="V_KEYWORD_EQTY_200007513_CURRENCY_ISO" localSheetId="24">#REF!</definedName>
    <definedName name="V_KEYWORD_EQTY_200007513_CURRENCY_ISO" localSheetId="18">#REF!</definedName>
    <definedName name="V_KEYWORD_EQTY_200007513_CURRENCY_ISO" localSheetId="12">#REF!</definedName>
    <definedName name="V_KEYWORD_EQTY_200007513_CURRENCY_ISO" localSheetId="23">#REF!</definedName>
    <definedName name="V_KEYWORD_EQTY_200007513_CURRENCY_ISO" localSheetId="19">#REF!</definedName>
    <definedName name="V_KEYWORD_EQTY_200007513_CURRENCY_ISO" localSheetId="21">#REF!</definedName>
    <definedName name="V_KEYWORD_EQTY_200007513_CURRENCY_ISO">#REF!</definedName>
    <definedName name="V_KEYWORD_EQTY_200007513_DILUTE_SHARES" localSheetId="24">#REF!</definedName>
    <definedName name="V_KEYWORD_EQTY_200007513_DILUTE_SHARES" localSheetId="18">#REF!</definedName>
    <definedName name="V_KEYWORD_EQTY_200007513_DILUTE_SHARES" localSheetId="12">#REF!</definedName>
    <definedName name="V_KEYWORD_EQTY_200007513_DILUTE_SHARES" localSheetId="23">#REF!</definedName>
    <definedName name="V_KEYWORD_EQTY_200007513_DILUTE_SHARES" localSheetId="19">#REF!</definedName>
    <definedName name="V_KEYWORD_EQTY_200007513_DILUTE_SHARES" localSheetId="21">#REF!</definedName>
    <definedName name="V_KEYWORD_EQTY_200007513_DILUTE_SHARES">#REF!</definedName>
    <definedName name="V_KEYWORD_EQTY_200007513_DPS" localSheetId="24">#REF!</definedName>
    <definedName name="V_KEYWORD_EQTY_200007513_DPS" localSheetId="18">#REF!</definedName>
    <definedName name="V_KEYWORD_EQTY_200007513_DPS" localSheetId="12">#REF!</definedName>
    <definedName name="V_KEYWORD_EQTY_200007513_DPS" localSheetId="23">#REF!</definedName>
    <definedName name="V_KEYWORD_EQTY_200007513_DPS" localSheetId="19">#REF!</definedName>
    <definedName name="V_KEYWORD_EQTY_200007513_DPS" localSheetId="21">#REF!</definedName>
    <definedName name="V_KEYWORD_EQTY_200007513_DPS">#REF!</definedName>
    <definedName name="V_KEYWORD_EQTY_200007513_DPS_PUB" localSheetId="24">#REF!</definedName>
    <definedName name="V_KEYWORD_EQTY_200007513_DPS_PUB" localSheetId="18">#REF!</definedName>
    <definedName name="V_KEYWORD_EQTY_200007513_DPS_PUB" localSheetId="12">#REF!</definedName>
    <definedName name="V_KEYWORD_EQTY_200007513_DPS_PUB" localSheetId="23">#REF!</definedName>
    <definedName name="V_KEYWORD_EQTY_200007513_DPS_PUB" localSheetId="19">#REF!</definedName>
    <definedName name="V_KEYWORD_EQTY_200007513_DPS_PUB" localSheetId="21">#REF!</definedName>
    <definedName name="V_KEYWORD_EQTY_200007513_DPS_PUB">#REF!</definedName>
    <definedName name="V_KEYWORD_EQTY_200007513_EBIT_PUB" localSheetId="24">#REF!</definedName>
    <definedName name="V_KEYWORD_EQTY_200007513_EBIT_PUB" localSheetId="18">#REF!</definedName>
    <definedName name="V_KEYWORD_EQTY_200007513_EBIT_PUB" localSheetId="12">#REF!</definedName>
    <definedName name="V_KEYWORD_EQTY_200007513_EBIT_PUB" localSheetId="23">#REF!</definedName>
    <definedName name="V_KEYWORD_EQTY_200007513_EBIT_PUB" localSheetId="19">#REF!</definedName>
    <definedName name="V_KEYWORD_EQTY_200007513_EBIT_PUB" localSheetId="21">#REF!</definedName>
    <definedName name="V_KEYWORD_EQTY_200007513_EBIT_PUB">#REF!</definedName>
    <definedName name="V_KEYWORD_EQTY_200007513_EBITDA_PUB" localSheetId="24">#REF!</definedName>
    <definedName name="V_KEYWORD_EQTY_200007513_EBITDA_PUB" localSheetId="18">#REF!</definedName>
    <definedName name="V_KEYWORD_EQTY_200007513_EBITDA_PUB" localSheetId="12">#REF!</definedName>
    <definedName name="V_KEYWORD_EQTY_200007513_EBITDA_PUB" localSheetId="23">#REF!</definedName>
    <definedName name="V_KEYWORD_EQTY_200007513_EBITDA_PUB" localSheetId="19">#REF!</definedName>
    <definedName name="V_KEYWORD_EQTY_200007513_EBITDA_PUB" localSheetId="21">#REF!</definedName>
    <definedName name="V_KEYWORD_EQTY_200007513_EBITDA_PUB">#REF!</definedName>
    <definedName name="V_KEYWORD_EQTY_200007513_EPS" localSheetId="24">#REF!</definedName>
    <definedName name="V_KEYWORD_EQTY_200007513_EPS" localSheetId="18">#REF!</definedName>
    <definedName name="V_KEYWORD_EQTY_200007513_EPS" localSheetId="12">#REF!</definedName>
    <definedName name="V_KEYWORD_EQTY_200007513_EPS" localSheetId="23">#REF!</definedName>
    <definedName name="V_KEYWORD_EQTY_200007513_EPS" localSheetId="19">#REF!</definedName>
    <definedName name="V_KEYWORD_EQTY_200007513_EPS" localSheetId="21">#REF!</definedName>
    <definedName name="V_KEYWORD_EQTY_200007513_EPS">#REF!</definedName>
    <definedName name="V_KEYWORD_EQTY_200007513_EPS_FUL_DIL" localSheetId="24">#REF!</definedName>
    <definedName name="V_KEYWORD_EQTY_200007513_EPS_FUL_DIL" localSheetId="18">#REF!</definedName>
    <definedName name="V_KEYWORD_EQTY_200007513_EPS_FUL_DIL" localSheetId="12">#REF!</definedName>
    <definedName name="V_KEYWORD_EQTY_200007513_EPS_FUL_DIL" localSheetId="23">#REF!</definedName>
    <definedName name="V_KEYWORD_EQTY_200007513_EPS_FUL_DIL" localSheetId="19">#REF!</definedName>
    <definedName name="V_KEYWORD_EQTY_200007513_EPS_FUL_DIL" localSheetId="21">#REF!</definedName>
    <definedName name="V_KEYWORD_EQTY_200007513_EPS_FUL_DIL">#REF!</definedName>
    <definedName name="V_KEYWORD_EQTY_200007513_EPS_POST_BASIC" localSheetId="24">#REF!</definedName>
    <definedName name="V_KEYWORD_EQTY_200007513_EPS_POST_BASIC" localSheetId="18">#REF!</definedName>
    <definedName name="V_KEYWORD_EQTY_200007513_EPS_POST_BASIC" localSheetId="12">#REF!</definedName>
    <definedName name="V_KEYWORD_EQTY_200007513_EPS_POST_BASIC" localSheetId="23">#REF!</definedName>
    <definedName name="V_KEYWORD_EQTY_200007513_EPS_POST_BASIC" localSheetId="19">#REF!</definedName>
    <definedName name="V_KEYWORD_EQTY_200007513_EPS_POST_BASIC" localSheetId="21">#REF!</definedName>
    <definedName name="V_KEYWORD_EQTY_200007513_EPS_POST_BASIC">#REF!</definedName>
    <definedName name="V_KEYWORD_EQTY_200007513_EPS_PUB" localSheetId="24">#REF!</definedName>
    <definedName name="V_KEYWORD_EQTY_200007513_EPS_PUB" localSheetId="18">#REF!</definedName>
    <definedName name="V_KEYWORD_EQTY_200007513_EPS_PUB" localSheetId="12">#REF!</definedName>
    <definedName name="V_KEYWORD_EQTY_200007513_EPS_PUB" localSheetId="23">#REF!</definedName>
    <definedName name="V_KEYWORD_EQTY_200007513_EPS_PUB" localSheetId="19">#REF!</definedName>
    <definedName name="V_KEYWORD_EQTY_200007513_EPS_PUB" localSheetId="21">#REF!</definedName>
    <definedName name="V_KEYWORD_EQTY_200007513_EPS_PUB">#REF!</definedName>
    <definedName name="V_KEYWORD_EQTY_200007513_EQ_PUB" localSheetId="24">#REF!</definedName>
    <definedName name="V_KEYWORD_EQTY_200007513_EQ_PUB" localSheetId="18">#REF!</definedName>
    <definedName name="V_KEYWORD_EQTY_200007513_EQ_PUB" localSheetId="12">#REF!</definedName>
    <definedName name="V_KEYWORD_EQTY_200007513_EQ_PUB" localSheetId="23">#REF!</definedName>
    <definedName name="V_KEYWORD_EQTY_200007513_EQ_PUB" localSheetId="19">#REF!</definedName>
    <definedName name="V_KEYWORD_EQTY_200007513_EQ_PUB" localSheetId="21">#REF!</definedName>
    <definedName name="V_KEYWORD_EQTY_200007513_EQ_PUB">#REF!</definedName>
    <definedName name="V_KEYWORD_EQTY_200007513_EURO_CONVICTION" localSheetId="24">#REF!</definedName>
    <definedName name="V_KEYWORD_EQTY_200007513_EURO_CONVICTION" localSheetId="18">#REF!</definedName>
    <definedName name="V_KEYWORD_EQTY_200007513_EURO_CONVICTION" localSheetId="12">#REF!</definedName>
    <definedName name="V_KEYWORD_EQTY_200007513_EURO_CONVICTION" localSheetId="23">#REF!</definedName>
    <definedName name="V_KEYWORD_EQTY_200007513_EURO_CONVICTION" localSheetId="19">#REF!</definedName>
    <definedName name="V_KEYWORD_EQTY_200007513_EURO_CONVICTION" localSheetId="21">#REF!</definedName>
    <definedName name="V_KEYWORD_EQTY_200007513_EURO_CONVICTION">#REF!</definedName>
    <definedName name="V_KEYWORD_EQTY_200007513_EURO_LIST" localSheetId="24">#REF!</definedName>
    <definedName name="V_KEYWORD_EQTY_200007513_EURO_LIST" localSheetId="18">#REF!</definedName>
    <definedName name="V_KEYWORD_EQTY_200007513_EURO_LIST" localSheetId="12">#REF!</definedName>
    <definedName name="V_KEYWORD_EQTY_200007513_EURO_LIST" localSheetId="23">#REF!</definedName>
    <definedName name="V_KEYWORD_EQTY_200007513_EURO_LIST" localSheetId="19">#REF!</definedName>
    <definedName name="V_KEYWORD_EQTY_200007513_EURO_LIST" localSheetId="21">#REF!</definedName>
    <definedName name="V_KEYWORD_EQTY_200007513_EURO_LIST">#REF!</definedName>
    <definedName name="V_KEYWORD_EQTY_200007513_EV_ADJ_PUB" localSheetId="24">#REF!</definedName>
    <definedName name="V_KEYWORD_EQTY_200007513_EV_ADJ_PUB" localSheetId="18">#REF!</definedName>
    <definedName name="V_KEYWORD_EQTY_200007513_EV_ADJ_PUB" localSheetId="12">#REF!</definedName>
    <definedName name="V_KEYWORD_EQTY_200007513_EV_ADJ_PUB" localSheetId="23">#REF!</definedName>
    <definedName name="V_KEYWORD_EQTY_200007513_EV_ADJ_PUB" localSheetId="19">#REF!</definedName>
    <definedName name="V_KEYWORD_EQTY_200007513_EV_ADJ_PUB" localSheetId="21">#REF!</definedName>
    <definedName name="V_KEYWORD_EQTY_200007513_EV_ADJ_PUB">#REF!</definedName>
    <definedName name="V_KEYWORD_EQTY_200007513_FREE_FLOAT" localSheetId="24">#REF!</definedName>
    <definedName name="V_KEYWORD_EQTY_200007513_FREE_FLOAT" localSheetId="18">#REF!</definedName>
    <definedName name="V_KEYWORD_EQTY_200007513_FREE_FLOAT" localSheetId="12">#REF!</definedName>
    <definedName name="V_KEYWORD_EQTY_200007513_FREE_FLOAT" localSheetId="23">#REF!</definedName>
    <definedName name="V_KEYWORD_EQTY_200007513_FREE_FLOAT" localSheetId="19">#REF!</definedName>
    <definedName name="V_KEYWORD_EQTY_200007513_FREE_FLOAT" localSheetId="21">#REF!</definedName>
    <definedName name="V_KEYWORD_EQTY_200007513_FREE_FLOAT">#REF!</definedName>
    <definedName name="V_KEYWORD_EQTY_200007513_FULLY_DIL_EPS" localSheetId="24">#REF!</definedName>
    <definedName name="V_KEYWORD_EQTY_200007513_FULLY_DIL_EPS" localSheetId="18">#REF!</definedName>
    <definedName name="V_KEYWORD_EQTY_200007513_FULLY_DIL_EPS" localSheetId="12">#REF!</definedName>
    <definedName name="V_KEYWORD_EQTY_200007513_FULLY_DIL_EPS" localSheetId="23">#REF!</definedName>
    <definedName name="V_KEYWORD_EQTY_200007513_FULLY_DIL_EPS" localSheetId="19">#REF!</definedName>
    <definedName name="V_KEYWORD_EQTY_200007513_FULLY_DIL_EPS" localSheetId="21">#REF!</definedName>
    <definedName name="V_KEYWORD_EQTY_200007513_FULLY_DIL_EPS">#REF!</definedName>
    <definedName name="V_KEYWORD_EQTY_200007513_INC_MINORITY" localSheetId="24">#REF!</definedName>
    <definedName name="V_KEYWORD_EQTY_200007513_INC_MINORITY" localSheetId="18">#REF!</definedName>
    <definedName name="V_KEYWORD_EQTY_200007513_INC_MINORITY" localSheetId="12">#REF!</definedName>
    <definedName name="V_KEYWORD_EQTY_200007513_INC_MINORITY" localSheetId="23">#REF!</definedName>
    <definedName name="V_KEYWORD_EQTY_200007513_INC_MINORITY" localSheetId="19">#REF!</definedName>
    <definedName name="V_KEYWORD_EQTY_200007513_INC_MINORITY" localSheetId="21">#REF!</definedName>
    <definedName name="V_KEYWORD_EQTY_200007513_INC_MINORITY">#REF!</definedName>
    <definedName name="V_KEYWORD_EQTY_200007513_Interim_Type" localSheetId="24">#REF!</definedName>
    <definedName name="V_KEYWORD_EQTY_200007513_Interim_Type" localSheetId="18">#REF!</definedName>
    <definedName name="V_KEYWORD_EQTY_200007513_Interim_Type" localSheetId="12">#REF!</definedName>
    <definedName name="V_KEYWORD_EQTY_200007513_Interim_Type" localSheetId="23">#REF!</definedName>
    <definedName name="V_KEYWORD_EQTY_200007513_Interim_Type" localSheetId="19">#REF!</definedName>
    <definedName name="V_KEYWORD_EQTY_200007513_Interim_Type" localSheetId="21">#REF!</definedName>
    <definedName name="V_KEYWORD_EQTY_200007513_Interim_Type">#REF!</definedName>
    <definedName name="V_KEYWORD_EQTY_200007513_LEGAL_RATING" localSheetId="24">#REF!</definedName>
    <definedName name="V_KEYWORD_EQTY_200007513_LEGAL_RATING" localSheetId="18">#REF!</definedName>
    <definedName name="V_KEYWORD_EQTY_200007513_LEGAL_RATING" localSheetId="12">#REF!</definedName>
    <definedName name="V_KEYWORD_EQTY_200007513_LEGAL_RATING" localSheetId="23">#REF!</definedName>
    <definedName name="V_KEYWORD_EQTY_200007513_LEGAL_RATING" localSheetId="19">#REF!</definedName>
    <definedName name="V_KEYWORD_EQTY_200007513_LEGAL_RATING" localSheetId="21">#REF!</definedName>
    <definedName name="V_KEYWORD_EQTY_200007513_LEGAL_RATING">#REF!</definedName>
    <definedName name="V_KEYWORD_EQTY_200007513_MARGIN_TAX_RATE" localSheetId="24">#REF!</definedName>
    <definedName name="V_KEYWORD_EQTY_200007513_MARGIN_TAX_RATE" localSheetId="18">#REF!</definedName>
    <definedName name="V_KEYWORD_EQTY_200007513_MARGIN_TAX_RATE" localSheetId="12">#REF!</definedName>
    <definedName name="V_KEYWORD_EQTY_200007513_MARGIN_TAX_RATE" localSheetId="23">#REF!</definedName>
    <definedName name="V_KEYWORD_EQTY_200007513_MARGIN_TAX_RATE" localSheetId="19">#REF!</definedName>
    <definedName name="V_KEYWORD_EQTY_200007513_MARGIN_TAX_RATE" localSheetId="21">#REF!</definedName>
    <definedName name="V_KEYWORD_EQTY_200007513_MARGIN_TAX_RATE">#REF!</definedName>
    <definedName name="V_KEYWORD_EQTY_200007513_MKT_EQ_RISK_PREM" localSheetId="24">#REF!</definedName>
    <definedName name="V_KEYWORD_EQTY_200007513_MKT_EQ_RISK_PREM" localSheetId="18">#REF!</definedName>
    <definedName name="V_KEYWORD_EQTY_200007513_MKT_EQ_RISK_PREM" localSheetId="12">#REF!</definedName>
    <definedName name="V_KEYWORD_EQTY_200007513_MKT_EQ_RISK_PREM" localSheetId="23">#REF!</definedName>
    <definedName name="V_KEYWORD_EQTY_200007513_MKT_EQ_RISK_PREM" localSheetId="19">#REF!</definedName>
    <definedName name="V_KEYWORD_EQTY_200007513_MKT_EQ_RISK_PREM" localSheetId="21">#REF!</definedName>
    <definedName name="V_KEYWORD_EQTY_200007513_MKT_EQ_RISK_PREM">#REF!</definedName>
    <definedName name="V_KEYWORD_EQTY_200007513_NET_DEBT_PUB" localSheetId="24">#REF!</definedName>
    <definedName name="V_KEYWORD_EQTY_200007513_NET_DEBT_PUB" localSheetId="18">#REF!</definedName>
    <definedName name="V_KEYWORD_EQTY_200007513_NET_DEBT_PUB" localSheetId="12">#REF!</definedName>
    <definedName name="V_KEYWORD_EQTY_200007513_NET_DEBT_PUB" localSheetId="23">#REF!</definedName>
    <definedName name="V_KEYWORD_EQTY_200007513_NET_DEBT_PUB" localSheetId="19">#REF!</definedName>
    <definedName name="V_KEYWORD_EQTY_200007513_NET_DEBT_PUB" localSheetId="21">#REF!</definedName>
    <definedName name="V_KEYWORD_EQTY_200007513_NET_DEBT_PUB">#REF!</definedName>
    <definedName name="V_KEYWORD_EQTY_200007513_NET_EARNING" localSheetId="24">#REF!</definedName>
    <definedName name="V_KEYWORD_EQTY_200007513_NET_EARNING" localSheetId="18">#REF!</definedName>
    <definedName name="V_KEYWORD_EQTY_200007513_NET_EARNING" localSheetId="12">#REF!</definedName>
    <definedName name="V_KEYWORD_EQTY_200007513_NET_EARNING" localSheetId="23">#REF!</definedName>
    <definedName name="V_KEYWORD_EQTY_200007513_NET_EARNING" localSheetId="19">#REF!</definedName>
    <definedName name="V_KEYWORD_EQTY_200007513_NET_EARNING" localSheetId="21">#REF!</definedName>
    <definedName name="V_KEYWORD_EQTY_200007513_NET_EARNING">#REF!</definedName>
    <definedName name="V_KEYWORD_EQTY_200007513_NET_INC" localSheetId="24">#REF!</definedName>
    <definedName name="V_KEYWORD_EQTY_200007513_NET_INC" localSheetId="18">#REF!</definedName>
    <definedName name="V_KEYWORD_EQTY_200007513_NET_INC" localSheetId="12">#REF!</definedName>
    <definedName name="V_KEYWORD_EQTY_200007513_NET_INC" localSheetId="23">#REF!</definedName>
    <definedName name="V_KEYWORD_EQTY_200007513_NET_INC" localSheetId="19">#REF!</definedName>
    <definedName name="V_KEYWORD_EQTY_200007513_NET_INC" localSheetId="21">#REF!</definedName>
    <definedName name="V_KEYWORD_EQTY_200007513_NET_INC">#REF!</definedName>
    <definedName name="V_KEYWORD_EQTY_200007513_NI_PRE_PREF" localSheetId="24">#REF!</definedName>
    <definedName name="V_KEYWORD_EQTY_200007513_NI_PRE_PREF" localSheetId="18">#REF!</definedName>
    <definedName name="V_KEYWORD_EQTY_200007513_NI_PRE_PREF" localSheetId="12">#REF!</definedName>
    <definedName name="V_KEYWORD_EQTY_200007513_NI_PRE_PREF" localSheetId="23">#REF!</definedName>
    <definedName name="V_KEYWORD_EQTY_200007513_NI_PRE_PREF" localSheetId="19">#REF!</definedName>
    <definedName name="V_KEYWORD_EQTY_200007513_NI_PRE_PREF" localSheetId="21">#REF!</definedName>
    <definedName name="V_KEYWORD_EQTY_200007513_NI_PRE_PREF">#REF!</definedName>
    <definedName name="V_KEYWORD_EQTY_200007513_NI_PUB" localSheetId="24">#REF!</definedName>
    <definedName name="V_KEYWORD_EQTY_200007513_NI_PUB" localSheetId="18">#REF!</definedName>
    <definedName name="V_KEYWORD_EQTY_200007513_NI_PUB" localSheetId="12">#REF!</definedName>
    <definedName name="V_KEYWORD_EQTY_200007513_NI_PUB" localSheetId="23">#REF!</definedName>
    <definedName name="V_KEYWORD_EQTY_200007513_NI_PUB" localSheetId="19">#REF!</definedName>
    <definedName name="V_KEYWORD_EQTY_200007513_NI_PUB" localSheetId="21">#REF!</definedName>
    <definedName name="V_KEYWORD_EQTY_200007513_NI_PUB">#REF!</definedName>
    <definedName name="V_KEYWORD_EQTY_200007513_NON_OP_ADD" localSheetId="24">#REF!</definedName>
    <definedName name="V_KEYWORD_EQTY_200007513_NON_OP_ADD" localSheetId="18">#REF!</definedName>
    <definedName name="V_KEYWORD_EQTY_200007513_NON_OP_ADD" localSheetId="12">#REF!</definedName>
    <definedName name="V_KEYWORD_EQTY_200007513_NON_OP_ADD" localSheetId="23">#REF!</definedName>
    <definedName name="V_KEYWORD_EQTY_200007513_NON_OP_ADD" localSheetId="19">#REF!</definedName>
    <definedName name="V_KEYWORD_EQTY_200007513_NON_OP_ADD" localSheetId="21">#REF!</definedName>
    <definedName name="V_KEYWORD_EQTY_200007513_NON_OP_ADD">#REF!</definedName>
    <definedName name="V_KEYWORD_EQTY_200007513_NUM_SH" localSheetId="24">#REF!</definedName>
    <definedName name="V_KEYWORD_EQTY_200007513_NUM_SH" localSheetId="18">#REF!</definedName>
    <definedName name="V_KEYWORD_EQTY_200007513_NUM_SH" localSheetId="12">#REF!</definedName>
    <definedName name="V_KEYWORD_EQTY_200007513_NUM_SH" localSheetId="23">#REF!</definedName>
    <definedName name="V_KEYWORD_EQTY_200007513_NUM_SH" localSheetId="19">#REF!</definedName>
    <definedName name="V_KEYWORD_EQTY_200007513_NUM_SH" localSheetId="21">#REF!</definedName>
    <definedName name="V_KEYWORD_EQTY_200007513_NUM_SH">#REF!</definedName>
    <definedName name="V_KEYWORD_EQTY_200007513_ORG_EPS" localSheetId="24">#REF!</definedName>
    <definedName name="V_KEYWORD_EQTY_200007513_ORG_EPS" localSheetId="18">#REF!</definedName>
    <definedName name="V_KEYWORD_EQTY_200007513_ORG_EPS" localSheetId="12">#REF!</definedName>
    <definedName name="V_KEYWORD_EQTY_200007513_ORG_EPS" localSheetId="23">#REF!</definedName>
    <definedName name="V_KEYWORD_EQTY_200007513_ORG_EPS" localSheetId="19">#REF!</definedName>
    <definedName name="V_KEYWORD_EQTY_200007513_ORG_EPS" localSheetId="21">#REF!</definedName>
    <definedName name="V_KEYWORD_EQTY_200007513_ORG_EPS">#REF!</definedName>
    <definedName name="V_KEYWORD_EQTY_200007513_ORG_NI" localSheetId="24">#REF!</definedName>
    <definedName name="V_KEYWORD_EQTY_200007513_ORG_NI" localSheetId="18">#REF!</definedName>
    <definedName name="V_KEYWORD_EQTY_200007513_ORG_NI" localSheetId="12">#REF!</definedName>
    <definedName name="V_KEYWORD_EQTY_200007513_ORG_NI" localSheetId="23">#REF!</definedName>
    <definedName name="V_KEYWORD_EQTY_200007513_ORG_NI" localSheetId="19">#REF!</definedName>
    <definedName name="V_KEYWORD_EQTY_200007513_ORG_NI" localSheetId="21">#REF!</definedName>
    <definedName name="V_KEYWORD_EQTY_200007513_ORG_NI">#REF!</definedName>
    <definedName name="V_KEYWORD_EQTY_200007513_PREF_DIV" localSheetId="24">#REF!</definedName>
    <definedName name="V_KEYWORD_EQTY_200007513_PREF_DIV" localSheetId="18">#REF!</definedName>
    <definedName name="V_KEYWORD_EQTY_200007513_PREF_DIV" localSheetId="12">#REF!</definedName>
    <definedName name="V_KEYWORD_EQTY_200007513_PREF_DIV" localSheetId="23">#REF!</definedName>
    <definedName name="V_KEYWORD_EQTY_200007513_PREF_DIV" localSheetId="19">#REF!</definedName>
    <definedName name="V_KEYWORD_EQTY_200007513_PREF_DIV" localSheetId="21">#REF!</definedName>
    <definedName name="V_KEYWORD_EQTY_200007513_PREF_DIV">#REF!</definedName>
    <definedName name="V_KEYWORD_EQTY_200007513_PRICE_CURRENCY_ISO" localSheetId="24">#REF!</definedName>
    <definedName name="V_KEYWORD_EQTY_200007513_PRICE_CURRENCY_ISO" localSheetId="18">#REF!</definedName>
    <definedName name="V_KEYWORD_EQTY_200007513_PRICE_CURRENCY_ISO" localSheetId="12">#REF!</definedName>
    <definedName name="V_KEYWORD_EQTY_200007513_PRICE_CURRENCY_ISO" localSheetId="23">#REF!</definedName>
    <definedName name="V_KEYWORD_EQTY_200007513_PRICE_CURRENCY_ISO" localSheetId="19">#REF!</definedName>
    <definedName name="V_KEYWORD_EQTY_200007513_PRICE_CURRENCY_ISO" localSheetId="21">#REF!</definedName>
    <definedName name="V_KEYWORD_EQTY_200007513_PRICE_CURRENCY_ISO">#REF!</definedName>
    <definedName name="V_KEYWORD_EQTY_200007513_PROV_INC_TAX" localSheetId="24">#REF!</definedName>
    <definedName name="V_KEYWORD_EQTY_200007513_PROV_INC_TAX" localSheetId="18">#REF!</definedName>
    <definedName name="V_KEYWORD_EQTY_200007513_PROV_INC_TAX" localSheetId="12">#REF!</definedName>
    <definedName name="V_KEYWORD_EQTY_200007513_PROV_INC_TAX" localSheetId="23">#REF!</definedName>
    <definedName name="V_KEYWORD_EQTY_200007513_PROV_INC_TAX" localSheetId="19">#REF!</definedName>
    <definedName name="V_KEYWORD_EQTY_200007513_PROV_INC_TAX" localSheetId="21">#REF!</definedName>
    <definedName name="V_KEYWORD_EQTY_200007513_PROV_INC_TAX">#REF!</definedName>
    <definedName name="V_KEYWORD_EQTY_200007513_PTP_PUB" localSheetId="24">#REF!</definedName>
    <definedName name="V_KEYWORD_EQTY_200007513_PTP_PUB" localSheetId="18">#REF!</definedName>
    <definedName name="V_KEYWORD_EQTY_200007513_PTP_PUB" localSheetId="12">#REF!</definedName>
    <definedName name="V_KEYWORD_EQTY_200007513_PTP_PUB" localSheetId="23">#REF!</definedName>
    <definedName name="V_KEYWORD_EQTY_200007513_PTP_PUB" localSheetId="19">#REF!</definedName>
    <definedName name="V_KEYWORD_EQTY_200007513_PTP_PUB" localSheetId="21">#REF!</definedName>
    <definedName name="V_KEYWORD_EQTY_200007513_PTP_PUB">#REF!</definedName>
    <definedName name="V_KEYWORD_EQTY_200007513_PUB_CURRENCY_ISO" localSheetId="24">#REF!</definedName>
    <definedName name="V_KEYWORD_EQTY_200007513_PUB_CURRENCY_ISO" localSheetId="18">#REF!</definedName>
    <definedName name="V_KEYWORD_EQTY_200007513_PUB_CURRENCY_ISO" localSheetId="12">#REF!</definedName>
    <definedName name="V_KEYWORD_EQTY_200007513_PUB_CURRENCY_ISO" localSheetId="23">#REF!</definedName>
    <definedName name="V_KEYWORD_EQTY_200007513_PUB_CURRENCY_ISO" localSheetId="19">#REF!</definedName>
    <definedName name="V_KEYWORD_EQTY_200007513_PUB_CURRENCY_ISO" localSheetId="21">#REF!</definedName>
    <definedName name="V_KEYWORD_EQTY_200007513_PUB_CURRENCY_ISO">#REF!</definedName>
    <definedName name="V_KEYWORD_EQTY_200007513_REVS_PUB" localSheetId="24">#REF!</definedName>
    <definedName name="V_KEYWORD_EQTY_200007513_REVS_PUB" localSheetId="18">#REF!</definedName>
    <definedName name="V_KEYWORD_EQTY_200007513_REVS_PUB" localSheetId="12">#REF!</definedName>
    <definedName name="V_KEYWORD_EQTY_200007513_REVS_PUB" localSheetId="23">#REF!</definedName>
    <definedName name="V_KEYWORD_EQTY_200007513_REVS_PUB" localSheetId="19">#REF!</definedName>
    <definedName name="V_KEYWORD_EQTY_200007513_REVS_PUB" localSheetId="21">#REF!</definedName>
    <definedName name="V_KEYWORD_EQTY_200007513_REVS_PUB">#REF!</definedName>
    <definedName name="V_KEYWORD_EQTY_200007513_RISK_FR_RATE" localSheetId="24">#REF!</definedName>
    <definedName name="V_KEYWORD_EQTY_200007513_RISK_FR_RATE" localSheetId="18">#REF!</definedName>
    <definedName name="V_KEYWORD_EQTY_200007513_RISK_FR_RATE" localSheetId="12">#REF!</definedName>
    <definedName name="V_KEYWORD_EQTY_200007513_RISK_FR_RATE" localSheetId="23">#REF!</definedName>
    <definedName name="V_KEYWORD_EQTY_200007513_RISK_FR_RATE" localSheetId="19">#REF!</definedName>
    <definedName name="V_KEYWORD_EQTY_200007513_RISK_FR_RATE" localSheetId="21">#REF!</definedName>
    <definedName name="V_KEYWORD_EQTY_200007513_RISK_FR_RATE">#REF!</definedName>
    <definedName name="V_KEYWORD_EQTY_200007513_Security_Name" localSheetId="24">#REF!</definedName>
    <definedName name="V_KEYWORD_EQTY_200007513_Security_Name" localSheetId="18">#REF!</definedName>
    <definedName name="V_KEYWORD_EQTY_200007513_Security_Name" localSheetId="12">#REF!</definedName>
    <definedName name="V_KEYWORD_EQTY_200007513_Security_Name" localSheetId="23">#REF!</definedName>
    <definedName name="V_KEYWORD_EQTY_200007513_Security_Name" localSheetId="19">#REF!</definedName>
    <definedName name="V_KEYWORD_EQTY_200007513_Security_Name" localSheetId="21">#REF!</definedName>
    <definedName name="V_KEYWORD_EQTY_200007513_Security_Name">#REF!</definedName>
    <definedName name="V_KEYWORD_EQTY_200007513_SH" localSheetId="24">#REF!</definedName>
    <definedName name="V_KEYWORD_EQTY_200007513_SH" localSheetId="18">#REF!</definedName>
    <definedName name="V_KEYWORD_EQTY_200007513_SH" localSheetId="12">#REF!</definedName>
    <definedName name="V_KEYWORD_EQTY_200007513_SH" localSheetId="23">#REF!</definedName>
    <definedName name="V_KEYWORD_EQTY_200007513_SH" localSheetId="19">#REF!</definedName>
    <definedName name="V_KEYWORD_EQTY_200007513_SH" localSheetId="21">#REF!</definedName>
    <definedName name="V_KEYWORD_EQTY_200007513_SH">#REF!</definedName>
    <definedName name="V_KEYWORD_EQTY_200007513_TARGET_PRICE" localSheetId="24">#REF!</definedName>
    <definedName name="V_KEYWORD_EQTY_200007513_TARGET_PRICE" localSheetId="18">#REF!</definedName>
    <definedName name="V_KEYWORD_EQTY_200007513_TARGET_PRICE" localSheetId="12">#REF!</definedName>
    <definedName name="V_KEYWORD_EQTY_200007513_TARGET_PRICE" localSheetId="23">#REF!</definedName>
    <definedName name="V_KEYWORD_EQTY_200007513_TARGET_PRICE" localSheetId="19">#REF!</definedName>
    <definedName name="V_KEYWORD_EQTY_200007513_TARGET_PRICE" localSheetId="21">#REF!</definedName>
    <definedName name="V_KEYWORD_EQTY_200007513_TARGET_PRICE">#REF!</definedName>
    <definedName name="V_KEYWORD_EQTY_200007513_TAX_EXC" localSheetId="24">#REF!</definedName>
    <definedName name="V_KEYWORD_EQTY_200007513_TAX_EXC" localSheetId="18">#REF!</definedName>
    <definedName name="V_KEYWORD_EQTY_200007513_TAX_EXC" localSheetId="12">#REF!</definedName>
    <definedName name="V_KEYWORD_EQTY_200007513_TAX_EXC" localSheetId="23">#REF!</definedName>
    <definedName name="V_KEYWORD_EQTY_200007513_TAX_EXC" localSheetId="19">#REF!</definedName>
    <definedName name="V_KEYWORD_EQTY_200007513_TAX_EXC" localSheetId="21">#REF!</definedName>
    <definedName name="V_KEYWORD_EQTY_200007513_TAX_EXC">#REF!</definedName>
    <definedName name="V_KEYWORD_EQTY_200007513_Ticker" localSheetId="24">#REF!</definedName>
    <definedName name="V_KEYWORD_EQTY_200007513_Ticker" localSheetId="18">#REF!</definedName>
    <definedName name="V_KEYWORD_EQTY_200007513_Ticker" localSheetId="12">#REF!</definedName>
    <definedName name="V_KEYWORD_EQTY_200007513_Ticker" localSheetId="23">#REF!</definedName>
    <definedName name="V_KEYWORD_EQTY_200007513_Ticker" localSheetId="19">#REF!</definedName>
    <definedName name="V_KEYWORD_EQTY_200007513_Ticker" localSheetId="21">#REF!</definedName>
    <definedName name="V_KEYWORD_EQTY_200007513_Ticker">#REF!</definedName>
    <definedName name="V_KEYWORD_EQTY_200007513_TP_PERIOD" localSheetId="24">#REF!</definedName>
    <definedName name="V_KEYWORD_EQTY_200007513_TP_PERIOD" localSheetId="18">#REF!</definedName>
    <definedName name="V_KEYWORD_EQTY_200007513_TP_PERIOD" localSheetId="12">#REF!</definedName>
    <definedName name="V_KEYWORD_EQTY_200007513_TP_PERIOD" localSheetId="23">#REF!</definedName>
    <definedName name="V_KEYWORD_EQTY_200007513_TP_PERIOD" localSheetId="19">#REF!</definedName>
    <definedName name="V_KEYWORD_EQTY_200007513_TP_PERIOD" localSheetId="21">#REF!</definedName>
    <definedName name="V_KEYWORD_EQTY_200007513_TP_PERIOD">#REF!</definedName>
    <definedName name="V_KEYWORD_ISSR_208002861_ACC_AMORT" localSheetId="24">#REF!</definedName>
    <definedName name="V_KEYWORD_ISSR_208002861_ACC_AMORT" localSheetId="18">#REF!</definedName>
    <definedName name="V_KEYWORD_ISSR_208002861_ACC_AMORT" localSheetId="12">#REF!</definedName>
    <definedName name="V_KEYWORD_ISSR_208002861_ACC_AMORT" localSheetId="23">#REF!</definedName>
    <definedName name="V_KEYWORD_ISSR_208002861_ACC_AMORT" localSheetId="19">#REF!</definedName>
    <definedName name="V_KEYWORD_ISSR_208002861_ACC_AMORT" localSheetId="21">#REF!</definedName>
    <definedName name="V_KEYWORD_ISSR_208002861_ACC_AMORT">#REF!</definedName>
    <definedName name="V_KEYWORD_ISSR_208002861_ACC_DDA" localSheetId="24">#REF!</definedName>
    <definedName name="V_KEYWORD_ISSR_208002861_ACC_DDA" localSheetId="18">#REF!</definedName>
    <definedName name="V_KEYWORD_ISSR_208002861_ACC_DDA" localSheetId="12">#REF!</definedName>
    <definedName name="V_KEYWORD_ISSR_208002861_ACC_DDA" localSheetId="23">#REF!</definedName>
    <definedName name="V_KEYWORD_ISSR_208002861_ACC_DDA" localSheetId="19">#REF!</definedName>
    <definedName name="V_KEYWORD_ISSR_208002861_ACC_DDA" localSheetId="21">#REF!</definedName>
    <definedName name="V_KEYWORD_ISSR_208002861_ACC_DDA">#REF!</definedName>
    <definedName name="V_KEYWORD_ISSR_208002861_ACC_END_DATE" localSheetId="24">#REF!</definedName>
    <definedName name="V_KEYWORD_ISSR_208002861_ACC_END_DATE" localSheetId="18">#REF!</definedName>
    <definedName name="V_KEYWORD_ISSR_208002861_ACC_END_DATE" localSheetId="12">#REF!</definedName>
    <definedName name="V_KEYWORD_ISSR_208002861_ACC_END_DATE" localSheetId="23">#REF!</definedName>
    <definedName name="V_KEYWORD_ISSR_208002861_ACC_END_DATE" localSheetId="19">#REF!</definedName>
    <definedName name="V_KEYWORD_ISSR_208002861_ACC_END_DATE" localSheetId="21">#REF!</definedName>
    <definedName name="V_KEYWORD_ISSR_208002861_ACC_END_DATE">#REF!</definedName>
    <definedName name="V_KEYWORD_ISSR_208002861_ACC_PAY_GQ" localSheetId="24">#REF!</definedName>
    <definedName name="V_KEYWORD_ISSR_208002861_ACC_PAY_GQ" localSheetId="18">#REF!</definedName>
    <definedName name="V_KEYWORD_ISSR_208002861_ACC_PAY_GQ" localSheetId="12">#REF!</definedName>
    <definedName name="V_KEYWORD_ISSR_208002861_ACC_PAY_GQ" localSheetId="23">#REF!</definedName>
    <definedName name="V_KEYWORD_ISSR_208002861_ACC_PAY_GQ" localSheetId="19">#REF!</definedName>
    <definedName name="V_KEYWORD_ISSR_208002861_ACC_PAY_GQ" localSheetId="21">#REF!</definedName>
    <definedName name="V_KEYWORD_ISSR_208002861_ACC_PAY_GQ">#REF!</definedName>
    <definedName name="V_KEYWORD_ISSR_208002861_ACQ" localSheetId="24">#REF!</definedName>
    <definedName name="V_KEYWORD_ISSR_208002861_ACQ" localSheetId="18">#REF!</definedName>
    <definedName name="V_KEYWORD_ISSR_208002861_ACQ" localSheetId="12">#REF!</definedName>
    <definedName name="V_KEYWORD_ISSR_208002861_ACQ" localSheetId="23">#REF!</definedName>
    <definedName name="V_KEYWORD_ISSR_208002861_ACQ" localSheetId="19">#REF!</definedName>
    <definedName name="V_KEYWORD_ISSR_208002861_ACQ" localSheetId="21">#REF!</definedName>
    <definedName name="V_KEYWORD_ISSR_208002861_ACQ">#REF!</definedName>
    <definedName name="V_KEYWORD_ISSR_208002861_ADJ_UNF_PENS_GOOD" localSheetId="24">#REF!</definedName>
    <definedName name="V_KEYWORD_ISSR_208002861_ADJ_UNF_PENS_GOOD" localSheetId="18">#REF!</definedName>
    <definedName name="V_KEYWORD_ISSR_208002861_ADJ_UNF_PENS_GOOD" localSheetId="12">#REF!</definedName>
    <definedName name="V_KEYWORD_ISSR_208002861_ADJ_UNF_PENS_GOOD" localSheetId="23">#REF!</definedName>
    <definedName name="V_KEYWORD_ISSR_208002861_ADJ_UNF_PENS_GOOD" localSheetId="19">#REF!</definedName>
    <definedName name="V_KEYWORD_ISSR_208002861_ADJ_UNF_PENS_GOOD" localSheetId="21">#REF!</definedName>
    <definedName name="V_KEYWORD_ISSR_208002861_ADJ_UNF_PENS_GOOD">#REF!</definedName>
    <definedName name="V_KEYWORD_ISSR_208002861_ASSOC_JV_ADDBK" localSheetId="24">#REF!</definedName>
    <definedName name="V_KEYWORD_ISSR_208002861_ASSOC_JV_ADDBK" localSheetId="18">#REF!</definedName>
    <definedName name="V_KEYWORD_ISSR_208002861_ASSOC_JV_ADDBK" localSheetId="12">#REF!</definedName>
    <definedName name="V_KEYWORD_ISSR_208002861_ASSOC_JV_ADDBK" localSheetId="23">#REF!</definedName>
    <definedName name="V_KEYWORD_ISSR_208002861_ASSOC_JV_ADDBK" localSheetId="19">#REF!</definedName>
    <definedName name="V_KEYWORD_ISSR_208002861_ASSOC_JV_ADDBK" localSheetId="21">#REF!</definedName>
    <definedName name="V_KEYWORD_ISSR_208002861_ASSOC_JV_ADDBK">#REF!</definedName>
    <definedName name="V_KEYWORD_ISSR_208002861_ASSOCIATE" localSheetId="24">#REF!</definedName>
    <definedName name="V_KEYWORD_ISSR_208002861_ASSOCIATE" localSheetId="18">#REF!</definedName>
    <definedName name="V_KEYWORD_ISSR_208002861_ASSOCIATE" localSheetId="12">#REF!</definedName>
    <definedName name="V_KEYWORD_ISSR_208002861_ASSOCIATE" localSheetId="23">#REF!</definedName>
    <definedName name="V_KEYWORD_ISSR_208002861_ASSOCIATE" localSheetId="19">#REF!</definedName>
    <definedName name="V_KEYWORD_ISSR_208002861_ASSOCIATE" localSheetId="21">#REF!</definedName>
    <definedName name="V_KEYWORD_ISSR_208002861_ASSOCIATE">#REF!</definedName>
    <definedName name="V_KEYWORD_ISSR_208002861_ASSOCIATE_OP" localSheetId="24">#REF!</definedName>
    <definedName name="V_KEYWORD_ISSR_208002861_ASSOCIATE_OP" localSheetId="18">#REF!</definedName>
    <definedName name="V_KEYWORD_ISSR_208002861_ASSOCIATE_OP" localSheetId="12">#REF!</definedName>
    <definedName name="V_KEYWORD_ISSR_208002861_ASSOCIATE_OP" localSheetId="23">#REF!</definedName>
    <definedName name="V_KEYWORD_ISSR_208002861_ASSOCIATE_OP" localSheetId="19">#REF!</definedName>
    <definedName name="V_KEYWORD_ISSR_208002861_ASSOCIATE_OP" localSheetId="21">#REF!</definedName>
    <definedName name="V_KEYWORD_ISSR_208002861_ASSOCIATE_OP">#REF!</definedName>
    <definedName name="V_KEYWORD_ISSR_208002861_BAL_MINO_INT" localSheetId="24">#REF!</definedName>
    <definedName name="V_KEYWORD_ISSR_208002861_BAL_MINO_INT" localSheetId="18">#REF!</definedName>
    <definedName name="V_KEYWORD_ISSR_208002861_BAL_MINO_INT" localSheetId="12">#REF!</definedName>
    <definedName name="V_KEYWORD_ISSR_208002861_BAL_MINO_INT" localSheetId="23">#REF!</definedName>
    <definedName name="V_KEYWORD_ISSR_208002861_BAL_MINO_INT" localSheetId="19">#REF!</definedName>
    <definedName name="V_KEYWORD_ISSR_208002861_BAL_MINO_INT" localSheetId="21">#REF!</definedName>
    <definedName name="V_KEYWORD_ISSR_208002861_BAL_MINO_INT">#REF!</definedName>
    <definedName name="V_KEYWORD_ISSR_208002861_CAP_LEASES" localSheetId="24">#REF!</definedName>
    <definedName name="V_KEYWORD_ISSR_208002861_CAP_LEASES" localSheetId="18">#REF!</definedName>
    <definedName name="V_KEYWORD_ISSR_208002861_CAP_LEASES" localSheetId="12">#REF!</definedName>
    <definedName name="V_KEYWORD_ISSR_208002861_CAP_LEASES" localSheetId="23">#REF!</definedName>
    <definedName name="V_KEYWORD_ISSR_208002861_CAP_LEASES" localSheetId="19">#REF!</definedName>
    <definedName name="V_KEYWORD_ISSR_208002861_CAP_LEASES" localSheetId="21">#REF!</definedName>
    <definedName name="V_KEYWORD_ISSR_208002861_CAP_LEASES">#REF!</definedName>
    <definedName name="V_KEYWORD_ISSR_208002861_CAPEX" localSheetId="24">#REF!</definedName>
    <definedName name="V_KEYWORD_ISSR_208002861_CAPEX" localSheetId="18">#REF!</definedName>
    <definedName name="V_KEYWORD_ISSR_208002861_CAPEX" localSheetId="12">#REF!</definedName>
    <definedName name="V_KEYWORD_ISSR_208002861_CAPEX" localSheetId="23">#REF!</definedName>
    <definedName name="V_KEYWORD_ISSR_208002861_CAPEX" localSheetId="19">#REF!</definedName>
    <definedName name="V_KEYWORD_ISSR_208002861_CAPEX" localSheetId="21">#REF!</definedName>
    <definedName name="V_KEYWORD_ISSR_208002861_CAPEX">#REF!</definedName>
    <definedName name="V_KEYWORD_ISSR_208002861_CAPEX_EXPANSION" localSheetId="24">#REF!</definedName>
    <definedName name="V_KEYWORD_ISSR_208002861_CAPEX_EXPANSION" localSheetId="18">#REF!</definedName>
    <definedName name="V_KEYWORD_ISSR_208002861_CAPEX_EXPANSION" localSheetId="12">#REF!</definedName>
    <definedName name="V_KEYWORD_ISSR_208002861_CAPEX_EXPANSION" localSheetId="23">#REF!</definedName>
    <definedName name="V_KEYWORD_ISSR_208002861_CAPEX_EXPANSION" localSheetId="19">#REF!</definedName>
    <definedName name="V_KEYWORD_ISSR_208002861_CAPEX_EXPANSION" localSheetId="21">#REF!</definedName>
    <definedName name="V_KEYWORD_ISSR_208002861_CAPEX_EXPANSION">#REF!</definedName>
    <definedName name="V_KEYWORD_ISSR_208002861_CAPEX_MAINTENANCE" localSheetId="24">#REF!</definedName>
    <definedName name="V_KEYWORD_ISSR_208002861_CAPEX_MAINTENANCE" localSheetId="18">#REF!</definedName>
    <definedName name="V_KEYWORD_ISSR_208002861_CAPEX_MAINTENANCE" localSheetId="12">#REF!</definedName>
    <definedName name="V_KEYWORD_ISSR_208002861_CAPEX_MAINTENANCE" localSheetId="23">#REF!</definedName>
    <definedName name="V_KEYWORD_ISSR_208002861_CAPEX_MAINTENANCE" localSheetId="19">#REF!</definedName>
    <definedName name="V_KEYWORD_ISSR_208002861_CAPEX_MAINTENANCE" localSheetId="21">#REF!</definedName>
    <definedName name="V_KEYWORD_ISSR_208002861_CAPEX_MAINTENANCE">#REF!</definedName>
    <definedName name="V_KEYWORD_ISSR_208002861_CASH_EQ" localSheetId="24">#REF!</definedName>
    <definedName name="V_KEYWORD_ISSR_208002861_CASH_EQ" localSheetId="18">#REF!</definedName>
    <definedName name="V_KEYWORD_ISSR_208002861_CASH_EQ" localSheetId="12">#REF!</definedName>
    <definedName name="V_KEYWORD_ISSR_208002861_CASH_EQ" localSheetId="23">#REF!</definedName>
    <definedName name="V_KEYWORD_ISSR_208002861_CASH_EQ" localSheetId="19">#REF!</definedName>
    <definedName name="V_KEYWORD_ISSR_208002861_CASH_EQ" localSheetId="21">#REF!</definedName>
    <definedName name="V_KEYWORD_ISSR_208002861_CASH_EQ">#REF!</definedName>
    <definedName name="V_KEYWORD_ISSR_208002861_CASH_INT_EXP" localSheetId="24">#REF!</definedName>
    <definedName name="V_KEYWORD_ISSR_208002861_CASH_INT_EXP" localSheetId="18">#REF!</definedName>
    <definedName name="V_KEYWORD_ISSR_208002861_CASH_INT_EXP" localSheetId="12">#REF!</definedName>
    <definedName name="V_KEYWORD_ISSR_208002861_CASH_INT_EXP" localSheetId="23">#REF!</definedName>
    <definedName name="V_KEYWORD_ISSR_208002861_CASH_INT_EXP" localSheetId="19">#REF!</definedName>
    <definedName name="V_KEYWORD_ISSR_208002861_CASH_INT_EXP" localSheetId="21">#REF!</definedName>
    <definedName name="V_KEYWORD_ISSR_208002861_CASH_INT_EXP">#REF!</definedName>
    <definedName name="V_KEYWORD_ISSR_208002861_CASH_INT_INC_EXP" localSheetId="24">#REF!</definedName>
    <definedName name="V_KEYWORD_ISSR_208002861_CASH_INT_INC_EXP" localSheetId="18">#REF!</definedName>
    <definedName name="V_KEYWORD_ISSR_208002861_CASH_INT_INC_EXP" localSheetId="12">#REF!</definedName>
    <definedName name="V_KEYWORD_ISSR_208002861_CASH_INT_INC_EXP" localSheetId="23">#REF!</definedName>
    <definedName name="V_KEYWORD_ISSR_208002861_CASH_INT_INC_EXP" localSheetId="19">#REF!</definedName>
    <definedName name="V_KEYWORD_ISSR_208002861_CASH_INT_INC_EXP" localSheetId="21">#REF!</definedName>
    <definedName name="V_KEYWORD_ISSR_208002861_CASH_INT_INC_EXP">#REF!</definedName>
    <definedName name="V_KEYWORD_ISSR_208002861_CASH_TAX_EXP" localSheetId="24">#REF!</definedName>
    <definedName name="V_KEYWORD_ISSR_208002861_CASH_TAX_EXP" localSheetId="18">#REF!</definedName>
    <definedName name="V_KEYWORD_ISSR_208002861_CASH_TAX_EXP" localSheetId="12">#REF!</definedName>
    <definedName name="V_KEYWORD_ISSR_208002861_CASH_TAX_EXP" localSheetId="23">#REF!</definedName>
    <definedName name="V_KEYWORD_ISSR_208002861_CASH_TAX_EXP" localSheetId="19">#REF!</definedName>
    <definedName name="V_KEYWORD_ISSR_208002861_CASH_TAX_EXP" localSheetId="21">#REF!</definedName>
    <definedName name="V_KEYWORD_ISSR_208002861_CASH_TAX_EXP">#REF!</definedName>
    <definedName name="V_KEYWORD_ISSR_208002861_CASH_TAX_PD" localSheetId="24">#REF!</definedName>
    <definedName name="V_KEYWORD_ISSR_208002861_CASH_TAX_PD" localSheetId="18">#REF!</definedName>
    <definedName name="V_KEYWORD_ISSR_208002861_CASH_TAX_PD" localSheetId="12">#REF!</definedName>
    <definedName name="V_KEYWORD_ISSR_208002861_CASH_TAX_PD" localSheetId="23">#REF!</definedName>
    <definedName name="V_KEYWORD_ISSR_208002861_CASH_TAX_PD" localSheetId="19">#REF!</definedName>
    <definedName name="V_KEYWORD_ISSR_208002861_CASH_TAX_PD" localSheetId="21">#REF!</definedName>
    <definedName name="V_KEYWORD_ISSR_208002861_CASH_TAX_PD">#REF!</definedName>
    <definedName name="V_KEYWORD_ISSR_208002861_CF_FIN" localSheetId="24">#REF!</definedName>
    <definedName name="V_KEYWORD_ISSR_208002861_CF_FIN" localSheetId="18">#REF!</definedName>
    <definedName name="V_KEYWORD_ISSR_208002861_CF_FIN" localSheetId="12">#REF!</definedName>
    <definedName name="V_KEYWORD_ISSR_208002861_CF_FIN" localSheetId="23">#REF!</definedName>
    <definedName name="V_KEYWORD_ISSR_208002861_CF_FIN" localSheetId="19">#REF!</definedName>
    <definedName name="V_KEYWORD_ISSR_208002861_CF_FIN" localSheetId="21">#REF!</definedName>
    <definedName name="V_KEYWORD_ISSR_208002861_CF_FIN">#REF!</definedName>
    <definedName name="V_KEYWORD_ISSR_208002861_CF_INC_MINORITY" localSheetId="24">#REF!</definedName>
    <definedName name="V_KEYWORD_ISSR_208002861_CF_INC_MINORITY" localSheetId="18">#REF!</definedName>
    <definedName name="V_KEYWORD_ISSR_208002861_CF_INC_MINORITY" localSheetId="12">#REF!</definedName>
    <definedName name="V_KEYWORD_ISSR_208002861_CF_INC_MINORITY" localSheetId="23">#REF!</definedName>
    <definedName name="V_KEYWORD_ISSR_208002861_CF_INC_MINORITY" localSheetId="19">#REF!</definedName>
    <definedName name="V_KEYWORD_ISSR_208002861_CF_INC_MINORITY" localSheetId="21">#REF!</definedName>
    <definedName name="V_KEYWORD_ISSR_208002861_CF_INC_MINORITY">#REF!</definedName>
    <definedName name="V_KEYWORD_ISSR_208002861_CF_INV" localSheetId="24">#REF!</definedName>
    <definedName name="V_KEYWORD_ISSR_208002861_CF_INV" localSheetId="18">#REF!</definedName>
    <definedName name="V_KEYWORD_ISSR_208002861_CF_INV" localSheetId="12">#REF!</definedName>
    <definedName name="V_KEYWORD_ISSR_208002861_CF_INV" localSheetId="23">#REF!</definedName>
    <definedName name="V_KEYWORD_ISSR_208002861_CF_INV" localSheetId="19">#REF!</definedName>
    <definedName name="V_KEYWORD_ISSR_208002861_CF_INV" localSheetId="21">#REF!</definedName>
    <definedName name="V_KEYWORD_ISSR_208002861_CF_INV">#REF!</definedName>
    <definedName name="V_KEYWORD_ISSR_208002861_CF_OPS" localSheetId="24">#REF!</definedName>
    <definedName name="V_KEYWORD_ISSR_208002861_CF_OPS" localSheetId="18">#REF!</definedName>
    <definedName name="V_KEYWORD_ISSR_208002861_CF_OPS" localSheetId="12">#REF!</definedName>
    <definedName name="V_KEYWORD_ISSR_208002861_CF_OPS" localSheetId="23">#REF!</definedName>
    <definedName name="V_KEYWORD_ISSR_208002861_CF_OPS" localSheetId="19">#REF!</definedName>
    <definedName name="V_KEYWORD_ISSR_208002861_CF_OPS" localSheetId="21">#REF!</definedName>
    <definedName name="V_KEYWORD_ISSR_208002861_CF_OPS">#REF!</definedName>
    <definedName name="V_KEYWORD_ISSR_208002861_CHG_LT_DEBT" localSheetId="24">#REF!</definedName>
    <definedName name="V_KEYWORD_ISSR_208002861_CHG_LT_DEBT" localSheetId="18">#REF!</definedName>
    <definedName name="V_KEYWORD_ISSR_208002861_CHG_LT_DEBT" localSheetId="12">#REF!</definedName>
    <definedName name="V_KEYWORD_ISSR_208002861_CHG_LT_DEBT" localSheetId="23">#REF!</definedName>
    <definedName name="V_KEYWORD_ISSR_208002861_CHG_LT_DEBT" localSheetId="19">#REF!</definedName>
    <definedName name="V_KEYWORD_ISSR_208002861_CHG_LT_DEBT" localSheetId="21">#REF!</definedName>
    <definedName name="V_KEYWORD_ISSR_208002861_CHG_LT_DEBT">#REF!</definedName>
    <definedName name="V_KEYWORD_ISSR_208002861_CO_BOR_MARGIN" localSheetId="24">#REF!</definedName>
    <definedName name="V_KEYWORD_ISSR_208002861_CO_BOR_MARGIN" localSheetId="18">#REF!</definedName>
    <definedName name="V_KEYWORD_ISSR_208002861_CO_BOR_MARGIN" localSheetId="12">#REF!</definedName>
    <definedName name="V_KEYWORD_ISSR_208002861_CO_BOR_MARGIN" localSheetId="23">#REF!</definedName>
    <definedName name="V_KEYWORD_ISSR_208002861_CO_BOR_MARGIN" localSheetId="19">#REF!</definedName>
    <definedName name="V_KEYWORD_ISSR_208002861_CO_BOR_MARGIN" localSheetId="21">#REF!</definedName>
    <definedName name="V_KEYWORD_ISSR_208002861_CO_BOR_MARGIN">#REF!</definedName>
    <definedName name="V_KEYWORD_ISSR_208002861_COST_GD_SD" localSheetId="24">#REF!</definedName>
    <definedName name="V_KEYWORD_ISSR_208002861_COST_GD_SD" localSheetId="18">#REF!</definedName>
    <definedName name="V_KEYWORD_ISSR_208002861_COST_GD_SD" localSheetId="12">#REF!</definedName>
    <definedName name="V_KEYWORD_ISSR_208002861_COST_GD_SD" localSheetId="23">#REF!</definedName>
    <definedName name="V_KEYWORD_ISSR_208002861_COST_GD_SD" localSheetId="19">#REF!</definedName>
    <definedName name="V_KEYWORD_ISSR_208002861_COST_GD_SD" localSheetId="21">#REF!</definedName>
    <definedName name="V_KEYWORD_ISSR_208002861_COST_GD_SD">#REF!</definedName>
    <definedName name="V_KEYWORD_ISSR_208002861_CUR_ASS" localSheetId="24">#REF!</definedName>
    <definedName name="V_KEYWORD_ISSR_208002861_CUR_ASS" localSheetId="18">#REF!</definedName>
    <definedName name="V_KEYWORD_ISSR_208002861_CUR_ASS" localSheetId="12">#REF!</definedName>
    <definedName name="V_KEYWORD_ISSR_208002861_CUR_ASS" localSheetId="23">#REF!</definedName>
    <definedName name="V_KEYWORD_ISSR_208002861_CUR_ASS" localSheetId="19">#REF!</definedName>
    <definedName name="V_KEYWORD_ISSR_208002861_CUR_ASS" localSheetId="21">#REF!</definedName>
    <definedName name="V_KEYWORD_ISSR_208002861_CUR_ASS">#REF!</definedName>
    <definedName name="V_KEYWORD_ISSR_208002861_CURRENCY_ISO" localSheetId="24">#REF!</definedName>
    <definedName name="V_KEYWORD_ISSR_208002861_CURRENCY_ISO" localSheetId="18">#REF!</definedName>
    <definedName name="V_KEYWORD_ISSR_208002861_CURRENCY_ISO" localSheetId="12">#REF!</definedName>
    <definedName name="V_KEYWORD_ISSR_208002861_CURRENCY_ISO" localSheetId="23">#REF!</definedName>
    <definedName name="V_KEYWORD_ISSR_208002861_CURRENCY_ISO" localSheetId="19">#REF!</definedName>
    <definedName name="V_KEYWORD_ISSR_208002861_CURRENCY_ISO" localSheetId="21">#REF!</definedName>
    <definedName name="V_KEYWORD_ISSR_208002861_CURRENCY_ISO">#REF!</definedName>
    <definedName name="V_KEYWORD_ISSR_208002861_DEBTORS" localSheetId="24">#REF!</definedName>
    <definedName name="V_KEYWORD_ISSR_208002861_DEBTORS" localSheetId="18">#REF!</definedName>
    <definedName name="V_KEYWORD_ISSR_208002861_DEBTORS" localSheetId="12">#REF!</definedName>
    <definedName name="V_KEYWORD_ISSR_208002861_DEBTORS" localSheetId="23">#REF!</definedName>
    <definedName name="V_KEYWORD_ISSR_208002861_DEBTORS" localSheetId="19">#REF!</definedName>
    <definedName name="V_KEYWORD_ISSR_208002861_DEBTORS" localSheetId="21">#REF!</definedName>
    <definedName name="V_KEYWORD_ISSR_208002861_DEBTORS">#REF!</definedName>
    <definedName name="V_KEYWORD_ISSR_208002861_DEF_INC_TAX" localSheetId="24">#REF!</definedName>
    <definedName name="V_KEYWORD_ISSR_208002861_DEF_INC_TAX" localSheetId="18">#REF!</definedName>
    <definedName name="V_KEYWORD_ISSR_208002861_DEF_INC_TAX" localSheetId="12">#REF!</definedName>
    <definedName name="V_KEYWORD_ISSR_208002861_DEF_INC_TAX" localSheetId="23">#REF!</definedName>
    <definedName name="V_KEYWORD_ISSR_208002861_DEF_INC_TAX" localSheetId="19">#REF!</definedName>
    <definedName name="V_KEYWORD_ISSR_208002861_DEF_INC_TAX" localSheetId="21">#REF!</definedName>
    <definedName name="V_KEYWORD_ISSR_208002861_DEF_INC_TAX">#REF!</definedName>
    <definedName name="V_KEYWORD_ISSR_208002861_DEPR_AMORT" localSheetId="24">#REF!</definedName>
    <definedName name="V_KEYWORD_ISSR_208002861_DEPR_AMORT" localSheetId="18">#REF!</definedName>
    <definedName name="V_KEYWORD_ISSR_208002861_DEPR_AMORT" localSheetId="12">#REF!</definedName>
    <definedName name="V_KEYWORD_ISSR_208002861_DEPR_AMORT" localSheetId="23">#REF!</definedName>
    <definedName name="V_KEYWORD_ISSR_208002861_DEPR_AMORT" localSheetId="19">#REF!</definedName>
    <definedName name="V_KEYWORD_ISSR_208002861_DEPR_AMORT" localSheetId="21">#REF!</definedName>
    <definedName name="V_KEYWORD_ISSR_208002861_DEPR_AMORT">#REF!</definedName>
    <definedName name="V_KEYWORD_ISSR_208002861_DEPREC" localSheetId="24">#REF!</definedName>
    <definedName name="V_KEYWORD_ISSR_208002861_DEPREC" localSheetId="18">#REF!</definedName>
    <definedName name="V_KEYWORD_ISSR_208002861_DEPREC" localSheetId="12">#REF!</definedName>
    <definedName name="V_KEYWORD_ISSR_208002861_DEPREC" localSheetId="23">#REF!</definedName>
    <definedName name="V_KEYWORD_ISSR_208002861_DEPREC" localSheetId="19">#REF!</definedName>
    <definedName name="V_KEYWORD_ISSR_208002861_DEPREC" localSheetId="21">#REF!</definedName>
    <definedName name="V_KEYWORD_ISSR_208002861_DEPREC">#REF!</definedName>
    <definedName name="V_KEYWORD_ISSR_208002861_DIV_PAID" localSheetId="24">#REF!</definedName>
    <definedName name="V_KEYWORD_ISSR_208002861_DIV_PAID" localSheetId="18">#REF!</definedName>
    <definedName name="V_KEYWORD_ISSR_208002861_DIV_PAID" localSheetId="12">#REF!</definedName>
    <definedName name="V_KEYWORD_ISSR_208002861_DIV_PAID" localSheetId="23">#REF!</definedName>
    <definedName name="V_KEYWORD_ISSR_208002861_DIV_PAID" localSheetId="19">#REF!</definedName>
    <definedName name="V_KEYWORD_ISSR_208002861_DIV_PAID" localSheetId="21">#REF!</definedName>
    <definedName name="V_KEYWORD_ISSR_208002861_DIV_PAID">#REF!</definedName>
    <definedName name="V_KEYWORD_ISSR_208002861_DIVDS_ASSOC_JV" localSheetId="24">#REF!</definedName>
    <definedName name="V_KEYWORD_ISSR_208002861_DIVDS_ASSOC_JV" localSheetId="18">#REF!</definedName>
    <definedName name="V_KEYWORD_ISSR_208002861_DIVDS_ASSOC_JV" localSheetId="12">#REF!</definedName>
    <definedName name="V_KEYWORD_ISSR_208002861_DIVDS_ASSOC_JV" localSheetId="23">#REF!</definedName>
    <definedName name="V_KEYWORD_ISSR_208002861_DIVDS_ASSOC_JV" localSheetId="19">#REF!</definedName>
    <definedName name="V_KEYWORD_ISSR_208002861_DIVDS_ASSOC_JV" localSheetId="21">#REF!</definedName>
    <definedName name="V_KEYWORD_ISSR_208002861_DIVDS_ASSOC_JV">#REF!</definedName>
    <definedName name="V_KEYWORD_ISSR_208002861_DIVDS_PD_MINORITIES" localSheetId="24">#REF!</definedName>
    <definedName name="V_KEYWORD_ISSR_208002861_DIVDS_PD_MINORITIES" localSheetId="18">#REF!</definedName>
    <definedName name="V_KEYWORD_ISSR_208002861_DIVDS_PD_MINORITIES" localSheetId="12">#REF!</definedName>
    <definedName name="V_KEYWORD_ISSR_208002861_DIVDS_PD_MINORITIES" localSheetId="23">#REF!</definedName>
    <definedName name="V_KEYWORD_ISSR_208002861_DIVDS_PD_MINORITIES" localSheetId="19">#REF!</definedName>
    <definedName name="V_KEYWORD_ISSR_208002861_DIVDS_PD_MINORITIES" localSheetId="21">#REF!</definedName>
    <definedName name="V_KEYWORD_ISSR_208002861_DIVDS_PD_MINORITIES">#REF!</definedName>
    <definedName name="V_KEYWORD_ISSR_208002861_DIVEST" localSheetId="24">#REF!</definedName>
    <definedName name="V_KEYWORD_ISSR_208002861_DIVEST" localSheetId="18">#REF!</definedName>
    <definedName name="V_KEYWORD_ISSR_208002861_DIVEST" localSheetId="12">#REF!</definedName>
    <definedName name="V_KEYWORD_ISSR_208002861_DIVEST" localSheetId="23">#REF!</definedName>
    <definedName name="V_KEYWORD_ISSR_208002861_DIVEST" localSheetId="19">#REF!</definedName>
    <definedName name="V_KEYWORD_ISSR_208002861_DIVEST" localSheetId="21">#REF!</definedName>
    <definedName name="V_KEYWORD_ISSR_208002861_DIVEST">#REF!</definedName>
    <definedName name="V_KEYWORD_ISSR_208002861_EBIT" localSheetId="24">#REF!</definedName>
    <definedName name="V_KEYWORD_ISSR_208002861_EBIT" localSheetId="18">#REF!</definedName>
    <definedName name="V_KEYWORD_ISSR_208002861_EBIT" localSheetId="12">#REF!</definedName>
    <definedName name="V_KEYWORD_ISSR_208002861_EBIT" localSheetId="23">#REF!</definedName>
    <definedName name="V_KEYWORD_ISSR_208002861_EBIT" localSheetId="19">#REF!</definedName>
    <definedName name="V_KEYWORD_ISSR_208002861_EBIT" localSheetId="21">#REF!</definedName>
    <definedName name="V_KEYWORD_ISSR_208002861_EBIT">#REF!</definedName>
    <definedName name="V_KEYWORD_ISSR_208002861_EBITDA_CALC" localSheetId="24">#REF!</definedName>
    <definedName name="V_KEYWORD_ISSR_208002861_EBITDA_CALC" localSheetId="18">#REF!</definedName>
    <definedName name="V_KEYWORD_ISSR_208002861_EBITDA_CALC" localSheetId="12">#REF!</definedName>
    <definedName name="V_KEYWORD_ISSR_208002861_EBITDA_CALC" localSheetId="23">#REF!</definedName>
    <definedName name="V_KEYWORD_ISSR_208002861_EBITDA_CALC" localSheetId="19">#REF!</definedName>
    <definedName name="V_KEYWORD_ISSR_208002861_EBITDA_CALC" localSheetId="21">#REF!</definedName>
    <definedName name="V_KEYWORD_ISSR_208002861_EBITDA_CALC">#REF!</definedName>
    <definedName name="V_KEYWORD_ISSR_208002861_EMPLOYEES" localSheetId="24">#REF!</definedName>
    <definedName name="V_KEYWORD_ISSR_208002861_EMPLOYEES" localSheetId="18">#REF!</definedName>
    <definedName name="V_KEYWORD_ISSR_208002861_EMPLOYEES" localSheetId="12">#REF!</definedName>
    <definedName name="V_KEYWORD_ISSR_208002861_EMPLOYEES" localSheetId="23">#REF!</definedName>
    <definedName name="V_KEYWORD_ISSR_208002861_EMPLOYEES" localSheetId="19">#REF!</definedName>
    <definedName name="V_KEYWORD_ISSR_208002861_EMPLOYEES" localSheetId="21">#REF!</definedName>
    <definedName name="V_KEYWORD_ISSR_208002861_EMPLOYEES">#REF!</definedName>
    <definedName name="V_KEYWORD_ISSR_208002861_EQ" localSheetId="24">#REF!</definedName>
    <definedName name="V_KEYWORD_ISSR_208002861_EQ" localSheetId="18">#REF!</definedName>
    <definedName name="V_KEYWORD_ISSR_208002861_EQ" localSheetId="12">#REF!</definedName>
    <definedName name="V_KEYWORD_ISSR_208002861_EQ" localSheetId="23">#REF!</definedName>
    <definedName name="V_KEYWORD_ISSR_208002861_EQ" localSheetId="19">#REF!</definedName>
    <definedName name="V_KEYWORD_ISSR_208002861_EQ" localSheetId="21">#REF!</definedName>
    <definedName name="V_KEYWORD_ISSR_208002861_EQ">#REF!</definedName>
    <definedName name="V_KEYWORD_ISSR_208002861_EXP_ALUMINIUM" localSheetId="24">#REF!</definedName>
    <definedName name="V_KEYWORD_ISSR_208002861_EXP_ALUMINIUM" localSheetId="18">#REF!</definedName>
    <definedName name="V_KEYWORD_ISSR_208002861_EXP_ALUMINIUM" localSheetId="12">#REF!</definedName>
    <definedName name="V_KEYWORD_ISSR_208002861_EXP_ALUMINIUM" localSheetId="23">#REF!</definedName>
    <definedName name="V_KEYWORD_ISSR_208002861_EXP_ALUMINIUM" localSheetId="19">#REF!</definedName>
    <definedName name="V_KEYWORD_ISSR_208002861_EXP_ALUMINIUM" localSheetId="21">#REF!</definedName>
    <definedName name="V_KEYWORD_ISSR_208002861_EXP_ALUMINIUM">#REF!</definedName>
    <definedName name="V_KEYWORD_ISSR_208002861_EXP_COPPER" localSheetId="24">#REF!</definedName>
    <definedName name="V_KEYWORD_ISSR_208002861_EXP_COPPER" localSheetId="18">#REF!</definedName>
    <definedName name="V_KEYWORD_ISSR_208002861_EXP_COPPER" localSheetId="12">#REF!</definedName>
    <definedName name="V_KEYWORD_ISSR_208002861_EXP_COPPER" localSheetId="23">#REF!</definedName>
    <definedName name="V_KEYWORD_ISSR_208002861_EXP_COPPER" localSheetId="19">#REF!</definedName>
    <definedName name="V_KEYWORD_ISSR_208002861_EXP_COPPER" localSheetId="21">#REF!</definedName>
    <definedName name="V_KEYWORD_ISSR_208002861_EXP_COPPER">#REF!</definedName>
    <definedName name="V_KEYWORD_ISSR_208002861_EXP_GLASS" localSheetId="24">#REF!</definedName>
    <definedName name="V_KEYWORD_ISSR_208002861_EXP_GLASS" localSheetId="18">#REF!</definedName>
    <definedName name="V_KEYWORD_ISSR_208002861_EXP_GLASS" localSheetId="12">#REF!</definedName>
    <definedName name="V_KEYWORD_ISSR_208002861_EXP_GLASS" localSheetId="23">#REF!</definedName>
    <definedName name="V_KEYWORD_ISSR_208002861_EXP_GLASS" localSheetId="19">#REF!</definedName>
    <definedName name="V_KEYWORD_ISSR_208002861_EXP_GLASS" localSheetId="21">#REF!</definedName>
    <definedName name="V_KEYWORD_ISSR_208002861_EXP_GLASS">#REF!</definedName>
    <definedName name="V_KEYWORD_ISSR_208002861_EXP_GOLD" localSheetId="24">#REF!</definedName>
    <definedName name="V_KEYWORD_ISSR_208002861_EXP_GOLD" localSheetId="18">#REF!</definedName>
    <definedName name="V_KEYWORD_ISSR_208002861_EXP_GOLD" localSheetId="12">#REF!</definedName>
    <definedName name="V_KEYWORD_ISSR_208002861_EXP_GOLD" localSheetId="23">#REF!</definedName>
    <definedName name="V_KEYWORD_ISSR_208002861_EXP_GOLD" localSheetId="19">#REF!</definedName>
    <definedName name="V_KEYWORD_ISSR_208002861_EXP_GOLD" localSheetId="21">#REF!</definedName>
    <definedName name="V_KEYWORD_ISSR_208002861_EXP_GOLD">#REF!</definedName>
    <definedName name="V_KEYWORD_ISSR_208002861_EXP_NAT_GAS" localSheetId="24">#REF!</definedName>
    <definedName name="V_KEYWORD_ISSR_208002861_EXP_NAT_GAS" localSheetId="18">#REF!</definedName>
    <definedName name="V_KEYWORD_ISSR_208002861_EXP_NAT_GAS" localSheetId="12">#REF!</definedName>
    <definedName name="V_KEYWORD_ISSR_208002861_EXP_NAT_GAS" localSheetId="23">#REF!</definedName>
    <definedName name="V_KEYWORD_ISSR_208002861_EXP_NAT_GAS" localSheetId="19">#REF!</definedName>
    <definedName name="V_KEYWORD_ISSR_208002861_EXP_NAT_GAS" localSheetId="21">#REF!</definedName>
    <definedName name="V_KEYWORD_ISSR_208002861_EXP_NAT_GAS">#REF!</definedName>
    <definedName name="V_KEYWORD_ISSR_208002861_EXP_NICKEL" localSheetId="24">#REF!</definedName>
    <definedName name="V_KEYWORD_ISSR_208002861_EXP_NICKEL" localSheetId="18">#REF!</definedName>
    <definedName name="V_KEYWORD_ISSR_208002861_EXP_NICKEL" localSheetId="12">#REF!</definedName>
    <definedName name="V_KEYWORD_ISSR_208002861_EXP_NICKEL" localSheetId="23">#REF!</definedName>
    <definedName name="V_KEYWORD_ISSR_208002861_EXP_NICKEL" localSheetId="19">#REF!</definedName>
    <definedName name="V_KEYWORD_ISSR_208002861_EXP_NICKEL" localSheetId="21">#REF!</definedName>
    <definedName name="V_KEYWORD_ISSR_208002861_EXP_NICKEL">#REF!</definedName>
    <definedName name="V_KEYWORD_ISSR_208002861_EXP_OIL_DERIV_NGLS_PLASTICS" localSheetId="24">#REF!</definedName>
    <definedName name="V_KEYWORD_ISSR_208002861_EXP_OIL_DERIV_NGLS_PLASTICS" localSheetId="18">#REF!</definedName>
    <definedName name="V_KEYWORD_ISSR_208002861_EXP_OIL_DERIV_NGLS_PLASTICS" localSheetId="12">#REF!</definedName>
    <definedName name="V_KEYWORD_ISSR_208002861_EXP_OIL_DERIV_NGLS_PLASTICS" localSheetId="23">#REF!</definedName>
    <definedName name="V_KEYWORD_ISSR_208002861_EXP_OIL_DERIV_NGLS_PLASTICS" localSheetId="19">#REF!</definedName>
    <definedName name="V_KEYWORD_ISSR_208002861_EXP_OIL_DERIV_NGLS_PLASTICS" localSheetId="21">#REF!</definedName>
    <definedName name="V_KEYWORD_ISSR_208002861_EXP_OIL_DERIV_NGLS_PLASTICS">#REF!</definedName>
    <definedName name="V_KEYWORD_ISSR_208002861_EXP_OIL_PETRO_FUEL" localSheetId="24">#REF!</definedName>
    <definedName name="V_KEYWORD_ISSR_208002861_EXP_OIL_PETRO_FUEL" localSheetId="18">#REF!</definedName>
    <definedName name="V_KEYWORD_ISSR_208002861_EXP_OIL_PETRO_FUEL" localSheetId="12">#REF!</definedName>
    <definedName name="V_KEYWORD_ISSR_208002861_EXP_OIL_PETRO_FUEL" localSheetId="23">#REF!</definedName>
    <definedName name="V_KEYWORD_ISSR_208002861_EXP_OIL_PETRO_FUEL" localSheetId="19">#REF!</definedName>
    <definedName name="V_KEYWORD_ISSR_208002861_EXP_OIL_PETRO_FUEL" localSheetId="21">#REF!</definedName>
    <definedName name="V_KEYWORD_ISSR_208002861_EXP_OIL_PETRO_FUEL">#REF!</definedName>
    <definedName name="V_KEYWORD_ISSR_208002861_EXP_OTH_COMMODITY" localSheetId="24">#REF!</definedName>
    <definedName name="V_KEYWORD_ISSR_208002861_EXP_OTH_COMMODITY" localSheetId="18">#REF!</definedName>
    <definedName name="V_KEYWORD_ISSR_208002861_EXP_OTH_COMMODITY" localSheetId="12">#REF!</definedName>
    <definedName name="V_KEYWORD_ISSR_208002861_EXP_OTH_COMMODITY" localSheetId="23">#REF!</definedName>
    <definedName name="V_KEYWORD_ISSR_208002861_EXP_OTH_COMMODITY" localSheetId="19">#REF!</definedName>
    <definedName name="V_KEYWORD_ISSR_208002861_EXP_OTH_COMMODITY" localSheetId="21">#REF!</definedName>
    <definedName name="V_KEYWORD_ISSR_208002861_EXP_OTH_COMMODITY">#REF!</definedName>
    <definedName name="V_KEYWORD_ISSR_208002861_EXP_OTH_COST" localSheetId="24">#REF!</definedName>
    <definedName name="V_KEYWORD_ISSR_208002861_EXP_OTH_COST" localSheetId="18">#REF!</definedName>
    <definedName name="V_KEYWORD_ISSR_208002861_EXP_OTH_COST" localSheetId="12">#REF!</definedName>
    <definedName name="V_KEYWORD_ISSR_208002861_EXP_OTH_COST" localSheetId="23">#REF!</definedName>
    <definedName name="V_KEYWORD_ISSR_208002861_EXP_OTH_COST" localSheetId="19">#REF!</definedName>
    <definedName name="V_KEYWORD_ISSR_208002861_EXP_OTH_COST" localSheetId="21">#REF!</definedName>
    <definedName name="V_KEYWORD_ISSR_208002861_EXP_OTH_COST">#REF!</definedName>
    <definedName name="V_KEYWORD_ISSR_208002861_EXP_PALLADIUM" localSheetId="24">#REF!</definedName>
    <definedName name="V_KEYWORD_ISSR_208002861_EXP_PALLADIUM" localSheetId="18">#REF!</definedName>
    <definedName name="V_KEYWORD_ISSR_208002861_EXP_PALLADIUM" localSheetId="12">#REF!</definedName>
    <definedName name="V_KEYWORD_ISSR_208002861_EXP_PALLADIUM" localSheetId="23">#REF!</definedName>
    <definedName name="V_KEYWORD_ISSR_208002861_EXP_PALLADIUM" localSheetId="19">#REF!</definedName>
    <definedName name="V_KEYWORD_ISSR_208002861_EXP_PALLADIUM" localSheetId="21">#REF!</definedName>
    <definedName name="V_KEYWORD_ISSR_208002861_EXP_PALLADIUM">#REF!</definedName>
    <definedName name="V_KEYWORD_ISSR_208002861_EXP_PLATINUM" localSheetId="24">#REF!</definedName>
    <definedName name="V_KEYWORD_ISSR_208002861_EXP_PLATINUM" localSheetId="18">#REF!</definedName>
    <definedName name="V_KEYWORD_ISSR_208002861_EXP_PLATINUM" localSheetId="12">#REF!</definedName>
    <definedName name="V_KEYWORD_ISSR_208002861_EXP_PLATINUM" localSheetId="23">#REF!</definedName>
    <definedName name="V_KEYWORD_ISSR_208002861_EXP_PLATINUM" localSheetId="19">#REF!</definedName>
    <definedName name="V_KEYWORD_ISSR_208002861_EXP_PLATINUM" localSheetId="21">#REF!</definedName>
    <definedName name="V_KEYWORD_ISSR_208002861_EXP_PLATINUM">#REF!</definedName>
    <definedName name="V_KEYWORD_ISSR_208002861_EXP_RUBBER" localSheetId="24">#REF!</definedName>
    <definedName name="V_KEYWORD_ISSR_208002861_EXP_RUBBER" localSheetId="18">#REF!</definedName>
    <definedName name="V_KEYWORD_ISSR_208002861_EXP_RUBBER" localSheetId="12">#REF!</definedName>
    <definedName name="V_KEYWORD_ISSR_208002861_EXP_RUBBER" localSheetId="23">#REF!</definedName>
    <definedName name="V_KEYWORD_ISSR_208002861_EXP_RUBBER" localSheetId="19">#REF!</definedName>
    <definedName name="V_KEYWORD_ISSR_208002861_EXP_RUBBER" localSheetId="21">#REF!</definedName>
    <definedName name="V_KEYWORD_ISSR_208002861_EXP_RUBBER">#REF!</definedName>
    <definedName name="V_KEYWORD_ISSR_208002861_EXP_SILVER" localSheetId="24">#REF!</definedName>
    <definedName name="V_KEYWORD_ISSR_208002861_EXP_SILVER" localSheetId="18">#REF!</definedName>
    <definedName name="V_KEYWORD_ISSR_208002861_EXP_SILVER" localSheetId="12">#REF!</definedName>
    <definedName name="V_KEYWORD_ISSR_208002861_EXP_SILVER" localSheetId="23">#REF!</definedName>
    <definedName name="V_KEYWORD_ISSR_208002861_EXP_SILVER" localSheetId="19">#REF!</definedName>
    <definedName name="V_KEYWORD_ISSR_208002861_EXP_SILVER" localSheetId="21">#REF!</definedName>
    <definedName name="V_KEYWORD_ISSR_208002861_EXP_SILVER">#REF!</definedName>
    <definedName name="V_KEYWORD_ISSR_208002861_EXP_STEEL" localSheetId="24">#REF!</definedName>
    <definedName name="V_KEYWORD_ISSR_208002861_EXP_STEEL" localSheetId="18">#REF!</definedName>
    <definedName name="V_KEYWORD_ISSR_208002861_EXP_STEEL" localSheetId="12">#REF!</definedName>
    <definedName name="V_KEYWORD_ISSR_208002861_EXP_STEEL" localSheetId="23">#REF!</definedName>
    <definedName name="V_KEYWORD_ISSR_208002861_EXP_STEEL" localSheetId="19">#REF!</definedName>
    <definedName name="V_KEYWORD_ISSR_208002861_EXP_STEEL" localSheetId="21">#REF!</definedName>
    <definedName name="V_KEYWORD_ISSR_208002861_EXP_STEEL">#REF!</definedName>
    <definedName name="V_KEYWORD_ISSR_208002861_EXP_WATER" localSheetId="24">#REF!</definedName>
    <definedName name="V_KEYWORD_ISSR_208002861_EXP_WATER" localSheetId="18">#REF!</definedName>
    <definedName name="V_KEYWORD_ISSR_208002861_EXP_WATER" localSheetId="12">#REF!</definedName>
    <definedName name="V_KEYWORD_ISSR_208002861_EXP_WATER" localSheetId="23">#REF!</definedName>
    <definedName name="V_KEYWORD_ISSR_208002861_EXP_WATER" localSheetId="19">#REF!</definedName>
    <definedName name="V_KEYWORD_ISSR_208002861_EXP_WATER" localSheetId="21">#REF!</definedName>
    <definedName name="V_KEYWORD_ISSR_208002861_EXP_WATER">#REF!</definedName>
    <definedName name="V_KEYWORD_ISSR_208002861_EXP_ZINC" localSheetId="24">#REF!</definedName>
    <definedName name="V_KEYWORD_ISSR_208002861_EXP_ZINC" localSheetId="18">#REF!</definedName>
    <definedName name="V_KEYWORD_ISSR_208002861_EXP_ZINC" localSheetId="12">#REF!</definedName>
    <definedName name="V_KEYWORD_ISSR_208002861_EXP_ZINC" localSheetId="23">#REF!</definedName>
    <definedName name="V_KEYWORD_ISSR_208002861_EXP_ZINC" localSheetId="19">#REF!</definedName>
    <definedName name="V_KEYWORD_ISSR_208002861_EXP_ZINC" localSheetId="21">#REF!</definedName>
    <definedName name="V_KEYWORD_ISSR_208002861_EXP_ZINC">#REF!</definedName>
    <definedName name="V_KEYWORD_ISSR_208002861_FIX_ASS_INV" localSheetId="24">#REF!</definedName>
    <definedName name="V_KEYWORD_ISSR_208002861_FIX_ASS_INV" localSheetId="18">#REF!</definedName>
    <definedName name="V_KEYWORD_ISSR_208002861_FIX_ASS_INV" localSheetId="12">#REF!</definedName>
    <definedName name="V_KEYWORD_ISSR_208002861_FIX_ASS_INV" localSheetId="23">#REF!</definedName>
    <definedName name="V_KEYWORD_ISSR_208002861_FIX_ASS_INV" localSheetId="19">#REF!</definedName>
    <definedName name="V_KEYWORD_ISSR_208002861_FIX_ASS_INV" localSheetId="21">#REF!</definedName>
    <definedName name="V_KEYWORD_ISSR_208002861_FIX_ASS_INV">#REF!</definedName>
    <definedName name="V_KEYWORD_ISSR_208002861_GCI_INFL" localSheetId="24">#REF!</definedName>
    <definedName name="V_KEYWORD_ISSR_208002861_GCI_INFL" localSheetId="18">#REF!</definedName>
    <definedName name="V_KEYWORD_ISSR_208002861_GCI_INFL" localSheetId="12">#REF!</definedName>
    <definedName name="V_KEYWORD_ISSR_208002861_GCI_INFL" localSheetId="23">#REF!</definedName>
    <definedName name="V_KEYWORD_ISSR_208002861_GCI_INFL" localSheetId="19">#REF!</definedName>
    <definedName name="V_KEYWORD_ISSR_208002861_GCI_INFL" localSheetId="21">#REF!</definedName>
    <definedName name="V_KEYWORD_ISSR_208002861_GCI_INFL">#REF!</definedName>
    <definedName name="V_KEYWORD_ISSR_208002861_GOODWILL_AMORT" localSheetId="24">#REF!</definedName>
    <definedName name="V_KEYWORD_ISSR_208002861_GOODWILL_AMORT" localSheetId="18">#REF!</definedName>
    <definedName name="V_KEYWORD_ISSR_208002861_GOODWILL_AMORT" localSheetId="12">#REF!</definedName>
    <definedName name="V_KEYWORD_ISSR_208002861_GOODWILL_AMORT" localSheetId="23">#REF!</definedName>
    <definedName name="V_KEYWORD_ISSR_208002861_GOODWILL_AMORT" localSheetId="19">#REF!</definedName>
    <definedName name="V_KEYWORD_ISSR_208002861_GOODWILL_AMORT" localSheetId="21">#REF!</definedName>
    <definedName name="V_KEYWORD_ISSR_208002861_GOODWILL_AMORT">#REF!</definedName>
    <definedName name="V_KEYWORD_ISSR_208002861_GR_FIX_ASS" localSheetId="24">#REF!</definedName>
    <definedName name="V_KEYWORD_ISSR_208002861_GR_FIX_ASS" localSheetId="18">#REF!</definedName>
    <definedName name="V_KEYWORD_ISSR_208002861_GR_FIX_ASS" localSheetId="12">#REF!</definedName>
    <definedName name="V_KEYWORD_ISSR_208002861_GR_FIX_ASS" localSheetId="23">#REF!</definedName>
    <definedName name="V_KEYWORD_ISSR_208002861_GR_FIX_ASS" localSheetId="19">#REF!</definedName>
    <definedName name="V_KEYWORD_ISSR_208002861_GR_FIX_ASS" localSheetId="21">#REF!</definedName>
    <definedName name="V_KEYWORD_ISSR_208002861_GR_FIX_ASS">#REF!</definedName>
    <definedName name="V_KEYWORD_ISSR_208002861_GR_INTANG" localSheetId="24">#REF!</definedName>
    <definedName name="V_KEYWORD_ISSR_208002861_GR_INTANG" localSheetId="18">#REF!</definedName>
    <definedName name="V_KEYWORD_ISSR_208002861_GR_INTANG" localSheetId="12">#REF!</definedName>
    <definedName name="V_KEYWORD_ISSR_208002861_GR_INTANG" localSheetId="23">#REF!</definedName>
    <definedName name="V_KEYWORD_ISSR_208002861_GR_INTANG" localSheetId="19">#REF!</definedName>
    <definedName name="V_KEYWORD_ISSR_208002861_GR_INTANG" localSheetId="21">#REF!</definedName>
    <definedName name="V_KEYWORD_ISSR_208002861_GR_INTANG">#REF!</definedName>
    <definedName name="V_KEYWORD_ISSR_208002861_GW_AMORT" localSheetId="24">#REF!</definedName>
    <definedName name="V_KEYWORD_ISSR_208002861_GW_AMORT" localSheetId="18">#REF!</definedName>
    <definedName name="V_KEYWORD_ISSR_208002861_GW_AMORT" localSheetId="12">#REF!</definedName>
    <definedName name="V_KEYWORD_ISSR_208002861_GW_AMORT" localSheetId="23">#REF!</definedName>
    <definedName name="V_KEYWORD_ISSR_208002861_GW_AMORT" localSheetId="19">#REF!</definedName>
    <definedName name="V_KEYWORD_ISSR_208002861_GW_AMORT" localSheetId="21">#REF!</definedName>
    <definedName name="V_KEYWORD_ISSR_208002861_GW_AMORT">#REF!</definedName>
    <definedName name="V_KEYWORD_ISSR_208002861_IND_SALES_BRAZIL" localSheetId="24">#REF!</definedName>
    <definedName name="V_KEYWORD_ISSR_208002861_IND_SALES_BRAZIL" localSheetId="18">#REF!</definedName>
    <definedName name="V_KEYWORD_ISSR_208002861_IND_SALES_BRAZIL" localSheetId="12">#REF!</definedName>
    <definedName name="V_KEYWORD_ISSR_208002861_IND_SALES_BRAZIL" localSheetId="23">#REF!</definedName>
    <definedName name="V_KEYWORD_ISSR_208002861_IND_SALES_BRAZIL" localSheetId="19">#REF!</definedName>
    <definedName name="V_KEYWORD_ISSR_208002861_IND_SALES_BRAZIL" localSheetId="21">#REF!</definedName>
    <definedName name="V_KEYWORD_ISSR_208002861_IND_SALES_BRAZIL">#REF!</definedName>
    <definedName name="V_KEYWORD_ISSR_208002861_IND_SALES_CEE" localSheetId="24">#REF!</definedName>
    <definedName name="V_KEYWORD_ISSR_208002861_IND_SALES_CEE" localSheetId="18">#REF!</definedName>
    <definedName name="V_KEYWORD_ISSR_208002861_IND_SALES_CEE" localSheetId="12">#REF!</definedName>
    <definedName name="V_KEYWORD_ISSR_208002861_IND_SALES_CEE" localSheetId="23">#REF!</definedName>
    <definedName name="V_KEYWORD_ISSR_208002861_IND_SALES_CEE" localSheetId="19">#REF!</definedName>
    <definedName name="V_KEYWORD_ISSR_208002861_IND_SALES_CEE" localSheetId="21">#REF!</definedName>
    <definedName name="V_KEYWORD_ISSR_208002861_IND_SALES_CEE">#REF!</definedName>
    <definedName name="V_KEYWORD_ISSR_208002861_IND_SALES_CHINA" localSheetId="24">#REF!</definedName>
    <definedName name="V_KEYWORD_ISSR_208002861_IND_SALES_CHINA" localSheetId="18">#REF!</definedName>
    <definedName name="V_KEYWORD_ISSR_208002861_IND_SALES_CHINA" localSheetId="12">#REF!</definedName>
    <definedName name="V_KEYWORD_ISSR_208002861_IND_SALES_CHINA" localSheetId="23">#REF!</definedName>
    <definedName name="V_KEYWORD_ISSR_208002861_IND_SALES_CHINA" localSheetId="19">#REF!</definedName>
    <definedName name="V_KEYWORD_ISSR_208002861_IND_SALES_CHINA" localSheetId="21">#REF!</definedName>
    <definedName name="V_KEYWORD_ISSR_208002861_IND_SALES_CHINA">#REF!</definedName>
    <definedName name="V_KEYWORD_ISSR_208002861_IND_SALES_CONS" localSheetId="24">#REF!</definedName>
    <definedName name="V_KEYWORD_ISSR_208002861_IND_SALES_CONS" localSheetId="18">#REF!</definedName>
    <definedName name="V_KEYWORD_ISSR_208002861_IND_SALES_CONS" localSheetId="12">#REF!</definedName>
    <definedName name="V_KEYWORD_ISSR_208002861_IND_SALES_CONS" localSheetId="23">#REF!</definedName>
    <definedName name="V_KEYWORD_ISSR_208002861_IND_SALES_CONS" localSheetId="19">#REF!</definedName>
    <definedName name="V_KEYWORD_ISSR_208002861_IND_SALES_CONS" localSheetId="21">#REF!</definedName>
    <definedName name="V_KEYWORD_ISSR_208002861_IND_SALES_CONS">#REF!</definedName>
    <definedName name="V_KEYWORD_ISSR_208002861_IND_SALES_EU_EX_UK" localSheetId="24">#REF!</definedName>
    <definedName name="V_KEYWORD_ISSR_208002861_IND_SALES_EU_EX_UK" localSheetId="18">#REF!</definedName>
    <definedName name="V_KEYWORD_ISSR_208002861_IND_SALES_EU_EX_UK" localSheetId="12">#REF!</definedName>
    <definedName name="V_KEYWORD_ISSR_208002861_IND_SALES_EU_EX_UK" localSheetId="23">#REF!</definedName>
    <definedName name="V_KEYWORD_ISSR_208002861_IND_SALES_EU_EX_UK" localSheetId="19">#REF!</definedName>
    <definedName name="V_KEYWORD_ISSR_208002861_IND_SALES_EU_EX_UK" localSheetId="21">#REF!</definedName>
    <definedName name="V_KEYWORD_ISSR_208002861_IND_SALES_EU_EX_UK">#REF!</definedName>
    <definedName name="V_KEYWORD_ISSR_208002861_IND_SALES_FINAN" localSheetId="24">#REF!</definedName>
    <definedName name="V_KEYWORD_ISSR_208002861_IND_SALES_FINAN" localSheetId="18">#REF!</definedName>
    <definedName name="V_KEYWORD_ISSR_208002861_IND_SALES_FINAN" localSheetId="12">#REF!</definedName>
    <definedName name="V_KEYWORD_ISSR_208002861_IND_SALES_FINAN" localSheetId="23">#REF!</definedName>
    <definedName name="V_KEYWORD_ISSR_208002861_IND_SALES_FINAN" localSheetId="19">#REF!</definedName>
    <definedName name="V_KEYWORD_ISSR_208002861_IND_SALES_FINAN" localSheetId="21">#REF!</definedName>
    <definedName name="V_KEYWORD_ISSR_208002861_IND_SALES_FINAN">#REF!</definedName>
    <definedName name="V_KEYWORD_ISSR_208002861_IND_SALES_FRA" localSheetId="24">#REF!</definedName>
    <definedName name="V_KEYWORD_ISSR_208002861_IND_SALES_FRA" localSheetId="18">#REF!</definedName>
    <definedName name="V_KEYWORD_ISSR_208002861_IND_SALES_FRA" localSheetId="12">#REF!</definedName>
    <definedName name="V_KEYWORD_ISSR_208002861_IND_SALES_FRA" localSheetId="23">#REF!</definedName>
    <definedName name="V_KEYWORD_ISSR_208002861_IND_SALES_FRA" localSheetId="19">#REF!</definedName>
    <definedName name="V_KEYWORD_ISSR_208002861_IND_SALES_FRA" localSheetId="21">#REF!</definedName>
    <definedName name="V_KEYWORD_ISSR_208002861_IND_SALES_FRA">#REF!</definedName>
    <definedName name="V_KEYWORD_ISSR_208002861_IND_SALES_GER" localSheetId="24">#REF!</definedName>
    <definedName name="V_KEYWORD_ISSR_208002861_IND_SALES_GER" localSheetId="18">#REF!</definedName>
    <definedName name="V_KEYWORD_ISSR_208002861_IND_SALES_GER" localSheetId="12">#REF!</definedName>
    <definedName name="V_KEYWORD_ISSR_208002861_IND_SALES_GER" localSheetId="23">#REF!</definedName>
    <definedName name="V_KEYWORD_ISSR_208002861_IND_SALES_GER" localSheetId="19">#REF!</definedName>
    <definedName name="V_KEYWORD_ISSR_208002861_IND_SALES_GER" localSheetId="21">#REF!</definedName>
    <definedName name="V_KEYWORD_ISSR_208002861_IND_SALES_GER">#REF!</definedName>
    <definedName name="V_KEYWORD_ISSR_208002861_IND_SALES_GOV" localSheetId="24">#REF!</definedName>
    <definedName name="V_KEYWORD_ISSR_208002861_IND_SALES_GOV" localSheetId="18">#REF!</definedName>
    <definedName name="V_KEYWORD_ISSR_208002861_IND_SALES_GOV" localSheetId="12">#REF!</definedName>
    <definedName name="V_KEYWORD_ISSR_208002861_IND_SALES_GOV" localSheetId="23">#REF!</definedName>
    <definedName name="V_KEYWORD_ISSR_208002861_IND_SALES_GOV" localSheetId="19">#REF!</definedName>
    <definedName name="V_KEYWORD_ISSR_208002861_IND_SALES_GOV" localSheetId="21">#REF!</definedName>
    <definedName name="V_KEYWORD_ISSR_208002861_IND_SALES_GOV">#REF!</definedName>
    <definedName name="V_KEYWORD_ISSR_208002861_IND_SALES_IND" localSheetId="24">#REF!</definedName>
    <definedName name="V_KEYWORD_ISSR_208002861_IND_SALES_IND" localSheetId="18">#REF!</definedName>
    <definedName name="V_KEYWORD_ISSR_208002861_IND_SALES_IND" localSheetId="12">#REF!</definedName>
    <definedName name="V_KEYWORD_ISSR_208002861_IND_SALES_IND" localSheetId="23">#REF!</definedName>
    <definedName name="V_KEYWORD_ISSR_208002861_IND_SALES_IND" localSheetId="19">#REF!</definedName>
    <definedName name="V_KEYWORD_ISSR_208002861_IND_SALES_IND" localSheetId="21">#REF!</definedName>
    <definedName name="V_KEYWORD_ISSR_208002861_IND_SALES_IND">#REF!</definedName>
    <definedName name="V_KEYWORD_ISSR_208002861_IND_SALES_INDIA" localSheetId="24">#REF!</definedName>
    <definedName name="V_KEYWORD_ISSR_208002861_IND_SALES_INDIA" localSheetId="18">#REF!</definedName>
    <definedName name="V_KEYWORD_ISSR_208002861_IND_SALES_INDIA" localSheetId="12">#REF!</definedName>
    <definedName name="V_KEYWORD_ISSR_208002861_IND_SALES_INDIA" localSheetId="23">#REF!</definedName>
    <definedName name="V_KEYWORD_ISSR_208002861_IND_SALES_INDIA" localSheetId="19">#REF!</definedName>
    <definedName name="V_KEYWORD_ISSR_208002861_IND_SALES_INDIA" localSheetId="21">#REF!</definedName>
    <definedName name="V_KEYWORD_ISSR_208002861_IND_SALES_INDIA">#REF!</definedName>
    <definedName name="V_KEYWORD_ISSR_208002861_IND_SALES_ITA" localSheetId="24">#REF!</definedName>
    <definedName name="V_KEYWORD_ISSR_208002861_IND_SALES_ITA" localSheetId="18">#REF!</definedName>
    <definedName name="V_KEYWORD_ISSR_208002861_IND_SALES_ITA" localSheetId="12">#REF!</definedName>
    <definedName name="V_KEYWORD_ISSR_208002861_IND_SALES_ITA" localSheetId="23">#REF!</definedName>
    <definedName name="V_KEYWORD_ISSR_208002861_IND_SALES_ITA" localSheetId="19">#REF!</definedName>
    <definedName name="V_KEYWORD_ISSR_208002861_IND_SALES_ITA" localSheetId="21">#REF!</definedName>
    <definedName name="V_KEYWORD_ISSR_208002861_IND_SALES_ITA">#REF!</definedName>
    <definedName name="V_KEYWORD_ISSR_208002861_IND_SALES_JAPAN" localSheetId="24">#REF!</definedName>
    <definedName name="V_KEYWORD_ISSR_208002861_IND_SALES_JAPAN" localSheetId="18">#REF!</definedName>
    <definedName name="V_KEYWORD_ISSR_208002861_IND_SALES_JAPAN" localSheetId="12">#REF!</definedName>
    <definedName name="V_KEYWORD_ISSR_208002861_IND_SALES_JAPAN" localSheetId="23">#REF!</definedName>
    <definedName name="V_KEYWORD_ISSR_208002861_IND_SALES_JAPAN" localSheetId="19">#REF!</definedName>
    <definedName name="V_KEYWORD_ISSR_208002861_IND_SALES_JAPAN" localSheetId="21">#REF!</definedName>
    <definedName name="V_KEYWORD_ISSR_208002861_IND_SALES_JAPAN">#REF!</definedName>
    <definedName name="V_KEYWORD_ISSR_208002861_IND_SALES_ME" localSheetId="24">#REF!</definedName>
    <definedName name="V_KEYWORD_ISSR_208002861_IND_SALES_ME" localSheetId="18">#REF!</definedName>
    <definedName name="V_KEYWORD_ISSR_208002861_IND_SALES_ME" localSheetId="12">#REF!</definedName>
    <definedName name="V_KEYWORD_ISSR_208002861_IND_SALES_ME" localSheetId="23">#REF!</definedName>
    <definedName name="V_KEYWORD_ISSR_208002861_IND_SALES_ME" localSheetId="19">#REF!</definedName>
    <definedName name="V_KEYWORD_ISSR_208002861_IND_SALES_ME" localSheetId="21">#REF!</definedName>
    <definedName name="V_KEYWORD_ISSR_208002861_IND_SALES_ME">#REF!</definedName>
    <definedName name="V_KEYWORD_ISSR_208002861_IND_SALES_NIGERIA" localSheetId="24">#REF!</definedName>
    <definedName name="V_KEYWORD_ISSR_208002861_IND_SALES_NIGERIA" localSheetId="18">#REF!</definedName>
    <definedName name="V_KEYWORD_ISSR_208002861_IND_SALES_NIGERIA" localSheetId="12">#REF!</definedName>
    <definedName name="V_KEYWORD_ISSR_208002861_IND_SALES_NIGERIA" localSheetId="23">#REF!</definedName>
    <definedName name="V_KEYWORD_ISSR_208002861_IND_SALES_NIGERIA" localSheetId="19">#REF!</definedName>
    <definedName name="V_KEYWORD_ISSR_208002861_IND_SALES_NIGERIA" localSheetId="21">#REF!</definedName>
    <definedName name="V_KEYWORD_ISSR_208002861_IND_SALES_NIGERIA">#REF!</definedName>
    <definedName name="V_KEYWORD_ISSR_208002861_IND_SALES_OTH_AEJ" localSheetId="24">#REF!</definedName>
    <definedName name="V_KEYWORD_ISSR_208002861_IND_SALES_OTH_AEJ" localSheetId="18">#REF!</definedName>
    <definedName name="V_KEYWORD_ISSR_208002861_IND_SALES_OTH_AEJ" localSheetId="12">#REF!</definedName>
    <definedName name="V_KEYWORD_ISSR_208002861_IND_SALES_OTH_AEJ" localSheetId="23">#REF!</definedName>
    <definedName name="V_KEYWORD_ISSR_208002861_IND_SALES_OTH_AEJ" localSheetId="19">#REF!</definedName>
    <definedName name="V_KEYWORD_ISSR_208002861_IND_SALES_OTH_AEJ" localSheetId="21">#REF!</definedName>
    <definedName name="V_KEYWORD_ISSR_208002861_IND_SALES_OTH_AEJ">#REF!</definedName>
    <definedName name="V_KEYWORD_ISSR_208002861_IND_SALES_OTH_AFRICA" localSheetId="24">#REF!</definedName>
    <definedName name="V_KEYWORD_ISSR_208002861_IND_SALES_OTH_AFRICA" localSheetId="18">#REF!</definedName>
    <definedName name="V_KEYWORD_ISSR_208002861_IND_SALES_OTH_AFRICA" localSheetId="12">#REF!</definedName>
    <definedName name="V_KEYWORD_ISSR_208002861_IND_SALES_OTH_AFRICA" localSheetId="23">#REF!</definedName>
    <definedName name="V_KEYWORD_ISSR_208002861_IND_SALES_OTH_AFRICA" localSheetId="19">#REF!</definedName>
    <definedName name="V_KEYWORD_ISSR_208002861_IND_SALES_OTH_AFRICA" localSheetId="21">#REF!</definedName>
    <definedName name="V_KEYWORD_ISSR_208002861_IND_SALES_OTH_AFRICA">#REF!</definedName>
    <definedName name="V_KEYWORD_ISSR_208002861_IND_SALES_OTH_AM" localSheetId="24">#REF!</definedName>
    <definedName name="V_KEYWORD_ISSR_208002861_IND_SALES_OTH_AM" localSheetId="18">#REF!</definedName>
    <definedName name="V_KEYWORD_ISSR_208002861_IND_SALES_OTH_AM" localSheetId="12">#REF!</definedName>
    <definedName name="V_KEYWORD_ISSR_208002861_IND_SALES_OTH_AM" localSheetId="23">#REF!</definedName>
    <definedName name="V_KEYWORD_ISSR_208002861_IND_SALES_OTH_AM" localSheetId="19">#REF!</definedName>
    <definedName name="V_KEYWORD_ISSR_208002861_IND_SALES_OTH_AM" localSheetId="21">#REF!</definedName>
    <definedName name="V_KEYWORD_ISSR_208002861_IND_SALES_OTH_AM">#REF!</definedName>
    <definedName name="V_KEYWORD_ISSR_208002861_IND_SALES_OTH_EMEA" localSheetId="24">#REF!</definedName>
    <definedName name="V_KEYWORD_ISSR_208002861_IND_SALES_OTH_EMEA" localSheetId="18">#REF!</definedName>
    <definedName name="V_KEYWORD_ISSR_208002861_IND_SALES_OTH_EMEA" localSheetId="12">#REF!</definedName>
    <definedName name="V_KEYWORD_ISSR_208002861_IND_SALES_OTH_EMEA" localSheetId="23">#REF!</definedName>
    <definedName name="V_KEYWORD_ISSR_208002861_IND_SALES_OTH_EMEA" localSheetId="19">#REF!</definedName>
    <definedName name="V_KEYWORD_ISSR_208002861_IND_SALES_OTH_EMEA" localSheetId="21">#REF!</definedName>
    <definedName name="V_KEYWORD_ISSR_208002861_IND_SALES_OTH_EMEA">#REF!</definedName>
    <definedName name="V_KEYWORD_ISSR_208002861_IND_SALES_OTH_EU_EX_UK" localSheetId="24">#REF!</definedName>
    <definedName name="V_KEYWORD_ISSR_208002861_IND_SALES_OTH_EU_EX_UK" localSheetId="18">#REF!</definedName>
    <definedName name="V_KEYWORD_ISSR_208002861_IND_SALES_OTH_EU_EX_UK" localSheetId="12">#REF!</definedName>
    <definedName name="V_KEYWORD_ISSR_208002861_IND_SALES_OTH_EU_EX_UK" localSheetId="23">#REF!</definedName>
    <definedName name="V_KEYWORD_ISSR_208002861_IND_SALES_OTH_EU_EX_UK" localSheetId="19">#REF!</definedName>
    <definedName name="V_KEYWORD_ISSR_208002861_IND_SALES_OTH_EU_EX_UK" localSheetId="21">#REF!</definedName>
    <definedName name="V_KEYWORD_ISSR_208002861_IND_SALES_OTH_EU_EX_UK">#REF!</definedName>
    <definedName name="V_KEYWORD_ISSR_208002861_IND_SALES_OTHER" localSheetId="24">#REF!</definedName>
    <definedName name="V_KEYWORD_ISSR_208002861_IND_SALES_OTHER" localSheetId="18">#REF!</definedName>
    <definedName name="V_KEYWORD_ISSR_208002861_IND_SALES_OTHER" localSheetId="12">#REF!</definedName>
    <definedName name="V_KEYWORD_ISSR_208002861_IND_SALES_OTHER" localSheetId="23">#REF!</definedName>
    <definedName name="V_KEYWORD_ISSR_208002861_IND_SALES_OTHER" localSheetId="19">#REF!</definedName>
    <definedName name="V_KEYWORD_ISSR_208002861_IND_SALES_OTHER" localSheetId="21">#REF!</definedName>
    <definedName name="V_KEYWORD_ISSR_208002861_IND_SALES_OTHER">#REF!</definedName>
    <definedName name="V_KEYWORD_ISSR_208002861_IND_SALES_RUSSIA" localSheetId="24">#REF!</definedName>
    <definedName name="V_KEYWORD_ISSR_208002861_IND_SALES_RUSSIA" localSheetId="18">#REF!</definedName>
    <definedName name="V_KEYWORD_ISSR_208002861_IND_SALES_RUSSIA" localSheetId="12">#REF!</definedName>
    <definedName name="V_KEYWORD_ISSR_208002861_IND_SALES_RUSSIA" localSheetId="23">#REF!</definedName>
    <definedName name="V_KEYWORD_ISSR_208002861_IND_SALES_RUSSIA" localSheetId="19">#REF!</definedName>
    <definedName name="V_KEYWORD_ISSR_208002861_IND_SALES_RUSSIA" localSheetId="21">#REF!</definedName>
    <definedName name="V_KEYWORD_ISSR_208002861_IND_SALES_RUSSIA">#REF!</definedName>
    <definedName name="V_KEYWORD_ISSR_208002861_IND_SALES_SO_AFRICA" localSheetId="24">#REF!</definedName>
    <definedName name="V_KEYWORD_ISSR_208002861_IND_SALES_SO_AFRICA" localSheetId="18">#REF!</definedName>
    <definedName name="V_KEYWORD_ISSR_208002861_IND_SALES_SO_AFRICA" localSheetId="12">#REF!</definedName>
    <definedName name="V_KEYWORD_ISSR_208002861_IND_SALES_SO_AFRICA" localSheetId="23">#REF!</definedName>
    <definedName name="V_KEYWORD_ISSR_208002861_IND_SALES_SO_AFRICA" localSheetId="19">#REF!</definedName>
    <definedName name="V_KEYWORD_ISSR_208002861_IND_SALES_SO_AFRICA" localSheetId="21">#REF!</definedName>
    <definedName name="V_KEYWORD_ISSR_208002861_IND_SALES_SO_AFRICA">#REF!</definedName>
    <definedName name="V_KEYWORD_ISSR_208002861_IND_SALES_SPA" localSheetId="24">#REF!</definedName>
    <definedName name="V_KEYWORD_ISSR_208002861_IND_SALES_SPA" localSheetId="18">#REF!</definedName>
    <definedName name="V_KEYWORD_ISSR_208002861_IND_SALES_SPA" localSheetId="12">#REF!</definedName>
    <definedName name="V_KEYWORD_ISSR_208002861_IND_SALES_SPA" localSheetId="23">#REF!</definedName>
    <definedName name="V_KEYWORD_ISSR_208002861_IND_SALES_SPA" localSheetId="19">#REF!</definedName>
    <definedName name="V_KEYWORD_ISSR_208002861_IND_SALES_SPA" localSheetId="21">#REF!</definedName>
    <definedName name="V_KEYWORD_ISSR_208002861_IND_SALES_SPA">#REF!</definedName>
    <definedName name="V_KEYWORD_ISSR_208002861_IND_SALES_TOT_AFRICA" localSheetId="24">#REF!</definedName>
    <definedName name="V_KEYWORD_ISSR_208002861_IND_SALES_TOT_AFRICA" localSheetId="18">#REF!</definedName>
    <definedName name="V_KEYWORD_ISSR_208002861_IND_SALES_TOT_AFRICA" localSheetId="12">#REF!</definedName>
    <definedName name="V_KEYWORD_ISSR_208002861_IND_SALES_TOT_AFRICA" localSheetId="23">#REF!</definedName>
    <definedName name="V_KEYWORD_ISSR_208002861_IND_SALES_TOT_AFRICA" localSheetId="19">#REF!</definedName>
    <definedName name="V_KEYWORD_ISSR_208002861_IND_SALES_TOT_AFRICA" localSheetId="21">#REF!</definedName>
    <definedName name="V_KEYWORD_ISSR_208002861_IND_SALES_TOT_AFRICA">#REF!</definedName>
    <definedName name="V_KEYWORD_ISSR_208002861_IND_SALES_TOT_AM" localSheetId="24">#REF!</definedName>
    <definedName name="V_KEYWORD_ISSR_208002861_IND_SALES_TOT_AM" localSheetId="18">#REF!</definedName>
    <definedName name="V_KEYWORD_ISSR_208002861_IND_SALES_TOT_AM" localSheetId="12">#REF!</definedName>
    <definedName name="V_KEYWORD_ISSR_208002861_IND_SALES_TOT_AM" localSheetId="23">#REF!</definedName>
    <definedName name="V_KEYWORD_ISSR_208002861_IND_SALES_TOT_AM" localSheetId="19">#REF!</definedName>
    <definedName name="V_KEYWORD_ISSR_208002861_IND_SALES_TOT_AM" localSheetId="21">#REF!</definedName>
    <definedName name="V_KEYWORD_ISSR_208002861_IND_SALES_TOT_AM">#REF!</definedName>
    <definedName name="V_KEYWORD_ISSR_208002861_IND_SALES_TOT_ASIA" localSheetId="24">#REF!</definedName>
    <definedName name="V_KEYWORD_ISSR_208002861_IND_SALES_TOT_ASIA" localSheetId="18">#REF!</definedName>
    <definedName name="V_KEYWORD_ISSR_208002861_IND_SALES_TOT_ASIA" localSheetId="12">#REF!</definedName>
    <definedName name="V_KEYWORD_ISSR_208002861_IND_SALES_TOT_ASIA" localSheetId="23">#REF!</definedName>
    <definedName name="V_KEYWORD_ISSR_208002861_IND_SALES_TOT_ASIA" localSheetId="19">#REF!</definedName>
    <definedName name="V_KEYWORD_ISSR_208002861_IND_SALES_TOT_ASIA" localSheetId="21">#REF!</definedName>
    <definedName name="V_KEYWORD_ISSR_208002861_IND_SALES_TOT_ASIA">#REF!</definedName>
    <definedName name="V_KEYWORD_ISSR_208002861_IND_SALES_TOT_EMEA" localSheetId="24">#REF!</definedName>
    <definedName name="V_KEYWORD_ISSR_208002861_IND_SALES_TOT_EMEA" localSheetId="18">#REF!</definedName>
    <definedName name="V_KEYWORD_ISSR_208002861_IND_SALES_TOT_EMEA" localSheetId="12">#REF!</definedName>
    <definedName name="V_KEYWORD_ISSR_208002861_IND_SALES_TOT_EMEA" localSheetId="23">#REF!</definedName>
    <definedName name="V_KEYWORD_ISSR_208002861_IND_SALES_TOT_EMEA" localSheetId="19">#REF!</definedName>
    <definedName name="V_KEYWORD_ISSR_208002861_IND_SALES_TOT_EMEA" localSheetId="21">#REF!</definedName>
    <definedName name="V_KEYWORD_ISSR_208002861_IND_SALES_TOT_EMEA">#REF!</definedName>
    <definedName name="V_KEYWORD_ISSR_208002861_IND_SALES_UK" localSheetId="24">#REF!</definedName>
    <definedName name="V_KEYWORD_ISSR_208002861_IND_SALES_UK" localSheetId="18">#REF!</definedName>
    <definedName name="V_KEYWORD_ISSR_208002861_IND_SALES_UK" localSheetId="12">#REF!</definedName>
    <definedName name="V_KEYWORD_ISSR_208002861_IND_SALES_UK" localSheetId="23">#REF!</definedName>
    <definedName name="V_KEYWORD_ISSR_208002861_IND_SALES_UK" localSheetId="19">#REF!</definedName>
    <definedName name="V_KEYWORD_ISSR_208002861_IND_SALES_UK" localSheetId="21">#REF!</definedName>
    <definedName name="V_KEYWORD_ISSR_208002861_IND_SALES_UK">#REF!</definedName>
    <definedName name="V_KEYWORD_ISSR_208002861_IND_SALES_US" localSheetId="24">#REF!</definedName>
    <definedName name="V_KEYWORD_ISSR_208002861_IND_SALES_US" localSheetId="18">#REF!</definedName>
    <definedName name="V_KEYWORD_ISSR_208002861_IND_SALES_US" localSheetId="12">#REF!</definedName>
    <definedName name="V_KEYWORD_ISSR_208002861_IND_SALES_US" localSheetId="23">#REF!</definedName>
    <definedName name="V_KEYWORD_ISSR_208002861_IND_SALES_US" localSheetId="19">#REF!</definedName>
    <definedName name="V_KEYWORD_ISSR_208002861_IND_SALES_US" localSheetId="21">#REF!</definedName>
    <definedName name="V_KEYWORD_ISSR_208002861_IND_SALES_US">#REF!</definedName>
    <definedName name="V_KEYWORD_ISSR_208002861_INT_EXP_IND" localSheetId="24">#REF!</definedName>
    <definedName name="V_KEYWORD_ISSR_208002861_INT_EXP_IND" localSheetId="18">#REF!</definedName>
    <definedName name="V_KEYWORD_ISSR_208002861_INT_EXP_IND" localSheetId="12">#REF!</definedName>
    <definedName name="V_KEYWORD_ISSR_208002861_INT_EXP_IND" localSheetId="23">#REF!</definedName>
    <definedName name="V_KEYWORD_ISSR_208002861_INT_EXP_IND" localSheetId="19">#REF!</definedName>
    <definedName name="V_KEYWORD_ISSR_208002861_INT_EXP_IND" localSheetId="21">#REF!</definedName>
    <definedName name="V_KEYWORD_ISSR_208002861_INT_EXP_IND">#REF!</definedName>
    <definedName name="V_KEYWORD_ISSR_208002861_INT_INC_IND" localSheetId="24">#REF!</definedName>
    <definedName name="V_KEYWORD_ISSR_208002861_INT_INC_IND" localSheetId="18">#REF!</definedName>
    <definedName name="V_KEYWORD_ISSR_208002861_INT_INC_IND" localSheetId="12">#REF!</definedName>
    <definedName name="V_KEYWORD_ISSR_208002861_INT_INC_IND" localSheetId="23">#REF!</definedName>
    <definedName name="V_KEYWORD_ISSR_208002861_INT_INC_IND" localSheetId="19">#REF!</definedName>
    <definedName name="V_KEYWORD_ISSR_208002861_INT_INC_IND" localSheetId="21">#REF!</definedName>
    <definedName name="V_KEYWORD_ISSR_208002861_INT_INC_IND">#REF!</definedName>
    <definedName name="V_KEYWORD_ISSR_208002861_INV_SECUR" localSheetId="24">#REF!</definedName>
    <definedName name="V_KEYWORD_ISSR_208002861_INV_SECUR" localSheetId="18">#REF!</definedName>
    <definedName name="V_KEYWORD_ISSR_208002861_INV_SECUR" localSheetId="12">#REF!</definedName>
    <definedName name="V_KEYWORD_ISSR_208002861_INV_SECUR" localSheetId="23">#REF!</definedName>
    <definedName name="V_KEYWORD_ISSR_208002861_INV_SECUR" localSheetId="19">#REF!</definedName>
    <definedName name="V_KEYWORD_ISSR_208002861_INV_SECUR" localSheetId="21">#REF!</definedName>
    <definedName name="V_KEYWORD_ISSR_208002861_INV_SECUR">#REF!</definedName>
    <definedName name="V_KEYWORD_ISSR_208002861_Issuer_Name" localSheetId="24">#REF!</definedName>
    <definedName name="V_KEYWORD_ISSR_208002861_Issuer_Name" localSheetId="18">#REF!</definedName>
    <definedName name="V_KEYWORD_ISSR_208002861_Issuer_Name" localSheetId="12">#REF!</definedName>
    <definedName name="V_KEYWORD_ISSR_208002861_Issuer_Name" localSheetId="23">#REF!</definedName>
    <definedName name="V_KEYWORD_ISSR_208002861_Issuer_Name" localSheetId="19">#REF!</definedName>
    <definedName name="V_KEYWORD_ISSR_208002861_Issuer_Name" localSheetId="21">#REF!</definedName>
    <definedName name="V_KEYWORD_ISSR_208002861_Issuer_Name">#REF!</definedName>
    <definedName name="V_KEYWORD_ISSR_208002861_LEASE_DEEM_DEPR" localSheetId="24">#REF!</definedName>
    <definedName name="V_KEYWORD_ISSR_208002861_LEASE_DEEM_DEPR" localSheetId="18">#REF!</definedName>
    <definedName name="V_KEYWORD_ISSR_208002861_LEASE_DEEM_DEPR" localSheetId="12">#REF!</definedName>
    <definedName name="V_KEYWORD_ISSR_208002861_LEASE_DEEM_DEPR" localSheetId="23">#REF!</definedName>
    <definedName name="V_KEYWORD_ISSR_208002861_LEASE_DEEM_DEPR" localSheetId="19">#REF!</definedName>
    <definedName name="V_KEYWORD_ISSR_208002861_LEASE_DEEM_DEPR" localSheetId="21">#REF!</definedName>
    <definedName name="V_KEYWORD_ISSR_208002861_LEASE_DEEM_DEPR">#REF!</definedName>
    <definedName name="V_KEYWORD_ISSR_208002861_LEASE_DEEM_INT" localSheetId="24">#REF!</definedName>
    <definedName name="V_KEYWORD_ISSR_208002861_LEASE_DEEM_INT" localSheetId="18">#REF!</definedName>
    <definedName name="V_KEYWORD_ISSR_208002861_LEASE_DEEM_INT" localSheetId="12">#REF!</definedName>
    <definedName name="V_KEYWORD_ISSR_208002861_LEASE_DEEM_INT" localSheetId="23">#REF!</definedName>
    <definedName name="V_KEYWORD_ISSR_208002861_LEASE_DEEM_INT" localSheetId="19">#REF!</definedName>
    <definedName name="V_KEYWORD_ISSR_208002861_LEASE_DEEM_INT" localSheetId="21">#REF!</definedName>
    <definedName name="V_KEYWORD_ISSR_208002861_LEASE_DEEM_INT">#REF!</definedName>
    <definedName name="V_KEYWORD_ISSR_208002861_LEASE_PAY" localSheetId="24">#REF!</definedName>
    <definedName name="V_KEYWORD_ISSR_208002861_LEASE_PAY" localSheetId="18">#REF!</definedName>
    <definedName name="V_KEYWORD_ISSR_208002861_LEASE_PAY" localSheetId="12">#REF!</definedName>
    <definedName name="V_KEYWORD_ISSR_208002861_LEASE_PAY" localSheetId="23">#REF!</definedName>
    <definedName name="V_KEYWORD_ISSR_208002861_LEASE_PAY" localSheetId="19">#REF!</definedName>
    <definedName name="V_KEYWORD_ISSR_208002861_LEASE_PAY" localSheetId="21">#REF!</definedName>
    <definedName name="V_KEYWORD_ISSR_208002861_LEASE_PAY">#REF!</definedName>
    <definedName name="V_KEYWORD_ISSR_208002861_LT_DEBT" localSheetId="24">#REF!</definedName>
    <definedName name="V_KEYWORD_ISSR_208002861_LT_DEBT" localSheetId="18">#REF!</definedName>
    <definedName name="V_KEYWORD_ISSR_208002861_LT_DEBT" localSheetId="12">#REF!</definedName>
    <definedName name="V_KEYWORD_ISSR_208002861_LT_DEBT" localSheetId="23">#REF!</definedName>
    <definedName name="V_KEYWORD_ISSR_208002861_LT_DEBT" localSheetId="19">#REF!</definedName>
    <definedName name="V_KEYWORD_ISSR_208002861_LT_DEBT" localSheetId="21">#REF!</definedName>
    <definedName name="V_KEYWORD_ISSR_208002861_LT_DEBT">#REF!</definedName>
    <definedName name="V_KEYWORD_ISSR_208002861_MINORITIES" localSheetId="24">#REF!</definedName>
    <definedName name="V_KEYWORD_ISSR_208002861_MINORITIES" localSheetId="18">#REF!</definedName>
    <definedName name="V_KEYWORD_ISSR_208002861_MINORITIES" localSheetId="12">#REF!</definedName>
    <definedName name="V_KEYWORD_ISSR_208002861_MINORITIES" localSheetId="23">#REF!</definedName>
    <definedName name="V_KEYWORD_ISSR_208002861_MINORITIES" localSheetId="19">#REF!</definedName>
    <definedName name="V_KEYWORD_ISSR_208002861_MINORITIES" localSheetId="21">#REF!</definedName>
    <definedName name="V_KEYWORD_ISSR_208002861_MINORITIES">#REF!</definedName>
    <definedName name="V_KEYWORD_ISSR_208002861_MV_ASSOCIATES" localSheetId="24">#REF!</definedName>
    <definedName name="V_KEYWORD_ISSR_208002861_MV_ASSOCIATES" localSheetId="18">#REF!</definedName>
    <definedName name="V_KEYWORD_ISSR_208002861_MV_ASSOCIATES" localSheetId="12">#REF!</definedName>
    <definedName name="V_KEYWORD_ISSR_208002861_MV_ASSOCIATES" localSheetId="23">#REF!</definedName>
    <definedName name="V_KEYWORD_ISSR_208002861_MV_ASSOCIATES" localSheetId="19">#REF!</definedName>
    <definedName name="V_KEYWORD_ISSR_208002861_MV_ASSOCIATES" localSheetId="21">#REF!</definedName>
    <definedName name="V_KEYWORD_ISSR_208002861_MV_ASSOCIATES">#REF!</definedName>
    <definedName name="V_KEYWORD_ISSR_208002861_NET_DEBT" localSheetId="24">#REF!</definedName>
    <definedName name="V_KEYWORD_ISSR_208002861_NET_DEBT" localSheetId="18">#REF!</definedName>
    <definedName name="V_KEYWORD_ISSR_208002861_NET_DEBT" localSheetId="12">#REF!</definedName>
    <definedName name="V_KEYWORD_ISSR_208002861_NET_DEBT" localSheetId="23">#REF!</definedName>
    <definedName name="V_KEYWORD_ISSR_208002861_NET_DEBT" localSheetId="19">#REF!</definedName>
    <definedName name="V_KEYWORD_ISSR_208002861_NET_DEBT" localSheetId="21">#REF!</definedName>
    <definedName name="V_KEYWORD_ISSR_208002861_NET_DEBT">#REF!</definedName>
    <definedName name="V_KEYWORD_ISSR_208002861_NET_DEBT_ADJ" localSheetId="24">#REF!</definedName>
    <definedName name="V_KEYWORD_ISSR_208002861_NET_DEBT_ADJ" localSheetId="18">#REF!</definedName>
    <definedName name="V_KEYWORD_ISSR_208002861_NET_DEBT_ADJ" localSheetId="12">#REF!</definedName>
    <definedName name="V_KEYWORD_ISSR_208002861_NET_DEBT_ADJ" localSheetId="23">#REF!</definedName>
    <definedName name="V_KEYWORD_ISSR_208002861_NET_DEBT_ADJ" localSheetId="19">#REF!</definedName>
    <definedName name="V_KEYWORD_ISSR_208002861_NET_DEBT_ADJ" localSheetId="21">#REF!</definedName>
    <definedName name="V_KEYWORD_ISSR_208002861_NET_DEBT_ADJ">#REF!</definedName>
    <definedName name="V_KEYWORD_ISSR_208002861_NET_FIX_ASS" localSheetId="24">#REF!</definedName>
    <definedName name="V_KEYWORD_ISSR_208002861_NET_FIX_ASS" localSheetId="18">#REF!</definedName>
    <definedName name="V_KEYWORD_ISSR_208002861_NET_FIX_ASS" localSheetId="12">#REF!</definedName>
    <definedName name="V_KEYWORD_ISSR_208002861_NET_FIX_ASS" localSheetId="23">#REF!</definedName>
    <definedName name="V_KEYWORD_ISSR_208002861_NET_FIX_ASS" localSheetId="19">#REF!</definedName>
    <definedName name="V_KEYWORD_ISSR_208002861_NET_FIX_ASS" localSheetId="21">#REF!</definedName>
    <definedName name="V_KEYWORD_ISSR_208002861_NET_FIX_ASS">#REF!</definedName>
    <definedName name="V_KEYWORD_ISSR_208002861_NET_INT_CH" localSheetId="24">#REF!</definedName>
    <definedName name="V_KEYWORD_ISSR_208002861_NET_INT_CH" localSheetId="18">#REF!</definedName>
    <definedName name="V_KEYWORD_ISSR_208002861_NET_INT_CH" localSheetId="12">#REF!</definedName>
    <definedName name="V_KEYWORD_ISSR_208002861_NET_INT_CH" localSheetId="23">#REF!</definedName>
    <definedName name="V_KEYWORD_ISSR_208002861_NET_INT_CH" localSheetId="19">#REF!</definedName>
    <definedName name="V_KEYWORD_ISSR_208002861_NET_INT_CH" localSheetId="21">#REF!</definedName>
    <definedName name="V_KEYWORD_ISSR_208002861_NET_INT_CH">#REF!</definedName>
    <definedName name="V_KEYWORD_ISSR_208002861_NET_INT_EXP" localSheetId="24">#REF!</definedName>
    <definedName name="V_KEYWORD_ISSR_208002861_NET_INT_EXP" localSheetId="18">#REF!</definedName>
    <definedName name="V_KEYWORD_ISSR_208002861_NET_INT_EXP" localSheetId="12">#REF!</definedName>
    <definedName name="V_KEYWORD_ISSR_208002861_NET_INT_EXP" localSheetId="23">#REF!</definedName>
    <definedName name="V_KEYWORD_ISSR_208002861_NET_INT_EXP" localSheetId="19">#REF!</definedName>
    <definedName name="V_KEYWORD_ISSR_208002861_NET_INT_EXP" localSheetId="21">#REF!</definedName>
    <definedName name="V_KEYWORD_ISSR_208002861_NET_INT_EXP">#REF!</definedName>
    <definedName name="V_KEYWORD_ISSR_208002861_NET_INTANG" localSheetId="24">#REF!</definedName>
    <definedName name="V_KEYWORD_ISSR_208002861_NET_INTANG" localSheetId="18">#REF!</definedName>
    <definedName name="V_KEYWORD_ISSR_208002861_NET_INTANG" localSheetId="12">#REF!</definedName>
    <definedName name="V_KEYWORD_ISSR_208002861_NET_INTANG" localSheetId="23">#REF!</definedName>
    <definedName name="V_KEYWORD_ISSR_208002861_NET_INTANG" localSheetId="19">#REF!</definedName>
    <definedName name="V_KEYWORD_ISSR_208002861_NET_INTANG" localSheetId="21">#REF!</definedName>
    <definedName name="V_KEYWORD_ISSR_208002861_NET_INTANG">#REF!</definedName>
    <definedName name="V_KEYWORD_ISSR_208002861_NONPPE_CAPEX" localSheetId="24">#REF!</definedName>
    <definedName name="V_KEYWORD_ISSR_208002861_NONPPE_CAPEX" localSheetId="18">#REF!</definedName>
    <definedName name="V_KEYWORD_ISSR_208002861_NONPPE_CAPEX" localSheetId="12">#REF!</definedName>
    <definedName name="V_KEYWORD_ISSR_208002861_NONPPE_CAPEX" localSheetId="23">#REF!</definedName>
    <definedName name="V_KEYWORD_ISSR_208002861_NONPPE_CAPEX" localSheetId="19">#REF!</definedName>
    <definedName name="V_KEYWORD_ISSR_208002861_NONPPE_CAPEX" localSheetId="21">#REF!</definedName>
    <definedName name="V_KEYWORD_ISSR_208002861_NONPPE_CAPEX">#REF!</definedName>
    <definedName name="V_KEYWORD_ISSR_208002861_OP_COST" localSheetId="24">#REF!</definedName>
    <definedName name="V_KEYWORD_ISSR_208002861_OP_COST" localSheetId="18">#REF!</definedName>
    <definedName name="V_KEYWORD_ISSR_208002861_OP_COST" localSheetId="12">#REF!</definedName>
    <definedName name="V_KEYWORD_ISSR_208002861_OP_COST" localSheetId="23">#REF!</definedName>
    <definedName name="V_KEYWORD_ISSR_208002861_OP_COST" localSheetId="19">#REF!</definedName>
    <definedName name="V_KEYWORD_ISSR_208002861_OP_COST" localSheetId="21">#REF!</definedName>
    <definedName name="V_KEYWORD_ISSR_208002861_OP_COST">#REF!</definedName>
    <definedName name="V_KEYWORD_ISSR_208002861_ORD_SH_FUND" localSheetId="24">#REF!</definedName>
    <definedName name="V_KEYWORD_ISSR_208002861_ORD_SH_FUND" localSheetId="18">#REF!</definedName>
    <definedName name="V_KEYWORD_ISSR_208002861_ORD_SH_FUND" localSheetId="12">#REF!</definedName>
    <definedName name="V_KEYWORD_ISSR_208002861_ORD_SH_FUND" localSheetId="23">#REF!</definedName>
    <definedName name="V_KEYWORD_ISSR_208002861_ORD_SH_FUND" localSheetId="19">#REF!</definedName>
    <definedName name="V_KEYWORD_ISSR_208002861_ORD_SH_FUND" localSheetId="21">#REF!</definedName>
    <definedName name="V_KEYWORD_ISSR_208002861_ORD_SH_FUND">#REF!</definedName>
    <definedName name="V_KEYWORD_ISSR_208002861_ORG_REV" localSheetId="24">#REF!</definedName>
    <definedName name="V_KEYWORD_ISSR_208002861_ORG_REV" localSheetId="18">#REF!</definedName>
    <definedName name="V_KEYWORD_ISSR_208002861_ORG_REV" localSheetId="12">#REF!</definedName>
    <definedName name="V_KEYWORD_ISSR_208002861_ORG_REV" localSheetId="23">#REF!</definedName>
    <definedName name="V_KEYWORD_ISSR_208002861_ORG_REV" localSheetId="19">#REF!</definedName>
    <definedName name="V_KEYWORD_ISSR_208002861_ORG_REV" localSheetId="21">#REF!</definedName>
    <definedName name="V_KEYWORD_ISSR_208002861_ORG_REV">#REF!</definedName>
    <definedName name="V_KEYWORD_ISSR_208002861_ORG_REV_GRTH" localSheetId="24">#REF!</definedName>
    <definedName name="V_KEYWORD_ISSR_208002861_ORG_REV_GRTH" localSheetId="18">#REF!</definedName>
    <definedName name="V_KEYWORD_ISSR_208002861_ORG_REV_GRTH" localSheetId="12">#REF!</definedName>
    <definedName name="V_KEYWORD_ISSR_208002861_ORG_REV_GRTH" localSheetId="23">#REF!</definedName>
    <definedName name="V_KEYWORD_ISSR_208002861_ORG_REV_GRTH" localSheetId="19">#REF!</definedName>
    <definedName name="V_KEYWORD_ISSR_208002861_ORG_REV_GRTH" localSheetId="21">#REF!</definedName>
    <definedName name="V_KEYWORD_ISSR_208002861_ORG_REV_GRTH">#REF!</definedName>
    <definedName name="V_KEYWORD_ISSR_208002861_OTH_COST_INC" localSheetId="24">#REF!</definedName>
    <definedName name="V_KEYWORD_ISSR_208002861_OTH_COST_INC" localSheetId="18">#REF!</definedName>
    <definedName name="V_KEYWORD_ISSR_208002861_OTH_COST_INC" localSheetId="12">#REF!</definedName>
    <definedName name="V_KEYWORD_ISSR_208002861_OTH_COST_INC" localSheetId="23">#REF!</definedName>
    <definedName name="V_KEYWORD_ISSR_208002861_OTH_COST_INC" localSheetId="19">#REF!</definedName>
    <definedName name="V_KEYWORD_ISSR_208002861_OTH_COST_INC" localSheetId="21">#REF!</definedName>
    <definedName name="V_KEYWORD_ISSR_208002861_OTH_COST_INC">#REF!</definedName>
    <definedName name="V_KEYWORD_ISSR_208002861_OTH_CUR_ASS" localSheetId="24">#REF!</definedName>
    <definedName name="V_KEYWORD_ISSR_208002861_OTH_CUR_ASS" localSheetId="18">#REF!</definedName>
    <definedName name="V_KEYWORD_ISSR_208002861_OTH_CUR_ASS" localSheetId="12">#REF!</definedName>
    <definedName name="V_KEYWORD_ISSR_208002861_OTH_CUR_ASS" localSheetId="23">#REF!</definedName>
    <definedName name="V_KEYWORD_ISSR_208002861_OTH_CUR_ASS" localSheetId="19">#REF!</definedName>
    <definedName name="V_KEYWORD_ISSR_208002861_OTH_CUR_ASS" localSheetId="21">#REF!</definedName>
    <definedName name="V_KEYWORD_ISSR_208002861_OTH_CUR_ASS">#REF!</definedName>
    <definedName name="V_KEYWORD_ISSR_208002861_OTH_CUR_LIABS" localSheetId="24">#REF!</definedName>
    <definedName name="V_KEYWORD_ISSR_208002861_OTH_CUR_LIABS" localSheetId="18">#REF!</definedName>
    <definedName name="V_KEYWORD_ISSR_208002861_OTH_CUR_LIABS" localSheetId="12">#REF!</definedName>
    <definedName name="V_KEYWORD_ISSR_208002861_OTH_CUR_LIABS" localSheetId="23">#REF!</definedName>
    <definedName name="V_KEYWORD_ISSR_208002861_OTH_CUR_LIABS" localSheetId="19">#REF!</definedName>
    <definedName name="V_KEYWORD_ISSR_208002861_OTH_CUR_LIABS" localSheetId="21">#REF!</definedName>
    <definedName name="V_KEYWORD_ISSR_208002861_OTH_CUR_LIABS">#REF!</definedName>
    <definedName name="V_KEYWORD_ISSR_208002861_OTH_DACF_ADJ" localSheetId="24">#REF!</definedName>
    <definedName name="V_KEYWORD_ISSR_208002861_OTH_DACF_ADJ" localSheetId="18">#REF!</definedName>
    <definedName name="V_KEYWORD_ISSR_208002861_OTH_DACF_ADJ" localSheetId="12">#REF!</definedName>
    <definedName name="V_KEYWORD_ISSR_208002861_OTH_DACF_ADJ" localSheetId="23">#REF!</definedName>
    <definedName name="V_KEYWORD_ISSR_208002861_OTH_DACF_ADJ" localSheetId="19">#REF!</definedName>
    <definedName name="V_KEYWORD_ISSR_208002861_OTH_DACF_ADJ" localSheetId="21">#REF!</definedName>
    <definedName name="V_KEYWORD_ISSR_208002861_OTH_DACF_ADJ">#REF!</definedName>
    <definedName name="V_KEYWORD_ISSR_208002861_OTH_FIN_CF" localSheetId="24">#REF!</definedName>
    <definedName name="V_KEYWORD_ISSR_208002861_OTH_FIN_CF" localSheetId="18">#REF!</definedName>
    <definedName name="V_KEYWORD_ISSR_208002861_OTH_FIN_CF" localSheetId="12">#REF!</definedName>
    <definedName name="V_KEYWORD_ISSR_208002861_OTH_FIN_CF" localSheetId="23">#REF!</definedName>
    <definedName name="V_KEYWORD_ISSR_208002861_OTH_FIN_CF" localSheetId="19">#REF!</definedName>
    <definedName name="V_KEYWORD_ISSR_208002861_OTH_FIN_CF" localSheetId="21">#REF!</definedName>
    <definedName name="V_KEYWORD_ISSR_208002861_OTH_FIN_CF">#REF!</definedName>
    <definedName name="V_KEYWORD_ISSR_208002861_OTH_GCI_ADJ" localSheetId="24">#REF!</definedName>
    <definedName name="V_KEYWORD_ISSR_208002861_OTH_GCI_ADJ" localSheetId="18">#REF!</definedName>
    <definedName name="V_KEYWORD_ISSR_208002861_OTH_GCI_ADJ" localSheetId="12">#REF!</definedName>
    <definedName name="V_KEYWORD_ISSR_208002861_OTH_GCI_ADJ" localSheetId="23">#REF!</definedName>
    <definedName name="V_KEYWORD_ISSR_208002861_OTH_GCI_ADJ" localSheetId="19">#REF!</definedName>
    <definedName name="V_KEYWORD_ISSR_208002861_OTH_GCI_ADJ" localSheetId="21">#REF!</definedName>
    <definedName name="V_KEYWORD_ISSR_208002861_OTH_GCI_ADJ">#REF!</definedName>
    <definedName name="V_KEYWORD_ISSR_208002861_OTH_INT_AMORT" localSheetId="24">#REF!</definedName>
    <definedName name="V_KEYWORD_ISSR_208002861_OTH_INT_AMORT" localSheetId="18">#REF!</definedName>
    <definedName name="V_KEYWORD_ISSR_208002861_OTH_INT_AMORT" localSheetId="12">#REF!</definedName>
    <definedName name="V_KEYWORD_ISSR_208002861_OTH_INT_AMORT" localSheetId="23">#REF!</definedName>
    <definedName name="V_KEYWORD_ISSR_208002861_OTH_INT_AMORT" localSheetId="19">#REF!</definedName>
    <definedName name="V_KEYWORD_ISSR_208002861_OTH_INT_AMORT" localSheetId="21">#REF!</definedName>
    <definedName name="V_KEYWORD_ISSR_208002861_OTH_INT_AMORT">#REF!</definedName>
    <definedName name="V_KEYWORD_ISSR_208002861_OTH_INV_CF" localSheetId="24">#REF!</definedName>
    <definedName name="V_KEYWORD_ISSR_208002861_OTH_INV_CF" localSheetId="18">#REF!</definedName>
    <definedName name="V_KEYWORD_ISSR_208002861_OTH_INV_CF" localSheetId="12">#REF!</definedName>
    <definedName name="V_KEYWORD_ISSR_208002861_OTH_INV_CF" localSheetId="23">#REF!</definedName>
    <definedName name="V_KEYWORD_ISSR_208002861_OTH_INV_CF" localSheetId="19">#REF!</definedName>
    <definedName name="V_KEYWORD_ISSR_208002861_OTH_INV_CF" localSheetId="21">#REF!</definedName>
    <definedName name="V_KEYWORD_ISSR_208002861_OTH_INV_CF">#REF!</definedName>
    <definedName name="V_KEYWORD_ISSR_208002861_OTH_ITEM_NCF" localSheetId="24">#REF!</definedName>
    <definedName name="V_KEYWORD_ISSR_208002861_OTH_ITEM_NCF" localSheetId="18">#REF!</definedName>
    <definedName name="V_KEYWORD_ISSR_208002861_OTH_ITEM_NCF" localSheetId="12">#REF!</definedName>
    <definedName name="V_KEYWORD_ISSR_208002861_OTH_ITEM_NCF" localSheetId="23">#REF!</definedName>
    <definedName name="V_KEYWORD_ISSR_208002861_OTH_ITEM_NCF" localSheetId="19">#REF!</definedName>
    <definedName name="V_KEYWORD_ISSR_208002861_OTH_ITEM_NCF" localSheetId="21">#REF!</definedName>
    <definedName name="V_KEYWORD_ISSR_208002861_OTH_ITEM_NCF">#REF!</definedName>
    <definedName name="V_KEYWORD_ISSR_208002861_OTH_LT_ASS" localSheetId="24">#REF!</definedName>
    <definedName name="V_KEYWORD_ISSR_208002861_OTH_LT_ASS" localSheetId="18">#REF!</definedName>
    <definedName name="V_KEYWORD_ISSR_208002861_OTH_LT_ASS" localSheetId="12">#REF!</definedName>
    <definedName name="V_KEYWORD_ISSR_208002861_OTH_LT_ASS" localSheetId="23">#REF!</definedName>
    <definedName name="V_KEYWORD_ISSR_208002861_OTH_LT_ASS" localSheetId="19">#REF!</definedName>
    <definedName name="V_KEYWORD_ISSR_208002861_OTH_LT_ASS" localSheetId="21">#REF!</definedName>
    <definedName name="V_KEYWORD_ISSR_208002861_OTH_LT_ASS">#REF!</definedName>
    <definedName name="V_KEYWORD_ISSR_208002861_OTH_LT_CRED_GQ" localSheetId="24">#REF!</definedName>
    <definedName name="V_KEYWORD_ISSR_208002861_OTH_LT_CRED_GQ" localSheetId="18">#REF!</definedName>
    <definedName name="V_KEYWORD_ISSR_208002861_OTH_LT_CRED_GQ" localSheetId="12">#REF!</definedName>
    <definedName name="V_KEYWORD_ISSR_208002861_OTH_LT_CRED_GQ" localSheetId="23">#REF!</definedName>
    <definedName name="V_KEYWORD_ISSR_208002861_OTH_LT_CRED_GQ" localSheetId="19">#REF!</definedName>
    <definedName name="V_KEYWORD_ISSR_208002861_OTH_LT_CRED_GQ" localSheetId="21">#REF!</definedName>
    <definedName name="V_KEYWORD_ISSR_208002861_OTH_LT_CRED_GQ">#REF!</definedName>
    <definedName name="V_KEYWORD_ISSR_208002861_OTH_NONCASH_ADJ" localSheetId="24">#REF!</definedName>
    <definedName name="V_KEYWORD_ISSR_208002861_OTH_NONCASH_ADJ" localSheetId="18">#REF!</definedName>
    <definedName name="V_KEYWORD_ISSR_208002861_OTH_NONCASH_ADJ" localSheetId="12">#REF!</definedName>
    <definedName name="V_KEYWORD_ISSR_208002861_OTH_NONCASH_ADJ" localSheetId="23">#REF!</definedName>
    <definedName name="V_KEYWORD_ISSR_208002861_OTH_NONCASH_ADJ" localSheetId="19">#REF!</definedName>
    <definedName name="V_KEYWORD_ISSR_208002861_OTH_NONCASH_ADJ" localSheetId="21">#REF!</definedName>
    <definedName name="V_KEYWORD_ISSR_208002861_OTH_NONCASH_ADJ">#REF!</definedName>
    <definedName name="V_KEYWORD_ISSR_208002861_OTH_OP_CF" localSheetId="24">#REF!</definedName>
    <definedName name="V_KEYWORD_ISSR_208002861_OTH_OP_CF" localSheetId="18">#REF!</definedName>
    <definedName name="V_KEYWORD_ISSR_208002861_OTH_OP_CF" localSheetId="12">#REF!</definedName>
    <definedName name="V_KEYWORD_ISSR_208002861_OTH_OP_CF" localSheetId="23">#REF!</definedName>
    <definedName name="V_KEYWORD_ISSR_208002861_OTH_OP_CF" localSheetId="19">#REF!</definedName>
    <definedName name="V_KEYWORD_ISSR_208002861_OTH_OP_CF" localSheetId="21">#REF!</definedName>
    <definedName name="V_KEYWORD_ISSR_208002861_OTH_OP_CF">#REF!</definedName>
    <definedName name="V_KEYWORD_ISSR_208002861_OTH_OP_INC_EXP" localSheetId="24">#REF!</definedName>
    <definedName name="V_KEYWORD_ISSR_208002861_OTH_OP_INC_EXP" localSheetId="18">#REF!</definedName>
    <definedName name="V_KEYWORD_ISSR_208002861_OTH_OP_INC_EXP" localSheetId="12">#REF!</definedName>
    <definedName name="V_KEYWORD_ISSR_208002861_OTH_OP_INC_EXP" localSheetId="23">#REF!</definedName>
    <definedName name="V_KEYWORD_ISSR_208002861_OTH_OP_INC_EXP" localSheetId="19">#REF!</definedName>
    <definedName name="V_KEYWORD_ISSR_208002861_OTH_OP_INC_EXP" localSheetId="21">#REF!</definedName>
    <definedName name="V_KEYWORD_ISSR_208002861_OTH_OP_INC_EXP">#REF!</definedName>
    <definedName name="V_KEYWORD_ISSR_208002861_PERIOD_MILESTONE" localSheetId="24">#REF!</definedName>
    <definedName name="V_KEYWORD_ISSR_208002861_PERIOD_MILESTONE" localSheetId="18">#REF!</definedName>
    <definedName name="V_KEYWORD_ISSR_208002861_PERIOD_MILESTONE" localSheetId="12">#REF!</definedName>
    <definedName name="V_KEYWORD_ISSR_208002861_PERIOD_MILESTONE" localSheetId="23">#REF!</definedName>
    <definedName name="V_KEYWORD_ISSR_208002861_PERIOD_MILESTONE" localSheetId="19">#REF!</definedName>
    <definedName name="V_KEYWORD_ISSR_208002861_PERIOD_MILESTONE" localSheetId="21">#REF!</definedName>
    <definedName name="V_KEYWORD_ISSR_208002861_PERIOD_MILESTONE">#REF!</definedName>
    <definedName name="V_KEYWORD_ISSR_208002861_PL_SALE_ASSETS" localSheetId="24">#REF!</definedName>
    <definedName name="V_KEYWORD_ISSR_208002861_PL_SALE_ASSETS" localSheetId="18">#REF!</definedName>
    <definedName name="V_KEYWORD_ISSR_208002861_PL_SALE_ASSETS" localSheetId="12">#REF!</definedName>
    <definedName name="V_KEYWORD_ISSR_208002861_PL_SALE_ASSETS" localSheetId="23">#REF!</definedName>
    <definedName name="V_KEYWORD_ISSR_208002861_PL_SALE_ASSETS" localSheetId="19">#REF!</definedName>
    <definedName name="V_KEYWORD_ISSR_208002861_PL_SALE_ASSETS" localSheetId="21">#REF!</definedName>
    <definedName name="V_KEYWORD_ISSR_208002861_PL_SALE_ASSETS">#REF!</definedName>
    <definedName name="V_KEYWORD_ISSR_208002861_PREF_SH" localSheetId="24">#REF!</definedName>
    <definedName name="V_KEYWORD_ISSR_208002861_PREF_SH" localSheetId="18">#REF!</definedName>
    <definedName name="V_KEYWORD_ISSR_208002861_PREF_SH" localSheetId="12">#REF!</definedName>
    <definedName name="V_KEYWORD_ISSR_208002861_PREF_SH" localSheetId="23">#REF!</definedName>
    <definedName name="V_KEYWORD_ISSR_208002861_PREF_SH" localSheetId="19">#REF!</definedName>
    <definedName name="V_KEYWORD_ISSR_208002861_PREF_SH" localSheetId="21">#REF!</definedName>
    <definedName name="V_KEYWORD_ISSR_208002861_PREF_SH">#REF!</definedName>
    <definedName name="V_KEYWORD_ISSR_208002861_PROFIT_ON_DISP" localSheetId="24">#REF!</definedName>
    <definedName name="V_KEYWORD_ISSR_208002861_PROFIT_ON_DISP" localSheetId="18">#REF!</definedName>
    <definedName name="V_KEYWORD_ISSR_208002861_PROFIT_ON_DISP" localSheetId="12">#REF!</definedName>
    <definedName name="V_KEYWORD_ISSR_208002861_PROFIT_ON_DISP" localSheetId="23">#REF!</definedName>
    <definedName name="V_KEYWORD_ISSR_208002861_PROFIT_ON_DISP" localSheetId="19">#REF!</definedName>
    <definedName name="V_KEYWORD_ISSR_208002861_PROFIT_ON_DISP" localSheetId="21">#REF!</definedName>
    <definedName name="V_KEYWORD_ISSR_208002861_PROFIT_ON_DISP">#REF!</definedName>
    <definedName name="V_KEYWORD_ISSR_208002861_PT_PROF" localSheetId="24">#REF!</definedName>
    <definedName name="V_KEYWORD_ISSR_208002861_PT_PROF" localSheetId="18">#REF!</definedName>
    <definedName name="V_KEYWORD_ISSR_208002861_PT_PROF" localSheetId="12">#REF!</definedName>
    <definedName name="V_KEYWORD_ISSR_208002861_PT_PROF" localSheetId="23">#REF!</definedName>
    <definedName name="V_KEYWORD_ISSR_208002861_PT_PROF" localSheetId="19">#REF!</definedName>
    <definedName name="V_KEYWORD_ISSR_208002861_PT_PROF" localSheetId="21">#REF!</definedName>
    <definedName name="V_KEYWORD_ISSR_208002861_PT_PROF">#REF!</definedName>
    <definedName name="V_KEYWORD_ISSR_208002861_RD_EXP" localSheetId="24">#REF!</definedName>
    <definedName name="V_KEYWORD_ISSR_208002861_RD_EXP" localSheetId="18">#REF!</definedName>
    <definedName name="V_KEYWORD_ISSR_208002861_RD_EXP" localSheetId="12">#REF!</definedName>
    <definedName name="V_KEYWORD_ISSR_208002861_RD_EXP" localSheetId="23">#REF!</definedName>
    <definedName name="V_KEYWORD_ISSR_208002861_RD_EXP" localSheetId="19">#REF!</definedName>
    <definedName name="V_KEYWORD_ISSR_208002861_RD_EXP" localSheetId="21">#REF!</definedName>
    <definedName name="V_KEYWORD_ISSR_208002861_RD_EXP">#REF!</definedName>
    <definedName name="V_KEYWORD_ISSR_208002861_SALES" localSheetId="24">#REF!</definedName>
    <definedName name="V_KEYWORD_ISSR_208002861_SALES" localSheetId="18">#REF!</definedName>
    <definedName name="V_KEYWORD_ISSR_208002861_SALES" localSheetId="12">#REF!</definedName>
    <definedName name="V_KEYWORD_ISSR_208002861_SALES" localSheetId="23">#REF!</definedName>
    <definedName name="V_KEYWORD_ISSR_208002861_SALES" localSheetId="19">#REF!</definedName>
    <definedName name="V_KEYWORD_ISSR_208002861_SALES" localSheetId="21">#REF!</definedName>
    <definedName name="V_KEYWORD_ISSR_208002861_SALES">#REF!</definedName>
    <definedName name="V_KEYWORD_ISSR_208002861_SALES_BRAZIL" localSheetId="24">#REF!</definedName>
    <definedName name="V_KEYWORD_ISSR_208002861_SALES_BRAZIL" localSheetId="18">#REF!</definedName>
    <definedName name="V_KEYWORD_ISSR_208002861_SALES_BRAZIL" localSheetId="12">#REF!</definedName>
    <definedName name="V_KEYWORD_ISSR_208002861_SALES_BRAZIL" localSheetId="23">#REF!</definedName>
    <definedName name="V_KEYWORD_ISSR_208002861_SALES_BRAZIL" localSheetId="19">#REF!</definedName>
    <definedName name="V_KEYWORD_ISSR_208002861_SALES_BRAZIL" localSheetId="21">#REF!</definedName>
    <definedName name="V_KEYWORD_ISSR_208002861_SALES_BRAZIL">#REF!</definedName>
    <definedName name="V_KEYWORD_ISSR_208002861_SALES_CEE" localSheetId="24">#REF!</definedName>
    <definedName name="V_KEYWORD_ISSR_208002861_SALES_CEE" localSheetId="18">#REF!</definedName>
    <definedName name="V_KEYWORD_ISSR_208002861_SALES_CEE" localSheetId="12">#REF!</definedName>
    <definedName name="V_KEYWORD_ISSR_208002861_SALES_CEE" localSheetId="23">#REF!</definedName>
    <definedName name="V_KEYWORD_ISSR_208002861_SALES_CEE" localSheetId="19">#REF!</definedName>
    <definedName name="V_KEYWORD_ISSR_208002861_SALES_CEE" localSheetId="21">#REF!</definedName>
    <definedName name="V_KEYWORD_ISSR_208002861_SALES_CEE">#REF!</definedName>
    <definedName name="V_KEYWORD_ISSR_208002861_SALES_CHINA" localSheetId="24">#REF!</definedName>
    <definedName name="V_KEYWORD_ISSR_208002861_SALES_CHINA" localSheetId="18">#REF!</definedName>
    <definedName name="V_KEYWORD_ISSR_208002861_SALES_CHINA" localSheetId="12">#REF!</definedName>
    <definedName name="V_KEYWORD_ISSR_208002861_SALES_CHINA" localSheetId="23">#REF!</definedName>
    <definedName name="V_KEYWORD_ISSR_208002861_SALES_CHINA" localSheetId="19">#REF!</definedName>
    <definedName name="V_KEYWORD_ISSR_208002861_SALES_CHINA" localSheetId="21">#REF!</definedName>
    <definedName name="V_KEYWORD_ISSR_208002861_SALES_CHINA">#REF!</definedName>
    <definedName name="V_KEYWORD_ISSR_208002861_SALES_CONS" localSheetId="24">#REF!</definedName>
    <definedName name="V_KEYWORD_ISSR_208002861_SALES_CONS" localSheetId="18">#REF!</definedName>
    <definedName name="V_KEYWORD_ISSR_208002861_SALES_CONS" localSheetId="12">#REF!</definedName>
    <definedName name="V_KEYWORD_ISSR_208002861_SALES_CONS" localSheetId="23">#REF!</definedName>
    <definedName name="V_KEYWORD_ISSR_208002861_SALES_CONS" localSheetId="19">#REF!</definedName>
    <definedName name="V_KEYWORD_ISSR_208002861_SALES_CONS" localSheetId="21">#REF!</definedName>
    <definedName name="V_KEYWORD_ISSR_208002861_SALES_CONS">#REF!</definedName>
    <definedName name="V_KEYWORD_ISSR_208002861_SALES_EU_EX_UK" localSheetId="24">#REF!</definedName>
    <definedName name="V_KEYWORD_ISSR_208002861_SALES_EU_EX_UK" localSheetId="18">#REF!</definedName>
    <definedName name="V_KEYWORD_ISSR_208002861_SALES_EU_EX_UK" localSheetId="12">#REF!</definedName>
    <definedName name="V_KEYWORD_ISSR_208002861_SALES_EU_EX_UK" localSheetId="23">#REF!</definedName>
    <definedName name="V_KEYWORD_ISSR_208002861_SALES_EU_EX_UK" localSheetId="19">#REF!</definedName>
    <definedName name="V_KEYWORD_ISSR_208002861_SALES_EU_EX_UK" localSheetId="21">#REF!</definedName>
    <definedName name="V_KEYWORD_ISSR_208002861_SALES_EU_EX_UK">#REF!</definedName>
    <definedName name="V_KEYWORD_ISSR_208002861_SALES_FINAN" localSheetId="24">#REF!</definedName>
    <definedName name="V_KEYWORD_ISSR_208002861_SALES_FINAN" localSheetId="18">#REF!</definedName>
    <definedName name="V_KEYWORD_ISSR_208002861_SALES_FINAN" localSheetId="12">#REF!</definedName>
    <definedName name="V_KEYWORD_ISSR_208002861_SALES_FINAN" localSheetId="23">#REF!</definedName>
    <definedName name="V_KEYWORD_ISSR_208002861_SALES_FINAN" localSheetId="19">#REF!</definedName>
    <definedName name="V_KEYWORD_ISSR_208002861_SALES_FINAN" localSheetId="21">#REF!</definedName>
    <definedName name="V_KEYWORD_ISSR_208002861_SALES_FINAN">#REF!</definedName>
    <definedName name="V_KEYWORD_ISSR_208002861_SALES_FRA" localSheetId="24">#REF!</definedName>
    <definedName name="V_KEYWORD_ISSR_208002861_SALES_FRA" localSheetId="18">#REF!</definedName>
    <definedName name="V_KEYWORD_ISSR_208002861_SALES_FRA" localSheetId="12">#REF!</definedName>
    <definedName name="V_KEYWORD_ISSR_208002861_SALES_FRA" localSheetId="23">#REF!</definedName>
    <definedName name="V_KEYWORD_ISSR_208002861_SALES_FRA" localSheetId="19">#REF!</definedName>
    <definedName name="V_KEYWORD_ISSR_208002861_SALES_FRA" localSheetId="21">#REF!</definedName>
    <definedName name="V_KEYWORD_ISSR_208002861_SALES_FRA">#REF!</definedName>
    <definedName name="V_KEYWORD_ISSR_208002861_SALES_FX_AED" localSheetId="24">#REF!</definedName>
    <definedName name="V_KEYWORD_ISSR_208002861_SALES_FX_AED" localSheetId="18">#REF!</definedName>
    <definedName name="V_KEYWORD_ISSR_208002861_SALES_FX_AED" localSheetId="12">#REF!</definedName>
    <definedName name="V_KEYWORD_ISSR_208002861_SALES_FX_AED" localSheetId="23">#REF!</definedName>
    <definedName name="V_KEYWORD_ISSR_208002861_SALES_FX_AED" localSheetId="19">#REF!</definedName>
    <definedName name="V_KEYWORD_ISSR_208002861_SALES_FX_AED" localSheetId="21">#REF!</definedName>
    <definedName name="V_KEYWORD_ISSR_208002861_SALES_FX_AED">#REF!</definedName>
    <definedName name="V_KEYWORD_ISSR_208002861_SALES_FX_BRL" localSheetId="24">#REF!</definedName>
    <definedName name="V_KEYWORD_ISSR_208002861_SALES_FX_BRL" localSheetId="18">#REF!</definedName>
    <definedName name="V_KEYWORD_ISSR_208002861_SALES_FX_BRL" localSheetId="12">#REF!</definedName>
    <definedName name="V_KEYWORD_ISSR_208002861_SALES_FX_BRL" localSheetId="23">#REF!</definedName>
    <definedName name="V_KEYWORD_ISSR_208002861_SALES_FX_BRL" localSheetId="19">#REF!</definedName>
    <definedName name="V_KEYWORD_ISSR_208002861_SALES_FX_BRL" localSheetId="21">#REF!</definedName>
    <definedName name="V_KEYWORD_ISSR_208002861_SALES_FX_BRL">#REF!</definedName>
    <definedName name="V_KEYWORD_ISSR_208002861_SALES_FX_CHF" localSheetId="24">#REF!</definedName>
    <definedName name="V_KEYWORD_ISSR_208002861_SALES_FX_CHF" localSheetId="18">#REF!</definedName>
    <definedName name="V_KEYWORD_ISSR_208002861_SALES_FX_CHF" localSheetId="12">#REF!</definedName>
    <definedName name="V_KEYWORD_ISSR_208002861_SALES_FX_CHF" localSheetId="23">#REF!</definedName>
    <definedName name="V_KEYWORD_ISSR_208002861_SALES_FX_CHF" localSheetId="19">#REF!</definedName>
    <definedName name="V_KEYWORD_ISSR_208002861_SALES_FX_CHF" localSheetId="21">#REF!</definedName>
    <definedName name="V_KEYWORD_ISSR_208002861_SALES_FX_CHF">#REF!</definedName>
    <definedName name="V_KEYWORD_ISSR_208002861_SALES_FX_CNY" localSheetId="24">#REF!</definedName>
    <definedName name="V_KEYWORD_ISSR_208002861_SALES_FX_CNY" localSheetId="18">#REF!</definedName>
    <definedName name="V_KEYWORD_ISSR_208002861_SALES_FX_CNY" localSheetId="12">#REF!</definedName>
    <definedName name="V_KEYWORD_ISSR_208002861_SALES_FX_CNY" localSheetId="23">#REF!</definedName>
    <definedName name="V_KEYWORD_ISSR_208002861_SALES_FX_CNY" localSheetId="19">#REF!</definedName>
    <definedName name="V_KEYWORD_ISSR_208002861_SALES_FX_CNY" localSheetId="21">#REF!</definedName>
    <definedName name="V_KEYWORD_ISSR_208002861_SALES_FX_CNY">#REF!</definedName>
    <definedName name="V_KEYWORD_ISSR_208002861_SALES_FX_EUR" localSheetId="24">#REF!</definedName>
    <definedName name="V_KEYWORD_ISSR_208002861_SALES_FX_EUR" localSheetId="18">#REF!</definedName>
    <definedName name="V_KEYWORD_ISSR_208002861_SALES_FX_EUR" localSheetId="12">#REF!</definedName>
    <definedName name="V_KEYWORD_ISSR_208002861_SALES_FX_EUR" localSheetId="23">#REF!</definedName>
    <definedName name="V_KEYWORD_ISSR_208002861_SALES_FX_EUR" localSheetId="19">#REF!</definedName>
    <definedName name="V_KEYWORD_ISSR_208002861_SALES_FX_EUR" localSheetId="21">#REF!</definedName>
    <definedName name="V_KEYWORD_ISSR_208002861_SALES_FX_EUR">#REF!</definedName>
    <definedName name="V_KEYWORD_ISSR_208002861_SALES_FX_GPB" localSheetId="24">#REF!</definedName>
    <definedName name="V_KEYWORD_ISSR_208002861_SALES_FX_GPB" localSheetId="18">#REF!</definedName>
    <definedName name="V_KEYWORD_ISSR_208002861_SALES_FX_GPB" localSheetId="12">#REF!</definedName>
    <definedName name="V_KEYWORD_ISSR_208002861_SALES_FX_GPB" localSheetId="23">#REF!</definedName>
    <definedName name="V_KEYWORD_ISSR_208002861_SALES_FX_GPB" localSheetId="19">#REF!</definedName>
    <definedName name="V_KEYWORD_ISSR_208002861_SALES_FX_GPB" localSheetId="21">#REF!</definedName>
    <definedName name="V_KEYWORD_ISSR_208002861_SALES_FX_GPB">#REF!</definedName>
    <definedName name="V_KEYWORD_ISSR_208002861_SALES_FX_INR" localSheetId="24">#REF!</definedName>
    <definedName name="V_KEYWORD_ISSR_208002861_SALES_FX_INR" localSheetId="18">#REF!</definedName>
    <definedName name="V_KEYWORD_ISSR_208002861_SALES_FX_INR" localSheetId="12">#REF!</definedName>
    <definedName name="V_KEYWORD_ISSR_208002861_SALES_FX_INR" localSheetId="23">#REF!</definedName>
    <definedName name="V_KEYWORD_ISSR_208002861_SALES_FX_INR" localSheetId="19">#REF!</definedName>
    <definedName name="V_KEYWORD_ISSR_208002861_SALES_FX_INR" localSheetId="21">#REF!</definedName>
    <definedName name="V_KEYWORD_ISSR_208002861_SALES_FX_INR">#REF!</definedName>
    <definedName name="V_KEYWORD_ISSR_208002861_SALES_FX_NGN" localSheetId="24">#REF!</definedName>
    <definedName name="V_KEYWORD_ISSR_208002861_SALES_FX_NGN" localSheetId="18">#REF!</definedName>
    <definedName name="V_KEYWORD_ISSR_208002861_SALES_FX_NGN" localSheetId="12">#REF!</definedName>
    <definedName name="V_KEYWORD_ISSR_208002861_SALES_FX_NGN" localSheetId="23">#REF!</definedName>
    <definedName name="V_KEYWORD_ISSR_208002861_SALES_FX_NGN" localSheetId="19">#REF!</definedName>
    <definedName name="V_KEYWORD_ISSR_208002861_SALES_FX_NGN" localSheetId="21">#REF!</definedName>
    <definedName name="V_KEYWORD_ISSR_208002861_SALES_FX_NGN">#REF!</definedName>
    <definedName name="V_KEYWORD_ISSR_208002861_SALES_FX_OTH" localSheetId="24">#REF!</definedName>
    <definedName name="V_KEYWORD_ISSR_208002861_SALES_FX_OTH" localSheetId="18">#REF!</definedName>
    <definedName name="V_KEYWORD_ISSR_208002861_SALES_FX_OTH" localSheetId="12">#REF!</definedName>
    <definedName name="V_KEYWORD_ISSR_208002861_SALES_FX_OTH" localSheetId="23">#REF!</definedName>
    <definedName name="V_KEYWORD_ISSR_208002861_SALES_FX_OTH" localSheetId="19">#REF!</definedName>
    <definedName name="V_KEYWORD_ISSR_208002861_SALES_FX_OTH" localSheetId="21">#REF!</definedName>
    <definedName name="V_KEYWORD_ISSR_208002861_SALES_FX_OTH">#REF!</definedName>
    <definedName name="V_KEYWORD_ISSR_208002861_SALES_FX_RUB" localSheetId="24">#REF!</definedName>
    <definedName name="V_KEYWORD_ISSR_208002861_SALES_FX_RUB" localSheetId="18">#REF!</definedName>
    <definedName name="V_KEYWORD_ISSR_208002861_SALES_FX_RUB" localSheetId="12">#REF!</definedName>
    <definedName name="V_KEYWORD_ISSR_208002861_SALES_FX_RUB" localSheetId="23">#REF!</definedName>
    <definedName name="V_KEYWORD_ISSR_208002861_SALES_FX_RUB" localSheetId="19">#REF!</definedName>
    <definedName name="V_KEYWORD_ISSR_208002861_SALES_FX_RUB" localSheetId="21">#REF!</definedName>
    <definedName name="V_KEYWORD_ISSR_208002861_SALES_FX_RUB">#REF!</definedName>
    <definedName name="V_KEYWORD_ISSR_208002861_SALES_FX_TRY" localSheetId="24">#REF!</definedName>
    <definedName name="V_KEYWORD_ISSR_208002861_SALES_FX_TRY" localSheetId="18">#REF!</definedName>
    <definedName name="V_KEYWORD_ISSR_208002861_SALES_FX_TRY" localSheetId="12">#REF!</definedName>
    <definedName name="V_KEYWORD_ISSR_208002861_SALES_FX_TRY" localSheetId="23">#REF!</definedName>
    <definedName name="V_KEYWORD_ISSR_208002861_SALES_FX_TRY" localSheetId="19">#REF!</definedName>
    <definedName name="V_KEYWORD_ISSR_208002861_SALES_FX_TRY" localSheetId="21">#REF!</definedName>
    <definedName name="V_KEYWORD_ISSR_208002861_SALES_FX_TRY">#REF!</definedName>
    <definedName name="V_KEYWORD_ISSR_208002861_SALES_FX_USD" localSheetId="24">#REF!</definedName>
    <definedName name="V_KEYWORD_ISSR_208002861_SALES_FX_USD" localSheetId="18">#REF!</definedName>
    <definedName name="V_KEYWORD_ISSR_208002861_SALES_FX_USD" localSheetId="12">#REF!</definedName>
    <definedName name="V_KEYWORD_ISSR_208002861_SALES_FX_USD" localSheetId="23">#REF!</definedName>
    <definedName name="V_KEYWORD_ISSR_208002861_SALES_FX_USD" localSheetId="19">#REF!</definedName>
    <definedName name="V_KEYWORD_ISSR_208002861_SALES_FX_USD" localSheetId="21">#REF!</definedName>
    <definedName name="V_KEYWORD_ISSR_208002861_SALES_FX_USD">#REF!</definedName>
    <definedName name="V_KEYWORD_ISSR_208002861_SALES_FX_YEN" localSheetId="24">#REF!</definedName>
    <definedName name="V_KEYWORD_ISSR_208002861_SALES_FX_YEN" localSheetId="18">#REF!</definedName>
    <definedName name="V_KEYWORD_ISSR_208002861_SALES_FX_YEN" localSheetId="12">#REF!</definedName>
    <definedName name="V_KEYWORD_ISSR_208002861_SALES_FX_YEN" localSheetId="23">#REF!</definedName>
    <definedName name="V_KEYWORD_ISSR_208002861_SALES_FX_YEN" localSheetId="19">#REF!</definedName>
    <definedName name="V_KEYWORD_ISSR_208002861_SALES_FX_YEN" localSheetId="21">#REF!</definedName>
    <definedName name="V_KEYWORD_ISSR_208002861_SALES_FX_YEN">#REF!</definedName>
    <definedName name="V_KEYWORD_ISSR_208002861_SALES_FX_ZAR" localSheetId="24">#REF!</definedName>
    <definedName name="V_KEYWORD_ISSR_208002861_SALES_FX_ZAR" localSheetId="18">#REF!</definedName>
    <definedName name="V_KEYWORD_ISSR_208002861_SALES_FX_ZAR" localSheetId="12">#REF!</definedName>
    <definedName name="V_KEYWORD_ISSR_208002861_SALES_FX_ZAR" localSheetId="23">#REF!</definedName>
    <definedName name="V_KEYWORD_ISSR_208002861_SALES_FX_ZAR" localSheetId="19">#REF!</definedName>
    <definedName name="V_KEYWORD_ISSR_208002861_SALES_FX_ZAR" localSheetId="21">#REF!</definedName>
    <definedName name="V_KEYWORD_ISSR_208002861_SALES_FX_ZAR">#REF!</definedName>
    <definedName name="V_KEYWORD_ISSR_208002861_SALES_GER" localSheetId="24">#REF!</definedName>
    <definedName name="V_KEYWORD_ISSR_208002861_SALES_GER" localSheetId="18">#REF!</definedName>
    <definedName name="V_KEYWORD_ISSR_208002861_SALES_GER" localSheetId="12">#REF!</definedName>
    <definedName name="V_KEYWORD_ISSR_208002861_SALES_GER" localSheetId="23">#REF!</definedName>
    <definedName name="V_KEYWORD_ISSR_208002861_SALES_GER" localSheetId="19">#REF!</definedName>
    <definedName name="V_KEYWORD_ISSR_208002861_SALES_GER" localSheetId="21">#REF!</definedName>
    <definedName name="V_KEYWORD_ISSR_208002861_SALES_GER">#REF!</definedName>
    <definedName name="V_KEYWORD_ISSR_208002861_SALES_GOV" localSheetId="24">#REF!</definedName>
    <definedName name="V_KEYWORD_ISSR_208002861_SALES_GOV" localSheetId="18">#REF!</definedName>
    <definedName name="V_KEYWORD_ISSR_208002861_SALES_GOV" localSheetId="12">#REF!</definedName>
    <definedName name="V_KEYWORD_ISSR_208002861_SALES_GOV" localSheetId="23">#REF!</definedName>
    <definedName name="V_KEYWORD_ISSR_208002861_SALES_GOV" localSheetId="19">#REF!</definedName>
    <definedName name="V_KEYWORD_ISSR_208002861_SALES_GOV" localSheetId="21">#REF!</definedName>
    <definedName name="V_KEYWORD_ISSR_208002861_SALES_GOV">#REF!</definedName>
    <definedName name="V_KEYWORD_ISSR_208002861_SALES_IND" localSheetId="24">#REF!</definedName>
    <definedName name="V_KEYWORD_ISSR_208002861_SALES_IND" localSheetId="18">#REF!</definedName>
    <definedName name="V_KEYWORD_ISSR_208002861_SALES_IND" localSheetId="12">#REF!</definedName>
    <definedName name="V_KEYWORD_ISSR_208002861_SALES_IND" localSheetId="23">#REF!</definedName>
    <definedName name="V_KEYWORD_ISSR_208002861_SALES_IND" localSheetId="19">#REF!</definedName>
    <definedName name="V_KEYWORD_ISSR_208002861_SALES_IND" localSheetId="21">#REF!</definedName>
    <definedName name="V_KEYWORD_ISSR_208002861_SALES_IND">#REF!</definedName>
    <definedName name="V_KEYWORD_ISSR_208002861_SALES_INDIA" localSheetId="24">#REF!</definedName>
    <definedName name="V_KEYWORD_ISSR_208002861_SALES_INDIA" localSheetId="18">#REF!</definedName>
    <definedName name="V_KEYWORD_ISSR_208002861_SALES_INDIA" localSheetId="12">#REF!</definedName>
    <definedName name="V_KEYWORD_ISSR_208002861_SALES_INDIA" localSheetId="23">#REF!</definedName>
    <definedName name="V_KEYWORD_ISSR_208002861_SALES_INDIA" localSheetId="19">#REF!</definedName>
    <definedName name="V_KEYWORD_ISSR_208002861_SALES_INDIA" localSheetId="21">#REF!</definedName>
    <definedName name="V_KEYWORD_ISSR_208002861_SALES_INDIA">#REF!</definedName>
    <definedName name="V_KEYWORD_ISSR_208002861_SALES_ITA" localSheetId="24">#REF!</definedName>
    <definedName name="V_KEYWORD_ISSR_208002861_SALES_ITA" localSheetId="18">#REF!</definedName>
    <definedName name="V_KEYWORD_ISSR_208002861_SALES_ITA" localSheetId="12">#REF!</definedName>
    <definedName name="V_KEYWORD_ISSR_208002861_SALES_ITA" localSheetId="23">#REF!</definedName>
    <definedName name="V_KEYWORD_ISSR_208002861_SALES_ITA" localSheetId="19">#REF!</definedName>
    <definedName name="V_KEYWORD_ISSR_208002861_SALES_ITA" localSheetId="21">#REF!</definedName>
    <definedName name="V_KEYWORD_ISSR_208002861_SALES_ITA">#REF!</definedName>
    <definedName name="V_KEYWORD_ISSR_208002861_SALES_JAPAN" localSheetId="24">#REF!</definedName>
    <definedName name="V_KEYWORD_ISSR_208002861_SALES_JAPAN" localSheetId="18">#REF!</definedName>
    <definedName name="V_KEYWORD_ISSR_208002861_SALES_JAPAN" localSheetId="12">#REF!</definedName>
    <definedName name="V_KEYWORD_ISSR_208002861_SALES_JAPAN" localSheetId="23">#REF!</definedName>
    <definedName name="V_KEYWORD_ISSR_208002861_SALES_JAPAN" localSheetId="19">#REF!</definedName>
    <definedName name="V_KEYWORD_ISSR_208002861_SALES_JAPAN" localSheetId="21">#REF!</definedName>
    <definedName name="V_KEYWORD_ISSR_208002861_SALES_JAPAN">#REF!</definedName>
    <definedName name="V_KEYWORD_ISSR_208002861_SALES_ME" localSheetId="24">#REF!</definedName>
    <definedName name="V_KEYWORD_ISSR_208002861_SALES_ME" localSheetId="18">#REF!</definedName>
    <definedName name="V_KEYWORD_ISSR_208002861_SALES_ME" localSheetId="12">#REF!</definedName>
    <definedName name="V_KEYWORD_ISSR_208002861_SALES_ME" localSheetId="23">#REF!</definedName>
    <definedName name="V_KEYWORD_ISSR_208002861_SALES_ME" localSheetId="19">#REF!</definedName>
    <definedName name="V_KEYWORD_ISSR_208002861_SALES_ME" localSheetId="21">#REF!</definedName>
    <definedName name="V_KEYWORD_ISSR_208002861_SALES_ME">#REF!</definedName>
    <definedName name="V_KEYWORD_ISSR_208002861_SALES_NIGERIA" localSheetId="24">#REF!</definedName>
    <definedName name="V_KEYWORD_ISSR_208002861_SALES_NIGERIA" localSheetId="18">#REF!</definedName>
    <definedName name="V_KEYWORD_ISSR_208002861_SALES_NIGERIA" localSheetId="12">#REF!</definedName>
    <definedName name="V_KEYWORD_ISSR_208002861_SALES_NIGERIA" localSheetId="23">#REF!</definedName>
    <definedName name="V_KEYWORD_ISSR_208002861_SALES_NIGERIA" localSheetId="19">#REF!</definedName>
    <definedName name="V_KEYWORD_ISSR_208002861_SALES_NIGERIA" localSheetId="21">#REF!</definedName>
    <definedName name="V_KEYWORD_ISSR_208002861_SALES_NIGERIA">#REF!</definedName>
    <definedName name="V_KEYWORD_ISSR_208002861_SALES_OTH_AEJ" localSheetId="24">#REF!</definedName>
    <definedName name="V_KEYWORD_ISSR_208002861_SALES_OTH_AEJ" localSheetId="18">#REF!</definedName>
    <definedName name="V_KEYWORD_ISSR_208002861_SALES_OTH_AEJ" localSheetId="12">#REF!</definedName>
    <definedName name="V_KEYWORD_ISSR_208002861_SALES_OTH_AEJ" localSheetId="23">#REF!</definedName>
    <definedName name="V_KEYWORD_ISSR_208002861_SALES_OTH_AEJ" localSheetId="19">#REF!</definedName>
    <definedName name="V_KEYWORD_ISSR_208002861_SALES_OTH_AEJ" localSheetId="21">#REF!</definedName>
    <definedName name="V_KEYWORD_ISSR_208002861_SALES_OTH_AEJ">#REF!</definedName>
    <definedName name="V_KEYWORD_ISSR_208002861_SALES_OTH_AFRICA" localSheetId="24">#REF!</definedName>
    <definedName name="V_KEYWORD_ISSR_208002861_SALES_OTH_AFRICA" localSheetId="18">#REF!</definedName>
    <definedName name="V_KEYWORD_ISSR_208002861_SALES_OTH_AFRICA" localSheetId="12">#REF!</definedName>
    <definedName name="V_KEYWORD_ISSR_208002861_SALES_OTH_AFRICA" localSheetId="23">#REF!</definedName>
    <definedName name="V_KEYWORD_ISSR_208002861_SALES_OTH_AFRICA" localSheetId="19">#REF!</definedName>
    <definedName name="V_KEYWORD_ISSR_208002861_SALES_OTH_AFRICA" localSheetId="21">#REF!</definedName>
    <definedName name="V_KEYWORD_ISSR_208002861_SALES_OTH_AFRICA">#REF!</definedName>
    <definedName name="V_KEYWORD_ISSR_208002861_SALES_OTH_AM" localSheetId="24">#REF!</definedName>
    <definedName name="V_KEYWORD_ISSR_208002861_SALES_OTH_AM" localSheetId="18">#REF!</definedName>
    <definedName name="V_KEYWORD_ISSR_208002861_SALES_OTH_AM" localSheetId="12">#REF!</definedName>
    <definedName name="V_KEYWORD_ISSR_208002861_SALES_OTH_AM" localSheetId="23">#REF!</definedName>
    <definedName name="V_KEYWORD_ISSR_208002861_SALES_OTH_AM" localSheetId="19">#REF!</definedName>
    <definedName name="V_KEYWORD_ISSR_208002861_SALES_OTH_AM" localSheetId="21">#REF!</definedName>
    <definedName name="V_KEYWORD_ISSR_208002861_SALES_OTH_AM">#REF!</definedName>
    <definedName name="V_KEYWORD_ISSR_208002861_SALES_OTH_COMMODITY" localSheetId="24">#REF!</definedName>
    <definedName name="V_KEYWORD_ISSR_208002861_SALES_OTH_COMMODITY" localSheetId="18">#REF!</definedName>
    <definedName name="V_KEYWORD_ISSR_208002861_SALES_OTH_COMMODITY" localSheetId="12">#REF!</definedName>
    <definedName name="V_KEYWORD_ISSR_208002861_SALES_OTH_COMMODITY" localSheetId="23">#REF!</definedName>
    <definedName name="V_KEYWORD_ISSR_208002861_SALES_OTH_COMMODITY" localSheetId="19">#REF!</definedName>
    <definedName name="V_KEYWORD_ISSR_208002861_SALES_OTH_COMMODITY" localSheetId="21">#REF!</definedName>
    <definedName name="V_KEYWORD_ISSR_208002861_SALES_OTH_COMMODITY">#REF!</definedName>
    <definedName name="V_KEYWORD_ISSR_208002861_SALES_OTH_EMEA" localSheetId="24">#REF!</definedName>
    <definedName name="V_KEYWORD_ISSR_208002861_SALES_OTH_EMEA" localSheetId="18">#REF!</definedName>
    <definedName name="V_KEYWORD_ISSR_208002861_SALES_OTH_EMEA" localSheetId="12">#REF!</definedName>
    <definedName name="V_KEYWORD_ISSR_208002861_SALES_OTH_EMEA" localSheetId="23">#REF!</definedName>
    <definedName name="V_KEYWORD_ISSR_208002861_SALES_OTH_EMEA" localSheetId="19">#REF!</definedName>
    <definedName name="V_KEYWORD_ISSR_208002861_SALES_OTH_EMEA" localSheetId="21">#REF!</definedName>
    <definedName name="V_KEYWORD_ISSR_208002861_SALES_OTH_EMEA">#REF!</definedName>
    <definedName name="V_KEYWORD_ISSR_208002861_SALES_OTH_EU_EX_UK" localSheetId="24">#REF!</definedName>
    <definedName name="V_KEYWORD_ISSR_208002861_SALES_OTH_EU_EX_UK" localSheetId="18">#REF!</definedName>
    <definedName name="V_KEYWORD_ISSR_208002861_SALES_OTH_EU_EX_UK" localSheetId="12">#REF!</definedName>
    <definedName name="V_KEYWORD_ISSR_208002861_SALES_OTH_EU_EX_UK" localSheetId="23">#REF!</definedName>
    <definedName name="V_KEYWORD_ISSR_208002861_SALES_OTH_EU_EX_UK" localSheetId="19">#REF!</definedName>
    <definedName name="V_KEYWORD_ISSR_208002861_SALES_OTH_EU_EX_UK" localSheetId="21">#REF!</definedName>
    <definedName name="V_KEYWORD_ISSR_208002861_SALES_OTH_EU_EX_UK">#REF!</definedName>
    <definedName name="V_KEYWORD_ISSR_208002861_SALES_OTH_SALES_SOURCES" localSheetId="24">#REF!</definedName>
    <definedName name="V_KEYWORD_ISSR_208002861_SALES_OTH_SALES_SOURCES" localSheetId="18">#REF!</definedName>
    <definedName name="V_KEYWORD_ISSR_208002861_SALES_OTH_SALES_SOURCES" localSheetId="12">#REF!</definedName>
    <definedName name="V_KEYWORD_ISSR_208002861_SALES_OTH_SALES_SOURCES" localSheetId="23">#REF!</definedName>
    <definedName name="V_KEYWORD_ISSR_208002861_SALES_OTH_SALES_SOURCES" localSheetId="19">#REF!</definedName>
    <definedName name="V_KEYWORD_ISSR_208002861_SALES_OTH_SALES_SOURCES" localSheetId="21">#REF!</definedName>
    <definedName name="V_KEYWORD_ISSR_208002861_SALES_OTH_SALES_SOURCES">#REF!</definedName>
    <definedName name="V_KEYWORD_ISSR_208002861_SALES_OTHER" localSheetId="24">#REF!</definedName>
    <definedName name="V_KEYWORD_ISSR_208002861_SALES_OTHER" localSheetId="18">#REF!</definedName>
    <definedName name="V_KEYWORD_ISSR_208002861_SALES_OTHER" localSheetId="12">#REF!</definedName>
    <definedName name="V_KEYWORD_ISSR_208002861_SALES_OTHER" localSheetId="23">#REF!</definedName>
    <definedName name="V_KEYWORD_ISSR_208002861_SALES_OTHER" localSheetId="19">#REF!</definedName>
    <definedName name="V_KEYWORD_ISSR_208002861_SALES_OTHER" localSheetId="21">#REF!</definedName>
    <definedName name="V_KEYWORD_ISSR_208002861_SALES_OTHER">#REF!</definedName>
    <definedName name="V_KEYWORD_ISSR_208002861_SALES_RUSSIA" localSheetId="24">#REF!</definedName>
    <definedName name="V_KEYWORD_ISSR_208002861_SALES_RUSSIA" localSheetId="18">#REF!</definedName>
    <definedName name="V_KEYWORD_ISSR_208002861_SALES_RUSSIA" localSheetId="12">#REF!</definedName>
    <definedName name="V_KEYWORD_ISSR_208002861_SALES_RUSSIA" localSheetId="23">#REF!</definedName>
    <definedName name="V_KEYWORD_ISSR_208002861_SALES_RUSSIA" localSheetId="19">#REF!</definedName>
    <definedName name="V_KEYWORD_ISSR_208002861_SALES_RUSSIA" localSheetId="21">#REF!</definedName>
    <definedName name="V_KEYWORD_ISSR_208002861_SALES_RUSSIA">#REF!</definedName>
    <definedName name="V_KEYWORD_ISSR_208002861_SALES_SO_AFRICA" localSheetId="24">#REF!</definedName>
    <definedName name="V_KEYWORD_ISSR_208002861_SALES_SO_AFRICA" localSheetId="18">#REF!</definedName>
    <definedName name="V_KEYWORD_ISSR_208002861_SALES_SO_AFRICA" localSheetId="12">#REF!</definedName>
    <definedName name="V_KEYWORD_ISSR_208002861_SALES_SO_AFRICA" localSheetId="23">#REF!</definedName>
    <definedName name="V_KEYWORD_ISSR_208002861_SALES_SO_AFRICA" localSheetId="19">#REF!</definedName>
    <definedName name="V_KEYWORD_ISSR_208002861_SALES_SO_AFRICA" localSheetId="21">#REF!</definedName>
    <definedName name="V_KEYWORD_ISSR_208002861_SALES_SO_AFRICA">#REF!</definedName>
    <definedName name="V_KEYWORD_ISSR_208002861_SALES_SPA" localSheetId="24">#REF!</definedName>
    <definedName name="V_KEYWORD_ISSR_208002861_SALES_SPA" localSheetId="18">#REF!</definedName>
    <definedName name="V_KEYWORD_ISSR_208002861_SALES_SPA" localSheetId="12">#REF!</definedName>
    <definedName name="V_KEYWORD_ISSR_208002861_SALES_SPA" localSheetId="23">#REF!</definedName>
    <definedName name="V_KEYWORD_ISSR_208002861_SALES_SPA" localSheetId="19">#REF!</definedName>
    <definedName name="V_KEYWORD_ISSR_208002861_SALES_SPA" localSheetId="21">#REF!</definedName>
    <definedName name="V_KEYWORD_ISSR_208002861_SALES_SPA">#REF!</definedName>
    <definedName name="V_KEYWORD_ISSR_208002861_SALES_TOT_AFRICA" localSheetId="24">#REF!</definedName>
    <definedName name="V_KEYWORD_ISSR_208002861_SALES_TOT_AFRICA" localSheetId="18">#REF!</definedName>
    <definedName name="V_KEYWORD_ISSR_208002861_SALES_TOT_AFRICA" localSheetId="12">#REF!</definedName>
    <definedName name="V_KEYWORD_ISSR_208002861_SALES_TOT_AFRICA" localSheetId="23">#REF!</definedName>
    <definedName name="V_KEYWORD_ISSR_208002861_SALES_TOT_AFRICA" localSheetId="19">#REF!</definedName>
    <definedName name="V_KEYWORD_ISSR_208002861_SALES_TOT_AFRICA" localSheetId="21">#REF!</definedName>
    <definedName name="V_KEYWORD_ISSR_208002861_SALES_TOT_AFRICA">#REF!</definedName>
    <definedName name="V_KEYWORD_ISSR_208002861_SALES_TOT_AM" localSheetId="24">#REF!</definedName>
    <definedName name="V_KEYWORD_ISSR_208002861_SALES_TOT_AM" localSheetId="18">#REF!</definedName>
    <definedName name="V_KEYWORD_ISSR_208002861_SALES_TOT_AM" localSheetId="12">#REF!</definedName>
    <definedName name="V_KEYWORD_ISSR_208002861_SALES_TOT_AM" localSheetId="23">#REF!</definedName>
    <definedName name="V_KEYWORD_ISSR_208002861_SALES_TOT_AM" localSheetId="19">#REF!</definedName>
    <definedName name="V_KEYWORD_ISSR_208002861_SALES_TOT_AM" localSheetId="21">#REF!</definedName>
    <definedName name="V_KEYWORD_ISSR_208002861_SALES_TOT_AM">#REF!</definedName>
    <definedName name="V_KEYWORD_ISSR_208002861_SALES_TOT_ASIA" localSheetId="24">#REF!</definedName>
    <definedName name="V_KEYWORD_ISSR_208002861_SALES_TOT_ASIA" localSheetId="18">#REF!</definedName>
    <definedName name="V_KEYWORD_ISSR_208002861_SALES_TOT_ASIA" localSheetId="12">#REF!</definedName>
    <definedName name="V_KEYWORD_ISSR_208002861_SALES_TOT_ASIA" localSheetId="23">#REF!</definedName>
    <definedName name="V_KEYWORD_ISSR_208002861_SALES_TOT_ASIA" localSheetId="19">#REF!</definedName>
    <definedName name="V_KEYWORD_ISSR_208002861_SALES_TOT_ASIA" localSheetId="21">#REF!</definedName>
    <definedName name="V_KEYWORD_ISSR_208002861_SALES_TOT_ASIA">#REF!</definedName>
    <definedName name="V_KEYWORD_ISSR_208002861_SALES_TOT_EMEA" localSheetId="24">#REF!</definedName>
    <definedName name="V_KEYWORD_ISSR_208002861_SALES_TOT_EMEA" localSheetId="18">#REF!</definedName>
    <definedName name="V_KEYWORD_ISSR_208002861_SALES_TOT_EMEA" localSheetId="12">#REF!</definedName>
    <definedName name="V_KEYWORD_ISSR_208002861_SALES_TOT_EMEA" localSheetId="23">#REF!</definedName>
    <definedName name="V_KEYWORD_ISSR_208002861_SALES_TOT_EMEA" localSheetId="19">#REF!</definedName>
    <definedName name="V_KEYWORD_ISSR_208002861_SALES_TOT_EMEA" localSheetId="21">#REF!</definedName>
    <definedName name="V_KEYWORD_ISSR_208002861_SALES_TOT_EMEA">#REF!</definedName>
    <definedName name="V_KEYWORD_ISSR_208002861_SALES_UK" localSheetId="24">#REF!</definedName>
    <definedName name="V_KEYWORD_ISSR_208002861_SALES_UK" localSheetId="18">#REF!</definedName>
    <definedName name="V_KEYWORD_ISSR_208002861_SALES_UK" localSheetId="12">#REF!</definedName>
    <definedName name="V_KEYWORD_ISSR_208002861_SALES_UK" localSheetId="23">#REF!</definedName>
    <definedName name="V_KEYWORD_ISSR_208002861_SALES_UK" localSheetId="19">#REF!</definedName>
    <definedName name="V_KEYWORD_ISSR_208002861_SALES_UK" localSheetId="21">#REF!</definedName>
    <definedName name="V_KEYWORD_ISSR_208002861_SALES_UK">#REF!</definedName>
    <definedName name="V_KEYWORD_ISSR_208002861_SALES_US" localSheetId="24">#REF!</definedName>
    <definedName name="V_KEYWORD_ISSR_208002861_SALES_US" localSheetId="18">#REF!</definedName>
    <definedName name="V_KEYWORD_ISSR_208002861_SALES_US" localSheetId="12">#REF!</definedName>
    <definedName name="V_KEYWORD_ISSR_208002861_SALES_US" localSheetId="23">#REF!</definedName>
    <definedName name="V_KEYWORD_ISSR_208002861_SALES_US" localSheetId="19">#REF!</definedName>
    <definedName name="V_KEYWORD_ISSR_208002861_SALES_US" localSheetId="21">#REF!</definedName>
    <definedName name="V_KEYWORD_ISSR_208002861_SALES_US">#REF!</definedName>
    <definedName name="V_KEYWORD_ISSR_208002861_SEL_GL_AD" localSheetId="24">#REF!</definedName>
    <definedName name="V_KEYWORD_ISSR_208002861_SEL_GL_AD" localSheetId="18">#REF!</definedName>
    <definedName name="V_KEYWORD_ISSR_208002861_SEL_GL_AD" localSheetId="12">#REF!</definedName>
    <definedName name="V_KEYWORD_ISSR_208002861_SEL_GL_AD" localSheetId="23">#REF!</definedName>
    <definedName name="V_KEYWORD_ISSR_208002861_SEL_GL_AD" localSheetId="19">#REF!</definedName>
    <definedName name="V_KEYWORD_ISSR_208002861_SEL_GL_AD" localSheetId="21">#REF!</definedName>
    <definedName name="V_KEYWORD_ISSR_208002861_SEL_GL_AD">#REF!</definedName>
    <definedName name="V_KEYWORD_ISSR_208002861_SH_REPUR" localSheetId="24">#REF!</definedName>
    <definedName name="V_KEYWORD_ISSR_208002861_SH_REPUR" localSheetId="18">#REF!</definedName>
    <definedName name="V_KEYWORD_ISSR_208002861_SH_REPUR" localSheetId="12">#REF!</definedName>
    <definedName name="V_KEYWORD_ISSR_208002861_SH_REPUR" localSheetId="23">#REF!</definedName>
    <definedName name="V_KEYWORD_ISSR_208002861_SH_REPUR" localSheetId="19">#REF!</definedName>
    <definedName name="V_KEYWORD_ISSR_208002861_SH_REPUR" localSheetId="21">#REF!</definedName>
    <definedName name="V_KEYWORD_ISSR_208002861_SH_REPUR">#REF!</definedName>
    <definedName name="V_KEYWORD_ISSR_208002861_SHORT_T_DEBT" localSheetId="24">#REF!</definedName>
    <definedName name="V_KEYWORD_ISSR_208002861_SHORT_T_DEBT" localSheetId="18">#REF!</definedName>
    <definedName name="V_KEYWORD_ISSR_208002861_SHORT_T_DEBT" localSheetId="12">#REF!</definedName>
    <definedName name="V_KEYWORD_ISSR_208002861_SHORT_T_DEBT" localSheetId="23">#REF!</definedName>
    <definedName name="V_KEYWORD_ISSR_208002861_SHORT_T_DEBT" localSheetId="19">#REF!</definedName>
    <definedName name="V_KEYWORD_ISSR_208002861_SHORT_T_DEBT" localSheetId="21">#REF!</definedName>
    <definedName name="V_KEYWORD_ISSR_208002861_SHORT_T_DEBT">#REF!</definedName>
    <definedName name="V_KEYWORD_ISSR_208002861_SHORT_TERM_LIABS" localSheetId="24">#REF!</definedName>
    <definedName name="V_KEYWORD_ISSR_208002861_SHORT_TERM_LIABS" localSheetId="18">#REF!</definedName>
    <definedName name="V_KEYWORD_ISSR_208002861_SHORT_TERM_LIABS" localSheetId="12">#REF!</definedName>
    <definedName name="V_KEYWORD_ISSR_208002861_SHORT_TERM_LIABS" localSheetId="23">#REF!</definedName>
    <definedName name="V_KEYWORD_ISSR_208002861_SHORT_TERM_LIABS" localSheetId="19">#REF!</definedName>
    <definedName name="V_KEYWORD_ISSR_208002861_SHORT_TERM_LIABS" localSheetId="21">#REF!</definedName>
    <definedName name="V_KEYWORD_ISSR_208002861_SHORT_TERM_LIABS">#REF!</definedName>
    <definedName name="V_KEYWORD_ISSR_208002861_STOCKS" localSheetId="24">#REF!</definedName>
    <definedName name="V_KEYWORD_ISSR_208002861_STOCKS" localSheetId="18">#REF!</definedName>
    <definedName name="V_KEYWORD_ISSR_208002861_STOCKS" localSheetId="12">#REF!</definedName>
    <definedName name="V_KEYWORD_ISSR_208002861_STOCKS" localSheetId="23">#REF!</definedName>
    <definedName name="V_KEYWORD_ISSR_208002861_STOCKS" localSheetId="19">#REF!</definedName>
    <definedName name="V_KEYWORD_ISSR_208002861_STOCKS" localSheetId="21">#REF!</definedName>
    <definedName name="V_KEYWORD_ISSR_208002861_STOCKS">#REF!</definedName>
    <definedName name="V_KEYWORD_ISSR_208002861_TOT_ASSET" localSheetId="24">#REF!</definedName>
    <definedName name="V_KEYWORD_ISSR_208002861_TOT_ASSET" localSheetId="18">#REF!</definedName>
    <definedName name="V_KEYWORD_ISSR_208002861_TOT_ASSET" localSheetId="12">#REF!</definedName>
    <definedName name="V_KEYWORD_ISSR_208002861_TOT_ASSET" localSheetId="23">#REF!</definedName>
    <definedName name="V_KEYWORD_ISSR_208002861_TOT_ASSET" localSheetId="19">#REF!</definedName>
    <definedName name="V_KEYWORD_ISSR_208002861_TOT_ASSET" localSheetId="21">#REF!</definedName>
    <definedName name="V_KEYWORD_ISSR_208002861_TOT_ASSET">#REF!</definedName>
    <definedName name="V_KEYWORD_ISSR_208002861_TOT_CF" localSheetId="24">#REF!</definedName>
    <definedName name="V_KEYWORD_ISSR_208002861_TOT_CF" localSheetId="18">#REF!</definedName>
    <definedName name="V_KEYWORD_ISSR_208002861_TOT_CF" localSheetId="12">#REF!</definedName>
    <definedName name="V_KEYWORD_ISSR_208002861_TOT_CF" localSheetId="23">#REF!</definedName>
    <definedName name="V_KEYWORD_ISSR_208002861_TOT_CF" localSheetId="19">#REF!</definedName>
    <definedName name="V_KEYWORD_ISSR_208002861_TOT_CF" localSheetId="21">#REF!</definedName>
    <definedName name="V_KEYWORD_ISSR_208002861_TOT_CF">#REF!</definedName>
    <definedName name="V_KEYWORD_ISSR_208002861_TOT_LIAB" localSheetId="24">#REF!</definedName>
    <definedName name="V_KEYWORD_ISSR_208002861_TOT_LIAB" localSheetId="18">#REF!</definedName>
    <definedName name="V_KEYWORD_ISSR_208002861_TOT_LIAB" localSheetId="12">#REF!</definedName>
    <definedName name="V_KEYWORD_ISSR_208002861_TOT_LIAB" localSheetId="23">#REF!</definedName>
    <definedName name="V_KEYWORD_ISSR_208002861_TOT_LIAB" localSheetId="19">#REF!</definedName>
    <definedName name="V_KEYWORD_ISSR_208002861_TOT_LIAB" localSheetId="21">#REF!</definedName>
    <definedName name="V_KEYWORD_ISSR_208002861_TOT_LIAB">#REF!</definedName>
    <definedName name="V_KEYWORD_ISSR_208002861_TOT_LIAB_EQ" localSheetId="24">#REF!</definedName>
    <definedName name="V_KEYWORD_ISSR_208002861_TOT_LIAB_EQ" localSheetId="18">#REF!</definedName>
    <definedName name="V_KEYWORD_ISSR_208002861_TOT_LIAB_EQ" localSheetId="12">#REF!</definedName>
    <definedName name="V_KEYWORD_ISSR_208002861_TOT_LIAB_EQ" localSheetId="23">#REF!</definedName>
    <definedName name="V_KEYWORD_ISSR_208002861_TOT_LIAB_EQ" localSheetId="19">#REF!</definedName>
    <definedName name="V_KEYWORD_ISSR_208002861_TOT_LIAB_EQ" localSheetId="21">#REF!</definedName>
    <definedName name="V_KEYWORD_ISSR_208002861_TOT_LIAB_EQ">#REF!</definedName>
    <definedName name="V_KEYWORD_ISSR_208002861_TOT_LT_LIAB" localSheetId="24">#REF!</definedName>
    <definedName name="V_KEYWORD_ISSR_208002861_TOT_LT_LIAB" localSheetId="18">#REF!</definedName>
    <definedName name="V_KEYWORD_ISSR_208002861_TOT_LT_LIAB" localSheetId="12">#REF!</definedName>
    <definedName name="V_KEYWORD_ISSR_208002861_TOT_LT_LIAB" localSheetId="23">#REF!</definedName>
    <definedName name="V_KEYWORD_ISSR_208002861_TOT_LT_LIAB" localSheetId="19">#REF!</definedName>
    <definedName name="V_KEYWORD_ISSR_208002861_TOT_LT_LIAB" localSheetId="21">#REF!</definedName>
    <definedName name="V_KEYWORD_ISSR_208002861_TOT_LT_LIAB">#REF!</definedName>
    <definedName name="V_KEYWORD_ISSR_208002861_TOT_OPS_EXP" localSheetId="24">#REF!</definedName>
    <definedName name="V_KEYWORD_ISSR_208002861_TOT_OPS_EXP" localSheetId="18">#REF!</definedName>
    <definedName name="V_KEYWORD_ISSR_208002861_TOT_OPS_EXP" localSheetId="12">#REF!</definedName>
    <definedName name="V_KEYWORD_ISSR_208002861_TOT_OPS_EXP" localSheetId="23">#REF!</definedName>
    <definedName name="V_KEYWORD_ISSR_208002861_TOT_OPS_EXP" localSheetId="19">#REF!</definedName>
    <definedName name="V_KEYWORD_ISSR_208002861_TOT_OPS_EXP" localSheetId="21">#REF!</definedName>
    <definedName name="V_KEYWORD_ISSR_208002861_TOT_OPS_EXP">#REF!</definedName>
    <definedName name="V_KEYWORD_ISSR_208002861_TOT_OPS_EXP_DDA" localSheetId="24">#REF!</definedName>
    <definedName name="V_KEYWORD_ISSR_208002861_TOT_OPS_EXP_DDA" localSheetId="18">#REF!</definedName>
    <definedName name="V_KEYWORD_ISSR_208002861_TOT_OPS_EXP_DDA" localSheetId="12">#REF!</definedName>
    <definedName name="V_KEYWORD_ISSR_208002861_TOT_OPS_EXP_DDA" localSheetId="23">#REF!</definedName>
    <definedName name="V_KEYWORD_ISSR_208002861_TOT_OPS_EXP_DDA" localSheetId="19">#REF!</definedName>
    <definedName name="V_KEYWORD_ISSR_208002861_TOT_OPS_EXP_DDA" localSheetId="21">#REF!</definedName>
    <definedName name="V_KEYWORD_ISSR_208002861_TOT_OPS_EXP_DDA">#REF!</definedName>
    <definedName name="V_KEYWORD_ISSR_208002861_UNF_PENS" localSheetId="24">#REF!</definedName>
    <definedName name="V_KEYWORD_ISSR_208002861_UNF_PENS" localSheetId="18">#REF!</definedName>
    <definedName name="V_KEYWORD_ISSR_208002861_UNF_PENS" localSheetId="12">#REF!</definedName>
    <definedName name="V_KEYWORD_ISSR_208002861_UNF_PENS" localSheetId="23">#REF!</definedName>
    <definedName name="V_KEYWORD_ISSR_208002861_UNF_PENS" localSheetId="19">#REF!</definedName>
    <definedName name="V_KEYWORD_ISSR_208002861_UNF_PENS" localSheetId="21">#REF!</definedName>
    <definedName name="V_KEYWORD_ISSR_208002861_UNF_PENS">#REF!</definedName>
    <definedName name="V_KEYWORD_ISSR_208002861_UNF_PENS_LIAB_OTH" localSheetId="24">#REF!</definedName>
    <definedName name="V_KEYWORD_ISSR_208002861_UNF_PENS_LIAB_OTH" localSheetId="18">#REF!</definedName>
    <definedName name="V_KEYWORD_ISSR_208002861_UNF_PENS_LIAB_OTH" localSheetId="12">#REF!</definedName>
    <definedName name="V_KEYWORD_ISSR_208002861_UNF_PENS_LIAB_OTH" localSheetId="23">#REF!</definedName>
    <definedName name="V_KEYWORD_ISSR_208002861_UNF_PENS_LIAB_OTH" localSheetId="19">#REF!</definedName>
    <definedName name="V_KEYWORD_ISSR_208002861_UNF_PENS_LIAB_OTH" localSheetId="21">#REF!</definedName>
    <definedName name="V_KEYWORD_ISSR_208002861_UNF_PENS_LIAB_OTH">#REF!</definedName>
    <definedName name="V_KEYWORD_ISSR_208002861_UNF_PENS_OFF" localSheetId="24">#REF!</definedName>
    <definedName name="V_KEYWORD_ISSR_208002861_UNF_PENS_OFF" localSheetId="18">#REF!</definedName>
    <definedName name="V_KEYWORD_ISSR_208002861_UNF_PENS_OFF" localSheetId="12">#REF!</definedName>
    <definedName name="V_KEYWORD_ISSR_208002861_UNF_PENS_OFF" localSheetId="23">#REF!</definedName>
    <definedName name="V_KEYWORD_ISSR_208002861_UNF_PENS_OFF" localSheetId="19">#REF!</definedName>
    <definedName name="V_KEYWORD_ISSR_208002861_UNF_PENS_OFF" localSheetId="21">#REF!</definedName>
    <definedName name="V_KEYWORD_ISSR_208002861_UNF_PENS_OFF">#REF!</definedName>
    <definedName name="V_KEYWORD_ISSR_208002861_WORK_CAP" localSheetId="24">#REF!</definedName>
    <definedName name="V_KEYWORD_ISSR_208002861_WORK_CAP" localSheetId="18">#REF!</definedName>
    <definedName name="V_KEYWORD_ISSR_208002861_WORK_CAP" localSheetId="12">#REF!</definedName>
    <definedName name="V_KEYWORD_ISSR_208002861_WORK_CAP" localSheetId="23">#REF!</definedName>
    <definedName name="V_KEYWORD_ISSR_208002861_WORK_CAP" localSheetId="19">#REF!</definedName>
    <definedName name="V_KEYWORD_ISSR_208002861_WORK_CAP" localSheetId="21">#REF!</definedName>
    <definedName name="V_KEYWORD_ISSR_208002861_WORK_CAP">#REF!</definedName>
    <definedName name="V_LIVEDATA_EQTY_200007513" localSheetId="24">#REF!</definedName>
    <definedName name="V_LIVEDATA_EQTY_200007513" localSheetId="18">#REF!</definedName>
    <definedName name="V_LIVEDATA_EQTY_200007513" localSheetId="12">#REF!</definedName>
    <definedName name="V_LIVEDATA_EQTY_200007513" localSheetId="23">#REF!</definedName>
    <definedName name="V_LIVEDATA_EQTY_200007513" localSheetId="19">#REF!</definedName>
    <definedName name="V_LIVEDATA_EQTY_200007513" localSheetId="21">#REF!</definedName>
    <definedName name="V_LIVEDATA_EQTY_200007513">#REF!</definedName>
    <definedName name="V_LIVEDATA_ISSR_208002861" localSheetId="24">#REF!</definedName>
    <definedName name="V_LIVEDATA_ISSR_208002861" localSheetId="18">#REF!</definedName>
    <definedName name="V_LIVEDATA_ISSR_208002861" localSheetId="12">#REF!</definedName>
    <definedName name="V_LIVEDATA_ISSR_208002861" localSheetId="23">#REF!</definedName>
    <definedName name="V_LIVEDATA_ISSR_208002861" localSheetId="19">#REF!</definedName>
    <definedName name="V_LIVEDATA_ISSR_208002861" localSheetId="21">#REF!</definedName>
    <definedName name="V_LIVEDATA_ISSR_208002861">#REF!</definedName>
    <definedName name="V_PERIOD_2002" localSheetId="12">#REF!</definedName>
    <definedName name="V_PERIOD_2003" localSheetId="12">#REF!</definedName>
    <definedName name="V_PERIOD_2004" localSheetId="12">#REF!</definedName>
    <definedName name="V_PERIOD_2005" localSheetId="12">#REF!</definedName>
    <definedName name="V_PERIOD_2006_Q1" localSheetId="24">#REF!</definedName>
    <definedName name="V_PERIOD_2006_Q1" localSheetId="18">#REF!</definedName>
    <definedName name="V_PERIOD_2006_Q1" localSheetId="12">#REF!</definedName>
    <definedName name="V_PERIOD_2006_Q1" localSheetId="23">#REF!</definedName>
    <definedName name="V_PERIOD_2006_Q1" localSheetId="19">#REF!</definedName>
    <definedName name="V_PERIOD_2006_Q1" localSheetId="21">#REF!</definedName>
    <definedName name="V_PERIOD_2006_Q1">#REF!</definedName>
    <definedName name="V_PERIOD_2006_Q2" localSheetId="24">#REF!</definedName>
    <definedName name="V_PERIOD_2006_Q2" localSheetId="18">#REF!</definedName>
    <definedName name="V_PERIOD_2006_Q2" localSheetId="12">#REF!</definedName>
    <definedName name="V_PERIOD_2006_Q2" localSheetId="23">#REF!</definedName>
    <definedName name="V_PERIOD_2006_Q2" localSheetId="19">#REF!</definedName>
    <definedName name="V_PERIOD_2006_Q2" localSheetId="21">#REF!</definedName>
    <definedName name="V_PERIOD_2006_Q2">#REF!</definedName>
    <definedName name="V_PERIOD_2006_Q3" localSheetId="24">#REF!</definedName>
    <definedName name="V_PERIOD_2006_Q3" localSheetId="18">#REF!</definedName>
    <definedName name="V_PERIOD_2006_Q3" localSheetId="12">#REF!</definedName>
    <definedName name="V_PERIOD_2006_Q3" localSheetId="23">#REF!</definedName>
    <definedName name="V_PERIOD_2006_Q3" localSheetId="19">#REF!</definedName>
    <definedName name="V_PERIOD_2006_Q3" localSheetId="21">#REF!</definedName>
    <definedName name="V_PERIOD_2006_Q3">#REF!</definedName>
    <definedName name="V_PERIOD_2006_Q4" localSheetId="24">#REF!</definedName>
    <definedName name="V_PERIOD_2006_Q4" localSheetId="18">#REF!</definedName>
    <definedName name="V_PERIOD_2006_Q4" localSheetId="12">#REF!</definedName>
    <definedName name="V_PERIOD_2006_Q4" localSheetId="23">#REF!</definedName>
    <definedName name="V_PERIOD_2006_Q4" localSheetId="19">#REF!</definedName>
    <definedName name="V_PERIOD_2006_Q4" localSheetId="21">#REF!</definedName>
    <definedName name="V_PERIOD_2006_Q4">#REF!</definedName>
    <definedName name="V_PERIOD_2007_Q1" localSheetId="24">#REF!</definedName>
    <definedName name="V_PERIOD_2007_Q1" localSheetId="18">#REF!</definedName>
    <definedName name="V_PERIOD_2007_Q1" localSheetId="12">#REF!</definedName>
    <definedName name="V_PERIOD_2007_Q1" localSheetId="23">#REF!</definedName>
    <definedName name="V_PERIOD_2007_Q1" localSheetId="19">#REF!</definedName>
    <definedName name="V_PERIOD_2007_Q1" localSheetId="21">#REF!</definedName>
    <definedName name="V_PERIOD_2007_Q1">#REF!</definedName>
    <definedName name="V_PERIOD_2007_Q2" localSheetId="24">#REF!</definedName>
    <definedName name="V_PERIOD_2007_Q2" localSheetId="18">#REF!</definedName>
    <definedName name="V_PERIOD_2007_Q2" localSheetId="12">#REF!</definedName>
    <definedName name="V_PERIOD_2007_Q2" localSheetId="23">#REF!</definedName>
    <definedName name="V_PERIOD_2007_Q2" localSheetId="19">#REF!</definedName>
    <definedName name="V_PERIOD_2007_Q2" localSheetId="21">#REF!</definedName>
    <definedName name="V_PERIOD_2007_Q2">#REF!</definedName>
    <definedName name="V_PERIOD_2007_Q3" localSheetId="24">#REF!</definedName>
    <definedName name="V_PERIOD_2007_Q3" localSheetId="18">#REF!</definedName>
    <definedName name="V_PERIOD_2007_Q3" localSheetId="12">#REF!</definedName>
    <definedName name="V_PERIOD_2007_Q3" localSheetId="23">#REF!</definedName>
    <definedName name="V_PERIOD_2007_Q3" localSheetId="19">#REF!</definedName>
    <definedName name="V_PERIOD_2007_Q3" localSheetId="21">#REF!</definedName>
    <definedName name="V_PERIOD_2007_Q3">#REF!</definedName>
    <definedName name="V_PERIOD_2007_Q4" localSheetId="24">#REF!</definedName>
    <definedName name="V_PERIOD_2007_Q4" localSheetId="18">#REF!</definedName>
    <definedName name="V_PERIOD_2007_Q4" localSheetId="12">#REF!</definedName>
    <definedName name="V_PERIOD_2007_Q4" localSheetId="23">#REF!</definedName>
    <definedName name="V_PERIOD_2007_Q4" localSheetId="19">#REF!</definedName>
    <definedName name="V_PERIOD_2007_Q4" localSheetId="21">#REF!</definedName>
    <definedName name="V_PERIOD_2007_Q4">#REF!</definedName>
    <definedName name="V_PERIOD_2008_Q1" localSheetId="24">#REF!</definedName>
    <definedName name="V_PERIOD_2008_Q1" localSheetId="18">#REF!</definedName>
    <definedName name="V_PERIOD_2008_Q1" localSheetId="12">#REF!</definedName>
    <definedName name="V_PERIOD_2008_Q1" localSheetId="23">#REF!</definedName>
    <definedName name="V_PERIOD_2008_Q1" localSheetId="19">#REF!</definedName>
    <definedName name="V_PERIOD_2008_Q1" localSheetId="21">#REF!</definedName>
    <definedName name="V_PERIOD_2008_Q1">#REF!</definedName>
    <definedName name="V_PERIOD_2008_Q2" localSheetId="24">#REF!</definedName>
    <definedName name="V_PERIOD_2008_Q2" localSheetId="18">#REF!</definedName>
    <definedName name="V_PERIOD_2008_Q2" localSheetId="12">#REF!</definedName>
    <definedName name="V_PERIOD_2008_Q2" localSheetId="23">#REF!</definedName>
    <definedName name="V_PERIOD_2008_Q2" localSheetId="19">#REF!</definedName>
    <definedName name="V_PERIOD_2008_Q2" localSheetId="21">#REF!</definedName>
    <definedName name="V_PERIOD_2008_Q2">#REF!</definedName>
    <definedName name="V_PERIOD_2008_Q3" localSheetId="24">#REF!</definedName>
    <definedName name="V_PERIOD_2008_Q3" localSheetId="18">#REF!</definedName>
    <definedName name="V_PERIOD_2008_Q3" localSheetId="12">#REF!</definedName>
    <definedName name="V_PERIOD_2008_Q3" localSheetId="23">#REF!</definedName>
    <definedName name="V_PERIOD_2008_Q3" localSheetId="19">#REF!</definedName>
    <definedName name="V_PERIOD_2008_Q3" localSheetId="21">#REF!</definedName>
    <definedName name="V_PERIOD_2008_Q3">#REF!</definedName>
    <definedName name="V_PERIOD_2008_Q4" localSheetId="24">#REF!</definedName>
    <definedName name="V_PERIOD_2008_Q4" localSheetId="18">#REF!</definedName>
    <definedName name="V_PERIOD_2008_Q4" localSheetId="12">#REF!</definedName>
    <definedName name="V_PERIOD_2008_Q4" localSheetId="23">#REF!</definedName>
    <definedName name="V_PERIOD_2008_Q4" localSheetId="19">#REF!</definedName>
    <definedName name="V_PERIOD_2008_Q4" localSheetId="21">#REF!</definedName>
    <definedName name="V_PERIOD_2008_Q4">#REF!</definedName>
    <definedName name="V_PERIOD_2009_Q1" localSheetId="24">#REF!</definedName>
    <definedName name="V_PERIOD_2009_Q1" localSheetId="18">#REF!</definedName>
    <definedName name="V_PERIOD_2009_Q1" localSheetId="12">#REF!</definedName>
    <definedName name="V_PERIOD_2009_Q1" localSheetId="23">#REF!</definedName>
    <definedName name="V_PERIOD_2009_Q1" localSheetId="19">#REF!</definedName>
    <definedName name="V_PERIOD_2009_Q1" localSheetId="21">#REF!</definedName>
    <definedName name="V_PERIOD_2009_Q1">#REF!</definedName>
    <definedName name="V_PERIOD_2009_Q2" localSheetId="24">#REF!</definedName>
    <definedName name="V_PERIOD_2009_Q2" localSheetId="18">#REF!</definedName>
    <definedName name="V_PERIOD_2009_Q2" localSheetId="12">#REF!</definedName>
    <definedName name="V_PERIOD_2009_Q2" localSheetId="23">#REF!</definedName>
    <definedName name="V_PERIOD_2009_Q2" localSheetId="19">#REF!</definedName>
    <definedName name="V_PERIOD_2009_Q2" localSheetId="21">#REF!</definedName>
    <definedName name="V_PERIOD_2009_Q2">#REF!</definedName>
    <definedName name="V_PERIOD_2009_Q3" localSheetId="24">#REF!</definedName>
    <definedName name="V_PERIOD_2009_Q3" localSheetId="18">#REF!</definedName>
    <definedName name="V_PERIOD_2009_Q3" localSheetId="12">#REF!</definedName>
    <definedName name="V_PERIOD_2009_Q3" localSheetId="23">#REF!</definedName>
    <definedName name="V_PERIOD_2009_Q3" localSheetId="19">#REF!</definedName>
    <definedName name="V_PERIOD_2009_Q3" localSheetId="21">#REF!</definedName>
    <definedName name="V_PERIOD_2009_Q3">#REF!</definedName>
    <definedName name="V_PERIOD_2009_Q4" localSheetId="24">#REF!</definedName>
    <definedName name="V_PERIOD_2009_Q4" localSheetId="18">#REF!</definedName>
    <definedName name="V_PERIOD_2009_Q4" localSheetId="12">#REF!</definedName>
    <definedName name="V_PERIOD_2009_Q4" localSheetId="23">#REF!</definedName>
    <definedName name="V_PERIOD_2009_Q4" localSheetId="19">#REF!</definedName>
    <definedName name="V_PERIOD_2009_Q4" localSheetId="21">#REF!</definedName>
    <definedName name="V_PERIOD_2009_Q4">#REF!</definedName>
    <definedName name="V_PERIOD_2010_Q1" localSheetId="24">#REF!</definedName>
    <definedName name="V_PERIOD_2010_Q1" localSheetId="18">#REF!</definedName>
    <definedName name="V_PERIOD_2010_Q1" localSheetId="12">#REF!</definedName>
    <definedName name="V_PERIOD_2010_Q1" localSheetId="23">#REF!</definedName>
    <definedName name="V_PERIOD_2010_Q1" localSheetId="19">#REF!</definedName>
    <definedName name="V_PERIOD_2010_Q1" localSheetId="21">#REF!</definedName>
    <definedName name="V_PERIOD_2010_Q1">#REF!</definedName>
    <definedName name="V_PERIOD_2010_Q2" localSheetId="24">#REF!</definedName>
    <definedName name="V_PERIOD_2010_Q2" localSheetId="18">#REF!</definedName>
    <definedName name="V_PERIOD_2010_Q2" localSheetId="12">#REF!</definedName>
    <definedName name="V_PERIOD_2010_Q2" localSheetId="23">#REF!</definedName>
    <definedName name="V_PERIOD_2010_Q2" localSheetId="19">#REF!</definedName>
    <definedName name="V_PERIOD_2010_Q2" localSheetId="21">#REF!</definedName>
    <definedName name="V_PERIOD_2010_Q2">#REF!</definedName>
    <definedName name="V_PERIOD_2010_Q3" localSheetId="24">#REF!</definedName>
    <definedName name="V_PERIOD_2010_Q3" localSheetId="18">#REF!</definedName>
    <definedName name="V_PERIOD_2010_Q3" localSheetId="12">#REF!</definedName>
    <definedName name="V_PERIOD_2010_Q3" localSheetId="23">#REF!</definedName>
    <definedName name="V_PERIOD_2010_Q3" localSheetId="19">#REF!</definedName>
    <definedName name="V_PERIOD_2010_Q3" localSheetId="21">#REF!</definedName>
    <definedName name="V_PERIOD_2010_Q3">#REF!</definedName>
    <definedName name="V_PERIOD_2010_Q4" localSheetId="24">#REF!</definedName>
    <definedName name="V_PERIOD_2010_Q4" localSheetId="18">#REF!</definedName>
    <definedName name="V_PERIOD_2010_Q4" localSheetId="12">#REF!</definedName>
    <definedName name="V_PERIOD_2010_Q4" localSheetId="23">#REF!</definedName>
    <definedName name="V_PERIOD_2010_Q4" localSheetId="19">#REF!</definedName>
    <definedName name="V_PERIOD_2010_Q4" localSheetId="21">#REF!</definedName>
    <definedName name="V_PERIOD_2010_Q4">#REF!</definedName>
    <definedName name="V_PERIOD_2011_Q1" localSheetId="24">#REF!</definedName>
    <definedName name="V_PERIOD_2011_Q1" localSheetId="18">#REF!</definedName>
    <definedName name="V_PERIOD_2011_Q1" localSheetId="12">#REF!</definedName>
    <definedName name="V_PERIOD_2011_Q1" localSheetId="23">#REF!</definedName>
    <definedName name="V_PERIOD_2011_Q1" localSheetId="19">#REF!</definedName>
    <definedName name="V_PERIOD_2011_Q1" localSheetId="21">#REF!</definedName>
    <definedName name="V_PERIOD_2011_Q1">#REF!</definedName>
    <definedName name="V_PERIOD_2011_Q2" localSheetId="24">#REF!</definedName>
    <definedName name="V_PERIOD_2011_Q2" localSheetId="18">#REF!</definedName>
    <definedName name="V_PERIOD_2011_Q2" localSheetId="12">#REF!</definedName>
    <definedName name="V_PERIOD_2011_Q2" localSheetId="23">#REF!</definedName>
    <definedName name="V_PERIOD_2011_Q2" localSheetId="19">#REF!</definedName>
    <definedName name="V_PERIOD_2011_Q2" localSheetId="21">#REF!</definedName>
    <definedName name="V_PERIOD_2011_Q2">#REF!</definedName>
    <definedName name="V_PERIOD_2011_Q3" localSheetId="24">#REF!</definedName>
    <definedName name="V_PERIOD_2011_Q3" localSheetId="18">#REF!</definedName>
    <definedName name="V_PERIOD_2011_Q3" localSheetId="12">#REF!</definedName>
    <definedName name="V_PERIOD_2011_Q3" localSheetId="23">#REF!</definedName>
    <definedName name="V_PERIOD_2011_Q3" localSheetId="19">#REF!</definedName>
    <definedName name="V_PERIOD_2011_Q3" localSheetId="21">#REF!</definedName>
    <definedName name="V_PERIOD_2011_Q3">#REF!</definedName>
    <definedName name="V_PERIOD_2011_Q4" localSheetId="24">#REF!</definedName>
    <definedName name="V_PERIOD_2011_Q4" localSheetId="18">#REF!</definedName>
    <definedName name="V_PERIOD_2011_Q4" localSheetId="12">#REF!</definedName>
    <definedName name="V_PERIOD_2011_Q4" localSheetId="23">#REF!</definedName>
    <definedName name="V_PERIOD_2011_Q4" localSheetId="19">#REF!</definedName>
    <definedName name="V_PERIOD_2011_Q4" localSheetId="21">#REF!</definedName>
    <definedName name="V_PERIOD_2011_Q4">#REF!</definedName>
    <definedName name="V_PERIOD_2012_Q1" localSheetId="24">#REF!</definedName>
    <definedName name="V_PERIOD_2012_Q1" localSheetId="18">#REF!</definedName>
    <definedName name="V_PERIOD_2012_Q1" localSheetId="12">#REF!</definedName>
    <definedName name="V_PERIOD_2012_Q1" localSheetId="23">#REF!</definedName>
    <definedName name="V_PERIOD_2012_Q1" localSheetId="19">#REF!</definedName>
    <definedName name="V_PERIOD_2012_Q1" localSheetId="21">#REF!</definedName>
    <definedName name="V_PERIOD_2012_Q1">#REF!</definedName>
    <definedName name="V_PERIOD_2012_Q2" localSheetId="24">#REF!</definedName>
    <definedName name="V_PERIOD_2012_Q2" localSheetId="18">#REF!</definedName>
    <definedName name="V_PERIOD_2012_Q2" localSheetId="12">#REF!</definedName>
    <definedName name="V_PERIOD_2012_Q2" localSheetId="23">#REF!</definedName>
    <definedName name="V_PERIOD_2012_Q2" localSheetId="19">#REF!</definedName>
    <definedName name="V_PERIOD_2012_Q2" localSheetId="21">#REF!</definedName>
    <definedName name="V_PERIOD_2012_Q2">#REF!</definedName>
    <definedName name="V_PERIOD_2012_Q3" localSheetId="24">#REF!</definedName>
    <definedName name="V_PERIOD_2012_Q3" localSheetId="18">#REF!</definedName>
    <definedName name="V_PERIOD_2012_Q3" localSheetId="12">#REF!</definedName>
    <definedName name="V_PERIOD_2012_Q3" localSheetId="23">#REF!</definedName>
    <definedName name="V_PERIOD_2012_Q3" localSheetId="19">#REF!</definedName>
    <definedName name="V_PERIOD_2012_Q3" localSheetId="21">#REF!</definedName>
    <definedName name="V_PERIOD_2012_Q3">#REF!</definedName>
    <definedName name="V_PERIOD_2012_Q4" localSheetId="24">#REF!</definedName>
    <definedName name="V_PERIOD_2012_Q4" localSheetId="18">#REF!</definedName>
    <definedName name="V_PERIOD_2012_Q4" localSheetId="12">#REF!</definedName>
    <definedName name="V_PERIOD_2012_Q4" localSheetId="23">#REF!</definedName>
    <definedName name="V_PERIOD_2012_Q4" localSheetId="19">#REF!</definedName>
    <definedName name="V_PERIOD_2012_Q4" localSheetId="21">#REF!</definedName>
    <definedName name="V_PERIOD_2012_Q4">#REF!</definedName>
    <definedName name="V_PERIOD_2020_H1" localSheetId="12">#REF!</definedName>
    <definedName name="V_PERIOD_2020_H1" localSheetId="19">#REF!</definedName>
    <definedName name="V_PERIOD_2020_H1" localSheetId="21">#REF!</definedName>
    <definedName name="V_PERIOD_2020_H1">#REF!</definedName>
    <definedName name="V_PERIOD_2020_H2" localSheetId="12">#REF!</definedName>
    <definedName name="V_PERIOD_2020_H2" localSheetId="19">#REF!</definedName>
    <definedName name="V_PERIOD_2020_H2" localSheetId="21">#REF!</definedName>
    <definedName name="V_PERIOD_2020_H2">#REF!</definedName>
    <definedName name="V_PERIOD_2021_Q1" localSheetId="24">#REF!</definedName>
    <definedName name="V_PERIOD_2021_Q1" localSheetId="18">#REF!</definedName>
    <definedName name="V_PERIOD_2021_Q1" localSheetId="12">#REF!</definedName>
    <definedName name="V_PERIOD_2021_Q1" localSheetId="23">#REF!</definedName>
    <definedName name="V_PERIOD_2021_Q1" localSheetId="19">#REF!</definedName>
    <definedName name="V_PERIOD_2021_Q1" localSheetId="21">#REF!</definedName>
    <definedName name="V_PERIOD_2021_Q1">#REF!</definedName>
    <definedName name="V_PERIOD_2021_Q2" localSheetId="24">#REF!</definedName>
    <definedName name="V_PERIOD_2021_Q2" localSheetId="18">#REF!</definedName>
    <definedName name="V_PERIOD_2021_Q2" localSheetId="12">#REF!</definedName>
    <definedName name="V_PERIOD_2021_Q2" localSheetId="23">#REF!</definedName>
    <definedName name="V_PERIOD_2021_Q2" localSheetId="19">#REF!</definedName>
    <definedName name="V_PERIOD_2021_Q2" localSheetId="21">#REF!</definedName>
    <definedName name="V_PERIOD_2021_Q2">#REF!</definedName>
    <definedName name="V_PERIOD_2021_Q3" localSheetId="24">#REF!</definedName>
    <definedName name="V_PERIOD_2021_Q3" localSheetId="18">#REF!</definedName>
    <definedName name="V_PERIOD_2021_Q3" localSheetId="12">#REF!</definedName>
    <definedName name="V_PERIOD_2021_Q3" localSheetId="23">#REF!</definedName>
    <definedName name="V_PERIOD_2021_Q3" localSheetId="19">#REF!</definedName>
    <definedName name="V_PERIOD_2021_Q3" localSheetId="21">#REF!</definedName>
    <definedName name="V_PERIOD_2021_Q3">#REF!</definedName>
    <definedName name="V_PERIOD_2021_Q4" localSheetId="24">#REF!</definedName>
    <definedName name="V_PERIOD_2021_Q4" localSheetId="18">#REF!</definedName>
    <definedName name="V_PERIOD_2021_Q4" localSheetId="12">#REF!</definedName>
    <definedName name="V_PERIOD_2021_Q4" localSheetId="23">#REF!</definedName>
    <definedName name="V_PERIOD_2021_Q4" localSheetId="19">#REF!</definedName>
    <definedName name="V_PERIOD_2021_Q4" localSheetId="21">#REF!</definedName>
    <definedName name="V_PERIOD_2021_Q4">#REF!</definedName>
    <definedName name="V_SECTION_EQTY_200007513_1314" localSheetId="24">#REF!</definedName>
    <definedName name="V_SECTION_EQTY_200007513_1314" localSheetId="18">#REF!</definedName>
    <definedName name="V_SECTION_EQTY_200007513_1314" localSheetId="12">#REF!</definedName>
    <definedName name="V_SECTION_EQTY_200007513_1314" localSheetId="23">#REF!</definedName>
    <definedName name="V_SECTION_EQTY_200007513_1314" localSheetId="19">#REF!</definedName>
    <definedName name="V_SECTION_EQTY_200007513_1314" localSheetId="21">#REF!</definedName>
    <definedName name="V_SECTION_EQTY_200007513_1314">#REF!</definedName>
    <definedName name="V_SECTION_EQTY_200007513_131E" localSheetId="24">#REF!</definedName>
    <definedName name="V_SECTION_EQTY_200007513_131E" localSheetId="18">#REF!</definedName>
    <definedName name="V_SECTION_EQTY_200007513_131E" localSheetId="12">#REF!</definedName>
    <definedName name="V_SECTION_EQTY_200007513_131E" localSheetId="23">#REF!</definedName>
    <definedName name="V_SECTION_EQTY_200007513_131E" localSheetId="19">#REF!</definedName>
    <definedName name="V_SECTION_EQTY_200007513_131E" localSheetId="21">#REF!</definedName>
    <definedName name="V_SECTION_EQTY_200007513_131E">#REF!</definedName>
    <definedName name="V_SECTION_EQTY_200007513_131O" localSheetId="24">#REF!</definedName>
    <definedName name="V_SECTION_EQTY_200007513_131O" localSheetId="18">#REF!</definedName>
    <definedName name="V_SECTION_EQTY_200007513_131O" localSheetId="12">#REF!</definedName>
    <definedName name="V_SECTION_EQTY_200007513_131O" localSheetId="23">#REF!</definedName>
    <definedName name="V_SECTION_EQTY_200007513_131O" localSheetId="19">#REF!</definedName>
    <definedName name="V_SECTION_EQTY_200007513_131O" localSheetId="21">#REF!</definedName>
    <definedName name="V_SECTION_EQTY_200007513_131O">#REF!</definedName>
    <definedName name="V_SECTION_EQTY_200007513_13A" localSheetId="24">#REF!</definedName>
    <definedName name="V_SECTION_EQTY_200007513_13A" localSheetId="18">#REF!</definedName>
    <definedName name="V_SECTION_EQTY_200007513_13A" localSheetId="12">#REF!</definedName>
    <definedName name="V_SECTION_EQTY_200007513_13A" localSheetId="23">#REF!</definedName>
    <definedName name="V_SECTION_EQTY_200007513_13A" localSheetId="19">#REF!</definedName>
    <definedName name="V_SECTION_EQTY_200007513_13A" localSheetId="21">#REF!</definedName>
    <definedName name="V_SECTION_EQTY_200007513_13A">#REF!</definedName>
    <definedName name="V_SECTION_EQTY_200007513_13K" localSheetId="24">#REF!</definedName>
    <definedName name="V_SECTION_EQTY_200007513_13K" localSheetId="18">#REF!</definedName>
    <definedName name="V_SECTION_EQTY_200007513_13K" localSheetId="12">#REF!</definedName>
    <definedName name="V_SECTION_EQTY_200007513_13K" localSheetId="23">#REF!</definedName>
    <definedName name="V_SECTION_EQTY_200007513_13K" localSheetId="19">#REF!</definedName>
    <definedName name="V_SECTION_EQTY_200007513_13K" localSheetId="21">#REF!</definedName>
    <definedName name="V_SECTION_EQTY_200007513_13K">#REF!</definedName>
    <definedName name="V_SECTION_EQTY_200007513_13U" localSheetId="24">#REF!</definedName>
    <definedName name="V_SECTION_EQTY_200007513_13U" localSheetId="18">#REF!</definedName>
    <definedName name="V_SECTION_EQTY_200007513_13U" localSheetId="12">#REF!</definedName>
    <definedName name="V_SECTION_EQTY_200007513_13U" localSheetId="23">#REF!</definedName>
    <definedName name="V_SECTION_EQTY_200007513_13U" localSheetId="19">#REF!</definedName>
    <definedName name="V_SECTION_EQTY_200007513_13U" localSheetId="21">#REF!</definedName>
    <definedName name="V_SECTION_EQTY_200007513_13U">#REF!</definedName>
    <definedName name="V_SECTION_EQTY_200007513_13V" localSheetId="24">#REF!</definedName>
    <definedName name="V_SECTION_EQTY_200007513_13V" localSheetId="18">#REF!</definedName>
    <definedName name="V_SECTION_EQTY_200007513_13V" localSheetId="12">#REF!</definedName>
    <definedName name="V_SECTION_EQTY_200007513_13V" localSheetId="23">#REF!</definedName>
    <definedName name="V_SECTION_EQTY_200007513_13V" localSheetId="19">#REF!</definedName>
    <definedName name="V_SECTION_EQTY_200007513_13V" localSheetId="21">#REF!</definedName>
    <definedName name="V_SECTION_EQTY_200007513_13V">#REF!</definedName>
    <definedName name="V_SECTION_EQTY_200007513_Reference_Data" localSheetId="24">#REF!</definedName>
    <definedName name="V_SECTION_EQTY_200007513_Reference_Data" localSheetId="18">#REF!</definedName>
    <definedName name="V_SECTION_EQTY_200007513_Reference_Data" localSheetId="12">#REF!</definedName>
    <definedName name="V_SECTION_EQTY_200007513_Reference_Data" localSheetId="23">#REF!</definedName>
    <definedName name="V_SECTION_EQTY_200007513_Reference_Data" localSheetId="19">#REF!</definedName>
    <definedName name="V_SECTION_EQTY_200007513_Reference_Data" localSheetId="21">#REF!</definedName>
    <definedName name="V_SECTION_EQTY_200007513_Reference_Data">#REF!</definedName>
    <definedName name="V_SECTION_ISSR_208002861_1314" localSheetId="24">#REF!</definedName>
    <definedName name="V_SECTION_ISSR_208002861_1314" localSheetId="18">#REF!</definedName>
    <definedName name="V_SECTION_ISSR_208002861_1314" localSheetId="12">#REF!</definedName>
    <definedName name="V_SECTION_ISSR_208002861_1314" localSheetId="23">#REF!</definedName>
    <definedName name="V_SECTION_ISSR_208002861_1314" localSheetId="19">#REF!</definedName>
    <definedName name="V_SECTION_ISSR_208002861_1314" localSheetId="21">#REF!</definedName>
    <definedName name="V_SECTION_ISSR_208002861_1314">#REF!</definedName>
    <definedName name="V_SECTION_ISSR_208002861_13168" localSheetId="24">#REF!</definedName>
    <definedName name="V_SECTION_ISSR_208002861_13168" localSheetId="18">#REF!</definedName>
    <definedName name="V_SECTION_ISSR_208002861_13168" localSheetId="12">#REF!</definedName>
    <definedName name="V_SECTION_ISSR_208002861_13168" localSheetId="23">#REF!</definedName>
    <definedName name="V_SECTION_ISSR_208002861_13168" localSheetId="19">#REF!</definedName>
    <definedName name="V_SECTION_ISSR_208002861_13168" localSheetId="21">#REF!</definedName>
    <definedName name="V_SECTION_ISSR_208002861_13168">#REF!</definedName>
    <definedName name="V_SECTION_ISSR_208002861_1316S" localSheetId="24">#REF!</definedName>
    <definedName name="V_SECTION_ISSR_208002861_1316S" localSheetId="18">#REF!</definedName>
    <definedName name="V_SECTION_ISSR_208002861_1316S" localSheetId="12">#REF!</definedName>
    <definedName name="V_SECTION_ISSR_208002861_1316S" localSheetId="23">#REF!</definedName>
    <definedName name="V_SECTION_ISSR_208002861_1316S" localSheetId="19">#REF!</definedName>
    <definedName name="V_SECTION_ISSR_208002861_1316S" localSheetId="21">#REF!</definedName>
    <definedName name="V_SECTION_ISSR_208002861_1316S">#REF!</definedName>
    <definedName name="V_SECTION_ISSR_208002861_1316T" localSheetId="24">#REF!</definedName>
    <definedName name="V_SECTION_ISSR_208002861_1316T" localSheetId="18">#REF!</definedName>
    <definedName name="V_SECTION_ISSR_208002861_1316T" localSheetId="12">#REF!</definedName>
    <definedName name="V_SECTION_ISSR_208002861_1316T" localSheetId="23">#REF!</definedName>
    <definedName name="V_SECTION_ISSR_208002861_1316T" localSheetId="19">#REF!</definedName>
    <definedName name="V_SECTION_ISSR_208002861_1316T" localSheetId="21">#REF!</definedName>
    <definedName name="V_SECTION_ISSR_208002861_1316T">#REF!</definedName>
    <definedName name="V_SECTION_ISSR_208002861_1316U" localSheetId="24">#REF!</definedName>
    <definedName name="V_SECTION_ISSR_208002861_1316U" localSheetId="18">#REF!</definedName>
    <definedName name="V_SECTION_ISSR_208002861_1316U" localSheetId="12">#REF!</definedName>
    <definedName name="V_SECTION_ISSR_208002861_1316U" localSheetId="23">#REF!</definedName>
    <definedName name="V_SECTION_ISSR_208002861_1316U" localSheetId="19">#REF!</definedName>
    <definedName name="V_SECTION_ISSR_208002861_1316U" localSheetId="21">#REF!</definedName>
    <definedName name="V_SECTION_ISSR_208002861_1316U">#REF!</definedName>
    <definedName name="V_SECTION_ISSR_208002861_1319" localSheetId="24">#REF!</definedName>
    <definedName name="V_SECTION_ISSR_208002861_1319" localSheetId="18">#REF!</definedName>
    <definedName name="V_SECTION_ISSR_208002861_1319" localSheetId="12">#REF!</definedName>
    <definedName name="V_SECTION_ISSR_208002861_1319" localSheetId="23">#REF!</definedName>
    <definedName name="V_SECTION_ISSR_208002861_1319" localSheetId="19">#REF!</definedName>
    <definedName name="V_SECTION_ISSR_208002861_1319" localSheetId="21">#REF!</definedName>
    <definedName name="V_SECTION_ISSR_208002861_1319">#REF!</definedName>
    <definedName name="V_SECTION_ISSR_208002861_131E" localSheetId="24">#REF!</definedName>
    <definedName name="V_SECTION_ISSR_208002861_131E" localSheetId="18">#REF!</definedName>
    <definedName name="V_SECTION_ISSR_208002861_131E" localSheetId="12">#REF!</definedName>
    <definedName name="V_SECTION_ISSR_208002861_131E" localSheetId="23">#REF!</definedName>
    <definedName name="V_SECTION_ISSR_208002861_131E" localSheetId="19">#REF!</definedName>
    <definedName name="V_SECTION_ISSR_208002861_131E" localSheetId="21">#REF!</definedName>
    <definedName name="V_SECTION_ISSR_208002861_131E">#REF!</definedName>
    <definedName name="V_SECTION_ISSR_208002861_131J" localSheetId="24">#REF!</definedName>
    <definedName name="V_SECTION_ISSR_208002861_131J" localSheetId="18">#REF!</definedName>
    <definedName name="V_SECTION_ISSR_208002861_131J" localSheetId="12">#REF!</definedName>
    <definedName name="V_SECTION_ISSR_208002861_131J" localSheetId="23">#REF!</definedName>
    <definedName name="V_SECTION_ISSR_208002861_131J" localSheetId="19">#REF!</definedName>
    <definedName name="V_SECTION_ISSR_208002861_131J" localSheetId="21">#REF!</definedName>
    <definedName name="V_SECTION_ISSR_208002861_131J">#REF!</definedName>
    <definedName name="V_SECTION_ISSR_208002861_131O" localSheetId="24">#REF!</definedName>
    <definedName name="V_SECTION_ISSR_208002861_131O" localSheetId="18">#REF!</definedName>
    <definedName name="V_SECTION_ISSR_208002861_131O" localSheetId="12">#REF!</definedName>
    <definedName name="V_SECTION_ISSR_208002861_131O" localSheetId="23">#REF!</definedName>
    <definedName name="V_SECTION_ISSR_208002861_131O" localSheetId="19">#REF!</definedName>
    <definedName name="V_SECTION_ISSR_208002861_131O" localSheetId="21">#REF!</definedName>
    <definedName name="V_SECTION_ISSR_208002861_131O">#REF!</definedName>
    <definedName name="V_SECTION_ISSR_208002861_13U" localSheetId="24">#REF!</definedName>
    <definedName name="V_SECTION_ISSR_208002861_13U" localSheetId="18">#REF!</definedName>
    <definedName name="V_SECTION_ISSR_208002861_13U" localSheetId="12">#REF!</definedName>
    <definedName name="V_SECTION_ISSR_208002861_13U" localSheetId="23">#REF!</definedName>
    <definedName name="V_SECTION_ISSR_208002861_13U" localSheetId="19">#REF!</definedName>
    <definedName name="V_SECTION_ISSR_208002861_13U" localSheetId="21">#REF!</definedName>
    <definedName name="V_SECTION_ISSR_208002861_13U">#REF!</definedName>
    <definedName name="V_SECTION_ISSR_208002861_13V" localSheetId="24">#REF!</definedName>
    <definedName name="V_SECTION_ISSR_208002861_13V" localSheetId="18">#REF!</definedName>
    <definedName name="V_SECTION_ISSR_208002861_13V" localSheetId="12">#REF!</definedName>
    <definedName name="V_SECTION_ISSR_208002861_13V" localSheetId="23">#REF!</definedName>
    <definedName name="V_SECTION_ISSR_208002861_13V" localSheetId="19">#REF!</definedName>
    <definedName name="V_SECTION_ISSR_208002861_13V" localSheetId="21">#REF!</definedName>
    <definedName name="V_SECTION_ISSR_208002861_13V">#REF!</definedName>
    <definedName name="V_SECTION_ISSR_208002861_Reference_Data" localSheetId="24">#REF!</definedName>
    <definedName name="V_SECTION_ISSR_208002861_Reference_Data" localSheetId="18">#REF!</definedName>
    <definedName name="V_SECTION_ISSR_208002861_Reference_Data" localSheetId="12">#REF!</definedName>
    <definedName name="V_SECTION_ISSR_208002861_Reference_Data" localSheetId="23">#REF!</definedName>
    <definedName name="V_SECTION_ISSR_208002861_Reference_Data" localSheetId="19">#REF!</definedName>
    <definedName name="V_SECTION_ISSR_208002861_Reference_Data" localSheetId="21">#REF!</definedName>
    <definedName name="V_SECTION_ISSR_208002861_Reference_Data">#REF!</definedName>
    <definedName name="Valuation">#REF!</definedName>
    <definedName name="valuationchart">#REF!</definedName>
    <definedName name="valuationdata">#REF!</definedName>
    <definedName name="vvvvvvvvvvvvvvvvvvvvvvvvvvvv" localSheetId="1" hidden="1">{"Back Page",#N/A,FALSE,"Front and Back"}</definedName>
    <definedName name="vvvvvvvvvvvvvvvvvvvvvvvvvvvv" localSheetId="2" hidden="1">{"Back Page",#N/A,FALSE,"Front and Back"}</definedName>
    <definedName name="vvvvvvvvvvvvvvvvvvvvvvvvvvvv" localSheetId="19" hidden="1">{"Back Page",#N/A,FALSE,"Front and Back"}</definedName>
    <definedName name="vvvvvvvvvvvvvvvvvvvvvvvvvvvv" localSheetId="21" hidden="1">{"Back Page",#N/A,FALSE,"Front and Back"}</definedName>
    <definedName name="vvvvvvvvvvvvvvvvvvvvvvvvvvvv" hidden="1">{"Back Page",#N/A,FALSE,"Front and Back"}</definedName>
    <definedName name="WagesPerEmpAvg">#REF!</definedName>
    <definedName name="WagesSocialSecurity">#REF!</definedName>
    <definedName name="WarrantsMarketValue">#REF!</definedName>
    <definedName name="WarrantsYe">#REF!</definedName>
    <definedName name="WorkingCapitalSalesRatio">#REF!</definedName>
    <definedName name="wrn.all." localSheetId="1" hidden="1">{"a",#N/A,FALSE,"App DCF";"aa",#N/A,FALSE,"App DCF";"aaa",#N/A,FALSE,"App DCF";"aaaa",#N/A,FALSE,"App DCF";"aaaaa",#N/A,FALSE,"App DCF";"aaaaaa",#N/A,FALSE,"App DCF";"a",#N/A,FALSE,"Coated Eur DCF";"aa",#N/A,FALSE,"Coated Eur DCF";"aaa",#N/A,FALSE,"Coated Eur DCF";"aaaa",#N/A,FALSE,"Coated Eur DCF";"aaaaa",#N/A,FALSE,"Coated Eur DCF";"a",#N/A,FALSE,"Carb Th Eur DCF";"aa",#N/A,FALSE,"Carb Th Eur DCF";"aaa",#N/A,FALSE,"Carb Th Eur DCF";"aaaa",#N/A,FALSE,"Carb Th Eur DCF";"aaaaa",#N/A,FALSE,"Carb Th Eur DCF";"a",#N/A,FALSE,"Fine_Spec Eur DCF";"aa",#N/A,FALSE,"Fine_Spec Eur DCF";"aaa",#N/A,FALSE,"Fine_Spec Eur DCF";"aaaa",#N/A,FALSE,"Fine_Spec Eur DCF";"aaaaa",#N/A,FALSE,"Fine_Spec Eur DCF";"a",#N/A,FALSE,"Merchanting";"aa",#N/A,FALSE,"Merchanting";"aaa",#N/A,FALSE,"Merchanting";"aaaa",#N/A,FALSE,"Merchanting";"aaaaa",#N/A,FALSE,"Merchanting";"a",#N/A,FALSE,"Total";"aa",#N/A,FALSE,"Total";"aaa",#N/A,FALSE,"Total";"aaaa",#N/A,FALSE,"Total";"aaaaa",#N/A,FALSE,"Total"}</definedName>
    <definedName name="wrn.all." localSheetId="2" hidden="1">{"a",#N/A,FALSE,"App DCF";"aa",#N/A,FALSE,"App DCF";"aaa",#N/A,FALSE,"App DCF";"aaaa",#N/A,FALSE,"App DCF";"aaaaa",#N/A,FALSE,"App DCF";"aaaaaa",#N/A,FALSE,"App DCF";"a",#N/A,FALSE,"Coated Eur DCF";"aa",#N/A,FALSE,"Coated Eur DCF";"aaa",#N/A,FALSE,"Coated Eur DCF";"aaaa",#N/A,FALSE,"Coated Eur DCF";"aaaaa",#N/A,FALSE,"Coated Eur DCF";"a",#N/A,FALSE,"Carb Th Eur DCF";"aa",#N/A,FALSE,"Carb Th Eur DCF";"aaa",#N/A,FALSE,"Carb Th Eur DCF";"aaaa",#N/A,FALSE,"Carb Th Eur DCF";"aaaaa",#N/A,FALSE,"Carb Th Eur DCF";"a",#N/A,FALSE,"Fine_Spec Eur DCF";"aa",#N/A,FALSE,"Fine_Spec Eur DCF";"aaa",#N/A,FALSE,"Fine_Spec Eur DCF";"aaaa",#N/A,FALSE,"Fine_Spec Eur DCF";"aaaaa",#N/A,FALSE,"Fine_Spec Eur DCF";"a",#N/A,FALSE,"Merchanting";"aa",#N/A,FALSE,"Merchanting";"aaa",#N/A,FALSE,"Merchanting";"aaaa",#N/A,FALSE,"Merchanting";"aaaaa",#N/A,FALSE,"Merchanting";"a",#N/A,FALSE,"Total";"aa",#N/A,FALSE,"Total";"aaa",#N/A,FALSE,"Total";"aaaa",#N/A,FALSE,"Total";"aaaaa",#N/A,FALSE,"Total"}</definedName>
    <definedName name="wrn.all." localSheetId="19" hidden="1">{"a",#N/A,FALSE,"App DCF";"aa",#N/A,FALSE,"App DCF";"aaa",#N/A,FALSE,"App DCF";"aaaa",#N/A,FALSE,"App DCF";"aaaaa",#N/A,FALSE,"App DCF";"aaaaaa",#N/A,FALSE,"App DCF";"a",#N/A,FALSE,"Coated Eur DCF";"aa",#N/A,FALSE,"Coated Eur DCF";"aaa",#N/A,FALSE,"Coated Eur DCF";"aaaa",#N/A,FALSE,"Coated Eur DCF";"aaaaa",#N/A,FALSE,"Coated Eur DCF";"a",#N/A,FALSE,"Carb Th Eur DCF";"aa",#N/A,FALSE,"Carb Th Eur DCF";"aaa",#N/A,FALSE,"Carb Th Eur DCF";"aaaa",#N/A,FALSE,"Carb Th Eur DCF";"aaaaa",#N/A,FALSE,"Carb Th Eur DCF";"a",#N/A,FALSE,"Fine_Spec Eur DCF";"aa",#N/A,FALSE,"Fine_Spec Eur DCF";"aaa",#N/A,FALSE,"Fine_Spec Eur DCF";"aaaa",#N/A,FALSE,"Fine_Spec Eur DCF";"aaaaa",#N/A,FALSE,"Fine_Spec Eur DCF";"a",#N/A,FALSE,"Merchanting";"aa",#N/A,FALSE,"Merchanting";"aaa",#N/A,FALSE,"Merchanting";"aaaa",#N/A,FALSE,"Merchanting";"aaaaa",#N/A,FALSE,"Merchanting";"a",#N/A,FALSE,"Total";"aa",#N/A,FALSE,"Total";"aaa",#N/A,FALSE,"Total";"aaaa",#N/A,FALSE,"Total";"aaaaa",#N/A,FALSE,"Total"}</definedName>
    <definedName name="wrn.all." localSheetId="21" hidden="1">{"a",#N/A,FALSE,"App DCF";"aa",#N/A,FALSE,"App DCF";"aaa",#N/A,FALSE,"App DCF";"aaaa",#N/A,FALSE,"App DCF";"aaaaa",#N/A,FALSE,"App DCF";"aaaaaa",#N/A,FALSE,"App DCF";"a",#N/A,FALSE,"Coated Eur DCF";"aa",#N/A,FALSE,"Coated Eur DCF";"aaa",#N/A,FALSE,"Coated Eur DCF";"aaaa",#N/A,FALSE,"Coated Eur DCF";"aaaaa",#N/A,FALSE,"Coated Eur DCF";"a",#N/A,FALSE,"Carb Th Eur DCF";"aa",#N/A,FALSE,"Carb Th Eur DCF";"aaa",#N/A,FALSE,"Carb Th Eur DCF";"aaaa",#N/A,FALSE,"Carb Th Eur DCF";"aaaaa",#N/A,FALSE,"Carb Th Eur DCF";"a",#N/A,FALSE,"Fine_Spec Eur DCF";"aa",#N/A,FALSE,"Fine_Spec Eur DCF";"aaa",#N/A,FALSE,"Fine_Spec Eur DCF";"aaaa",#N/A,FALSE,"Fine_Spec Eur DCF";"aaaaa",#N/A,FALSE,"Fine_Spec Eur DCF";"a",#N/A,FALSE,"Merchanting";"aa",#N/A,FALSE,"Merchanting";"aaa",#N/A,FALSE,"Merchanting";"aaaa",#N/A,FALSE,"Merchanting";"aaaaa",#N/A,FALSE,"Merchanting";"a",#N/A,FALSE,"Total";"aa",#N/A,FALSE,"Total";"aaa",#N/A,FALSE,"Total";"aaaa",#N/A,FALSE,"Total";"aaaaa",#N/A,FALSE,"Total"}</definedName>
    <definedName name="wrn.all." hidden="1">{"a",#N/A,FALSE,"App DCF";"aa",#N/A,FALSE,"App DCF";"aaa",#N/A,FALSE,"App DCF";"aaaa",#N/A,FALSE,"App DCF";"aaaaa",#N/A,FALSE,"App DCF";"aaaaaa",#N/A,FALSE,"App DCF";"a",#N/A,FALSE,"Coated Eur DCF";"aa",#N/A,FALSE,"Coated Eur DCF";"aaa",#N/A,FALSE,"Coated Eur DCF";"aaaa",#N/A,FALSE,"Coated Eur DCF";"aaaaa",#N/A,FALSE,"Coated Eur DCF";"a",#N/A,FALSE,"Carb Th Eur DCF";"aa",#N/A,FALSE,"Carb Th Eur DCF";"aaa",#N/A,FALSE,"Carb Th Eur DCF";"aaaa",#N/A,FALSE,"Carb Th Eur DCF";"aaaaa",#N/A,FALSE,"Carb Th Eur DCF";"a",#N/A,FALSE,"Fine_Spec Eur DCF";"aa",#N/A,FALSE,"Fine_Spec Eur DCF";"aaa",#N/A,FALSE,"Fine_Spec Eur DCF";"aaaa",#N/A,FALSE,"Fine_Spec Eur DCF";"aaaaa",#N/A,FALSE,"Fine_Spec Eur DCF";"a",#N/A,FALSE,"Merchanting";"aa",#N/A,FALSE,"Merchanting";"aaa",#N/A,FALSE,"Merchanting";"aaaa",#N/A,FALSE,"Merchanting";"aaaaa",#N/A,FALSE,"Merchanting";"a",#N/A,FALSE,"Total";"aa",#N/A,FALSE,"Total";"aaa",#N/A,FALSE,"Total";"aaaa",#N/A,FALSE,"Total";"aaaaa",#N/A,FALSE,"Total"}</definedName>
    <definedName name="wrn.All._.Company._.Analyses." localSheetId="1" hidden="1">{"Methodology and Sourcing",#N/A,FALSE,"Methodology and Sourcing";"britishtelecom",#N/A,FALSE,"BT out";"CTC",#N/A,FALSE,"CTC out";"DT",#N/A,FALSE,"DT out";"FT",#N/A,FALSE,"FT out";"HKT",#N/A,FALSE,"HKT out";"KPN",#N/A,FALSE,"KPN out";"MATAV",#N/A,FALSE,"MATAV out";"PT Telkom",#N/A,FALSE,"PT Telkom out";"Tel Arg",#N/A,FALSE,"Tel Arg out";"Telef Arg",#N/A,FALSE,"TASA out";"Tel Asia",#N/A,FALSE,"Tel. Asia Out";"T de E",#N/A,FALSE,"T de E out";"Tel Malay",#N/A,FALSE,"Tel Malay out";"TELMEX",#N/A,FALSE,"Telmex out";"TNZ",#N/A,FALSE,"TNZ out";"Telkom SA",#N/A,FALSE,"Telkom SA out";"SPT",#N/A,FALSE,"SPT out";"USA",#N/A,FALSE,"USA out"}</definedName>
    <definedName name="wrn.All._.Company._.Analyses." localSheetId="2" hidden="1">{"Methodology and Sourcing",#N/A,FALSE,"Methodology and Sourcing";"britishtelecom",#N/A,FALSE,"BT out";"CTC",#N/A,FALSE,"CTC out";"DT",#N/A,FALSE,"DT out";"FT",#N/A,FALSE,"FT out";"HKT",#N/A,FALSE,"HKT out";"KPN",#N/A,FALSE,"KPN out";"MATAV",#N/A,FALSE,"MATAV out";"PT Telkom",#N/A,FALSE,"PT Telkom out";"Tel Arg",#N/A,FALSE,"Tel Arg out";"Telef Arg",#N/A,FALSE,"TASA out";"Tel Asia",#N/A,FALSE,"Tel. Asia Out";"T de E",#N/A,FALSE,"T de E out";"Tel Malay",#N/A,FALSE,"Tel Malay out";"TELMEX",#N/A,FALSE,"Telmex out";"TNZ",#N/A,FALSE,"TNZ out";"Telkom SA",#N/A,FALSE,"Telkom SA out";"SPT",#N/A,FALSE,"SPT out";"USA",#N/A,FALSE,"USA out"}</definedName>
    <definedName name="wrn.All._.Company._.Analyses." localSheetId="19" hidden="1">{"Methodology and Sourcing",#N/A,FALSE,"Methodology and Sourcing";"britishtelecom",#N/A,FALSE,"BT out";"CTC",#N/A,FALSE,"CTC out";"DT",#N/A,FALSE,"DT out";"FT",#N/A,FALSE,"FT out";"HKT",#N/A,FALSE,"HKT out";"KPN",#N/A,FALSE,"KPN out";"MATAV",#N/A,FALSE,"MATAV out";"PT Telkom",#N/A,FALSE,"PT Telkom out";"Tel Arg",#N/A,FALSE,"Tel Arg out";"Telef Arg",#N/A,FALSE,"TASA out";"Tel Asia",#N/A,FALSE,"Tel. Asia Out";"T de E",#N/A,FALSE,"T de E out";"Tel Malay",#N/A,FALSE,"Tel Malay out";"TELMEX",#N/A,FALSE,"Telmex out";"TNZ",#N/A,FALSE,"TNZ out";"Telkom SA",#N/A,FALSE,"Telkom SA out";"SPT",#N/A,FALSE,"SPT out";"USA",#N/A,FALSE,"USA out"}</definedName>
    <definedName name="wrn.All._.Company._.Analyses." localSheetId="21" hidden="1">{"Methodology and Sourcing",#N/A,FALSE,"Methodology and Sourcing";"britishtelecom",#N/A,FALSE,"BT out";"CTC",#N/A,FALSE,"CTC out";"DT",#N/A,FALSE,"DT out";"FT",#N/A,FALSE,"FT out";"HKT",#N/A,FALSE,"HKT out";"KPN",#N/A,FALSE,"KPN out";"MATAV",#N/A,FALSE,"MATAV out";"PT Telkom",#N/A,FALSE,"PT Telkom out";"Tel Arg",#N/A,FALSE,"Tel Arg out";"Telef Arg",#N/A,FALSE,"TASA out";"Tel Asia",#N/A,FALSE,"Tel. Asia Out";"T de E",#N/A,FALSE,"T de E out";"Tel Malay",#N/A,FALSE,"Tel Malay out";"TELMEX",#N/A,FALSE,"Telmex out";"TNZ",#N/A,FALSE,"TNZ out";"Telkom SA",#N/A,FALSE,"Telkom SA out";"SPT",#N/A,FALSE,"SPT out";"USA",#N/A,FALSE,"USA out"}</definedName>
    <definedName name="wrn.All._.Company._.Analyses." hidden="1">{"Methodology and Sourcing",#N/A,FALSE,"Methodology and Sourcing";"britishtelecom",#N/A,FALSE,"BT out";"CTC",#N/A,FALSE,"CTC out";"DT",#N/A,FALSE,"DT out";"FT",#N/A,FALSE,"FT out";"HKT",#N/A,FALSE,"HKT out";"KPN",#N/A,FALSE,"KPN out";"MATAV",#N/A,FALSE,"MATAV out";"PT Telkom",#N/A,FALSE,"PT Telkom out";"Tel Arg",#N/A,FALSE,"Tel Arg out";"Telef Arg",#N/A,FALSE,"TASA out";"Tel Asia",#N/A,FALSE,"Tel. Asia Out";"T de E",#N/A,FALSE,"T de E out";"Tel Malay",#N/A,FALSE,"Tel Malay out";"TELMEX",#N/A,FALSE,"Telmex out";"TNZ",#N/A,FALSE,"TNZ out";"Telkom SA",#N/A,FALSE,"Telkom SA out";"SPT",#N/A,FALSE,"SPT out";"USA",#N/A,FALSE,"USA out"}</definedName>
    <definedName name="wrn.Asia." localSheetId="1"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sia." localSheetId="2"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sia." localSheetId="19"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sia." localSheetId="21"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sia."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Back._.Page." localSheetId="1" hidden="1">{"Back Page",#N/A,FALSE,"Front and Back"}</definedName>
    <definedName name="wrn.Back._.Page." localSheetId="2" hidden="1">{"Back Page",#N/A,FALSE,"Front and Back"}</definedName>
    <definedName name="wrn.Back._.Page." localSheetId="19" hidden="1">{"Back Page",#N/A,FALSE,"Front and Back"}</definedName>
    <definedName name="wrn.Back._.Page." localSheetId="21" hidden="1">{"Back Page",#N/A,FALSE,"Front and Back"}</definedName>
    <definedName name="wrn.Back._.Page." hidden="1">{"Back Page",#N/A,FALSE,"Front and Back"}</definedName>
    <definedName name="wrn.BPlan." localSheetId="1" hidden="1">{#N/A,#N/A,FALSE,"F_Plan";#N/A,#N/A,FALSE,"Parameter"}</definedName>
    <definedName name="wrn.BPlan." localSheetId="2" hidden="1">{#N/A,#N/A,FALSE,"F_Plan";#N/A,#N/A,FALSE,"Parameter"}</definedName>
    <definedName name="wrn.BPlan." localSheetId="19" hidden="1">{#N/A,#N/A,FALSE,"F_Plan";#N/A,#N/A,FALSE,"Parameter"}</definedName>
    <definedName name="wrn.BPlan." localSheetId="21" hidden="1">{#N/A,#N/A,FALSE,"F_Plan";#N/A,#N/A,FALSE,"Parameter"}</definedName>
    <definedName name="wrn.BPlan." hidden="1">{#N/A,#N/A,FALSE,"F_Plan";#N/A,#N/A,FALSE,"Parameter"}</definedName>
    <definedName name="wrn.Cider." localSheetId="1" hidden="1">{#N/A,#N/A,FALSE,"Cider Segment";#N/A,#N/A,FALSE,"Bulmers";#N/A,#N/A,FALSE,"Ritz";#N/A,#N/A,FALSE,"Stag";#N/A,#N/A,FALSE,"Cider Others"}</definedName>
    <definedName name="wrn.Cider." localSheetId="2" hidden="1">{#N/A,#N/A,FALSE,"Cider Segment";#N/A,#N/A,FALSE,"Bulmers";#N/A,#N/A,FALSE,"Ritz";#N/A,#N/A,FALSE,"Stag";#N/A,#N/A,FALSE,"Cider Others"}</definedName>
    <definedName name="wrn.Cider." localSheetId="19" hidden="1">{#N/A,#N/A,FALSE,"Cider Segment";#N/A,#N/A,FALSE,"Bulmers";#N/A,#N/A,FALSE,"Ritz";#N/A,#N/A,FALSE,"Stag";#N/A,#N/A,FALSE,"Cider Others"}</definedName>
    <definedName name="wrn.Cider." localSheetId="21" hidden="1">{#N/A,#N/A,FALSE,"Cider Segment";#N/A,#N/A,FALSE,"Bulmers";#N/A,#N/A,FALSE,"Ritz";#N/A,#N/A,FALSE,"Stag";#N/A,#N/A,FALSE,"Cider Others"}</definedName>
    <definedName name="wrn.Cider." hidden="1">{#N/A,#N/A,FALSE,"Cider Segment";#N/A,#N/A,FALSE,"Bulmers";#N/A,#N/A,FALSE,"Ritz";#N/A,#N/A,FALSE,"Stag";#N/A,#N/A,FALSE,"Cider Others"}</definedName>
    <definedName name="wrn.Consolidated._.Set." localSheetId="1" hidden="1">{"Consolidated IS w Ratios",#N/A,FALSE,"Consolidated";"Consolidated CF",#N/A,FALSE,"Consolidated";"Consolidated DCF",#N/A,FALSE,"Consolidated"}</definedName>
    <definedName name="wrn.Consolidated._.Set." localSheetId="2" hidden="1">{"Consolidated IS w Ratios",#N/A,FALSE,"Consolidated";"Consolidated CF",#N/A,FALSE,"Consolidated";"Consolidated DCF",#N/A,FALSE,"Consolidated"}</definedName>
    <definedName name="wrn.Consolidated._.Set." localSheetId="19" hidden="1">{"Consolidated IS w Ratios",#N/A,FALSE,"Consolidated";"Consolidated CF",#N/A,FALSE,"Consolidated";"Consolidated DCF",#N/A,FALSE,"Consolidated"}</definedName>
    <definedName name="wrn.Consolidated._.Set." localSheetId="21" hidden="1">{"Consolidated IS w Ratios",#N/A,FALSE,"Consolidated";"Consolidated CF",#N/A,FALSE,"Consolidated";"Consolidated DCF",#N/A,FALSE,"Consolidated"}</definedName>
    <definedName name="wrn.Consolidated._.Set." hidden="1">{"Consolidated IS w Ratios",#N/A,FALSE,"Consolidated";"Consolidated CF",#N/A,FALSE,"Consolidated";"Consolidated DCF",#N/A,FALSE,"Consolidated"}</definedName>
    <definedName name="wrn.CONSOLIDATION." localSheetId="1" hidden="1">{"PAGE1",#N/A,FALSE,"Consolidation";"PAGE2",#N/A,FALSE,"Consolidation";"PAGE3",#N/A,FALSE,"Consolidation";"PAGE4",#N/A,FALSE,"Consolidation";"PAGE5",#N/A,FALSE,"Consolidation";"PAGE6",#N/A,FALSE,"Consolidation";"PAGE7",#N/A,FALSE,"Consolidation"}</definedName>
    <definedName name="wrn.CONSOLIDATION." localSheetId="2" hidden="1">{"PAGE1",#N/A,FALSE,"Consolidation";"PAGE2",#N/A,FALSE,"Consolidation";"PAGE3",#N/A,FALSE,"Consolidation";"PAGE4",#N/A,FALSE,"Consolidation";"PAGE5",#N/A,FALSE,"Consolidation";"PAGE6",#N/A,FALSE,"Consolidation";"PAGE7",#N/A,FALSE,"Consolidation"}</definedName>
    <definedName name="wrn.CONSOLIDATION." localSheetId="19" hidden="1">{"PAGE1",#N/A,FALSE,"Consolidation";"PAGE2",#N/A,FALSE,"Consolidation";"PAGE3",#N/A,FALSE,"Consolidation";"PAGE4",#N/A,FALSE,"Consolidation";"PAGE5",#N/A,FALSE,"Consolidation";"PAGE6",#N/A,FALSE,"Consolidation";"PAGE7",#N/A,FALSE,"Consolidation"}</definedName>
    <definedName name="wrn.CONSOLIDATION." localSheetId="21" hidden="1">{"PAGE1",#N/A,FALSE,"Consolidation";"PAGE2",#N/A,FALSE,"Consolidation";"PAGE3",#N/A,FALSE,"Consolidation";"PAGE4",#N/A,FALSE,"Consolidation";"PAGE5",#N/A,FALSE,"Consolidation";"PAGE6",#N/A,FALSE,"Consolidation";"PAGE7",#N/A,FALSE,"Consolidation"}</definedName>
    <definedName name="wrn.CONSOLIDATION." hidden="1">{"PAGE1",#N/A,FALSE,"Consolidation";"PAGE2",#N/A,FALSE,"Consolidation";"PAGE3",#N/A,FALSE,"Consolidation";"PAGE4",#N/A,FALSE,"Consolidation";"PAGE5",#N/A,FALSE,"Consolidation";"PAGE6",#N/A,FALSE,"Consolidation";"PAGE7",#N/A,FALSE,"Consolidation"}</definedName>
    <definedName name="wrn.contribution." localSheetId="1" hidden="1">{#N/A,#N/A,FALSE,"Contribution Analysis"}</definedName>
    <definedName name="wrn.contribution." localSheetId="2" hidden="1">{#N/A,#N/A,FALSE,"Contribution Analysis"}</definedName>
    <definedName name="wrn.contribution." localSheetId="19" hidden="1">{#N/A,#N/A,FALSE,"Contribution Analysis"}</definedName>
    <definedName name="wrn.contribution." localSheetId="21" hidden="1">{#N/A,#N/A,FALSE,"Contribution Analysis"}</definedName>
    <definedName name="wrn.contribution." hidden="1">{#N/A,#N/A,FALSE,"Contribution Analysis"}</definedName>
    <definedName name="wrn.Cover." localSheetId="1" hidden="1">{"coverall",#N/A,FALSE,"Definitions";"cover1",#N/A,FALSE,"Definitions";"cover2",#N/A,FALSE,"Definitions";"cover3",#N/A,FALSE,"Definitions";"cover4",#N/A,FALSE,"Definitions";"cover5",#N/A,FALSE,"Definitions";"blank",#N/A,FALSE,"Definitions"}</definedName>
    <definedName name="wrn.Cover." localSheetId="2" hidden="1">{"coverall",#N/A,FALSE,"Definitions";"cover1",#N/A,FALSE,"Definitions";"cover2",#N/A,FALSE,"Definitions";"cover3",#N/A,FALSE,"Definitions";"cover4",#N/A,FALSE,"Definitions";"cover5",#N/A,FALSE,"Definitions";"blank",#N/A,FALSE,"Definitions"}</definedName>
    <definedName name="wrn.Cover." localSheetId="19" hidden="1">{"coverall",#N/A,FALSE,"Definitions";"cover1",#N/A,FALSE,"Definitions";"cover2",#N/A,FALSE,"Definitions";"cover3",#N/A,FALSE,"Definitions";"cover4",#N/A,FALSE,"Definitions";"cover5",#N/A,FALSE,"Definitions";"blank",#N/A,FALSE,"Definitions"}</definedName>
    <definedName name="wrn.Cover." localSheetId="21" hidden="1">{"coverall",#N/A,FALSE,"Definitions";"cover1",#N/A,FALSE,"Definitions";"cover2",#N/A,FALSE,"Definitions";"cover3",#N/A,FALSE,"Definitions";"cover4",#N/A,FALSE,"Definitions";"cover5",#N/A,FALSE,"Definitions";"blank",#N/A,FALSE,"Definitions"}</definedName>
    <definedName name="wrn.Cover." hidden="1">{"coverall",#N/A,FALSE,"Definitions";"cover1",#N/A,FALSE,"Definitions";"cover2",#N/A,FALSE,"Definitions";"cover3",#N/A,FALSE,"Definitions";"cover4",#N/A,FALSE,"Definitions";"cover5",#N/A,FALSE,"Definitions";"blank",#N/A,FALSE,"Definitions"}</definedName>
    <definedName name="wrn.CRT." localSheetId="1" hidden="1">{#N/A,#N/A,TRUE,"Title Sheet";#N/A,#N/A,TRUE,"Contents";#N/A,#N/A,TRUE,"Scenarios";#N/A,#N/A,TRUE,"WACC";#N/A,#N/A,TRUE,"Valuation-PERPETUITY";#N/A,#N/A,TRUE,"IS - Conso";#N/A,#N/A,TRUE,"IS - Conso (US$ '95)";#N/A,#N/A,TRUE,"Cash Flow - Conso";#N/A,#N/A,TRUE,"Cash Flow - Conso (US$'95)";#N/A,#N/A,TRUE,"BS - Conso";#N/A,#N/A,TRUE,"BS - Conso (US$'95)";#N/A,#N/A,TRUE,"Macro Assumptions";#N/A,#N/A,TRUE,"Supply assumptions";#N/A,#N/A,TRUE,"Tariffs-Elasticities (FIXED)";#N/A,#N/A,TRUE,"Fixed - Revenues";#N/A,#N/A,TRUE,"Cellular - Revenues";#N/A,#N/A,TRUE,"Fixed - OPEX";#N/A,#N/A,TRUE,"Cellular - OPEX";#N/A,#N/A,TRUE,"Fixed - CAPEX";#N/A,#N/A,TRUE," mobile - CAPEX ";#N/A,#N/A,TRUE,"Debt ";#N/A,#N/A,TRUE,"Taxes";#N/A,#N/A,TRUE,"Dividends";#N/A,#N/A,TRUE,"Net WC";#N/A,#N/A,TRUE,"Ratios";#N/A,#N/A,TRUE,"Ratios IS-Conso";#N/A,#N/A,TRUE,"Ratios BS - Conso";#N/A,#N/A,TRUE,"Proforma - Fixed";#N/A,#N/A,TRUE,"Proforma- Cellular"}</definedName>
    <definedName name="wrn.CRT." localSheetId="2" hidden="1">{#N/A,#N/A,TRUE,"Title Sheet";#N/A,#N/A,TRUE,"Contents";#N/A,#N/A,TRUE,"Scenarios";#N/A,#N/A,TRUE,"WACC";#N/A,#N/A,TRUE,"Valuation-PERPETUITY";#N/A,#N/A,TRUE,"IS - Conso";#N/A,#N/A,TRUE,"IS - Conso (US$ '95)";#N/A,#N/A,TRUE,"Cash Flow - Conso";#N/A,#N/A,TRUE,"Cash Flow - Conso (US$'95)";#N/A,#N/A,TRUE,"BS - Conso";#N/A,#N/A,TRUE,"BS - Conso (US$'95)";#N/A,#N/A,TRUE,"Macro Assumptions";#N/A,#N/A,TRUE,"Supply assumptions";#N/A,#N/A,TRUE,"Tariffs-Elasticities (FIXED)";#N/A,#N/A,TRUE,"Fixed - Revenues";#N/A,#N/A,TRUE,"Cellular - Revenues";#N/A,#N/A,TRUE,"Fixed - OPEX";#N/A,#N/A,TRUE,"Cellular - OPEX";#N/A,#N/A,TRUE,"Fixed - CAPEX";#N/A,#N/A,TRUE," mobile - CAPEX ";#N/A,#N/A,TRUE,"Debt ";#N/A,#N/A,TRUE,"Taxes";#N/A,#N/A,TRUE,"Dividends";#N/A,#N/A,TRUE,"Net WC";#N/A,#N/A,TRUE,"Ratios";#N/A,#N/A,TRUE,"Ratios IS-Conso";#N/A,#N/A,TRUE,"Ratios BS - Conso";#N/A,#N/A,TRUE,"Proforma - Fixed";#N/A,#N/A,TRUE,"Proforma- Cellular"}</definedName>
    <definedName name="wrn.CRT." localSheetId="19" hidden="1">{#N/A,#N/A,TRUE,"Title Sheet";#N/A,#N/A,TRUE,"Contents";#N/A,#N/A,TRUE,"Scenarios";#N/A,#N/A,TRUE,"WACC";#N/A,#N/A,TRUE,"Valuation-PERPETUITY";#N/A,#N/A,TRUE,"IS - Conso";#N/A,#N/A,TRUE,"IS - Conso (US$ '95)";#N/A,#N/A,TRUE,"Cash Flow - Conso";#N/A,#N/A,TRUE,"Cash Flow - Conso (US$'95)";#N/A,#N/A,TRUE,"BS - Conso";#N/A,#N/A,TRUE,"BS - Conso (US$'95)";#N/A,#N/A,TRUE,"Macro Assumptions";#N/A,#N/A,TRUE,"Supply assumptions";#N/A,#N/A,TRUE,"Tariffs-Elasticities (FIXED)";#N/A,#N/A,TRUE,"Fixed - Revenues";#N/A,#N/A,TRUE,"Cellular - Revenues";#N/A,#N/A,TRUE,"Fixed - OPEX";#N/A,#N/A,TRUE,"Cellular - OPEX";#N/A,#N/A,TRUE,"Fixed - CAPEX";#N/A,#N/A,TRUE," mobile - CAPEX ";#N/A,#N/A,TRUE,"Debt ";#N/A,#N/A,TRUE,"Taxes";#N/A,#N/A,TRUE,"Dividends";#N/A,#N/A,TRUE,"Net WC";#N/A,#N/A,TRUE,"Ratios";#N/A,#N/A,TRUE,"Ratios IS-Conso";#N/A,#N/A,TRUE,"Ratios BS - Conso";#N/A,#N/A,TRUE,"Proforma - Fixed";#N/A,#N/A,TRUE,"Proforma- Cellular"}</definedName>
    <definedName name="wrn.CRT." localSheetId="21" hidden="1">{#N/A,#N/A,TRUE,"Title Sheet";#N/A,#N/A,TRUE,"Contents";#N/A,#N/A,TRUE,"Scenarios";#N/A,#N/A,TRUE,"WACC";#N/A,#N/A,TRUE,"Valuation-PERPETUITY";#N/A,#N/A,TRUE,"IS - Conso";#N/A,#N/A,TRUE,"IS - Conso (US$ '95)";#N/A,#N/A,TRUE,"Cash Flow - Conso";#N/A,#N/A,TRUE,"Cash Flow - Conso (US$'95)";#N/A,#N/A,TRUE,"BS - Conso";#N/A,#N/A,TRUE,"BS - Conso (US$'95)";#N/A,#N/A,TRUE,"Macro Assumptions";#N/A,#N/A,TRUE,"Supply assumptions";#N/A,#N/A,TRUE,"Tariffs-Elasticities (FIXED)";#N/A,#N/A,TRUE,"Fixed - Revenues";#N/A,#N/A,TRUE,"Cellular - Revenues";#N/A,#N/A,TRUE,"Fixed - OPEX";#N/A,#N/A,TRUE,"Cellular - OPEX";#N/A,#N/A,TRUE,"Fixed - CAPEX";#N/A,#N/A,TRUE," mobile - CAPEX ";#N/A,#N/A,TRUE,"Debt ";#N/A,#N/A,TRUE,"Taxes";#N/A,#N/A,TRUE,"Dividends";#N/A,#N/A,TRUE,"Net WC";#N/A,#N/A,TRUE,"Ratios";#N/A,#N/A,TRUE,"Ratios IS-Conso";#N/A,#N/A,TRUE,"Ratios BS - Conso";#N/A,#N/A,TRUE,"Proforma - Fixed";#N/A,#N/A,TRUE,"Proforma- Cellular"}</definedName>
    <definedName name="wrn.CRT." hidden="1">{#N/A,#N/A,TRUE,"Title Sheet";#N/A,#N/A,TRUE,"Contents";#N/A,#N/A,TRUE,"Scenarios";#N/A,#N/A,TRUE,"WACC";#N/A,#N/A,TRUE,"Valuation-PERPETUITY";#N/A,#N/A,TRUE,"IS - Conso";#N/A,#N/A,TRUE,"IS - Conso (US$ '95)";#N/A,#N/A,TRUE,"Cash Flow - Conso";#N/A,#N/A,TRUE,"Cash Flow - Conso (US$'95)";#N/A,#N/A,TRUE,"BS - Conso";#N/A,#N/A,TRUE,"BS - Conso (US$'95)";#N/A,#N/A,TRUE,"Macro Assumptions";#N/A,#N/A,TRUE,"Supply assumptions";#N/A,#N/A,TRUE,"Tariffs-Elasticities (FIXED)";#N/A,#N/A,TRUE,"Fixed - Revenues";#N/A,#N/A,TRUE,"Cellular - Revenues";#N/A,#N/A,TRUE,"Fixed - OPEX";#N/A,#N/A,TRUE,"Cellular - OPEX";#N/A,#N/A,TRUE,"Fixed - CAPEX";#N/A,#N/A,TRUE," mobile - CAPEX ";#N/A,#N/A,TRUE,"Debt ";#N/A,#N/A,TRUE,"Taxes";#N/A,#N/A,TRUE,"Dividends";#N/A,#N/A,TRUE,"Net WC";#N/A,#N/A,TRUE,"Ratios";#N/A,#N/A,TRUE,"Ratios IS-Conso";#N/A,#N/A,TRUE,"Ratios BS - Conso";#N/A,#N/A,TRUE,"Proforma - Fixed";#N/A,#N/A,TRUE,"Proforma- Cellular"}</definedName>
    <definedName name="wrn.CSC." localSheetId="1" hidden="1">{"page1",#N/A,TRUE,"CSC";"page2",#N/A,TRUE,"CSC"}</definedName>
    <definedName name="wrn.CSC." localSheetId="2" hidden="1">{"page1",#N/A,TRUE,"CSC";"page2",#N/A,TRUE,"CSC"}</definedName>
    <definedName name="wrn.CSC." localSheetId="19" hidden="1">{"page1",#N/A,TRUE,"CSC";"page2",#N/A,TRUE,"CSC"}</definedName>
    <definedName name="wrn.CSC." localSheetId="21" hidden="1">{"page1",#N/A,TRUE,"CSC";"page2",#N/A,TRUE,"CSC"}</definedName>
    <definedName name="wrn.CSC." hidden="1">{"page1",#N/A,TRUE,"CSC";"page2",#N/A,TRUE,"CSC"}</definedName>
    <definedName name="wrn.CSC2" localSheetId="1" hidden="1">{"page1",#N/A,TRUE,"CSC";"page2",#N/A,TRUE,"CSC"}</definedName>
    <definedName name="wrn.CSC2" localSheetId="2" hidden="1">{"page1",#N/A,TRUE,"CSC";"page2",#N/A,TRUE,"CSC"}</definedName>
    <definedName name="wrn.CSC2" localSheetId="19" hidden="1">{"page1",#N/A,TRUE,"CSC";"page2",#N/A,TRUE,"CSC"}</definedName>
    <definedName name="wrn.CSC2" localSheetId="21" hidden="1">{"page1",#N/A,TRUE,"CSC";"page2",#N/A,TRUE,"CSC"}</definedName>
    <definedName name="wrn.CSC2" hidden="1">{"page1",#N/A,TRUE,"CSC";"page2",#N/A,TRUE,"CSC"}</definedName>
    <definedName name="wrn.csc2." localSheetId="1" hidden="1">{#N/A,#N/A,FALSE,"ORIX CSC"}</definedName>
    <definedName name="wrn.csc2." localSheetId="2" hidden="1">{#N/A,#N/A,FALSE,"ORIX CSC"}</definedName>
    <definedName name="wrn.csc2." localSheetId="19" hidden="1">{#N/A,#N/A,FALSE,"ORIX CSC"}</definedName>
    <definedName name="wrn.csc2." localSheetId="21" hidden="1">{#N/A,#N/A,FALSE,"ORIX CSC"}</definedName>
    <definedName name="wrn.csc2." hidden="1">{#N/A,#N/A,FALSE,"ORIX CSC"}</definedName>
    <definedName name="wrn.database." localSheetId="1" hidden="1">{"subs",#N/A,FALSE,"database ";"proportional",#N/A,FALSE,"database "}</definedName>
    <definedName name="wrn.database." localSheetId="2" hidden="1">{"subs",#N/A,FALSE,"database ";"proportional",#N/A,FALSE,"database "}</definedName>
    <definedName name="wrn.database." localSheetId="19" hidden="1">{"subs",#N/A,FALSE,"database ";"proportional",#N/A,FALSE,"database "}</definedName>
    <definedName name="wrn.database." localSheetId="21" hidden="1">{"subs",#N/A,FALSE,"database ";"proportional",#N/A,FALSE,"database "}</definedName>
    <definedName name="wrn.database." hidden="1">{"subs",#N/A,FALSE,"database ";"proportional",#N/A,FALSE,"database "}</definedName>
    <definedName name="wrn.dcf." localSheetId="1" hidden="1">{"mgmt forecast",#N/A,FALSE,"Mgmt Forecast";"dcf table",#N/A,FALSE,"Mgmt Forecast";"sensitivity",#N/A,FALSE,"Mgmt Forecast";"table inputs",#N/A,FALSE,"Mgmt Forecast";"calculations",#N/A,FALSE,"Mgmt Forecast"}</definedName>
    <definedName name="wrn.dcf." localSheetId="2" hidden="1">{"mgmt forecast",#N/A,FALSE,"Mgmt Forecast";"dcf table",#N/A,FALSE,"Mgmt Forecast";"sensitivity",#N/A,FALSE,"Mgmt Forecast";"table inputs",#N/A,FALSE,"Mgmt Forecast";"calculations",#N/A,FALSE,"Mgmt Forecast"}</definedName>
    <definedName name="wrn.dcf." localSheetId="19" hidden="1">{"mgmt forecast",#N/A,FALSE,"Mgmt Forecast";"dcf table",#N/A,FALSE,"Mgmt Forecast";"sensitivity",#N/A,FALSE,"Mgmt Forecast";"table inputs",#N/A,FALSE,"Mgmt Forecast";"calculations",#N/A,FALSE,"Mgmt Forecast"}</definedName>
    <definedName name="wrn.dcf." localSheetId="21" hidden="1">{"mgmt forecast",#N/A,FALSE,"Mgmt Forecast";"dcf table",#N/A,FALSE,"Mgmt Forecast";"sensitivity",#N/A,FALSE,"Mgmt Forecast";"table inputs",#N/A,FALSE,"Mgmt Forecast";"calculations",#N/A,FALSE,"Mgmt Forecast"}</definedName>
    <definedName name="wrn.dcf." hidden="1">{"mgmt forecast",#N/A,FALSE,"Mgmt Forecast";"dcf table",#N/A,FALSE,"Mgmt Forecast";"sensitivity",#N/A,FALSE,"Mgmt Forecast";"table inputs",#N/A,FALSE,"Mgmt Forecast";"calculations",#N/A,FALSE,"Mgmt Forecast"}</definedName>
    <definedName name="wrn.Detailed._.P._.and._.L." localSheetId="1" hidden="1">{"P and L Detail Page 1",#N/A,FALSE,"Data";"P and L Detail Page 2",#N/A,FALSE,"Data"}</definedName>
    <definedName name="wrn.Detailed._.P._.and._.L." localSheetId="2" hidden="1">{"P and L Detail Page 1",#N/A,FALSE,"Data";"P and L Detail Page 2",#N/A,FALSE,"Data"}</definedName>
    <definedName name="wrn.Detailed._.P._.and._.L." localSheetId="19" hidden="1">{"P and L Detail Page 1",#N/A,FALSE,"Data";"P and L Detail Page 2",#N/A,FALSE,"Data"}</definedName>
    <definedName name="wrn.Detailed._.P._.and._.L." localSheetId="21" hidden="1">{"P and L Detail Page 1",#N/A,FALSE,"Data";"P and L Detail Page 2",#N/A,FALSE,"Data"}</definedName>
    <definedName name="wrn.Detailed._.P._.and._.L." hidden="1">{"P and L Detail Page 1",#N/A,FALSE,"Data";"P and L Detail Page 2",#N/A,FALSE,"Data"}</definedName>
    <definedName name="wrn.Earnings._.Model." localSheetId="1"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rnings._.Model." localSheetId="2"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rnings._.Model." localSheetId="19"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rnings._.Model." localSheetId="21"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rnings._.Model."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mployee._.Efficiency." localSheetId="1" hidden="1">{"Employee Efficiency",#N/A,FALSE,"Benchmarking"}</definedName>
    <definedName name="wrn.Employee._.Efficiency." localSheetId="2" hidden="1">{"Employee Efficiency",#N/A,FALSE,"Benchmarking"}</definedName>
    <definedName name="wrn.Employee._.Efficiency." localSheetId="19" hidden="1">{"Employee Efficiency",#N/A,FALSE,"Benchmarking"}</definedName>
    <definedName name="wrn.Employee._.Efficiency." localSheetId="21" hidden="1">{"Employee Efficiency",#N/A,FALSE,"Benchmarking"}</definedName>
    <definedName name="wrn.Employee._.Efficiency." hidden="1">{"Employee Efficiency",#N/A,FALSE,"Benchmarking"}</definedName>
    <definedName name="wrn.Europe." localSheetId="1"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urope." localSheetId="2"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urope." localSheetId="19"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urope." localSheetId="21"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urope."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urope._.Base." localSheetId="1" hidden="1">{"Eur Base Top",#N/A,FALSE,"Europe Base";"Eur Base Bottom",#N/A,FALSE,"Europe Base"}</definedName>
    <definedName name="wrn.Europe._.Base." localSheetId="2" hidden="1">{"Eur Base Top",#N/A,FALSE,"Europe Base";"Eur Base Bottom",#N/A,FALSE,"Europe Base"}</definedName>
    <definedName name="wrn.Europe._.Base." localSheetId="19" hidden="1">{"Eur Base Top",#N/A,FALSE,"Europe Base";"Eur Base Bottom",#N/A,FALSE,"Europe Base"}</definedName>
    <definedName name="wrn.Europe._.Base." localSheetId="21" hidden="1">{"Eur Base Top",#N/A,FALSE,"Europe Base";"Eur Base Bottom",#N/A,FALSE,"Europe Base"}</definedName>
    <definedName name="wrn.Europe._.Base." hidden="1">{"Eur Base Top",#N/A,FALSE,"Europe Base";"Eur Base Bottom",#N/A,FALSE,"Europe Base"}</definedName>
    <definedName name="wrn.Europe._.Set." localSheetId="1" hidden="1">{"IS w Ratios",#N/A,FALSE,"Europe";"PF CF Europe",#N/A,FALSE,"Europe";"DCF Eur Matrix",#N/A,FALSE,"Europe"}</definedName>
    <definedName name="wrn.Europe._.Set." localSheetId="2" hidden="1">{"IS w Ratios",#N/A,FALSE,"Europe";"PF CF Europe",#N/A,FALSE,"Europe";"DCF Eur Matrix",#N/A,FALSE,"Europe"}</definedName>
    <definedName name="wrn.Europe._.Set." localSheetId="19" hidden="1">{"IS w Ratios",#N/A,FALSE,"Europe";"PF CF Europe",#N/A,FALSE,"Europe";"DCF Eur Matrix",#N/A,FALSE,"Europe"}</definedName>
    <definedName name="wrn.Europe._.Set." localSheetId="21" hidden="1">{"IS w Ratios",#N/A,FALSE,"Europe";"PF CF Europe",#N/A,FALSE,"Europe";"DCF Eur Matrix",#N/A,FALSE,"Europe"}</definedName>
    <definedName name="wrn.Europe._.Set." hidden="1">{"IS w Ratios",#N/A,FALSE,"Europe";"PF CF Europe",#N/A,FALSE,"Europe";"DCF Eur Matrix",#N/A,FALSE,"Europe"}</definedName>
    <definedName name="wrn.Everything." localSheetId="1" hidden="1">{#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wrn.Everything." localSheetId="2" hidden="1">{#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wrn.Everything." localSheetId="19" hidden="1">{#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wrn.Everything." localSheetId="21" hidden="1">{#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wrn.Everything." hidden="1">{#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wrn.Exports." localSheetId="1" hidden="1">{#N/A,#N/A,FALSE,"Exports";#N/A,#N/A,FALSE,"Carolans";#N/A,#N/A,FALSE,"Irish Mist";#N/A,#N/A,FALSE,"Tullamore Dew";#N/A,#N/A,FALSE,"Other Brands Exports";#N/A,#N/A,FALSE,"Frangelico";#N/A,#N/A,FALSE,"Mondoro";#N/A,#N/A,FALSE,"Aperol";#N/A,#N/A,FALSE,"Others Exports"}</definedName>
    <definedName name="wrn.Exports." localSheetId="2" hidden="1">{#N/A,#N/A,FALSE,"Exports";#N/A,#N/A,FALSE,"Carolans";#N/A,#N/A,FALSE,"Irish Mist";#N/A,#N/A,FALSE,"Tullamore Dew";#N/A,#N/A,FALSE,"Other Brands Exports";#N/A,#N/A,FALSE,"Frangelico";#N/A,#N/A,FALSE,"Mondoro";#N/A,#N/A,FALSE,"Aperol";#N/A,#N/A,FALSE,"Others Exports"}</definedName>
    <definedName name="wrn.Exports." localSheetId="19" hidden="1">{#N/A,#N/A,FALSE,"Exports";#N/A,#N/A,FALSE,"Carolans";#N/A,#N/A,FALSE,"Irish Mist";#N/A,#N/A,FALSE,"Tullamore Dew";#N/A,#N/A,FALSE,"Other Brands Exports";#N/A,#N/A,FALSE,"Frangelico";#N/A,#N/A,FALSE,"Mondoro";#N/A,#N/A,FALSE,"Aperol";#N/A,#N/A,FALSE,"Others Exports"}</definedName>
    <definedName name="wrn.Exports." localSheetId="21" hidden="1">{#N/A,#N/A,FALSE,"Exports";#N/A,#N/A,FALSE,"Carolans";#N/A,#N/A,FALSE,"Irish Mist";#N/A,#N/A,FALSE,"Tullamore Dew";#N/A,#N/A,FALSE,"Other Brands Exports";#N/A,#N/A,FALSE,"Frangelico";#N/A,#N/A,FALSE,"Mondoro";#N/A,#N/A,FALSE,"Aperol";#N/A,#N/A,FALSE,"Others Exports"}</definedName>
    <definedName name="wrn.Exports." hidden="1">{#N/A,#N/A,FALSE,"Exports";#N/A,#N/A,FALSE,"Carolans";#N/A,#N/A,FALSE,"Irish Mist";#N/A,#N/A,FALSE,"Tullamore Dew";#N/A,#N/A,FALSE,"Other Brands Exports";#N/A,#N/A,FALSE,"Frangelico";#N/A,#N/A,FALSE,"Mondoro";#N/A,#N/A,FALSE,"Aperol";#N/A,#N/A,FALSE,"Others Exports"}</definedName>
    <definedName name="wrn.Far._.East._.Set." localSheetId="1" hidden="1">{"IS FE with Ratios",#N/A,FALSE,"Far East";"PF CF Far East",#N/A,FALSE,"Far East";"DCF Far East Matrix",#N/A,FALSE,"Far East"}</definedName>
    <definedName name="wrn.Far._.East._.Set." localSheetId="2" hidden="1">{"IS FE with Ratios",#N/A,FALSE,"Far East";"PF CF Far East",#N/A,FALSE,"Far East";"DCF Far East Matrix",#N/A,FALSE,"Far East"}</definedName>
    <definedName name="wrn.Far._.East._.Set." localSheetId="19" hidden="1">{"IS FE with Ratios",#N/A,FALSE,"Far East";"PF CF Far East",#N/A,FALSE,"Far East";"DCF Far East Matrix",#N/A,FALSE,"Far East"}</definedName>
    <definedName name="wrn.Far._.East._.Set." localSheetId="21" hidden="1">{"IS FE with Ratios",#N/A,FALSE,"Far East";"PF CF Far East",#N/A,FALSE,"Far East";"DCF Far East Matrix",#N/A,FALSE,"Far East"}</definedName>
    <definedName name="wrn.Far._.East._.Set." hidden="1">{"IS FE with Ratios",#N/A,FALSE,"Far East";"PF CF Far East",#N/A,FALSE,"Far East";"DCF Far East Matrix",#N/A,FALSE,"Far East"}</definedName>
    <definedName name="wrn.FE._.Sensitivity." localSheetId="1" hidden="1">{"Far East Top",#N/A,FALSE,"FE Model";"Far East Mid",#N/A,FALSE,"FE Model";"Far East Base",#N/A,FALSE,"FE Model"}</definedName>
    <definedName name="wrn.FE._.Sensitivity." localSheetId="2" hidden="1">{"Far East Top",#N/A,FALSE,"FE Model";"Far East Mid",#N/A,FALSE,"FE Model";"Far East Base",#N/A,FALSE,"FE Model"}</definedName>
    <definedName name="wrn.FE._.Sensitivity." localSheetId="19" hidden="1">{"Far East Top",#N/A,FALSE,"FE Model";"Far East Mid",#N/A,FALSE,"FE Model";"Far East Base",#N/A,FALSE,"FE Model"}</definedName>
    <definedName name="wrn.FE._.Sensitivity." localSheetId="21" hidden="1">{"Far East Top",#N/A,FALSE,"FE Model";"Far East Mid",#N/A,FALSE,"FE Model";"Far East Base",#N/A,FALSE,"FE Model"}</definedName>
    <definedName name="wrn.FE._.Sensitivity." hidden="1">{"Far East Top",#N/A,FALSE,"FE Model";"Far East Mid",#N/A,FALSE,"FE Model";"Far East Base",#N/A,FALSE,"FE Model"}</definedName>
    <definedName name="wrn.Financial._.Output." localSheetId="1" hidden="1">{"P and L",#N/A,FALSE,"Financial Output";"Cashflow",#N/A,FALSE,"Financial Output";"Balance Sheet",#N/A,FALSE,"Financial Output"}</definedName>
    <definedName name="wrn.Financial._.Output." localSheetId="2" hidden="1">{"P and L",#N/A,FALSE,"Financial Output";"Cashflow",#N/A,FALSE,"Financial Output";"Balance Sheet",#N/A,FALSE,"Financial Output"}</definedName>
    <definedName name="wrn.Financial._.Output." localSheetId="19" hidden="1">{"P and L",#N/A,FALSE,"Financial Output";"Cashflow",#N/A,FALSE,"Financial Output";"Balance Sheet",#N/A,FALSE,"Financial Output"}</definedName>
    <definedName name="wrn.Financial._.Output." localSheetId="21" hidden="1">{"P and L",#N/A,FALSE,"Financial Output";"Cashflow",#N/A,FALSE,"Financial Output";"Balance Sheet",#N/A,FALSE,"Financial Output"}</definedName>
    <definedName name="wrn.Financial._.Output." hidden="1">{"P and L",#N/A,FALSE,"Financial Output";"Cashflow",#N/A,FALSE,"Financial Output";"Balance Sheet",#N/A,FALSE,"Financial Output"}</definedName>
    <definedName name="wrn.Five._.Year._.Record." localSheetId="1" hidden="1">{"Five Year Record",#N/A,FALSE,"Front and Back"}</definedName>
    <definedName name="wrn.Five._.Year._.Record." localSheetId="2" hidden="1">{"Five Year Record",#N/A,FALSE,"Front and Back"}</definedName>
    <definedName name="wrn.Five._.Year._.Record." localSheetId="19" hidden="1">{"Five Year Record",#N/A,FALSE,"Front and Back"}</definedName>
    <definedName name="wrn.Five._.Year._.Record." localSheetId="21" hidden="1">{"Five Year Record",#N/A,FALSE,"Front and Back"}</definedName>
    <definedName name="wrn.Five._.Year._.Record." hidden="1">{"Five Year Record",#N/A,FALSE,"Front and Back"}</definedName>
    <definedName name="wrn.Front._.Page." localSheetId="1" hidden="1">{"Front Page",#N/A,FALSE,"Front and Back"}</definedName>
    <definedName name="wrn.Front._.Page." localSheetId="2" hidden="1">{"Front Page",#N/A,FALSE,"Front and Back"}</definedName>
    <definedName name="wrn.Front._.Page." localSheetId="19" hidden="1">{"Front Page",#N/A,FALSE,"Front and Back"}</definedName>
    <definedName name="wrn.Front._.Page." localSheetId="21" hidden="1">{"Front Page",#N/A,FALSE,"Front and Back"}</definedName>
    <definedName name="wrn.Front._.Page." hidden="1">{"Front Page",#N/A,FALSE,"Front and Back"}</definedName>
    <definedName name="wrn.full." localSheetId="1" hidden="1">{"ANNUAL",#N/A,FALSE,"DDCLINK";"DDC94",#N/A,FALSE,"DDCLINK"}</definedName>
    <definedName name="wrn.full." localSheetId="2" hidden="1">{"ANNUAL",#N/A,FALSE,"DDCLINK";"DDC94",#N/A,FALSE,"DDCLINK"}</definedName>
    <definedName name="wrn.full." localSheetId="19" hidden="1">{"ANNUAL",#N/A,FALSE,"DDCLINK";"DDC94",#N/A,FALSE,"DDCLINK"}</definedName>
    <definedName name="wrn.full." localSheetId="21" hidden="1">{"ANNUAL",#N/A,FALSE,"DDCLINK";"DDC94",#N/A,FALSE,"DDCLINK"}</definedName>
    <definedName name="wrn.full." hidden="1">{"ANNUAL",#N/A,FALSE,"DDCLINK";"DDC94",#N/A,FALSE,"DDCLINK"}</definedName>
    <definedName name="wrn.FY97SBP." localSheetId="1" hidden="1">{#N/A,#N/A,FALSE,"FY97";#N/A,#N/A,FALSE,"FY98";#N/A,#N/A,FALSE,"FY99";#N/A,#N/A,FALSE,"FY00";#N/A,#N/A,FALSE,"FY01"}</definedName>
    <definedName name="wrn.FY97SBP." localSheetId="2" hidden="1">{#N/A,#N/A,FALSE,"FY97";#N/A,#N/A,FALSE,"FY98";#N/A,#N/A,FALSE,"FY99";#N/A,#N/A,FALSE,"FY00";#N/A,#N/A,FALSE,"FY01"}</definedName>
    <definedName name="wrn.FY97SBP." localSheetId="19" hidden="1">{#N/A,#N/A,FALSE,"FY97";#N/A,#N/A,FALSE,"FY98";#N/A,#N/A,FALSE,"FY99";#N/A,#N/A,FALSE,"FY00";#N/A,#N/A,FALSE,"FY01"}</definedName>
    <definedName name="wrn.FY97SBP." localSheetId="21" hidden="1">{#N/A,#N/A,FALSE,"FY97";#N/A,#N/A,FALSE,"FY98";#N/A,#N/A,FALSE,"FY99";#N/A,#N/A,FALSE,"FY00";#N/A,#N/A,FALSE,"FY01"}</definedName>
    <definedName name="wrn.FY97SBP." hidden="1">{#N/A,#N/A,FALSE,"FY97";#N/A,#N/A,FALSE,"FY98";#N/A,#N/A,FALSE,"FY99";#N/A,#N/A,FALSE,"FY00";#N/A,#N/A,FALSE,"FY01"}</definedName>
    <definedName name="wrn.Geographic._.Trends." localSheetId="1" hidden="1">{"Geographic P1",#N/A,FALSE,"Division &amp; Geog"}</definedName>
    <definedName name="wrn.Geographic._.Trends." localSheetId="2" hidden="1">{"Geographic P1",#N/A,FALSE,"Division &amp; Geog"}</definedName>
    <definedName name="wrn.Geographic._.Trends." localSheetId="19" hidden="1">{"Geographic P1",#N/A,FALSE,"Division &amp; Geog"}</definedName>
    <definedName name="wrn.Geographic._.Trends." localSheetId="21" hidden="1">{"Geographic P1",#N/A,FALSE,"Division &amp; Geog"}</definedName>
    <definedName name="wrn.Geographic._.Trends." hidden="1">{"Geographic P1",#N/A,FALSE,"Division &amp; Geog"}</definedName>
    <definedName name="wrn.Income._.Statement." localSheetId="1" hidden="1">{#N/A,#N/A,FALSE,"Report Print"}</definedName>
    <definedName name="wrn.Income._.Statement." localSheetId="2" hidden="1">{#N/A,#N/A,FALSE,"Report Print"}</definedName>
    <definedName name="wrn.Income._.Statement." localSheetId="19" hidden="1">{#N/A,#N/A,FALSE,"Report Print"}</definedName>
    <definedName name="wrn.Income._.Statement." localSheetId="21" hidden="1">{#N/A,#N/A,FALSE,"Report Print"}</definedName>
    <definedName name="wrn.Income._.Statement." hidden="1">{#N/A,#N/A,FALSE,"Report Print"}</definedName>
    <definedName name="wrn.international." localSheetId="1" hidden="1">{"sweden",#N/A,FALSE,"Sweden";"germany",#N/A,FALSE,"Germany";"portugal",#N/A,FALSE,"Portugal";"belgium",#N/A,FALSE,"Belgium";"japan",#N/A,FALSE,"Japan ";"italy",#N/A,FALSE,"Italy";"spain",#N/A,FALSE,"Spain";"korea",#N/A,FALSE,"Korea"}</definedName>
    <definedName name="wrn.international." localSheetId="2" hidden="1">{"sweden",#N/A,FALSE,"Sweden";"germany",#N/A,FALSE,"Germany";"portugal",#N/A,FALSE,"Portugal";"belgium",#N/A,FALSE,"Belgium";"japan",#N/A,FALSE,"Japan ";"italy",#N/A,FALSE,"Italy";"spain",#N/A,FALSE,"Spain";"korea",#N/A,FALSE,"Korea"}</definedName>
    <definedName name="wrn.international." localSheetId="19" hidden="1">{"sweden",#N/A,FALSE,"Sweden";"germany",#N/A,FALSE,"Germany";"portugal",#N/A,FALSE,"Portugal";"belgium",#N/A,FALSE,"Belgium";"japan",#N/A,FALSE,"Japan ";"italy",#N/A,FALSE,"Italy";"spain",#N/A,FALSE,"Spain";"korea",#N/A,FALSE,"Korea"}</definedName>
    <definedName name="wrn.international." localSheetId="21" hidden="1">{"sweden",#N/A,FALSE,"Sweden";"germany",#N/A,FALSE,"Germany";"portugal",#N/A,FALSE,"Portugal";"belgium",#N/A,FALSE,"Belgium";"japan",#N/A,FALSE,"Japan ";"italy",#N/A,FALSE,"Italy";"spain",#N/A,FALSE,"Spain";"korea",#N/A,FALSE,"Korea"}</definedName>
    <definedName name="wrn.international." hidden="1">{"sweden",#N/A,FALSE,"Sweden";"germany",#N/A,FALSE,"Germany";"portugal",#N/A,FALSE,"Portugal";"belgium",#N/A,FALSE,"Belgium";"japan",#N/A,FALSE,"Japan ";"italy",#N/A,FALSE,"Italy";"spain",#N/A,FALSE,"Spain";"korea",#N/A,FALSE,"Korea"}</definedName>
    <definedName name="wrn.Italy." localSheetId="1" hidden="1">{#N/A,#N/A,FALSE,"Italy";#N/A,#N/A,FALSE,"Aperol Italy";#N/A,#N/A,FALSE,"Aperol Soda Italy";#N/A,#N/A,FALSE,"Spumanti";#N/A,#N/A,FALSE,"Barbieri Liqueur Italy";#N/A,#N/A,FALSE,"Others Italy"}</definedName>
    <definedName name="wrn.Italy." localSheetId="2" hidden="1">{#N/A,#N/A,FALSE,"Italy";#N/A,#N/A,FALSE,"Aperol Italy";#N/A,#N/A,FALSE,"Aperol Soda Italy";#N/A,#N/A,FALSE,"Spumanti";#N/A,#N/A,FALSE,"Barbieri Liqueur Italy";#N/A,#N/A,FALSE,"Others Italy"}</definedName>
    <definedName name="wrn.Italy." localSheetId="19" hidden="1">{#N/A,#N/A,FALSE,"Italy";#N/A,#N/A,FALSE,"Aperol Italy";#N/A,#N/A,FALSE,"Aperol Soda Italy";#N/A,#N/A,FALSE,"Spumanti";#N/A,#N/A,FALSE,"Barbieri Liqueur Italy";#N/A,#N/A,FALSE,"Others Italy"}</definedName>
    <definedName name="wrn.Italy." localSheetId="21" hidden="1">{#N/A,#N/A,FALSE,"Italy";#N/A,#N/A,FALSE,"Aperol Italy";#N/A,#N/A,FALSE,"Aperol Soda Italy";#N/A,#N/A,FALSE,"Spumanti";#N/A,#N/A,FALSE,"Barbieri Liqueur Italy";#N/A,#N/A,FALSE,"Others Italy"}</definedName>
    <definedName name="wrn.Italy." hidden="1">{#N/A,#N/A,FALSE,"Italy";#N/A,#N/A,FALSE,"Aperol Italy";#N/A,#N/A,FALSE,"Aperol Soda Italy";#N/A,#N/A,FALSE,"Spumanti";#N/A,#N/A,FALSE,"Barbieri Liqueur Italy";#N/A,#N/A,FALSE,"Others Italy"}</definedName>
    <definedName name="wrn.JG._.FE._.Dollar." localSheetId="1" hidden="1">{"JG FE Top",#N/A,FALSE,"JG FE $";"JG FE Bottom",#N/A,FALSE,"JG FE $"}</definedName>
    <definedName name="wrn.JG._.FE._.Dollar." localSheetId="2" hidden="1">{"JG FE Top",#N/A,FALSE,"JG FE $";"JG FE Bottom",#N/A,FALSE,"JG FE $"}</definedName>
    <definedName name="wrn.JG._.FE._.Dollar." localSheetId="19" hidden="1">{"JG FE Top",#N/A,FALSE,"JG FE $";"JG FE Bottom",#N/A,FALSE,"JG FE $"}</definedName>
    <definedName name="wrn.JG._.FE._.Dollar." localSheetId="21" hidden="1">{"JG FE Top",#N/A,FALSE,"JG FE $";"JG FE Bottom",#N/A,FALSE,"JG FE $"}</definedName>
    <definedName name="wrn.JG._.FE._.Dollar." hidden="1">{"JG FE Top",#N/A,FALSE,"JG FE $";"JG FE Bottom",#N/A,FALSE,"JG FE $"}</definedName>
    <definedName name="wrn.JG._.FE._.Yen." localSheetId="1" hidden="1">{"JG FE Top",#N/A,FALSE,"JG FE ¥";"JG FE Bottom",#N/A,FALSE,"JG FE ¥"}</definedName>
    <definedName name="wrn.JG._.FE._.Yen." localSheetId="2" hidden="1">{"JG FE Top",#N/A,FALSE,"JG FE ¥";"JG FE Bottom",#N/A,FALSE,"JG FE ¥"}</definedName>
    <definedName name="wrn.JG._.FE._.Yen." localSheetId="19" hidden="1">{"JG FE Top",#N/A,FALSE,"JG FE ¥";"JG FE Bottom",#N/A,FALSE,"JG FE ¥"}</definedName>
    <definedName name="wrn.JG._.FE._.Yen." localSheetId="21" hidden="1">{"JG FE Top",#N/A,FALSE,"JG FE ¥";"JG FE Bottom",#N/A,FALSE,"JG FE ¥"}</definedName>
    <definedName name="wrn.JG._.FE._.Yen." hidden="1">{"JG FE Top",#N/A,FALSE,"JG FE ¥";"JG FE Bottom",#N/A,FALSE,"JG FE ¥"}</definedName>
    <definedName name="wrn.lbo." localSheetId="1" hidden="1">{"a",#N/A,FALSE,"LBO - 100%, No Sales";"aa",#N/A,FALSE,"LBO - 100%, No Sales";"aaa",#N/A,FALSE,"LBO - 100%, No Sales";"aaaa",#N/A,FALSE,"LBO - 100%, No Sales";"aaaaa",#N/A,FALSE,"LBO - 100%, No Sales";"aaaaaa",#N/A,FALSE,"LBO - 100%, No Sales";"aaaaaaa",#N/A,FALSE,"LBO - 100%, No Sales";"aaaaaaaa",#N/A,FALSE,"LBO - 100%, No Sales"}</definedName>
    <definedName name="wrn.lbo." localSheetId="2" hidden="1">{"a",#N/A,FALSE,"LBO - 100%, No Sales";"aa",#N/A,FALSE,"LBO - 100%, No Sales";"aaa",#N/A,FALSE,"LBO - 100%, No Sales";"aaaa",#N/A,FALSE,"LBO - 100%, No Sales";"aaaaa",#N/A,FALSE,"LBO - 100%, No Sales";"aaaaaa",#N/A,FALSE,"LBO - 100%, No Sales";"aaaaaaa",#N/A,FALSE,"LBO - 100%, No Sales";"aaaaaaaa",#N/A,FALSE,"LBO - 100%, No Sales"}</definedName>
    <definedName name="wrn.lbo." localSheetId="19" hidden="1">{"a",#N/A,FALSE,"LBO - 100%, No Sales";"aa",#N/A,FALSE,"LBO - 100%, No Sales";"aaa",#N/A,FALSE,"LBO - 100%, No Sales";"aaaa",#N/A,FALSE,"LBO - 100%, No Sales";"aaaaa",#N/A,FALSE,"LBO - 100%, No Sales";"aaaaaa",#N/A,FALSE,"LBO - 100%, No Sales";"aaaaaaa",#N/A,FALSE,"LBO - 100%, No Sales";"aaaaaaaa",#N/A,FALSE,"LBO - 100%, No Sales"}</definedName>
    <definedName name="wrn.lbo." localSheetId="21" hidden="1">{"a",#N/A,FALSE,"LBO - 100%, No Sales";"aa",#N/A,FALSE,"LBO - 100%, No Sales";"aaa",#N/A,FALSE,"LBO - 100%, No Sales";"aaaa",#N/A,FALSE,"LBO - 100%, No Sales";"aaaaa",#N/A,FALSE,"LBO - 100%, No Sales";"aaaaaa",#N/A,FALSE,"LBO - 100%, No Sales";"aaaaaaa",#N/A,FALSE,"LBO - 100%, No Sales";"aaaaaaaa",#N/A,FALSE,"LBO - 100%, No Sales"}</definedName>
    <definedName name="wrn.lbo." hidden="1">{"a",#N/A,FALSE,"LBO - 100%, No Sales";"aa",#N/A,FALSE,"LBO - 100%, No Sales";"aaa",#N/A,FALSE,"LBO - 100%, No Sales";"aaaa",#N/A,FALSE,"LBO - 100%, No Sales";"aaaaa",#N/A,FALSE,"LBO - 100%, No Sales";"aaaaaa",#N/A,FALSE,"LBO - 100%, No Sales";"aaaaaaa",#N/A,FALSE,"LBO - 100%, No Sales";"aaaaaaaa",#N/A,FALSE,"LBO - 100%, No Sales"}</definedName>
    <definedName name="wrn.lbo2." localSheetId="1" hidden="1">{"a",#N/A,FALSE,"LBO - 100%, Sells FSM in 1999";"aa",#N/A,FALSE,"LBO - 100%, Sells FSM in 1999";"aaa",#N/A,FALSE,"LBO - 100%, Sells FSM in 1999";"aaaa",#N/A,FALSE,"LBO - 100%, Sells FSM in 1999";"aaaaa",#N/A,FALSE,"LBO - 100%, Sells FSM in 1999";"aaaaaa",#N/A,FALSE,"LBO - 100%, Sells FSM in 1999";"aaaaaaa",#N/A,FALSE,"LBO - 100%, Sells FSM in 1999"}</definedName>
    <definedName name="wrn.lbo2." localSheetId="2" hidden="1">{"a",#N/A,FALSE,"LBO - 100%, Sells FSM in 1999";"aa",#N/A,FALSE,"LBO - 100%, Sells FSM in 1999";"aaa",#N/A,FALSE,"LBO - 100%, Sells FSM in 1999";"aaaa",#N/A,FALSE,"LBO - 100%, Sells FSM in 1999";"aaaaa",#N/A,FALSE,"LBO - 100%, Sells FSM in 1999";"aaaaaa",#N/A,FALSE,"LBO - 100%, Sells FSM in 1999";"aaaaaaa",#N/A,FALSE,"LBO - 100%, Sells FSM in 1999"}</definedName>
    <definedName name="wrn.lbo2." localSheetId="19" hidden="1">{"a",#N/A,FALSE,"LBO - 100%, Sells FSM in 1999";"aa",#N/A,FALSE,"LBO - 100%, Sells FSM in 1999";"aaa",#N/A,FALSE,"LBO - 100%, Sells FSM in 1999";"aaaa",#N/A,FALSE,"LBO - 100%, Sells FSM in 1999";"aaaaa",#N/A,FALSE,"LBO - 100%, Sells FSM in 1999";"aaaaaa",#N/A,FALSE,"LBO - 100%, Sells FSM in 1999";"aaaaaaa",#N/A,FALSE,"LBO - 100%, Sells FSM in 1999"}</definedName>
    <definedName name="wrn.lbo2." localSheetId="21" hidden="1">{"a",#N/A,FALSE,"LBO - 100%, Sells FSM in 1999";"aa",#N/A,FALSE,"LBO - 100%, Sells FSM in 1999";"aaa",#N/A,FALSE,"LBO - 100%, Sells FSM in 1999";"aaaa",#N/A,FALSE,"LBO - 100%, Sells FSM in 1999";"aaaaa",#N/A,FALSE,"LBO - 100%, Sells FSM in 1999";"aaaaaa",#N/A,FALSE,"LBO - 100%, Sells FSM in 1999";"aaaaaaa",#N/A,FALSE,"LBO - 100%, Sells FSM in 1999"}</definedName>
    <definedName name="wrn.lbo2." hidden="1">{"a",#N/A,FALSE,"LBO - 100%, Sells FSM in 1999";"aa",#N/A,FALSE,"LBO - 100%, Sells FSM in 1999";"aaa",#N/A,FALSE,"LBO - 100%, Sells FSM in 1999";"aaaa",#N/A,FALSE,"LBO - 100%, Sells FSM in 1999";"aaaaa",#N/A,FALSE,"LBO - 100%, Sells FSM in 1999";"aaaaaa",#N/A,FALSE,"LBO - 100%, Sells FSM in 1999";"aaaaaaa",#N/A,FALSE,"LBO - 100%, Sells FSM in 1999"}</definedName>
    <definedName name="wrn.lbo3." localSheetId="1" hidden="1">{"a",#N/A,FALSE,"LBO - 100%, Sell C,CT 98......";"aa",#N/A,FALSE,"LBO - 100%, Sell C,CT 98......";"aaa",#N/A,FALSE,"LBO - 100%, Sell C,CT 98......";"aaaa",#N/A,FALSE,"LBO - 100%, Sell C,CT 98......";"aaaaa",#N/A,FALSE,"LBO - 100%, Sell C,CT 98......";"aaaaaa",#N/A,FALSE,"LBO - 100%, Sell C,CT 98......"}</definedName>
    <definedName name="wrn.lbo3." localSheetId="2" hidden="1">{"a",#N/A,FALSE,"LBO - 100%, Sell C,CT 98......";"aa",#N/A,FALSE,"LBO - 100%, Sell C,CT 98......";"aaa",#N/A,FALSE,"LBO - 100%, Sell C,CT 98......";"aaaa",#N/A,FALSE,"LBO - 100%, Sell C,CT 98......";"aaaaa",#N/A,FALSE,"LBO - 100%, Sell C,CT 98......";"aaaaaa",#N/A,FALSE,"LBO - 100%, Sell C,CT 98......"}</definedName>
    <definedName name="wrn.lbo3." localSheetId="19" hidden="1">{"a",#N/A,FALSE,"LBO - 100%, Sell C,CT 98......";"aa",#N/A,FALSE,"LBO - 100%, Sell C,CT 98......";"aaa",#N/A,FALSE,"LBO - 100%, Sell C,CT 98......";"aaaa",#N/A,FALSE,"LBO - 100%, Sell C,CT 98......";"aaaaa",#N/A,FALSE,"LBO - 100%, Sell C,CT 98......";"aaaaaa",#N/A,FALSE,"LBO - 100%, Sell C,CT 98......"}</definedName>
    <definedName name="wrn.lbo3." localSheetId="21" hidden="1">{"a",#N/A,FALSE,"LBO - 100%, Sell C,CT 98......";"aa",#N/A,FALSE,"LBO - 100%, Sell C,CT 98......";"aaa",#N/A,FALSE,"LBO - 100%, Sell C,CT 98......";"aaaa",#N/A,FALSE,"LBO - 100%, Sell C,CT 98......";"aaaaa",#N/A,FALSE,"LBO - 100%, Sell C,CT 98......";"aaaaaa",#N/A,FALSE,"LBO - 100%, Sell C,CT 98......"}</definedName>
    <definedName name="wrn.lbo3." hidden="1">{"a",#N/A,FALSE,"LBO - 100%, Sell C,CT 98......";"aa",#N/A,FALSE,"LBO - 100%, Sell C,CT 98......";"aaa",#N/A,FALSE,"LBO - 100%, Sell C,CT 98......";"aaaa",#N/A,FALSE,"LBO - 100%, Sell C,CT 98......";"aaaaa",#N/A,FALSE,"LBO - 100%, Sell C,CT 98......";"aaaaaa",#N/A,FALSE,"LBO - 100%, Sell C,CT 98......"}</definedName>
    <definedName name="wrn.Line._.Efficiency." localSheetId="1" hidden="1">{"Line Efficiency",#N/A,FALSE,"Benchmarking"}</definedName>
    <definedName name="wrn.Line._.Efficiency." localSheetId="2" hidden="1">{"Line Efficiency",#N/A,FALSE,"Benchmarking"}</definedName>
    <definedName name="wrn.Line._.Efficiency." localSheetId="19" hidden="1">{"Line Efficiency",#N/A,FALSE,"Benchmarking"}</definedName>
    <definedName name="wrn.Line._.Efficiency." localSheetId="21" hidden="1">{"Line Efficiency",#N/A,FALSE,"Benchmarking"}</definedName>
    <definedName name="wrn.Line._.Efficiency." hidden="1">{"Line Efficiency",#N/A,FALSE,"Benchmarking"}</definedName>
    <definedName name="wrn.Main._.Report._.All._.Sections." localSheetId="1"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wrn.Main._.Report._.All._.Sections." localSheetId="2"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wrn.Main._.Report._.All._.Sections." localSheetId="19"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wrn.Main._.Report._.All._.Sections." localSheetId="21"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wrn.Main._.Report._.All._.Sections."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wrn.MERGER._.PLANS." localSheetId="1" hidden="1">{"Assumptions1",#N/A,FALSE,"Assumptions";"MergerPlans1","20yearamort",FALSE,"MergerPlans";"MergerPlans1","40yearamort",FALSE,"MergerPlans";"MergerPlans2",#N/A,FALSE,"MergerPlans";"inputs",#N/A,FALSE,"MergerPlans"}</definedName>
    <definedName name="wrn.MERGER._.PLANS." localSheetId="2" hidden="1">{"Assumptions1",#N/A,FALSE,"Assumptions";"MergerPlans1","20yearamort",FALSE,"MergerPlans";"MergerPlans1","40yearamort",FALSE,"MergerPlans";"MergerPlans2",#N/A,FALSE,"MergerPlans";"inputs",#N/A,FALSE,"MergerPlans"}</definedName>
    <definedName name="wrn.MERGER._.PLANS." localSheetId="19" hidden="1">{"Assumptions1",#N/A,FALSE,"Assumptions";"MergerPlans1","20yearamort",FALSE,"MergerPlans";"MergerPlans1","40yearamort",FALSE,"MergerPlans";"MergerPlans2",#N/A,FALSE,"MergerPlans";"inputs",#N/A,FALSE,"MergerPlans"}</definedName>
    <definedName name="wrn.MERGER._.PLANS." localSheetId="21" hidden="1">{"Assumptions1",#N/A,FALSE,"Assumptions";"MergerPlans1","20yearamort",FALSE,"MergerPlans";"MergerPlans1","40yearamort",FALSE,"MergerPlans";"MergerPlans2",#N/A,FALSE,"MergerPlans";"inputs",#N/A,FALSE,"MergerPlans"}</definedName>
    <definedName name="wrn.MERGER._.PLANS." hidden="1">{"Assumptions1",#N/A,FALSE,"Assumptions";"MergerPlans1","20yearamort",FALSE,"MergerPlans";"MergerPlans1","40yearamort",FALSE,"MergerPlans";"MergerPlans2",#N/A,FALSE,"MergerPlans";"inputs",#N/A,FALSE,"MergerPlans"}</definedName>
    <definedName name="wrn.NA._.Model._.T._.and._.B." localSheetId="1" hidden="1">{"NA Top",#N/A,FALSE,"NA Model";"NA Bottom",#N/A,FALSE,"NA Model"}</definedName>
    <definedName name="wrn.NA._.Model._.T._.and._.B." localSheetId="2" hidden="1">{"NA Top",#N/A,FALSE,"NA Model";"NA Bottom",#N/A,FALSE,"NA Model"}</definedName>
    <definedName name="wrn.NA._.Model._.T._.and._.B." localSheetId="19" hidden="1">{"NA Top",#N/A,FALSE,"NA Model";"NA Bottom",#N/A,FALSE,"NA Model"}</definedName>
    <definedName name="wrn.NA._.Model._.T._.and._.B." localSheetId="21" hidden="1">{"NA Top",#N/A,FALSE,"NA Model";"NA Bottom",#N/A,FALSE,"NA Model"}</definedName>
    <definedName name="wrn.NA._.Model._.T._.and._.B." hidden="1">{"NA Top",#N/A,FALSE,"NA Model";"NA Bottom",#N/A,FALSE,"NA Model"}</definedName>
    <definedName name="wrn.NA_ULV._.Tand._.B." localSheetId="1" hidden="1">{"NA Top",#N/A,FALSE,"NA-ULV";"NA Bottom",#N/A,FALSE,"NA-ULV"}</definedName>
    <definedName name="wrn.NA_ULV._.Tand._.B." localSheetId="2" hidden="1">{"NA Top",#N/A,FALSE,"NA-ULV";"NA Bottom",#N/A,FALSE,"NA-ULV"}</definedName>
    <definedName name="wrn.NA_ULV._.Tand._.B." localSheetId="19" hidden="1">{"NA Top",#N/A,FALSE,"NA-ULV";"NA Bottom",#N/A,FALSE,"NA-ULV"}</definedName>
    <definedName name="wrn.NA_ULV._.Tand._.B." localSheetId="21" hidden="1">{"NA Top",#N/A,FALSE,"NA-ULV";"NA Bottom",#N/A,FALSE,"NA-ULV"}</definedName>
    <definedName name="wrn.NA_ULV._.Tand._.B." hidden="1">{"NA Top",#N/A,FALSE,"NA-ULV";"NA Bottom",#N/A,FALSE,"NA-ULV"}</definedName>
    <definedName name="wrn.Normal." localSheetId="1" hidden="1">{#N/A,#N/A,FALSE,"Market Values I";#N/A,#N/A,FALSE,"Market Values II";#N/A,#N/A,FALSE,"DT Shareholding";#N/A,#N/A,FALSE,"Purchase of Sprint1";#N/A,#N/A,FALSE,"Purchase of Sprint2";#N/A,#N/A,FALSE,"Financial Impact1";#N/A,#N/A,FALSE,"Financial Impact2";#N/A,#N/A,FALSE,"Financial Impact3";#N/A,#N/A,FALSE,"Flowback"}</definedName>
    <definedName name="wrn.Normal." localSheetId="2" hidden="1">{#N/A,#N/A,FALSE,"Market Values I";#N/A,#N/A,FALSE,"Market Values II";#N/A,#N/A,FALSE,"DT Shareholding";#N/A,#N/A,FALSE,"Purchase of Sprint1";#N/A,#N/A,FALSE,"Purchase of Sprint2";#N/A,#N/A,FALSE,"Financial Impact1";#N/A,#N/A,FALSE,"Financial Impact2";#N/A,#N/A,FALSE,"Financial Impact3";#N/A,#N/A,FALSE,"Flowback"}</definedName>
    <definedName name="wrn.Normal." localSheetId="19" hidden="1">{#N/A,#N/A,FALSE,"Market Values I";#N/A,#N/A,FALSE,"Market Values II";#N/A,#N/A,FALSE,"DT Shareholding";#N/A,#N/A,FALSE,"Purchase of Sprint1";#N/A,#N/A,FALSE,"Purchase of Sprint2";#N/A,#N/A,FALSE,"Financial Impact1";#N/A,#N/A,FALSE,"Financial Impact2";#N/A,#N/A,FALSE,"Financial Impact3";#N/A,#N/A,FALSE,"Flowback"}</definedName>
    <definedName name="wrn.Normal." localSheetId="21" hidden="1">{#N/A,#N/A,FALSE,"Market Values I";#N/A,#N/A,FALSE,"Market Values II";#N/A,#N/A,FALSE,"DT Shareholding";#N/A,#N/A,FALSE,"Purchase of Sprint1";#N/A,#N/A,FALSE,"Purchase of Sprint2";#N/A,#N/A,FALSE,"Financial Impact1";#N/A,#N/A,FALSE,"Financial Impact2";#N/A,#N/A,FALSE,"Financial Impact3";#N/A,#N/A,FALSE,"Flowback"}</definedName>
    <definedName name="wrn.Normal." hidden="1">{#N/A,#N/A,FALSE,"Market Values I";#N/A,#N/A,FALSE,"Market Values II";#N/A,#N/A,FALSE,"DT Shareholding";#N/A,#N/A,FALSE,"Purchase of Sprint1";#N/A,#N/A,FALSE,"Purchase of Sprint2";#N/A,#N/A,FALSE,"Financial Impact1";#N/A,#N/A,FALSE,"Financial Impact2";#N/A,#N/A,FALSE,"Financial Impact3";#N/A,#N/A,FALSE,"Flowback"}</definedName>
    <definedName name="wrn.North._.America._.Set." localSheetId="1" hidden="1">{"NA Is w Ratios",#N/A,FALSE,"North America";"PF CFlow NA",#N/A,FALSE,"North America";"NA DCF Matrix",#N/A,FALSE,"North America"}</definedName>
    <definedName name="wrn.North._.America._.Set." localSheetId="2" hidden="1">{"NA Is w Ratios",#N/A,FALSE,"North America";"PF CFlow NA",#N/A,FALSE,"North America";"NA DCF Matrix",#N/A,FALSE,"North America"}</definedName>
    <definedName name="wrn.North._.America._.Set." localSheetId="19" hidden="1">{"NA Is w Ratios",#N/A,FALSE,"North America";"PF CFlow NA",#N/A,FALSE,"North America";"NA DCF Matrix",#N/A,FALSE,"North America"}</definedName>
    <definedName name="wrn.North._.America._.Set." localSheetId="21" hidden="1">{"NA Is w Ratios",#N/A,FALSE,"North America";"PF CFlow NA",#N/A,FALSE,"North America";"NA DCF Matrix",#N/A,FALSE,"North America"}</definedName>
    <definedName name="wrn.North._.America._.Set." hidden="1">{"NA Is w Ratios",#N/A,FALSE,"North America";"PF CFlow NA",#N/A,FALSE,"North America";"NA DCF Matrix",#N/A,FALSE,"North America"}</definedName>
    <definedName name="wrn.Output." localSheetId="1"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wrn.Output." localSheetId="2"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wrn.Output." localSheetId="19"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wrn.Output." localSheetId="21"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wrn.Output."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wrn.PrimeCo." localSheetId="1" hidden="1">{"print 1",#N/A,FALSE,"PrimeCo PCS";"print 2",#N/A,FALSE,"PrimeCo PCS";"valuation",#N/A,FALSE,"PrimeCo PCS"}</definedName>
    <definedName name="wrn.PrimeCo." localSheetId="2" hidden="1">{"print 1",#N/A,FALSE,"PrimeCo PCS";"print 2",#N/A,FALSE,"PrimeCo PCS";"valuation",#N/A,FALSE,"PrimeCo PCS"}</definedName>
    <definedName name="wrn.PrimeCo." localSheetId="19" hidden="1">{"print 1",#N/A,FALSE,"PrimeCo PCS";"print 2",#N/A,FALSE,"PrimeCo PCS";"valuation",#N/A,FALSE,"PrimeCo PCS"}</definedName>
    <definedName name="wrn.PrimeCo." localSheetId="21" hidden="1">{"print 1",#N/A,FALSE,"PrimeCo PCS";"print 2",#N/A,FALSE,"PrimeCo PCS";"valuation",#N/A,FALSE,"PrimeCo PCS"}</definedName>
    <definedName name="wrn.PrimeCo." hidden="1">{"print 1",#N/A,FALSE,"PrimeCo PCS";"print 2",#N/A,FALSE,"PrimeCo PCS";"valuation",#N/A,FALSE,"PrimeCo PCS"}</definedName>
    <definedName name="wrn.print." localSheetId="1" hidden="1">{#N/A,#N/A,FALSE,"FCF Corporate Services";#N/A,#N/A,FALSE,"FCF Assum Corporate Services";#N/A,#N/A,FALSE,"DCF Corp. Services Sensitivity";#N/A,#N/A,FALSE,"AVP Corporate Services";"FCF in percent",#N/A,FALSE,"FCF Corporate Services"}</definedName>
    <definedName name="wrn.print." localSheetId="2" hidden="1">{#N/A,#N/A,FALSE,"FCF Corporate Services";#N/A,#N/A,FALSE,"FCF Assum Corporate Services";#N/A,#N/A,FALSE,"DCF Corp. Services Sensitivity";#N/A,#N/A,FALSE,"AVP Corporate Services";"FCF in percent",#N/A,FALSE,"FCF Corporate Services"}</definedName>
    <definedName name="wrn.print." localSheetId="19" hidden="1">{#N/A,#N/A,FALSE,"FCF Corporate Services";#N/A,#N/A,FALSE,"FCF Assum Corporate Services";#N/A,#N/A,FALSE,"DCF Corp. Services Sensitivity";#N/A,#N/A,FALSE,"AVP Corporate Services";"FCF in percent",#N/A,FALSE,"FCF Corporate Services"}</definedName>
    <definedName name="wrn.print." localSheetId="21" hidden="1">{#N/A,#N/A,FALSE,"FCF Corporate Services";#N/A,#N/A,FALSE,"FCF Assum Corporate Services";#N/A,#N/A,FALSE,"DCF Corp. Services Sensitivity";#N/A,#N/A,FALSE,"AVP Corporate Services";"FCF in percent",#N/A,FALSE,"FCF Corporate Services"}</definedName>
    <definedName name="wrn.print." hidden="1">{#N/A,#N/A,FALSE,"FCF Corporate Services";#N/A,#N/A,FALSE,"FCF Assum Corporate Services";#N/A,#N/A,FALSE,"DCF Corp. Services Sensitivity";#N/A,#N/A,FALSE,"AVP Corporate Services";"FCF in percent",#N/A,FALSE,"FCF Corporate Services"}</definedName>
    <definedName name="wrn.print._.all." localSheetId="1" hidden="1">{#N/A,#N/A,TRUE,"Introduction";#N/A,#N/A,TRUE,"DCR - TV";#N/A,#N/A,TRUE,"Summary";#N/A,#N/A,TRUE,"Valuation (5)";#N/A,#N/A,TRUE,"Valuation (2)";#N/A,#N/A,TRUE,"Valuation (3)";#N/A,#N/A,TRUE,"Valuation";#N/A,#N/A,TRUE,"Sensitivity Summary";#N/A,#N/A,TRUE,"Proforma Accounts";#N/A,#N/A,TRUE,"Traffic";#N/A,#N/A,TRUE,"Tariffs";#N/A,#N/A,TRUE,"Revenue";#N/A,#N/A,TRUE,"Costs";#N/A,#N/A,TRUE,"Financing Assumptions"}</definedName>
    <definedName name="wrn.print._.all." localSheetId="2" hidden="1">{#N/A,#N/A,TRUE,"Introduction";#N/A,#N/A,TRUE,"DCR - TV";#N/A,#N/A,TRUE,"Summary";#N/A,#N/A,TRUE,"Valuation (5)";#N/A,#N/A,TRUE,"Valuation (2)";#N/A,#N/A,TRUE,"Valuation (3)";#N/A,#N/A,TRUE,"Valuation";#N/A,#N/A,TRUE,"Sensitivity Summary";#N/A,#N/A,TRUE,"Proforma Accounts";#N/A,#N/A,TRUE,"Traffic";#N/A,#N/A,TRUE,"Tariffs";#N/A,#N/A,TRUE,"Revenue";#N/A,#N/A,TRUE,"Costs";#N/A,#N/A,TRUE,"Financing Assumptions"}</definedName>
    <definedName name="wrn.print._.all." localSheetId="19" hidden="1">{#N/A,#N/A,TRUE,"Introduction";#N/A,#N/A,TRUE,"DCR - TV";#N/A,#N/A,TRUE,"Summary";#N/A,#N/A,TRUE,"Valuation (5)";#N/A,#N/A,TRUE,"Valuation (2)";#N/A,#N/A,TRUE,"Valuation (3)";#N/A,#N/A,TRUE,"Valuation";#N/A,#N/A,TRUE,"Sensitivity Summary";#N/A,#N/A,TRUE,"Proforma Accounts";#N/A,#N/A,TRUE,"Traffic";#N/A,#N/A,TRUE,"Tariffs";#N/A,#N/A,TRUE,"Revenue";#N/A,#N/A,TRUE,"Costs";#N/A,#N/A,TRUE,"Financing Assumptions"}</definedName>
    <definedName name="wrn.print._.all." localSheetId="21" hidden="1">{#N/A,#N/A,TRUE,"Introduction";#N/A,#N/A,TRUE,"DCR - TV";#N/A,#N/A,TRUE,"Summary";#N/A,#N/A,TRUE,"Valuation (5)";#N/A,#N/A,TRUE,"Valuation (2)";#N/A,#N/A,TRUE,"Valuation (3)";#N/A,#N/A,TRUE,"Valuation";#N/A,#N/A,TRUE,"Sensitivity Summary";#N/A,#N/A,TRUE,"Proforma Accounts";#N/A,#N/A,TRUE,"Traffic";#N/A,#N/A,TRUE,"Tariffs";#N/A,#N/A,TRUE,"Revenue";#N/A,#N/A,TRUE,"Costs";#N/A,#N/A,TRUE,"Financing Assumptions"}</definedName>
    <definedName name="wrn.print._.all." hidden="1">{#N/A,#N/A,TRUE,"Introduction";#N/A,#N/A,TRUE,"DCR - TV";#N/A,#N/A,TRUE,"Summary";#N/A,#N/A,TRUE,"Valuation (5)";#N/A,#N/A,TRUE,"Valuation (2)";#N/A,#N/A,TRUE,"Valuation (3)";#N/A,#N/A,TRUE,"Valuation";#N/A,#N/A,TRUE,"Sensitivity Summary";#N/A,#N/A,TRUE,"Proforma Accounts";#N/A,#N/A,TRUE,"Traffic";#N/A,#N/A,TRUE,"Tariffs";#N/A,#N/A,TRUE,"Revenue";#N/A,#N/A,TRUE,"Costs";#N/A,#N/A,TRUE,"Financing Assumptions"}</definedName>
    <definedName name="wrn.Print._.Europe._.TandB." localSheetId="1" hidden="1">{"Print Top",#N/A,FALSE,"Europe Model";"Print Bottom",#N/A,FALSE,"Europe Model"}</definedName>
    <definedName name="wrn.Print._.Europe._.TandB." localSheetId="2" hidden="1">{"Print Top",#N/A,FALSE,"Europe Model";"Print Bottom",#N/A,FALSE,"Europe Model"}</definedName>
    <definedName name="wrn.Print._.Europe._.TandB." localSheetId="19" hidden="1">{"Print Top",#N/A,FALSE,"Europe Model";"Print Bottom",#N/A,FALSE,"Europe Model"}</definedName>
    <definedName name="wrn.Print._.Europe._.TandB." localSheetId="21" hidden="1">{"Print Top",#N/A,FALSE,"Europe Model";"Print Bottom",#N/A,FALSE,"Europe Model"}</definedName>
    <definedName name="wrn.Print._.Europe._.TandB." hidden="1">{"Print Top",#N/A,FALSE,"Europe Model";"Print Bottom",#N/A,FALSE,"Europe Model"}</definedName>
    <definedName name="wrn.Print._.FE._.T._.and._.B." localSheetId="1" hidden="1">{"Far East Top",#N/A,FALSE,"FE Model";"Far East Bottom",#N/A,FALSE,"FE Model"}</definedName>
    <definedName name="wrn.Print._.FE._.T._.and._.B." localSheetId="2" hidden="1">{"Far East Top",#N/A,FALSE,"FE Model";"Far East Bottom",#N/A,FALSE,"FE Model"}</definedName>
    <definedName name="wrn.Print._.FE._.T._.and._.B." localSheetId="19" hidden="1">{"Far East Top",#N/A,FALSE,"FE Model";"Far East Bottom",#N/A,FALSE,"FE Model"}</definedName>
    <definedName name="wrn.Print._.FE._.T._.and._.B." localSheetId="21" hidden="1">{"Far East Top",#N/A,FALSE,"FE Model";"Far East Bottom",#N/A,FALSE,"FE Model"}</definedName>
    <definedName name="wrn.Print._.FE._.T._.and._.B." hidden="1">{"Far East Top",#N/A,FALSE,"FE Model";"Far East Bottom",#N/A,FALSE,"FE Model"}</definedName>
    <definedName name="wrn.print._.pages." localSheetId="1" hidden="1">{#N/A,#N/A,FALSE,"Spain MKT";#N/A,#N/A,FALSE,"Assumptions";#N/A,#N/A,FALSE,"Adve";#N/A,#N/A,FALSE,"E-Commerce";#N/A,#N/A,FALSE,"Opex";#N/A,#N/A,FALSE,"P&amp;L";#N/A,#N/A,FALSE,"FCF &amp; DCF"}</definedName>
    <definedName name="wrn.print._.pages." localSheetId="2" hidden="1">{#N/A,#N/A,FALSE,"Spain MKT";#N/A,#N/A,FALSE,"Assumptions";#N/A,#N/A,FALSE,"Adve";#N/A,#N/A,FALSE,"E-Commerce";#N/A,#N/A,FALSE,"Opex";#N/A,#N/A,FALSE,"P&amp;L";#N/A,#N/A,FALSE,"FCF &amp; DCF"}</definedName>
    <definedName name="wrn.print._.pages." localSheetId="19" hidden="1">{#N/A,#N/A,FALSE,"Spain MKT";#N/A,#N/A,FALSE,"Assumptions";#N/A,#N/A,FALSE,"Adve";#N/A,#N/A,FALSE,"E-Commerce";#N/A,#N/A,FALSE,"Opex";#N/A,#N/A,FALSE,"P&amp;L";#N/A,#N/A,FALSE,"FCF &amp; DCF"}</definedName>
    <definedName name="wrn.print._.pages." localSheetId="21" hidden="1">{#N/A,#N/A,FALSE,"Spain MKT";#N/A,#N/A,FALSE,"Assumptions";#N/A,#N/A,FALSE,"Adve";#N/A,#N/A,FALSE,"E-Commerce";#N/A,#N/A,FALSE,"Opex";#N/A,#N/A,FALSE,"P&amp;L";#N/A,#N/A,FALSE,"FCF &amp; DCF"}</definedName>
    <definedName name="wrn.print._.pages." hidden="1">{#N/A,#N/A,FALSE,"Spain MKT";#N/A,#N/A,FALSE,"Assumptions";#N/A,#N/A,FALSE,"Adve";#N/A,#N/A,FALSE,"E-Commerce";#N/A,#N/A,FALSE,"Opex";#N/A,#N/A,FALSE,"P&amp;L";#N/A,#N/A,FALSE,"FCF &amp; DCF"}</definedName>
    <definedName name="wrn.print._.standalone." localSheetId="1" hidden="1">{"standalone1",#N/A,FALSE,"DCFBase";"standalone2",#N/A,FALSE,"DCFBase"}</definedName>
    <definedName name="wrn.print._.standalone." localSheetId="2" hidden="1">{"standalone1",#N/A,FALSE,"DCFBase";"standalone2",#N/A,FALSE,"DCFBase"}</definedName>
    <definedName name="wrn.print._.standalone." localSheetId="19" hidden="1">{"standalone1",#N/A,FALSE,"DCFBase";"standalone2",#N/A,FALSE,"DCFBase"}</definedName>
    <definedName name="wrn.print._.standalone." localSheetId="21" hidden="1">{"standalone1",#N/A,FALSE,"DCFBase";"standalone2",#N/A,FALSE,"DCFBase"}</definedName>
    <definedName name="wrn.print._.standalone." hidden="1">{"standalone1",#N/A,FALSE,"DCFBase";"standalone2",#N/A,FALSE,"DCFBase"}</definedName>
    <definedName name="wrn.Print_CSC." localSheetId="1" hidden="1">{"CSC_1",#N/A,FALSE,"CSC Outputs";"CSC_2",#N/A,FALSE,"CSC Outputs"}</definedName>
    <definedName name="wrn.Print_CSC." localSheetId="2" hidden="1">{"CSC_1",#N/A,FALSE,"CSC Outputs";"CSC_2",#N/A,FALSE,"CSC Outputs"}</definedName>
    <definedName name="wrn.Print_CSC." localSheetId="19" hidden="1">{"CSC_1",#N/A,FALSE,"CSC Outputs";"CSC_2",#N/A,FALSE,"CSC Outputs"}</definedName>
    <definedName name="wrn.Print_CSC." localSheetId="21" hidden="1">{"CSC_1",#N/A,FALSE,"CSC Outputs";"CSC_2",#N/A,FALSE,"CSC Outputs"}</definedName>
    <definedName name="wrn.Print_CSC." hidden="1">{"CSC_1",#N/A,FALSE,"CSC Outputs";"CSC_2",#N/A,FALSE,"CSC Outputs"}</definedName>
    <definedName name="wrn.Print_CSC2" localSheetId="1" hidden="1">{"CSC_1",#N/A,FALSE,"CSC Outputs";"CSC_2",#N/A,FALSE,"CSC Outputs"}</definedName>
    <definedName name="wrn.Print_CSC2" localSheetId="2" hidden="1">{"CSC_1",#N/A,FALSE,"CSC Outputs";"CSC_2",#N/A,FALSE,"CSC Outputs"}</definedName>
    <definedName name="wrn.Print_CSC2" localSheetId="19" hidden="1">{"CSC_1",#N/A,FALSE,"CSC Outputs";"CSC_2",#N/A,FALSE,"CSC Outputs"}</definedName>
    <definedName name="wrn.Print_CSC2" localSheetId="21" hidden="1">{"CSC_1",#N/A,FALSE,"CSC Outputs";"CSC_2",#N/A,FALSE,"CSC Outputs"}</definedName>
    <definedName name="wrn.Print_CSC2" hidden="1">{"CSC_1",#N/A,FALSE,"CSC Outputs";"CSC_2",#N/A,FALSE,"CSC Outputs"}</definedName>
    <definedName name="wrn.printall." localSheetId="1" hidden="1">{"projections1",#N/A,FALSE,"projections";"dcf2",#N/A,FALSE,"dcf";"dcf no profit sharing",#N/A,FALSE,"dcf no profit sharing";"avp1",#N/A,FALSE,"avp"}</definedName>
    <definedName name="wrn.printall." localSheetId="2" hidden="1">{"projections1",#N/A,FALSE,"projections";"dcf2",#N/A,FALSE,"dcf";"dcf no profit sharing",#N/A,FALSE,"dcf no profit sharing";"avp1",#N/A,FALSE,"avp"}</definedName>
    <definedName name="wrn.printall." localSheetId="19" hidden="1">{"projections1",#N/A,FALSE,"projections";"dcf2",#N/A,FALSE,"dcf";"dcf no profit sharing",#N/A,FALSE,"dcf no profit sharing";"avp1",#N/A,FALSE,"avp"}</definedName>
    <definedName name="wrn.printall." localSheetId="21" hidden="1">{"projections1",#N/A,FALSE,"projections";"dcf2",#N/A,FALSE,"dcf";"dcf no profit sharing",#N/A,FALSE,"dcf no profit sharing";"avp1",#N/A,FALSE,"avp"}</definedName>
    <definedName name="wrn.printall." hidden="1">{"projections1",#N/A,FALSE,"projections";"dcf2",#N/A,FALSE,"dcf";"dcf no profit sharing",#N/A,FALSE,"dcf no profit sharing";"avp1",#N/A,FALSE,"avp"}</definedName>
    <definedName name="wrn.ProMonte." localSheetId="1" hidden="1">{#N/A,#N/A,FALSE,"Assump";"view1",#N/A,FALSE,"P&amp;L";"view2",#N/A,FALSE,"P&amp;L";#N/A,#N/A,FALSE,"P&amp;L PERC";"view1",#N/A,FALSE,"BS";"view2",#N/A,FALSE,"BS";#N/A,#N/A,FALSE,"CF";#N/A,#N/A,FALSE,"Debt Rep";#N/A,#N/A,FALSE,"Ratios";#N/A,#N/A,FALSE,"adjusted BS";#N/A,#N/A,FALSE,"96-97 P&amp;L";#N/A,#N/A,FALSE,"96-97 BS"}</definedName>
    <definedName name="wrn.ProMonte." localSheetId="2" hidden="1">{#N/A,#N/A,FALSE,"Assump";"view1",#N/A,FALSE,"P&amp;L";"view2",#N/A,FALSE,"P&amp;L";#N/A,#N/A,FALSE,"P&amp;L PERC";"view1",#N/A,FALSE,"BS";"view2",#N/A,FALSE,"BS";#N/A,#N/A,FALSE,"CF";#N/A,#N/A,FALSE,"Debt Rep";#N/A,#N/A,FALSE,"Ratios";#N/A,#N/A,FALSE,"adjusted BS";#N/A,#N/A,FALSE,"96-97 P&amp;L";#N/A,#N/A,FALSE,"96-97 BS"}</definedName>
    <definedName name="wrn.ProMonte." localSheetId="19" hidden="1">{#N/A,#N/A,FALSE,"Assump";"view1",#N/A,FALSE,"P&amp;L";"view2",#N/A,FALSE,"P&amp;L";#N/A,#N/A,FALSE,"P&amp;L PERC";"view1",#N/A,FALSE,"BS";"view2",#N/A,FALSE,"BS";#N/A,#N/A,FALSE,"CF";#N/A,#N/A,FALSE,"Debt Rep";#N/A,#N/A,FALSE,"Ratios";#N/A,#N/A,FALSE,"adjusted BS";#N/A,#N/A,FALSE,"96-97 P&amp;L";#N/A,#N/A,FALSE,"96-97 BS"}</definedName>
    <definedName name="wrn.ProMonte." localSheetId="21" hidden="1">{#N/A,#N/A,FALSE,"Assump";"view1",#N/A,FALSE,"P&amp;L";"view2",#N/A,FALSE,"P&amp;L";#N/A,#N/A,FALSE,"P&amp;L PERC";"view1",#N/A,FALSE,"BS";"view2",#N/A,FALSE,"BS";#N/A,#N/A,FALSE,"CF";#N/A,#N/A,FALSE,"Debt Rep";#N/A,#N/A,FALSE,"Ratios";#N/A,#N/A,FALSE,"adjusted BS";#N/A,#N/A,FALSE,"96-97 P&amp;L";#N/A,#N/A,FALSE,"96-97 BS"}</definedName>
    <definedName name="wrn.ProMonte." hidden="1">{#N/A,#N/A,FALSE,"Assump";"view1",#N/A,FALSE,"P&amp;L";"view2",#N/A,FALSE,"P&amp;L";#N/A,#N/A,FALSE,"P&amp;L PERC";"view1",#N/A,FALSE,"BS";"view2",#N/A,FALSE,"BS";#N/A,#N/A,FALSE,"CF";#N/A,#N/A,FALSE,"Debt Rep";#N/A,#N/A,FALSE,"Ratios";#N/A,#N/A,FALSE,"adjusted BS";#N/A,#N/A,FALSE,"96-97 P&amp;L";#N/A,#N/A,FALSE,"96-97 BS"}</definedName>
    <definedName name="wrn.Sapere." localSheetId="1" hidden="1">{"risultati",#N/A,FALSE,"Revenues";"ricavi advertising",#N/A,FALSE,"Revenues";"ricavi e-commerce",#N/A,FALSE,"Revenues";"ricavi fee for content",#N/A,FALSE,"Revenues";"costi infrastruttura",#N/A,FALSE,"Costi";"altri costi",#N/A,FALSE,"Costi";"conto economico",#N/A,FALSE,"Conto economico";"Flussi di cassa",#N/A,FALSE,"FCF"}</definedName>
    <definedName name="wrn.Sapere." localSheetId="2" hidden="1">{"risultati",#N/A,FALSE,"Revenues";"ricavi advertising",#N/A,FALSE,"Revenues";"ricavi e-commerce",#N/A,FALSE,"Revenues";"ricavi fee for content",#N/A,FALSE,"Revenues";"costi infrastruttura",#N/A,FALSE,"Costi";"altri costi",#N/A,FALSE,"Costi";"conto economico",#N/A,FALSE,"Conto economico";"Flussi di cassa",#N/A,FALSE,"FCF"}</definedName>
    <definedName name="wrn.Sapere." localSheetId="19" hidden="1">{"risultati",#N/A,FALSE,"Revenues";"ricavi advertising",#N/A,FALSE,"Revenues";"ricavi e-commerce",#N/A,FALSE,"Revenues";"ricavi fee for content",#N/A,FALSE,"Revenues";"costi infrastruttura",#N/A,FALSE,"Costi";"altri costi",#N/A,FALSE,"Costi";"conto economico",#N/A,FALSE,"Conto economico";"Flussi di cassa",#N/A,FALSE,"FCF"}</definedName>
    <definedName name="wrn.Sapere." localSheetId="21" hidden="1">{"risultati",#N/A,FALSE,"Revenues";"ricavi advertising",#N/A,FALSE,"Revenues";"ricavi e-commerce",#N/A,FALSE,"Revenues";"ricavi fee for content",#N/A,FALSE,"Revenues";"costi infrastruttura",#N/A,FALSE,"Costi";"altri costi",#N/A,FALSE,"Costi";"conto economico",#N/A,FALSE,"Conto economico";"Flussi di cassa",#N/A,FALSE,"FCF"}</definedName>
    <definedName name="wrn.Sapere." hidden="1">{"risultati",#N/A,FALSE,"Revenues";"ricavi advertising",#N/A,FALSE,"Revenues";"ricavi e-commerce",#N/A,FALSE,"Revenues";"ricavi fee for content",#N/A,FALSE,"Revenues";"costi infrastruttura",#N/A,FALSE,"Costi";"altri costi",#N/A,FALSE,"Costi";"conto economico",#N/A,FALSE,"Conto economico";"Flussi di cassa",#N/A,FALSE,"FCF"}</definedName>
    <definedName name="wrn.SKSCS1." localSheetId="1" hidden="1">{#N/A,#N/A,FALSE,"Antony Financials";#N/A,#N/A,FALSE,"Cowboy Financials";#N/A,#N/A,FALSE,"Combined";#N/A,#N/A,FALSE,"Valuematrix";#N/A,#N/A,FALSE,"DCFAntony";#N/A,#N/A,FALSE,"DCFCowboy";#N/A,#N/A,FALSE,"DCFCombined"}</definedName>
    <definedName name="wrn.SKSCS1." localSheetId="2" hidden="1">{#N/A,#N/A,FALSE,"Antony Financials";#N/A,#N/A,FALSE,"Cowboy Financials";#N/A,#N/A,FALSE,"Combined";#N/A,#N/A,FALSE,"Valuematrix";#N/A,#N/A,FALSE,"DCFAntony";#N/A,#N/A,FALSE,"DCFCowboy";#N/A,#N/A,FALSE,"DCFCombined"}</definedName>
    <definedName name="wrn.SKSCS1." localSheetId="19" hidden="1">{#N/A,#N/A,FALSE,"Antony Financials";#N/A,#N/A,FALSE,"Cowboy Financials";#N/A,#N/A,FALSE,"Combined";#N/A,#N/A,FALSE,"Valuematrix";#N/A,#N/A,FALSE,"DCFAntony";#N/A,#N/A,FALSE,"DCFCowboy";#N/A,#N/A,FALSE,"DCFCombined"}</definedName>
    <definedName name="wrn.SKSCS1." localSheetId="21" hidden="1">{#N/A,#N/A,FALSE,"Antony Financials";#N/A,#N/A,FALSE,"Cowboy Financials";#N/A,#N/A,FALSE,"Combined";#N/A,#N/A,FALSE,"Valuematrix";#N/A,#N/A,FALSE,"DCFAntony";#N/A,#N/A,FALSE,"DCFCowboy";#N/A,#N/A,FALSE,"DCFCombined"}</definedName>
    <definedName name="wrn.SKSCS1." hidden="1">{#N/A,#N/A,FALSE,"Antony Financials";#N/A,#N/A,FALSE,"Cowboy Financials";#N/A,#N/A,FALSE,"Combined";#N/A,#N/A,FALSE,"Valuematrix";#N/A,#N/A,FALSE,"DCFAntony";#N/A,#N/A,FALSE,"DCFCowboy";#N/A,#N/A,FALSE,"DCFCombined"}</definedName>
    <definedName name="wrn.Soft._.Drinks." localSheetId="1" hidden="1">{#N/A,#N/A,FALSE,"Soft Drinks";#N/A,#N/A,FALSE,"Club Soft";#N/A,#N/A,FALSE,"Club Mixers";#N/A,#N/A,FALSE,"TK";#N/A,#N/A,FALSE,"Cidona";#N/A,#N/A,FALSE,"Britvic";#N/A,#N/A,FALSE,"Mi Wadi";#N/A,#N/A,FALSE,"Pepsi";#N/A,#N/A,FALSE,"7UP";#N/A,#N/A,FALSE,"Schweppes";#N/A,#N/A,FALSE,"Wholesale";#N/A,#N/A,FALSE,"Other Soft Drinks"}</definedName>
    <definedName name="wrn.Soft._.Drinks." localSheetId="2" hidden="1">{#N/A,#N/A,FALSE,"Soft Drinks";#N/A,#N/A,FALSE,"Club Soft";#N/A,#N/A,FALSE,"Club Mixers";#N/A,#N/A,FALSE,"TK";#N/A,#N/A,FALSE,"Cidona";#N/A,#N/A,FALSE,"Britvic";#N/A,#N/A,FALSE,"Mi Wadi";#N/A,#N/A,FALSE,"Pepsi";#N/A,#N/A,FALSE,"7UP";#N/A,#N/A,FALSE,"Schweppes";#N/A,#N/A,FALSE,"Wholesale";#N/A,#N/A,FALSE,"Other Soft Drinks"}</definedName>
    <definedName name="wrn.Soft._.Drinks." localSheetId="19" hidden="1">{#N/A,#N/A,FALSE,"Soft Drinks";#N/A,#N/A,FALSE,"Club Soft";#N/A,#N/A,FALSE,"Club Mixers";#N/A,#N/A,FALSE,"TK";#N/A,#N/A,FALSE,"Cidona";#N/A,#N/A,FALSE,"Britvic";#N/A,#N/A,FALSE,"Mi Wadi";#N/A,#N/A,FALSE,"Pepsi";#N/A,#N/A,FALSE,"7UP";#N/A,#N/A,FALSE,"Schweppes";#N/A,#N/A,FALSE,"Wholesale";#N/A,#N/A,FALSE,"Other Soft Drinks"}</definedName>
    <definedName name="wrn.Soft._.Drinks." localSheetId="21" hidden="1">{#N/A,#N/A,FALSE,"Soft Drinks";#N/A,#N/A,FALSE,"Club Soft";#N/A,#N/A,FALSE,"Club Mixers";#N/A,#N/A,FALSE,"TK";#N/A,#N/A,FALSE,"Cidona";#N/A,#N/A,FALSE,"Britvic";#N/A,#N/A,FALSE,"Mi Wadi";#N/A,#N/A,FALSE,"Pepsi";#N/A,#N/A,FALSE,"7UP";#N/A,#N/A,FALSE,"Schweppes";#N/A,#N/A,FALSE,"Wholesale";#N/A,#N/A,FALSE,"Other Soft Drinks"}</definedName>
    <definedName name="wrn.Soft._.Drinks." hidden="1">{#N/A,#N/A,FALSE,"Soft Drinks";#N/A,#N/A,FALSE,"Club Soft";#N/A,#N/A,FALSE,"Club Mixers";#N/A,#N/A,FALSE,"TK";#N/A,#N/A,FALSE,"Cidona";#N/A,#N/A,FALSE,"Britvic";#N/A,#N/A,FALSE,"Mi Wadi";#N/A,#N/A,FALSE,"Pepsi";#N/A,#N/A,FALSE,"7UP";#N/A,#N/A,FALSE,"Schweppes";#N/A,#N/A,FALSE,"Wholesale";#N/A,#N/A,FALSE,"Other Soft Drinks"}</definedName>
    <definedName name="wrn.Standard." localSheetId="1" hidden="1">{"Financials",#N/A,FALSE,"Financials";"AVP",#N/A,FALSE,"AVP";"DCF",#N/A,FALSE,"DCF";"CSC",#N/A,FALSE,"CSC";"Deal_Comp",#N/A,FALSE,"DealComp"}</definedName>
    <definedName name="wrn.Standard." localSheetId="2" hidden="1">{"Financials",#N/A,FALSE,"Financials";"AVP",#N/A,FALSE,"AVP";"DCF",#N/A,FALSE,"DCF";"CSC",#N/A,FALSE,"CSC";"Deal_Comp",#N/A,FALSE,"DealComp"}</definedName>
    <definedName name="wrn.Standard." localSheetId="19" hidden="1">{"Financials",#N/A,FALSE,"Financials";"AVP",#N/A,FALSE,"AVP";"DCF",#N/A,FALSE,"DCF";"CSC",#N/A,FALSE,"CSC";"Deal_Comp",#N/A,FALSE,"DealComp"}</definedName>
    <definedName name="wrn.Standard." localSheetId="21" hidden="1">{"Financials",#N/A,FALSE,"Financials";"AVP",#N/A,FALSE,"AVP";"DCF",#N/A,FALSE,"DCF";"CSC",#N/A,FALSE,"CSC";"Deal_Comp",#N/A,FALSE,"DealComp"}</definedName>
    <definedName name="wrn.Standard." hidden="1">{"Financials",#N/A,FALSE,"Financials";"AVP",#N/A,FALSE,"AVP";"DCF",#N/A,FALSE,"DCF";"CSC",#N/A,FALSE,"CSC";"Deal_Comp",#N/A,FALSE,"DealComp"}</definedName>
    <definedName name="wrn.Summary." localSheetId="1" hidden="1">{"Print Summary",#N/A,FALSE,"Bal_Graphs";"Print Summary",#N/A,FALSE,"DCF";"Print Summary",#N/A,FALSE,"Graphs";"Print Summary",#N/A,FALSE,"Summary"}</definedName>
    <definedName name="wrn.Summary." localSheetId="2" hidden="1">{"Print Summary",#N/A,FALSE,"Bal_Graphs";"Print Summary",#N/A,FALSE,"DCF";"Print Summary",#N/A,FALSE,"Graphs";"Print Summary",#N/A,FALSE,"Summary"}</definedName>
    <definedName name="wrn.Summary." localSheetId="19" hidden="1">{"Print Summary",#N/A,FALSE,"Bal_Graphs";"Print Summary",#N/A,FALSE,"DCF";"Print Summary",#N/A,FALSE,"Graphs";"Print Summary",#N/A,FALSE,"Summary"}</definedName>
    <definedName name="wrn.Summary." localSheetId="21" hidden="1">{"Print Summary",#N/A,FALSE,"Bal_Graphs";"Print Summary",#N/A,FALSE,"DCF";"Print Summary",#N/A,FALSE,"Graphs";"Print Summary",#N/A,FALSE,"Summary"}</definedName>
    <definedName name="wrn.Summary." hidden="1">{"Print Summary",#N/A,FALSE,"Bal_Graphs";"Print Summary",#N/A,FALSE,"DCF";"Print Summary",#N/A,FALSE,"Graphs";"Print Summary",#N/A,FALSE,"Summary"}</definedName>
    <definedName name="wrn.SummaryPgs." localSheetId="1" hidden="1">{#N/A,#N/A,FALSE,"CreditStat";#N/A,#N/A,FALSE,"SPbrkup";#N/A,#N/A,FALSE,"MerSPsyn";#N/A,#N/A,FALSE,"MerSPwKCsyn";#N/A,#N/A,FALSE,"MerSPwKCsyn (2)";#N/A,#N/A,FALSE,"CreditStat (2)"}</definedName>
    <definedName name="wrn.SummaryPgs." localSheetId="2" hidden="1">{#N/A,#N/A,FALSE,"CreditStat";#N/A,#N/A,FALSE,"SPbrkup";#N/A,#N/A,FALSE,"MerSPsyn";#N/A,#N/A,FALSE,"MerSPwKCsyn";#N/A,#N/A,FALSE,"MerSPwKCsyn (2)";#N/A,#N/A,FALSE,"CreditStat (2)"}</definedName>
    <definedName name="wrn.SummaryPgs." localSheetId="19" hidden="1">{#N/A,#N/A,FALSE,"CreditStat";#N/A,#N/A,FALSE,"SPbrkup";#N/A,#N/A,FALSE,"MerSPsyn";#N/A,#N/A,FALSE,"MerSPwKCsyn";#N/A,#N/A,FALSE,"MerSPwKCsyn (2)";#N/A,#N/A,FALSE,"CreditStat (2)"}</definedName>
    <definedName name="wrn.SummaryPgs." localSheetId="21" hidden="1">{#N/A,#N/A,FALSE,"CreditStat";#N/A,#N/A,FALSE,"SPbrkup";#N/A,#N/A,FALSE,"MerSPsyn";#N/A,#N/A,FALSE,"MerSPwKCsyn";#N/A,#N/A,FALSE,"MerSPwKCsyn (2)";#N/A,#N/A,FALSE,"CreditStat (2)"}</definedName>
    <definedName name="wrn.SummaryPgs." hidden="1">{#N/A,#N/A,FALSE,"CreditStat";#N/A,#N/A,FALSE,"SPbrkup";#N/A,#N/A,FALSE,"MerSPsyn";#N/A,#N/A,FALSE,"MerSPwKCsyn";#N/A,#N/A,FALSE,"MerSPwKCsyn (2)";#N/A,#N/A,FALSE,"CreditStat (2)"}</definedName>
    <definedName name="wrn.Tariff._.Analysis." localSheetId="1" hidden="1">{"Tarifica91",#N/A,FALSE,"Tariffs";"Tarifica92",#N/A,FALSE,"Tariffs";"Tarifica93",#N/A,FALSE,"Tariffs";"Tarifica94",#N/A,FALSE,"Tariffs";"Tarifica95",#N/A,FALSE,"Tariffs";"Tarifica96",#N/A,FALSE,"Tariffs"}</definedName>
    <definedName name="wrn.Tariff._.Analysis." localSheetId="2" hidden="1">{"Tarifica91",#N/A,FALSE,"Tariffs";"Tarifica92",#N/A,FALSE,"Tariffs";"Tarifica93",#N/A,FALSE,"Tariffs";"Tarifica94",#N/A,FALSE,"Tariffs";"Tarifica95",#N/A,FALSE,"Tariffs";"Tarifica96",#N/A,FALSE,"Tariffs"}</definedName>
    <definedName name="wrn.Tariff._.Analysis." localSheetId="19" hidden="1">{"Tarifica91",#N/A,FALSE,"Tariffs";"Tarifica92",#N/A,FALSE,"Tariffs";"Tarifica93",#N/A,FALSE,"Tariffs";"Tarifica94",#N/A,FALSE,"Tariffs";"Tarifica95",#N/A,FALSE,"Tariffs";"Tarifica96",#N/A,FALSE,"Tariffs"}</definedName>
    <definedName name="wrn.Tariff._.Analysis." localSheetId="21" hidden="1">{"Tarifica91",#N/A,FALSE,"Tariffs";"Tarifica92",#N/A,FALSE,"Tariffs";"Tarifica93",#N/A,FALSE,"Tariffs";"Tarifica94",#N/A,FALSE,"Tariffs";"Tarifica95",#N/A,FALSE,"Tariffs";"Tarifica96",#N/A,FALSE,"Tariffs"}</definedName>
    <definedName name="wrn.Tariff._.Analysis." hidden="1">{"Tarifica91",#N/A,FALSE,"Tariffs";"Tarifica92",#N/A,FALSE,"Tariffs";"Tarifica93",#N/A,FALSE,"Tariffs";"Tarifica94",#N/A,FALSE,"Tariffs";"Tarifica95",#N/A,FALSE,"Tariffs";"Tarifica96",#N/A,FALSE,"Tariffs"}</definedName>
    <definedName name="wrn.Tariff._.Comaprison." localSheetId="1" hidden="1">{"Tariff Comparison",#N/A,FALSE,"Benchmarking";"Tariff Comparison 2",#N/A,FALSE,"Benchmarking";"Tariff Comparison 3",#N/A,FALSE,"Benchmarking"}</definedName>
    <definedName name="wrn.Tariff._.Comaprison." localSheetId="2" hidden="1">{"Tariff Comparison",#N/A,FALSE,"Benchmarking";"Tariff Comparison 2",#N/A,FALSE,"Benchmarking";"Tariff Comparison 3",#N/A,FALSE,"Benchmarking"}</definedName>
    <definedName name="wrn.Tariff._.Comaprison." localSheetId="19" hidden="1">{"Tariff Comparison",#N/A,FALSE,"Benchmarking";"Tariff Comparison 2",#N/A,FALSE,"Benchmarking";"Tariff Comparison 3",#N/A,FALSE,"Benchmarking"}</definedName>
    <definedName name="wrn.Tariff._.Comaprison." localSheetId="21" hidden="1">{"Tariff Comparison",#N/A,FALSE,"Benchmarking";"Tariff Comparison 2",#N/A,FALSE,"Benchmarking";"Tariff Comparison 3",#N/A,FALSE,"Benchmarking"}</definedName>
    <definedName name="wrn.Tariff._.Comaprison." hidden="1">{"Tariff Comparison",#N/A,FALSE,"Benchmarking";"Tariff Comparison 2",#N/A,FALSE,"Benchmarking";"Tariff Comparison 3",#N/A,FALSE,"Benchmarking"}</definedName>
    <definedName name="wrn.test." localSheetId="1" hidden="1">{"test2",#N/A,TRUE,"Prices"}</definedName>
    <definedName name="wrn.test." localSheetId="2" hidden="1">{"test2",#N/A,TRUE,"Prices"}</definedName>
    <definedName name="wrn.test." localSheetId="19" hidden="1">{"test2",#N/A,TRUE,"Prices"}</definedName>
    <definedName name="wrn.test." localSheetId="21" hidden="1">{"test2",#N/A,TRUE,"Prices"}</definedName>
    <definedName name="wrn.test." hidden="1">{"test2",#N/A,TRUE,"Prices"}</definedName>
    <definedName name="wrn.Tweety." localSheetId="1" hidden="1">{#N/A,#N/A,FALSE,"A&amp;E";#N/A,#N/A,FALSE,"HighTop";#N/A,#N/A,FALSE,"JG";#N/A,#N/A,FALSE,"RI";#N/A,#N/A,FALSE,"woHT";#N/A,#N/A,FALSE,"woHT&amp;JG"}</definedName>
    <definedName name="wrn.Tweety." localSheetId="2" hidden="1">{#N/A,#N/A,FALSE,"A&amp;E";#N/A,#N/A,FALSE,"HighTop";#N/A,#N/A,FALSE,"JG";#N/A,#N/A,FALSE,"RI";#N/A,#N/A,FALSE,"woHT";#N/A,#N/A,FALSE,"woHT&amp;JG"}</definedName>
    <definedName name="wrn.Tweety." localSheetId="19" hidden="1">{#N/A,#N/A,FALSE,"A&amp;E";#N/A,#N/A,FALSE,"HighTop";#N/A,#N/A,FALSE,"JG";#N/A,#N/A,FALSE,"RI";#N/A,#N/A,FALSE,"woHT";#N/A,#N/A,FALSE,"woHT&amp;JG"}</definedName>
    <definedName name="wrn.Tweety." localSheetId="21" hidden="1">{#N/A,#N/A,FALSE,"A&amp;E";#N/A,#N/A,FALSE,"HighTop";#N/A,#N/A,FALSE,"JG";#N/A,#N/A,FALSE,"RI";#N/A,#N/A,FALSE,"woHT";#N/A,#N/A,FALSE,"woHT&amp;JG"}</definedName>
    <definedName name="wrn.Tweety." hidden="1">{#N/A,#N/A,FALSE,"A&amp;E";#N/A,#N/A,FALSE,"HighTop";#N/A,#N/A,FALSE,"JG";#N/A,#N/A,FALSE,"RI";#N/A,#N/A,FALSE,"woHT";#N/A,#N/A,FALSE,"woHT&amp;JG"}</definedName>
    <definedName name="wrn.Umsatz." localSheetId="1" hidden="1">{#N/A,#N/A,FALSE,"Umsatz";#N/A,#N/A,FALSE,"Base V.02";#N/A,#N/A,FALSE,"Charts"}</definedName>
    <definedName name="wrn.Umsatz." localSheetId="2" hidden="1">{#N/A,#N/A,FALSE,"Umsatz";#N/A,#N/A,FALSE,"Base V.02";#N/A,#N/A,FALSE,"Charts"}</definedName>
    <definedName name="wrn.Umsatz." localSheetId="19" hidden="1">{#N/A,#N/A,FALSE,"Umsatz";#N/A,#N/A,FALSE,"Base V.02";#N/A,#N/A,FALSE,"Charts"}</definedName>
    <definedName name="wrn.Umsatz." localSheetId="21" hidden="1">{#N/A,#N/A,FALSE,"Umsatz";#N/A,#N/A,FALSE,"Base V.02";#N/A,#N/A,FALSE,"Charts"}</definedName>
    <definedName name="wrn.Umsatz." hidden="1">{#N/A,#N/A,FALSE,"Umsatz";#N/A,#N/A,FALSE,"Base V.02";#N/A,#N/A,FALSE,"Charts"}</definedName>
    <definedName name="wrn.Upper._.Case." localSheetId="1" hidden="1">{"presentation","onepurchase",FALSE,"Inputs and Calculations";"presentation","onepool",FALSE,"Inputs and Calculations";"presentation","twopool",FALSE,"Inputs and Calculations";"presentation","twopurchase",FALSE,"Inputs and Calculations";"presentation","threepurchase",FALSE,"Inputs and Calculations";"presentation","threepool",FALSE,"Inputs and Calculations";"presentation","fourpool",FALSE,"Inputs and Calculations";"presentation","fourpurchase",FALSE,"Inputs and Calculations";"presentation","fivepool",FALSE,"Inputs and Calculations";"presentation","fivepurchase",FALSE,"Inputs and Calculations";"presentation","sixpool",FALSE,"Inputs and Calculations";"presentation","sixpurchase",FALSE,"Inputs and Calculations";"presentation","sevenpool",FALSE,"Inputs and Calculations";"presentation","sevenpurchase",FALSE,"Inputs and Calculations";"presentation","eightpool",FALSE,"Inputs and Calculations";"presentation","eightpurchase",FALSE,"Inputs and Calculations";"presentation","ninepool",FALSE,"Inputs and Calculations";"presentation","ninepurchase",FALSE,"Inputs and Calculations";"presentation","tenpool",FALSE,"Inputs and Calculations";"presentation","tenpurchase",FALSE,"Inputs and Calculations"}</definedName>
    <definedName name="wrn.Upper._.Case." localSheetId="2" hidden="1">{"presentation","onepurchase",FALSE,"Inputs and Calculations";"presentation","onepool",FALSE,"Inputs and Calculations";"presentation","twopool",FALSE,"Inputs and Calculations";"presentation","twopurchase",FALSE,"Inputs and Calculations";"presentation","threepurchase",FALSE,"Inputs and Calculations";"presentation","threepool",FALSE,"Inputs and Calculations";"presentation","fourpool",FALSE,"Inputs and Calculations";"presentation","fourpurchase",FALSE,"Inputs and Calculations";"presentation","fivepool",FALSE,"Inputs and Calculations";"presentation","fivepurchase",FALSE,"Inputs and Calculations";"presentation","sixpool",FALSE,"Inputs and Calculations";"presentation","sixpurchase",FALSE,"Inputs and Calculations";"presentation","sevenpool",FALSE,"Inputs and Calculations";"presentation","sevenpurchase",FALSE,"Inputs and Calculations";"presentation","eightpool",FALSE,"Inputs and Calculations";"presentation","eightpurchase",FALSE,"Inputs and Calculations";"presentation","ninepool",FALSE,"Inputs and Calculations";"presentation","ninepurchase",FALSE,"Inputs and Calculations";"presentation","tenpool",FALSE,"Inputs and Calculations";"presentation","tenpurchase",FALSE,"Inputs and Calculations"}</definedName>
    <definedName name="wrn.Upper._.Case." localSheetId="19" hidden="1">{"presentation","onepurchase",FALSE,"Inputs and Calculations";"presentation","onepool",FALSE,"Inputs and Calculations";"presentation","twopool",FALSE,"Inputs and Calculations";"presentation","twopurchase",FALSE,"Inputs and Calculations";"presentation","threepurchase",FALSE,"Inputs and Calculations";"presentation","threepool",FALSE,"Inputs and Calculations";"presentation","fourpool",FALSE,"Inputs and Calculations";"presentation","fourpurchase",FALSE,"Inputs and Calculations";"presentation","fivepool",FALSE,"Inputs and Calculations";"presentation","fivepurchase",FALSE,"Inputs and Calculations";"presentation","sixpool",FALSE,"Inputs and Calculations";"presentation","sixpurchase",FALSE,"Inputs and Calculations";"presentation","sevenpool",FALSE,"Inputs and Calculations";"presentation","sevenpurchase",FALSE,"Inputs and Calculations";"presentation","eightpool",FALSE,"Inputs and Calculations";"presentation","eightpurchase",FALSE,"Inputs and Calculations";"presentation","ninepool",FALSE,"Inputs and Calculations";"presentation","ninepurchase",FALSE,"Inputs and Calculations";"presentation","tenpool",FALSE,"Inputs and Calculations";"presentation","tenpurchase",FALSE,"Inputs and Calculations"}</definedName>
    <definedName name="wrn.Upper._.Case." localSheetId="21" hidden="1">{"presentation","onepurchase",FALSE,"Inputs and Calculations";"presentation","onepool",FALSE,"Inputs and Calculations";"presentation","twopool",FALSE,"Inputs and Calculations";"presentation","twopurchase",FALSE,"Inputs and Calculations";"presentation","threepurchase",FALSE,"Inputs and Calculations";"presentation","threepool",FALSE,"Inputs and Calculations";"presentation","fourpool",FALSE,"Inputs and Calculations";"presentation","fourpurchase",FALSE,"Inputs and Calculations";"presentation","fivepool",FALSE,"Inputs and Calculations";"presentation","fivepurchase",FALSE,"Inputs and Calculations";"presentation","sixpool",FALSE,"Inputs and Calculations";"presentation","sixpurchase",FALSE,"Inputs and Calculations";"presentation","sevenpool",FALSE,"Inputs and Calculations";"presentation","sevenpurchase",FALSE,"Inputs and Calculations";"presentation","eightpool",FALSE,"Inputs and Calculations";"presentation","eightpurchase",FALSE,"Inputs and Calculations";"presentation","ninepool",FALSE,"Inputs and Calculations";"presentation","ninepurchase",FALSE,"Inputs and Calculations";"presentation","tenpool",FALSE,"Inputs and Calculations";"presentation","tenpurchase",FALSE,"Inputs and Calculations"}</definedName>
    <definedName name="wrn.Upper._.Case." hidden="1">{"presentation","onepurchase",FALSE,"Inputs and Calculations";"presentation","onepool",FALSE,"Inputs and Calculations";"presentation","twopool",FALSE,"Inputs and Calculations";"presentation","twopurchase",FALSE,"Inputs and Calculations";"presentation","threepurchase",FALSE,"Inputs and Calculations";"presentation","threepool",FALSE,"Inputs and Calculations";"presentation","fourpool",FALSE,"Inputs and Calculations";"presentation","fourpurchase",FALSE,"Inputs and Calculations";"presentation","fivepool",FALSE,"Inputs and Calculations";"presentation","fivepurchase",FALSE,"Inputs and Calculations";"presentation","sixpool",FALSE,"Inputs and Calculations";"presentation","sixpurchase",FALSE,"Inputs and Calculations";"presentation","sevenpool",FALSE,"Inputs and Calculations";"presentation","sevenpurchase",FALSE,"Inputs and Calculations";"presentation","eightpool",FALSE,"Inputs and Calculations";"presentation","eightpurchase",FALSE,"Inputs and Calculations";"presentation","ninepool",FALSE,"Inputs and Calculations";"presentation","ninepurchase",FALSE,"Inputs and Calculations";"presentation","tenpool",FALSE,"Inputs and Calculations";"presentation","tenpurchase",FALSE,"Inputs and Calculations"}</definedName>
    <definedName name="wrn.valderrama." localSheetId="1" hidden="1">{"valderrama1",#N/A,FALSE,"Pro Forma";"valderrama",#N/A,FALSE,"Pro Forma"}</definedName>
    <definedName name="wrn.valderrama." localSheetId="2" hidden="1">{"valderrama1",#N/A,FALSE,"Pro Forma";"valderrama",#N/A,FALSE,"Pro Forma"}</definedName>
    <definedName name="wrn.valderrama." localSheetId="19" hidden="1">{"valderrama1",#N/A,FALSE,"Pro Forma";"valderrama",#N/A,FALSE,"Pro Forma"}</definedName>
    <definedName name="wrn.valderrama." localSheetId="21" hidden="1">{"valderrama1",#N/A,FALSE,"Pro Forma";"valderrama",#N/A,FALSE,"Pro Forma"}</definedName>
    <definedName name="wrn.valderrama." hidden="1">{"valderrama1",#N/A,FALSE,"Pro Forma";"valderrama",#N/A,FALSE,"Pro Forma"}</definedName>
    <definedName name="wrn.valuation." localSheetId="1" hidden="1">{#N/A,#N/A,FALSE,"Valuation";#N/A,#N/A,FALSE,"Valuation (5)";#N/A,#N/A,FALSE,"Valuation (2)";#N/A,#N/A,FALSE,"Valuation (3)"}</definedName>
    <definedName name="wrn.valuation." localSheetId="2" hidden="1">{#N/A,#N/A,FALSE,"Valuation";#N/A,#N/A,FALSE,"Valuation (5)";#N/A,#N/A,FALSE,"Valuation (2)";#N/A,#N/A,FALSE,"Valuation (3)"}</definedName>
    <definedName name="wrn.valuation." localSheetId="19" hidden="1">{#N/A,#N/A,FALSE,"Valuation";#N/A,#N/A,FALSE,"Valuation (5)";#N/A,#N/A,FALSE,"Valuation (2)";#N/A,#N/A,FALSE,"Valuation (3)"}</definedName>
    <definedName name="wrn.valuation." localSheetId="21" hidden="1">{#N/A,#N/A,FALSE,"Valuation";#N/A,#N/A,FALSE,"Valuation (5)";#N/A,#N/A,FALSE,"Valuation (2)";#N/A,#N/A,FALSE,"Valuation (3)"}</definedName>
    <definedName name="wrn.valuation." hidden="1">{#N/A,#N/A,FALSE,"Valuation";#N/A,#N/A,FALSE,"Valuation (5)";#N/A,#N/A,FALSE,"Valuation (2)";#N/A,#N/A,FALSE,"Valuation (3)"}</definedName>
    <definedName name="wrn.Valuation._.Package._.1." localSheetId="1" hidden="1">{"Balance Sheet",#N/A,FALSE,"Balance Sheet";"Sum Cash Flow",#N/A,FALSE,"Sum Cash Flow";"Income Statement 1",#N/A,FALSE,"Income Statement 1";"DCF Projections",#N/A,FALSE,"DCF Projections";"DCF1",#N/A,FALSE,"DCF1";"AVP",#N/A,FALSE,"AVP";"CalcWorksheet",#N/A,FALSE,"Calc Wksht New";"PV of Future Prices",#N/A,FALSE,"Fut Share Price - New EPS";"FutureSharePrices",#N/A,FALSE,"Future Share Prices"}</definedName>
    <definedName name="wrn.Valuation._.Package._.1." localSheetId="2" hidden="1">{"Balance Sheet",#N/A,FALSE,"Balance Sheet";"Sum Cash Flow",#N/A,FALSE,"Sum Cash Flow";"Income Statement 1",#N/A,FALSE,"Income Statement 1";"DCF Projections",#N/A,FALSE,"DCF Projections";"DCF1",#N/A,FALSE,"DCF1";"AVP",#N/A,FALSE,"AVP";"CalcWorksheet",#N/A,FALSE,"Calc Wksht New";"PV of Future Prices",#N/A,FALSE,"Fut Share Price - New EPS";"FutureSharePrices",#N/A,FALSE,"Future Share Prices"}</definedName>
    <definedName name="wrn.Valuation._.Package._.1." localSheetId="19" hidden="1">{"Balance Sheet",#N/A,FALSE,"Balance Sheet";"Sum Cash Flow",#N/A,FALSE,"Sum Cash Flow";"Income Statement 1",#N/A,FALSE,"Income Statement 1";"DCF Projections",#N/A,FALSE,"DCF Projections";"DCF1",#N/A,FALSE,"DCF1";"AVP",#N/A,FALSE,"AVP";"CalcWorksheet",#N/A,FALSE,"Calc Wksht New";"PV of Future Prices",#N/A,FALSE,"Fut Share Price - New EPS";"FutureSharePrices",#N/A,FALSE,"Future Share Prices"}</definedName>
    <definedName name="wrn.Valuation._.Package._.1." localSheetId="21" hidden="1">{"Balance Sheet",#N/A,FALSE,"Balance Sheet";"Sum Cash Flow",#N/A,FALSE,"Sum Cash Flow";"Income Statement 1",#N/A,FALSE,"Income Statement 1";"DCF Projections",#N/A,FALSE,"DCF Projections";"DCF1",#N/A,FALSE,"DCF1";"AVP",#N/A,FALSE,"AVP";"CalcWorksheet",#N/A,FALSE,"Calc Wksht New";"PV of Future Prices",#N/A,FALSE,"Fut Share Price - New EPS";"FutureSharePrices",#N/A,FALSE,"Future Share Prices"}</definedName>
    <definedName name="wrn.Valuation._.Package._.1." hidden="1">{"Balance Sheet",#N/A,FALSE,"Balance Sheet";"Sum Cash Flow",#N/A,FALSE,"Sum Cash Flow";"Income Statement 1",#N/A,FALSE,"Income Statement 1";"DCF Projections",#N/A,FALSE,"DCF Projections";"DCF1",#N/A,FALSE,"DCF1";"AVP",#N/A,FALSE,"AVP";"CalcWorksheet",#N/A,FALSE,"Calc Wksht New";"PV of Future Prices",#N/A,FALSE,"Fut Share Price - New EPS";"FutureSharePrices",#N/A,FALSE,"Future Share Prices"}</definedName>
    <definedName name="wrn.Water." localSheetId="1" hidden="1">{#N/A,#N/A,FALSE,"Water";#N/A,#N/A,FALSE,"Ballygowan";#N/A,#N/A,FALSE,"Volvic"}</definedName>
    <definedName name="wrn.Water." localSheetId="2" hidden="1">{#N/A,#N/A,FALSE,"Water";#N/A,#N/A,FALSE,"Ballygowan";#N/A,#N/A,FALSE,"Volvic"}</definedName>
    <definedName name="wrn.Water." localSheetId="19" hidden="1">{#N/A,#N/A,FALSE,"Water";#N/A,#N/A,FALSE,"Ballygowan";#N/A,#N/A,FALSE,"Volvic"}</definedName>
    <definedName name="wrn.Water." localSheetId="21" hidden="1">{#N/A,#N/A,FALSE,"Water";#N/A,#N/A,FALSE,"Ballygowan";#N/A,#N/A,FALSE,"Volvic"}</definedName>
    <definedName name="wrn.Water." hidden="1">{#N/A,#N/A,FALSE,"Water";#N/A,#N/A,FALSE,"Ballygowan";#N/A,#N/A,FALSE,"Volvic"}</definedName>
    <definedName name="wrn.whole._.document." localSheetId="1" hidden="1">{"page 1",#N/A,FALSE,"A";"page 2",#N/A,FALSE,"A";"page 3",#N/A,FALSE,"A";"page 4",#N/A,FALSE,"A";"page 5",#N/A,FALSE,"A";"page 6",#N/A,FALSE,"A";"page 7",#N/A,FALSE,"A";"page 8",#N/A,FALSE,"A";"page 9",#N/A,FALSE,"A";"page 10",#N/A,FALSE,"A";"page 11",#N/A,FALSE,"A";"page 12",#N/A,FALSE,"A";"page 13",#N/A,FALSE,"A";"page 14",#N/A,FALSE,"A"}</definedName>
    <definedName name="wrn.whole._.document." localSheetId="2" hidden="1">{"page 1",#N/A,FALSE,"A";"page 2",#N/A,FALSE,"A";"page 3",#N/A,FALSE,"A";"page 4",#N/A,FALSE,"A";"page 5",#N/A,FALSE,"A";"page 6",#N/A,FALSE,"A";"page 7",#N/A,FALSE,"A";"page 8",#N/A,FALSE,"A";"page 9",#N/A,FALSE,"A";"page 10",#N/A,FALSE,"A";"page 11",#N/A,FALSE,"A";"page 12",#N/A,FALSE,"A";"page 13",#N/A,FALSE,"A";"page 14",#N/A,FALSE,"A"}</definedName>
    <definedName name="wrn.whole._.document." localSheetId="19" hidden="1">{"page 1",#N/A,FALSE,"A";"page 2",#N/A,FALSE,"A";"page 3",#N/A,FALSE,"A";"page 4",#N/A,FALSE,"A";"page 5",#N/A,FALSE,"A";"page 6",#N/A,FALSE,"A";"page 7",#N/A,FALSE,"A";"page 8",#N/A,FALSE,"A";"page 9",#N/A,FALSE,"A";"page 10",#N/A,FALSE,"A";"page 11",#N/A,FALSE,"A";"page 12",#N/A,FALSE,"A";"page 13",#N/A,FALSE,"A";"page 14",#N/A,FALSE,"A"}</definedName>
    <definedName name="wrn.whole._.document." localSheetId="21" hidden="1">{"page 1",#N/A,FALSE,"A";"page 2",#N/A,FALSE,"A";"page 3",#N/A,FALSE,"A";"page 4",#N/A,FALSE,"A";"page 5",#N/A,FALSE,"A";"page 6",#N/A,FALSE,"A";"page 7",#N/A,FALSE,"A";"page 8",#N/A,FALSE,"A";"page 9",#N/A,FALSE,"A";"page 10",#N/A,FALSE,"A";"page 11",#N/A,FALSE,"A";"page 12",#N/A,FALSE,"A";"page 13",#N/A,FALSE,"A";"page 14",#N/A,FALSE,"A"}</definedName>
    <definedName name="wrn.whole._.document." hidden="1">{"page 1",#N/A,FALSE,"A";"page 2",#N/A,FALSE,"A";"page 3",#N/A,FALSE,"A";"page 4",#N/A,FALSE,"A";"page 5",#N/A,FALSE,"A";"page 6",#N/A,FALSE,"A";"page 7",#N/A,FALSE,"A";"page 8",#N/A,FALSE,"A";"page 9",#N/A,FALSE,"A";"page 10",#N/A,FALSE,"A";"page 11",#N/A,FALSE,"A";"page 12",#N/A,FALSE,"A";"page 13",#N/A,FALSE,"A";"page 14",#N/A,FALSE,"A"}</definedName>
    <definedName name="wrn.WholeShabang." localSheetId="1" hidden="1">{"QIncStmt",#N/A,FALSE,"Quarter Inc St";"QGrthNMrgn",#N/A,FALSE,"Quarter Inc St";"SummIncStmt",#N/A,FALSE,"Income Statement";"BalanceSheet",#N/A,FALSE,"Balance Sheet";"SumCashFlow",#N/A,FALSE,"Sum Cash Flow";"DCFProjections",#N/A,FALSE,"DCF Projections";"CalcWorksheet",#N/A,FALSE,"Calc Wksht New";"DCFPresent Value",#N/A,FALSE,"DCF1";"FutureSharePrices",#N/A,FALSE,"Future Share Prices";"AVP",#N/A,FALSE,"AVP";"PV of Future Prices",#N/A,FALSE,"Fut Share Price - New EPS"}</definedName>
    <definedName name="wrn.WholeShabang." localSheetId="2" hidden="1">{"QIncStmt",#N/A,FALSE,"Quarter Inc St";"QGrthNMrgn",#N/A,FALSE,"Quarter Inc St";"SummIncStmt",#N/A,FALSE,"Income Statement";"BalanceSheet",#N/A,FALSE,"Balance Sheet";"SumCashFlow",#N/A,FALSE,"Sum Cash Flow";"DCFProjections",#N/A,FALSE,"DCF Projections";"CalcWorksheet",#N/A,FALSE,"Calc Wksht New";"DCFPresent Value",#N/A,FALSE,"DCF1";"FutureSharePrices",#N/A,FALSE,"Future Share Prices";"AVP",#N/A,FALSE,"AVP";"PV of Future Prices",#N/A,FALSE,"Fut Share Price - New EPS"}</definedName>
    <definedName name="wrn.WholeShabang." localSheetId="19" hidden="1">{"QIncStmt",#N/A,FALSE,"Quarter Inc St";"QGrthNMrgn",#N/A,FALSE,"Quarter Inc St";"SummIncStmt",#N/A,FALSE,"Income Statement";"BalanceSheet",#N/A,FALSE,"Balance Sheet";"SumCashFlow",#N/A,FALSE,"Sum Cash Flow";"DCFProjections",#N/A,FALSE,"DCF Projections";"CalcWorksheet",#N/A,FALSE,"Calc Wksht New";"DCFPresent Value",#N/A,FALSE,"DCF1";"FutureSharePrices",#N/A,FALSE,"Future Share Prices";"AVP",#N/A,FALSE,"AVP";"PV of Future Prices",#N/A,FALSE,"Fut Share Price - New EPS"}</definedName>
    <definedName name="wrn.WholeShabang." localSheetId="21" hidden="1">{"QIncStmt",#N/A,FALSE,"Quarter Inc St";"QGrthNMrgn",#N/A,FALSE,"Quarter Inc St";"SummIncStmt",#N/A,FALSE,"Income Statement";"BalanceSheet",#N/A,FALSE,"Balance Sheet";"SumCashFlow",#N/A,FALSE,"Sum Cash Flow";"DCFProjections",#N/A,FALSE,"DCF Projections";"CalcWorksheet",#N/A,FALSE,"Calc Wksht New";"DCFPresent Value",#N/A,FALSE,"DCF1";"FutureSharePrices",#N/A,FALSE,"Future Share Prices";"AVP",#N/A,FALSE,"AVP";"PV of Future Prices",#N/A,FALSE,"Fut Share Price - New EPS"}</definedName>
    <definedName name="wrn.WholeShabang." hidden="1">{"QIncStmt",#N/A,FALSE,"Quarter Inc St";"QGrthNMrgn",#N/A,FALSE,"Quarter Inc St";"SummIncStmt",#N/A,FALSE,"Income Statement";"BalanceSheet",#N/A,FALSE,"Balance Sheet";"SumCashFlow",#N/A,FALSE,"Sum Cash Flow";"DCFProjections",#N/A,FALSE,"DCF Projections";"CalcWorksheet",#N/A,FALSE,"Calc Wksht New";"DCFPresent Value",#N/A,FALSE,"DCF1";"FutureSharePrices",#N/A,FALSE,"Future Share Prices";"AVP",#N/A,FALSE,"AVP";"PV of Future Prices",#N/A,FALSE,"Fut Share Price - New EPS"}</definedName>
    <definedName name="wrn.WineSpirits." localSheetId="1" hidden="1">{#N/A,#N/A,FALSE,"W&amp;Spirits";#N/A,#N/A,FALSE,"Grants";#N/A,#N/A,FALSE,"CCB"}</definedName>
    <definedName name="wrn.WineSpirits." localSheetId="2" hidden="1">{#N/A,#N/A,FALSE,"W&amp;Spirits";#N/A,#N/A,FALSE,"Grants";#N/A,#N/A,FALSE,"CCB"}</definedName>
    <definedName name="wrn.WineSpirits." localSheetId="19" hidden="1">{#N/A,#N/A,FALSE,"W&amp;Spirits";#N/A,#N/A,FALSE,"Grants";#N/A,#N/A,FALSE,"CCB"}</definedName>
    <definedName name="wrn.WineSpirits." localSheetId="21" hidden="1">{#N/A,#N/A,FALSE,"W&amp;Spirits";#N/A,#N/A,FALSE,"Grants";#N/A,#N/A,FALSE,"CCB"}</definedName>
    <definedName name="wrn.WineSpirits." hidden="1">{#N/A,#N/A,FALSE,"W&amp;Spirits";#N/A,#N/A,FALSE,"Grants";#N/A,#N/A,FALSE,"CCB"}</definedName>
    <definedName name="wrn2.Bplan." localSheetId="1" hidden="1">{#N/A,#N/A,FALSE,"F_Plan";#N/A,#N/A,FALSE,"Parameter"}</definedName>
    <definedName name="wrn2.Bplan." localSheetId="2" hidden="1">{#N/A,#N/A,FALSE,"F_Plan";#N/A,#N/A,FALSE,"Parameter"}</definedName>
    <definedName name="wrn2.Bplan." localSheetId="19" hidden="1">{#N/A,#N/A,FALSE,"F_Plan";#N/A,#N/A,FALSE,"Parameter"}</definedName>
    <definedName name="wrn2.Bplan." localSheetId="21" hidden="1">{#N/A,#N/A,FALSE,"F_Plan";#N/A,#N/A,FALSE,"Parameter"}</definedName>
    <definedName name="wrn2.Bplan." hidden="1">{#N/A,#N/A,FALSE,"F_Plan";#N/A,#N/A,FALSE,"Parameter"}</definedName>
    <definedName name="WW" localSheetId="1" hidden="1">{"page1",#N/A,TRUE,"CSC";"page2",#N/A,TRUE,"CSC"}</definedName>
    <definedName name="WW" localSheetId="2" hidden="1">{"page1",#N/A,TRUE,"CSC";"page2",#N/A,TRUE,"CSC"}</definedName>
    <definedName name="WW" localSheetId="19" hidden="1">{"page1",#N/A,TRUE,"CSC";"page2",#N/A,TRUE,"CSC"}</definedName>
    <definedName name="WW" localSheetId="21" hidden="1">{"page1",#N/A,TRUE,"CSC";"page2",#N/A,TRUE,"CSC"}</definedName>
    <definedName name="WW" hidden="1">{"page1",#N/A,TRUE,"CSC";"page2",#N/A,TRUE,"CSC"}</definedName>
    <definedName name="x" localSheetId="1" hidden="1">{#N/A,#N/A,FALSE,"Report Print"}</definedName>
    <definedName name="x" localSheetId="2" hidden="1">{#N/A,#N/A,FALSE,"Report Print"}</definedName>
    <definedName name="x" localSheetId="19" hidden="1">{#N/A,#N/A,FALSE,"Report Print"}</definedName>
    <definedName name="x" localSheetId="21" hidden="1">{#N/A,#N/A,FALSE,"Report Print"}</definedName>
    <definedName name="x" hidden="1">{#N/A,#N/A,FALSE,"Report Print"}</definedName>
    <definedName name="xw" localSheetId="1" hidden="1">{#N/A,#N/A,FALSE,"FCF Corporate Services";#N/A,#N/A,FALSE,"FCF Assum Corporate Services";#N/A,#N/A,FALSE,"DCF Corp. Services Sensitivity";#N/A,#N/A,FALSE,"AVP Corporate Services";"FCF in percent",#N/A,FALSE,"FCF Corporate Services"}</definedName>
    <definedName name="xw" localSheetId="2" hidden="1">{#N/A,#N/A,FALSE,"FCF Corporate Services";#N/A,#N/A,FALSE,"FCF Assum Corporate Services";#N/A,#N/A,FALSE,"DCF Corp. Services Sensitivity";#N/A,#N/A,FALSE,"AVP Corporate Services";"FCF in percent",#N/A,FALSE,"FCF Corporate Services"}</definedName>
    <definedName name="xw" localSheetId="19" hidden="1">{#N/A,#N/A,FALSE,"FCF Corporate Services";#N/A,#N/A,FALSE,"FCF Assum Corporate Services";#N/A,#N/A,FALSE,"DCF Corp. Services Sensitivity";#N/A,#N/A,FALSE,"AVP Corporate Services";"FCF in percent",#N/A,FALSE,"FCF Corporate Services"}</definedName>
    <definedName name="xw" localSheetId="21" hidden="1">{#N/A,#N/A,FALSE,"FCF Corporate Services";#N/A,#N/A,FALSE,"FCF Assum Corporate Services";#N/A,#N/A,FALSE,"DCF Corp. Services Sensitivity";#N/A,#N/A,FALSE,"AVP Corporate Services";"FCF in percent",#N/A,FALSE,"FCF Corporate Services"}</definedName>
    <definedName name="xw" hidden="1">{#N/A,#N/A,FALSE,"FCF Corporate Services";#N/A,#N/A,FALSE,"FCF Assum Corporate Services";#N/A,#N/A,FALSE,"DCF Corp. Services Sensitivity";#N/A,#N/A,FALSE,"AVP Corporate Services";"FCF in percent",#N/A,FALSE,"FCF Corporate Services"}</definedName>
    <definedName name="xxx" localSheetId="1" hidden="1">{"Geographic P1",#N/A,FALSE,"Division &amp; Geog"}</definedName>
    <definedName name="xxx" localSheetId="2" hidden="1">{"Geographic P1",#N/A,FALSE,"Division &amp; Geog"}</definedName>
    <definedName name="xxx" localSheetId="19" hidden="1">{"Geographic P1",#N/A,FALSE,"Division &amp; Geog"}</definedName>
    <definedName name="xxx" localSheetId="21" hidden="1">{"Geographic P1",#N/A,FALSE,"Division &amp; Geog"}</definedName>
    <definedName name="xxx" hidden="1">{"Geographic P1",#N/A,FALSE,"Division &amp; Geog"}</definedName>
    <definedName name="xxxxxxxxxxxxxxxxxxxxxx" localSheetId="1" hidden="1">{"Geographic P1",#N/A,FALSE,"Division &amp; Geog"}</definedName>
    <definedName name="xxxxxxxxxxxxxxxxxxxxxx" localSheetId="2" hidden="1">{"Geographic P1",#N/A,FALSE,"Division &amp; Geog"}</definedName>
    <definedName name="xxxxxxxxxxxxxxxxxxxxxx" localSheetId="19" hidden="1">{"Geographic P1",#N/A,FALSE,"Division &amp; Geog"}</definedName>
    <definedName name="xxxxxxxxxxxxxxxxxxxxxx" localSheetId="21" hidden="1">{"Geographic P1",#N/A,FALSE,"Division &amp; Geog"}</definedName>
    <definedName name="xxxxxxxxxxxxxxxxxxxxxx" hidden="1">{"Geographic P1",#N/A,FALSE,"Division &amp; Geog"}</definedName>
    <definedName name="xxxxxxxxxxxxxxxxxxxxxxx" localSheetId="1" hidden="1">{"EUUTI","COMPANIES",TRUE}</definedName>
    <definedName name="xxxxxxxxxxxxxxxxxxxxxxx" localSheetId="2" hidden="1">{"EUUTI","COMPANIES",TRUE}</definedName>
    <definedName name="xxxxxxxxxxxxxxxxxxxxxxx" localSheetId="19" hidden="1">{"EUUTI","COMPANIES",TRUE}</definedName>
    <definedName name="xxxxxxxxxxxxxxxxxxxxxxx" localSheetId="21" hidden="1">{"EUUTI","COMPANIES",TRUE}</definedName>
    <definedName name="xxxxxxxxxxxxxxxxxxxxxxx" hidden="1">{"EUUTI","COMPANIES",TRUE}</definedName>
    <definedName name="YearHeader">#REF!</definedName>
    <definedName name="YearHigh">#REF!</definedName>
    <definedName name="YearLow">#REF!</definedName>
    <definedName name="Years">#REF!</definedName>
    <definedName name="YearVolumeAvg">#REF!</definedName>
    <definedName name="Yend">#REF!</definedName>
    <definedName name="YesNo" localSheetId="2">#REF!</definedName>
    <definedName name="YesNo">#REF!</definedName>
    <definedName name="Yield_Today">#REF!</definedName>
    <definedName name="Yield_Ye">#REF!</definedName>
    <definedName name="Z_05EF9B63_E8DE_42A0_9468_46CFB1A90E6C_.wvu.Cols" localSheetId="24" hidden="1">CMD!#REF!,CMD!$B:$B,CMD!#REF!,CMD!#REF!,CMD!#REF!,CMD!#REF!</definedName>
    <definedName name="Z_05EF9B63_E8DE_42A0_9468_46CFB1A90E6C_.wvu.Cols" localSheetId="18" hidden="1">'GSe vs Consensus'!#REF!,'GSe vs Consensus'!$B:$B,'GSe vs Consensus'!#REF!,'GSe vs Consensus'!#REF!,'GSe vs Consensus'!#REF!,'GSe vs Consensus'!#REF!</definedName>
    <definedName name="Z_05EF9B63_E8DE_42A0_9468_46CFB1A90E6C_.wvu.Cols" localSheetId="21" hidden="1">'Results table'!#REF!,'Results table'!#REF!,'Results table'!#REF!,'Results table'!#REF!,'Results table'!#REF!,'Results table'!#REF!</definedName>
    <definedName name="Z_05EF9B63_E8DE_42A0_9468_46CFB1A90E6C_.wvu.PrintArea" localSheetId="24" hidden="1">CMD!$A$3:$D$7</definedName>
    <definedName name="Z_05EF9B63_E8DE_42A0_9468_46CFB1A90E6C_.wvu.PrintArea" localSheetId="18" hidden="1">'GSe vs Consensus'!$A$3:$D$7</definedName>
    <definedName name="Z_05EF9B63_E8DE_42A0_9468_46CFB1A90E6C_.wvu.PrintArea" localSheetId="21" hidden="1">'Results table'!#REF!</definedName>
    <definedName name="Z_05EF9B63_E8DE_42A0_9468_46CFB1A90E6C_.wvu.Rows" localSheetId="24" hidden="1">CMD!#REF!,CMD!#REF!,CMD!#REF!,CMD!#REF!,CMD!#REF!,CMD!#REF!,CMD!#REF!,CMD!#REF!</definedName>
    <definedName name="Z_05EF9B63_E8DE_42A0_9468_46CFB1A90E6C_.wvu.Rows" localSheetId="18" hidden="1">'GSe vs Consensus'!#REF!,'GSe vs Consensus'!#REF!,'GSe vs Consensus'!#REF!,'GSe vs Consensus'!#REF!,'GSe vs Consensus'!#REF!,'GSe vs Consensus'!#REF!,'GSe vs Consensus'!#REF!,'GSe vs Consensus'!#REF!</definedName>
    <definedName name="Z_05EF9B63_E8DE_42A0_9468_46CFB1A90E6C_.wvu.Rows" localSheetId="21" hidden="1">'Results table'!#REF!,'Results table'!#REF!,'Results table'!#REF!,'Results table'!#REF!,'Results table'!#REF!,'Results table'!#REF!,'Results table'!#REF!,'Results table'!#REF!</definedName>
    <definedName name="zzzz" localSheetId="1" hidden="1">{"EUUTI","COMPANIES",TRUE}</definedName>
    <definedName name="zzzz" localSheetId="2" hidden="1">{"EUUTI","COMPANIES",TRUE}</definedName>
    <definedName name="zzzz" localSheetId="19" hidden="1">{"EUUTI","COMPANIES",TRUE}</definedName>
    <definedName name="zzzz" localSheetId="21" hidden="1">{"EUUTI","COMPANIES",TRUE}</definedName>
    <definedName name="zzzz" hidden="1">{"EUUTI","COMPANIES",TRUE}</definedName>
    <definedName name="zzzzz" localSheetId="1" hidden="1">{"EUUTI","COMPANIES",TRUE}</definedName>
    <definedName name="zzzzz" localSheetId="2" hidden="1">{"EUUTI","COMPANIES",TRUE}</definedName>
    <definedName name="zzzzz" localSheetId="19" hidden="1">{"EUUTI","COMPANIES",TRUE}</definedName>
    <definedName name="zzzzz" localSheetId="21" hidden="1">{"EUUTI","COMPANIES",TRUE}</definedName>
    <definedName name="zzzzz" hidden="1">{"EUUTI","COMPANIES",TRUE}</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 i="123" l="1"/>
  <c r="E14" i="133" l="1"/>
  <c r="F14" i="133" s="1"/>
  <c r="G14" i="133" s="1"/>
  <c r="H14" i="133" s="1"/>
  <c r="I14" i="133" s="1"/>
  <c r="J14" i="133" s="1"/>
  <c r="K14" i="133" s="1"/>
  <c r="L14" i="133" s="1"/>
  <c r="D23" i="133"/>
  <c r="L12" i="133"/>
  <c r="P6" i="133"/>
  <c r="O6" i="133"/>
  <c r="X137" i="123"/>
  <c r="Y137" i="123" s="1"/>
  <c r="Z137" i="123" s="1"/>
  <c r="AA137" i="123" s="1"/>
  <c r="AB137" i="123" s="1"/>
  <c r="AC137" i="123" s="1"/>
  <c r="AD137" i="123" s="1"/>
  <c r="AE137" i="123" s="1"/>
  <c r="AF137" i="123" s="1"/>
  <c r="J280" i="103" l="1"/>
  <c r="J284" i="103" s="1"/>
  <c r="J285" i="103" s="1"/>
  <c r="K280" i="103"/>
  <c r="K284" i="103" s="1"/>
  <c r="K285" i="103" s="1"/>
  <c r="L280" i="103"/>
  <c r="L284" i="103" s="1"/>
  <c r="L285" i="103" s="1"/>
  <c r="M280" i="103"/>
  <c r="M284" i="103" s="1"/>
  <c r="M285" i="103" s="1"/>
  <c r="N280" i="103"/>
  <c r="N284" i="103" s="1"/>
  <c r="N285" i="103" s="1"/>
  <c r="O280" i="103"/>
  <c r="O284" i="103" s="1"/>
  <c r="P280" i="103"/>
  <c r="P284" i="103" s="1"/>
  <c r="Q280" i="103"/>
  <c r="Q284" i="103" s="1"/>
  <c r="R280" i="103"/>
  <c r="R284" i="103" s="1"/>
  <c r="S280" i="103"/>
  <c r="S284" i="103" s="1"/>
  <c r="S285" i="103" s="1"/>
  <c r="T280" i="103"/>
  <c r="T284" i="103" s="1"/>
  <c r="U280" i="103"/>
  <c r="U284" i="103" s="1"/>
  <c r="U285" i="103" s="1"/>
  <c r="V280" i="103"/>
  <c r="V284" i="103" s="1"/>
  <c r="V285" i="103" s="1"/>
  <c r="W280" i="103"/>
  <c r="W284" i="103" s="1"/>
  <c r="W285" i="103" s="1"/>
  <c r="X280" i="103"/>
  <c r="X284" i="103" s="1"/>
  <c r="X285" i="103" s="1"/>
  <c r="Y280" i="103"/>
  <c r="Z280" i="103"/>
  <c r="AA280" i="103"/>
  <c r="AB280" i="103"/>
  <c r="Y281" i="103"/>
  <c r="Z281" i="103"/>
  <c r="AA281" i="103"/>
  <c r="AB281" i="103"/>
  <c r="AC281" i="103"/>
  <c r="AD281" i="103"/>
  <c r="AE281" i="103"/>
  <c r="AF281" i="103"/>
  <c r="AG281" i="103"/>
  <c r="AH281" i="103"/>
  <c r="AC287" i="103"/>
  <c r="AD287" i="103" s="1"/>
  <c r="AE287" i="103" s="1"/>
  <c r="AF287" i="103" s="1"/>
  <c r="AG287" i="103" s="1"/>
  <c r="AH287" i="103" s="1"/>
  <c r="V290" i="103"/>
  <c r="W290" i="103"/>
  <c r="X290" i="103"/>
  <c r="Y290" i="103"/>
  <c r="Z290" i="103"/>
  <c r="AA290" i="103"/>
  <c r="AB290" i="103"/>
  <c r="J293" i="103"/>
  <c r="K293" i="103"/>
  <c r="L293" i="103"/>
  <c r="M293" i="103"/>
  <c r="N293" i="103"/>
  <c r="O293" i="103"/>
  <c r="P293" i="103"/>
  <c r="Q293" i="103"/>
  <c r="R293" i="103"/>
  <c r="S293" i="103"/>
  <c r="T293" i="103"/>
  <c r="U293" i="103"/>
  <c r="V293" i="103"/>
  <c r="W293" i="103"/>
  <c r="X293" i="103"/>
  <c r="Y293" i="103"/>
  <c r="Z293" i="103"/>
  <c r="AA293" i="103"/>
  <c r="AB293" i="103"/>
  <c r="W140" i="123"/>
  <c r="X140" i="123"/>
  <c r="Y140" i="123"/>
  <c r="Z140" i="123"/>
  <c r="AA139" i="123"/>
  <c r="AB139" i="123" s="1"/>
  <c r="AC139" i="123" s="1"/>
  <c r="AD139" i="123" s="1"/>
  <c r="AE139" i="123" s="1"/>
  <c r="AF139" i="123" s="1"/>
  <c r="AA138" i="123"/>
  <c r="AB138" i="123" s="1"/>
  <c r="W66" i="124"/>
  <c r="X66" i="124"/>
  <c r="Z66" i="124"/>
  <c r="Z65" i="124"/>
  <c r="Z284" i="103" l="1"/>
  <c r="Z285" i="103" s="1"/>
  <c r="N28" i="116"/>
  <c r="M28" i="116"/>
  <c r="L28" i="116"/>
  <c r="AB284" i="103"/>
  <c r="AB285" i="103" s="1"/>
  <c r="K28" i="116"/>
  <c r="J28" i="116" s="1"/>
  <c r="AA284" i="103"/>
  <c r="Y284" i="103"/>
  <c r="Y285" i="103" s="1"/>
  <c r="AC138" i="123"/>
  <c r="AD138" i="123" s="1"/>
  <c r="AB140" i="123"/>
  <c r="AA140" i="123"/>
  <c r="AB237" i="125"/>
  <c r="AC237" i="125" s="1"/>
  <c r="AD237" i="125" s="1"/>
  <c r="AE237" i="125" s="1"/>
  <c r="AF237" i="125" s="1"/>
  <c r="AC140" i="123" l="1"/>
  <c r="O28" i="116"/>
  <c r="P28" i="116"/>
  <c r="AE138" i="123"/>
  <c r="AD140" i="123"/>
  <c r="AD135" i="125"/>
  <c r="AE135" i="125" s="1"/>
  <c r="AF135" i="125" s="1"/>
  <c r="R28" i="116" l="1"/>
  <c r="Q28" i="116"/>
  <c r="AF138" i="123"/>
  <c r="AF140" i="123" s="1"/>
  <c r="AE140" i="123"/>
  <c r="T28" i="116" l="1"/>
  <c r="S28" i="116"/>
  <c r="AA130" i="125" l="1"/>
  <c r="CQ37" i="115" a="1"/>
  <c r="CQ37" i="115" l="1"/>
  <c r="AR113" i="125"/>
  <c r="AS113" i="125" s="1"/>
  <c r="AT113" i="125" s="1"/>
  <c r="AU113" i="125" s="1"/>
  <c r="AV113" i="125" s="1"/>
  <c r="AW113" i="125" s="1"/>
  <c r="AR114" i="125"/>
  <c r="AS114" i="125" s="1"/>
  <c r="AR119" i="125"/>
  <c r="AS119" i="125" s="1"/>
  <c r="AT119" i="125" s="1"/>
  <c r="AU119" i="125" s="1"/>
  <c r="AV119" i="125" s="1"/>
  <c r="AW119" i="125" s="1"/>
  <c r="AR110" i="125"/>
  <c r="AS110" i="125" s="1"/>
  <c r="AT110" i="125" s="1"/>
  <c r="AU110" i="125" s="1"/>
  <c r="AV110" i="125" s="1"/>
  <c r="AW110" i="125" s="1"/>
  <c r="AR105" i="125"/>
  <c r="AR103" i="125"/>
  <c r="AS103" i="125" s="1"/>
  <c r="AT103" i="125" s="1"/>
  <c r="AU103" i="125" s="1"/>
  <c r="AV103" i="125" s="1"/>
  <c r="AW103" i="125" s="1"/>
  <c r="AT114" i="125" l="1"/>
  <c r="AR109" i="125"/>
  <c r="AS109" i="125" s="1"/>
  <c r="AT109" i="125" s="1"/>
  <c r="AU109" i="125" s="1"/>
  <c r="AV109" i="125" s="1"/>
  <c r="AW109" i="125" s="1"/>
  <c r="AU114" i="125" l="1"/>
  <c r="AV114" i="125" s="1"/>
  <c r="AW114" i="125" s="1"/>
  <c r="AR117" i="125"/>
  <c r="M44" i="81"/>
  <c r="M45" i="81"/>
  <c r="M49" i="81"/>
  <c r="L49" i="81"/>
  <c r="L45" i="81"/>
  <c r="L44" i="81"/>
  <c r="K45" i="81"/>
  <c r="K44" i="81"/>
  <c r="T103" i="123" l="1"/>
  <c r="S103" i="123"/>
  <c r="V103" i="123"/>
  <c r="U103" i="123"/>
  <c r="DT39" i="131" l="1"/>
  <c r="DG29" i="131"/>
  <c r="DC29" i="131"/>
  <c r="CY29" i="131"/>
  <c r="CU29" i="131"/>
  <c r="DT66" i="131"/>
  <c r="DL66" i="131"/>
  <c r="DL64" i="131"/>
  <c r="DL63" i="131"/>
  <c r="DL59" i="131"/>
  <c r="DH66" i="131"/>
  <c r="DD66" i="131"/>
  <c r="DH64" i="131"/>
  <c r="DD64" i="131"/>
  <c r="DH63" i="131"/>
  <c r="DD63" i="131"/>
  <c r="DH59" i="131"/>
  <c r="DD59" i="131"/>
  <c r="CZ66" i="131"/>
  <c r="CV66" i="131"/>
  <c r="CZ64" i="131"/>
  <c r="CV64" i="131"/>
  <c r="CZ63" i="131"/>
  <c r="CV63" i="131"/>
  <c r="CZ59" i="131"/>
  <c r="CV59" i="131"/>
  <c r="CR66" i="131"/>
  <c r="CR64" i="131"/>
  <c r="CR63" i="131"/>
  <c r="CR59" i="131"/>
  <c r="CN66" i="131"/>
  <c r="CN64" i="131"/>
  <c r="CN63" i="131"/>
  <c r="CN59" i="131"/>
  <c r="DK16" i="131"/>
  <c r="DK29" i="131" s="1"/>
  <c r="H98" i="122"/>
  <c r="I98" i="122"/>
  <c r="J98" i="122"/>
  <c r="K98" i="122"/>
  <c r="L98" i="122"/>
  <c r="M98" i="122"/>
  <c r="N98" i="122"/>
  <c r="O98" i="122"/>
  <c r="P98" i="122"/>
  <c r="Q98" i="122"/>
  <c r="E28" i="118" l="1"/>
  <c r="D28" i="118"/>
  <c r="C28" i="118"/>
  <c r="H26" i="118"/>
  <c r="G26" i="118"/>
  <c r="F26" i="118"/>
  <c r="K25" i="118"/>
  <c r="J25" i="118"/>
  <c r="I25" i="118"/>
  <c r="H25" i="118"/>
  <c r="G25" i="118"/>
  <c r="F25" i="118"/>
  <c r="L25" i="118"/>
  <c r="R134" i="118"/>
  <c r="R130" i="118"/>
  <c r="R110" i="118"/>
  <c r="R108" i="118"/>
  <c r="R80" i="118"/>
  <c r="R79" i="118"/>
  <c r="R74" i="118"/>
  <c r="R72" i="118"/>
  <c r="R71" i="118"/>
  <c r="R70" i="118"/>
  <c r="R69" i="118"/>
  <c r="R68" i="118"/>
  <c r="R67" i="118"/>
  <c r="R63" i="118"/>
  <c r="R54" i="118"/>
  <c r="R50" i="118"/>
  <c r="R48" i="118"/>
  <c r="R47" i="118"/>
  <c r="R45" i="118"/>
  <c r="R38" i="118"/>
  <c r="R18" i="118"/>
  <c r="R16" i="118"/>
  <c r="Q16" i="118"/>
  <c r="P16" i="118"/>
  <c r="O16" i="118"/>
  <c r="N16" i="118"/>
  <c r="M16" i="118"/>
  <c r="K16" i="118"/>
  <c r="J16" i="118"/>
  <c r="I16" i="118"/>
  <c r="H16" i="118"/>
  <c r="G16" i="118"/>
  <c r="F16" i="118"/>
  <c r="L16" i="118"/>
  <c r="K4" i="118"/>
  <c r="J4" i="118"/>
  <c r="I4" i="118"/>
  <c r="H4" i="118"/>
  <c r="G4" i="118"/>
  <c r="F4" i="118"/>
  <c r="L4" i="118"/>
  <c r="AA2" i="124"/>
  <c r="Z61" i="124"/>
  <c r="AA61" i="124" s="1"/>
  <c r="AB61" i="124" s="1"/>
  <c r="AC61" i="124" s="1"/>
  <c r="AD61" i="124" s="1"/>
  <c r="AE61" i="124" s="1"/>
  <c r="AF61" i="124" s="1"/>
  <c r="Y61" i="124"/>
  <c r="X61" i="124"/>
  <c r="W61" i="124"/>
  <c r="V61" i="124"/>
  <c r="U61" i="124"/>
  <c r="T61" i="124"/>
  <c r="S61" i="124"/>
  <c r="R61" i="124"/>
  <c r="Q61" i="124"/>
  <c r="P61" i="124"/>
  <c r="O61" i="124"/>
  <c r="N61" i="124"/>
  <c r="M61" i="124"/>
  <c r="L61" i="124"/>
  <c r="K61" i="124"/>
  <c r="J61" i="124"/>
  <c r="I61" i="124"/>
  <c r="H61" i="124"/>
  <c r="G61" i="124"/>
  <c r="F61" i="124"/>
  <c r="E61" i="124"/>
  <c r="D61" i="124"/>
  <c r="C61" i="124"/>
  <c r="B61" i="124"/>
  <c r="Z126" i="123"/>
  <c r="AA126" i="123" s="1"/>
  <c r="AB126" i="123" s="1"/>
  <c r="AC126" i="123" s="1"/>
  <c r="AD126" i="123" s="1"/>
  <c r="AE126" i="123" s="1"/>
  <c r="AF126" i="123" s="1"/>
  <c r="Y126" i="123"/>
  <c r="X126" i="123"/>
  <c r="W126" i="123"/>
  <c r="V126" i="123"/>
  <c r="U126" i="123"/>
  <c r="T126" i="123"/>
  <c r="S126" i="123"/>
  <c r="R126" i="123"/>
  <c r="Q126" i="123"/>
  <c r="P126" i="123"/>
  <c r="O126" i="123"/>
  <c r="N126" i="123"/>
  <c r="M126" i="123"/>
  <c r="L126" i="123"/>
  <c r="K126" i="123"/>
  <c r="J126" i="123"/>
  <c r="I126" i="123"/>
  <c r="H126" i="123"/>
  <c r="G126" i="123"/>
  <c r="F126" i="123"/>
  <c r="E126" i="123"/>
  <c r="D126" i="123"/>
  <c r="C126" i="123"/>
  <c r="B126" i="123"/>
  <c r="Z113" i="123"/>
  <c r="AA113" i="123" s="1"/>
  <c r="AB113" i="123" s="1"/>
  <c r="AC113" i="123" s="1"/>
  <c r="AD113" i="123" s="1"/>
  <c r="AE113" i="123" s="1"/>
  <c r="AF113" i="123" s="1"/>
  <c r="Y113" i="123"/>
  <c r="X113" i="123"/>
  <c r="W113" i="123"/>
  <c r="V113" i="123"/>
  <c r="U113" i="123"/>
  <c r="T113" i="123"/>
  <c r="S113" i="123"/>
  <c r="R113" i="123"/>
  <c r="Q113" i="123"/>
  <c r="P113" i="123"/>
  <c r="O113" i="123"/>
  <c r="N113" i="123"/>
  <c r="M113" i="123"/>
  <c r="L113" i="123"/>
  <c r="K113" i="123"/>
  <c r="J113" i="123"/>
  <c r="I113" i="123"/>
  <c r="H113" i="123"/>
  <c r="G113" i="123"/>
  <c r="F113" i="123"/>
  <c r="E113" i="123"/>
  <c r="D113" i="123"/>
  <c r="C113" i="123"/>
  <c r="B113" i="123"/>
  <c r="Z101" i="123"/>
  <c r="AA101" i="123" s="1"/>
  <c r="AB101" i="123" s="1"/>
  <c r="AC101" i="123" s="1"/>
  <c r="AD101" i="123" s="1"/>
  <c r="AE101" i="123" s="1"/>
  <c r="AF101" i="123" s="1"/>
  <c r="Y101" i="123"/>
  <c r="X101" i="123"/>
  <c r="W101" i="123"/>
  <c r="V101" i="123"/>
  <c r="U101" i="123"/>
  <c r="T101" i="123"/>
  <c r="S101" i="123"/>
  <c r="R101" i="123"/>
  <c r="Q101" i="123"/>
  <c r="P101" i="123"/>
  <c r="O101" i="123"/>
  <c r="N101" i="123"/>
  <c r="M101" i="123"/>
  <c r="L101" i="123"/>
  <c r="K101" i="123"/>
  <c r="J101" i="123"/>
  <c r="I101" i="123"/>
  <c r="H101" i="123"/>
  <c r="G101" i="123"/>
  <c r="F101" i="123"/>
  <c r="E101" i="123"/>
  <c r="D101" i="123"/>
  <c r="C101" i="123"/>
  <c r="B101" i="123"/>
  <c r="H88" i="123"/>
  <c r="G88" i="123"/>
  <c r="F88" i="123"/>
  <c r="E88" i="123"/>
  <c r="D88" i="123"/>
  <c r="C88" i="123"/>
  <c r="B88" i="123"/>
  <c r="Z88" i="123"/>
  <c r="Y88" i="123"/>
  <c r="X88" i="123"/>
  <c r="W88" i="123"/>
  <c r="V88" i="123"/>
  <c r="U88" i="123"/>
  <c r="T88" i="123"/>
  <c r="S88" i="123"/>
  <c r="R88" i="123"/>
  <c r="Q88" i="123"/>
  <c r="P88" i="123"/>
  <c r="O88" i="123"/>
  <c r="N88" i="123"/>
  <c r="M88" i="123"/>
  <c r="L88" i="123"/>
  <c r="K88" i="123"/>
  <c r="J88" i="123"/>
  <c r="I88" i="123"/>
  <c r="Q92" i="123"/>
  <c r="P92" i="123"/>
  <c r="O92" i="123"/>
  <c r="N92" i="123"/>
  <c r="M92" i="123"/>
  <c r="L92" i="123"/>
  <c r="K92" i="123"/>
  <c r="J92" i="123"/>
  <c r="I92" i="123"/>
  <c r="Q91" i="123"/>
  <c r="P91" i="123"/>
  <c r="O91" i="123"/>
  <c r="N91" i="123"/>
  <c r="M91" i="123"/>
  <c r="L91" i="123"/>
  <c r="K91" i="123"/>
  <c r="J91" i="123"/>
  <c r="Q90" i="123"/>
  <c r="P90" i="123"/>
  <c r="N90" i="123"/>
  <c r="M90" i="123"/>
  <c r="L90" i="123"/>
  <c r="K90" i="123"/>
  <c r="J90" i="123"/>
  <c r="I90" i="123"/>
  <c r="Q89" i="123"/>
  <c r="P89" i="123"/>
  <c r="O89" i="123"/>
  <c r="N89" i="123"/>
  <c r="M89" i="123"/>
  <c r="L89" i="123"/>
  <c r="K89" i="123"/>
  <c r="J89" i="123"/>
  <c r="I89" i="123"/>
  <c r="G49" i="129"/>
  <c r="H49" i="129" s="1"/>
  <c r="E49" i="129"/>
  <c r="D49" i="129" s="1"/>
  <c r="C44" i="129"/>
  <c r="C45" i="129" s="1"/>
  <c r="C42" i="129"/>
  <c r="C41" i="129" s="1"/>
  <c r="C53" i="129"/>
  <c r="C54" i="129" s="1"/>
  <c r="C51" i="129"/>
  <c r="C50" i="129" s="1"/>
  <c r="G40" i="129"/>
  <c r="H40" i="129" s="1"/>
  <c r="E40" i="129"/>
  <c r="D40" i="129" s="1"/>
  <c r="N127" i="123"/>
  <c r="N131" i="123" s="1"/>
  <c r="O127" i="123"/>
  <c r="O131" i="123" s="1"/>
  <c r="P127" i="123"/>
  <c r="P131" i="123" s="1"/>
  <c r="Q127" i="123"/>
  <c r="Q131" i="123" s="1"/>
  <c r="R127" i="123"/>
  <c r="R131" i="123" s="1"/>
  <c r="M128" i="123"/>
  <c r="S128" i="123"/>
  <c r="S127" i="123" s="1"/>
  <c r="S131" i="123" s="1"/>
  <c r="T128" i="123"/>
  <c r="T127" i="123" s="1"/>
  <c r="T131" i="123" s="1"/>
  <c r="U128" i="123"/>
  <c r="U127" i="123" s="1"/>
  <c r="U131" i="123" s="1"/>
  <c r="V128" i="123"/>
  <c r="V127" i="123" s="1"/>
  <c r="V131" i="123" s="1"/>
  <c r="W128" i="123"/>
  <c r="W127" i="123" s="1"/>
  <c r="W131" i="123" s="1"/>
  <c r="X128" i="123"/>
  <c r="X127" i="123" s="1"/>
  <c r="X131" i="123" s="1"/>
  <c r="Y128" i="123"/>
  <c r="Y127" i="123" s="1"/>
  <c r="Y131" i="123" s="1"/>
  <c r="Z128" i="123"/>
  <c r="Z127" i="123" s="1"/>
  <c r="Z131" i="123" s="1"/>
  <c r="H131" i="123"/>
  <c r="I131" i="123"/>
  <c r="J131" i="123"/>
  <c r="K131" i="123"/>
  <c r="L131" i="123"/>
  <c r="M131" i="123"/>
  <c r="H134" i="123"/>
  <c r="I134" i="123"/>
  <c r="J134" i="123"/>
  <c r="K134" i="123"/>
  <c r="L134" i="123"/>
  <c r="M134" i="123"/>
  <c r="N134" i="123"/>
  <c r="P134" i="123"/>
  <c r="Q134" i="123"/>
  <c r="R134" i="123"/>
  <c r="S134" i="123"/>
  <c r="T134" i="123"/>
  <c r="U134" i="123"/>
  <c r="V134" i="123"/>
  <c r="W134" i="123"/>
  <c r="X134" i="123"/>
  <c r="Y134" i="123"/>
  <c r="Z134" i="123"/>
  <c r="X122" i="123"/>
  <c r="Y122" i="123" s="1"/>
  <c r="Z122" i="123" s="1"/>
  <c r="AA122" i="123" s="1"/>
  <c r="AB122" i="123" s="1"/>
  <c r="AC122" i="123" s="1"/>
  <c r="AD122" i="123" s="1"/>
  <c r="AE122" i="123" s="1"/>
  <c r="AF122" i="123" s="1"/>
  <c r="X121" i="123"/>
  <c r="Y121" i="123" s="1"/>
  <c r="Z121" i="123" s="1"/>
  <c r="AA121" i="123" s="1"/>
  <c r="AB121" i="123" s="1"/>
  <c r="AC121" i="123" s="1"/>
  <c r="AD121" i="123" s="1"/>
  <c r="AE121" i="123" s="1"/>
  <c r="AF121" i="123" s="1"/>
  <c r="Z119" i="123"/>
  <c r="U119" i="123"/>
  <c r="Y115" i="123"/>
  <c r="Y119" i="123" s="1"/>
  <c r="X115" i="123"/>
  <c r="X119" i="123" s="1"/>
  <c r="W115" i="123"/>
  <c r="W119" i="123" s="1"/>
  <c r="V115" i="123"/>
  <c r="H180" i="122"/>
  <c r="N180" i="122"/>
  <c r="O180" i="122"/>
  <c r="P180" i="122"/>
  <c r="Q180" i="122"/>
  <c r="H181" i="122"/>
  <c r="I181" i="122"/>
  <c r="J181" i="122"/>
  <c r="K181" i="122"/>
  <c r="L181" i="122"/>
  <c r="M181" i="122"/>
  <c r="N181" i="122"/>
  <c r="O181" i="122"/>
  <c r="P181" i="122"/>
  <c r="Q181" i="122"/>
  <c r="R181" i="122"/>
  <c r="S181" i="122"/>
  <c r="T181" i="122"/>
  <c r="U181" i="122"/>
  <c r="V181" i="122"/>
  <c r="W181" i="122"/>
  <c r="X181" i="122"/>
  <c r="Y181" i="122"/>
  <c r="Z181" i="122"/>
  <c r="H182" i="122"/>
  <c r="I182" i="122"/>
  <c r="J182" i="122"/>
  <c r="K182" i="122"/>
  <c r="L182" i="122"/>
  <c r="M182" i="122"/>
  <c r="N182" i="122"/>
  <c r="O182" i="122"/>
  <c r="P182" i="122"/>
  <c r="Q182" i="122"/>
  <c r="R182" i="122"/>
  <c r="S182" i="122"/>
  <c r="T182" i="122"/>
  <c r="U182" i="122"/>
  <c r="V182" i="122"/>
  <c r="W182" i="122"/>
  <c r="X182" i="122"/>
  <c r="Y182" i="122"/>
  <c r="Z182" i="122"/>
  <c r="H183" i="122"/>
  <c r="H184" i="122" s="1"/>
  <c r="I183" i="122"/>
  <c r="I184" i="122" s="1"/>
  <c r="J183" i="122"/>
  <c r="J184" i="122" s="1"/>
  <c r="K183" i="122"/>
  <c r="K184" i="122" s="1"/>
  <c r="L183" i="122"/>
  <c r="L184" i="122" s="1"/>
  <c r="M183" i="122"/>
  <c r="M184" i="122" s="1"/>
  <c r="N183" i="122"/>
  <c r="O183" i="122"/>
  <c r="O184" i="122" s="1"/>
  <c r="P183" i="122"/>
  <c r="P184" i="122" s="1"/>
  <c r="Q183" i="122"/>
  <c r="Q184" i="122" s="1"/>
  <c r="R183" i="122"/>
  <c r="R184" i="122" s="1"/>
  <c r="S183" i="122"/>
  <c r="S184" i="122" s="1"/>
  <c r="T183" i="122"/>
  <c r="U183" i="122"/>
  <c r="V183" i="122"/>
  <c r="W183" i="122"/>
  <c r="X183" i="122"/>
  <c r="Y183" i="122"/>
  <c r="Z183" i="122"/>
  <c r="H167" i="122"/>
  <c r="H176" i="122" s="1"/>
  <c r="I167" i="122"/>
  <c r="I176" i="122" s="1"/>
  <c r="J167" i="122"/>
  <c r="J176" i="122" s="1"/>
  <c r="K167" i="122"/>
  <c r="K176" i="122" s="1"/>
  <c r="L167" i="122"/>
  <c r="L176" i="122" s="1"/>
  <c r="M167" i="122"/>
  <c r="M176" i="122" s="1"/>
  <c r="N167" i="122"/>
  <c r="N176" i="122" s="1"/>
  <c r="O167" i="122"/>
  <c r="O176" i="122" s="1"/>
  <c r="P167" i="122"/>
  <c r="P176" i="122" s="1"/>
  <c r="Q167" i="122"/>
  <c r="Q176" i="122" s="1"/>
  <c r="R167" i="122"/>
  <c r="R176" i="122" s="1"/>
  <c r="S167" i="122"/>
  <c r="S176" i="122" s="1"/>
  <c r="T167" i="122"/>
  <c r="T176" i="122" s="1"/>
  <c r="U167" i="122"/>
  <c r="U176" i="122" s="1"/>
  <c r="V167" i="122"/>
  <c r="V176" i="122" s="1"/>
  <c r="W167" i="122"/>
  <c r="W176" i="122" s="1"/>
  <c r="X167" i="122"/>
  <c r="X176" i="122" s="1"/>
  <c r="Y167" i="122"/>
  <c r="Y176" i="122" s="1"/>
  <c r="Z167" i="122"/>
  <c r="Z176" i="122" s="1"/>
  <c r="H169" i="122"/>
  <c r="H170" i="122" s="1"/>
  <c r="H178" i="122" s="1"/>
  <c r="I169" i="122"/>
  <c r="I170" i="122" s="1"/>
  <c r="I178" i="122" s="1"/>
  <c r="J169" i="122"/>
  <c r="J170" i="122" s="1"/>
  <c r="J178" i="122" s="1"/>
  <c r="K169" i="122"/>
  <c r="K170" i="122" s="1"/>
  <c r="K178" i="122" s="1"/>
  <c r="L169" i="122"/>
  <c r="M169" i="122"/>
  <c r="M177" i="122" s="1"/>
  <c r="N169" i="122"/>
  <c r="N177" i="122" s="1"/>
  <c r="O169" i="122"/>
  <c r="O177" i="122" s="1"/>
  <c r="P169" i="122"/>
  <c r="P177" i="122" s="1"/>
  <c r="Q169" i="122"/>
  <c r="Q177" i="122" s="1"/>
  <c r="R169" i="122"/>
  <c r="R177" i="122" s="1"/>
  <c r="S169" i="122"/>
  <c r="S177" i="122" s="1"/>
  <c r="T169" i="122"/>
  <c r="T177" i="122" s="1"/>
  <c r="U170" i="122"/>
  <c r="U178" i="122" s="1"/>
  <c r="V170" i="122"/>
  <c r="V178" i="122" s="1"/>
  <c r="W170" i="122"/>
  <c r="W178" i="122" s="1"/>
  <c r="X170" i="122"/>
  <c r="X178" i="122" s="1"/>
  <c r="Y170" i="122"/>
  <c r="Y178" i="122" s="1"/>
  <c r="Z170" i="122"/>
  <c r="Z178" i="122" s="1"/>
  <c r="AA178" i="122" s="1"/>
  <c r="H173" i="122"/>
  <c r="I173" i="122"/>
  <c r="J173" i="122"/>
  <c r="K173" i="122"/>
  <c r="L173" i="122"/>
  <c r="M173" i="122"/>
  <c r="N173" i="122"/>
  <c r="O173" i="122"/>
  <c r="P173" i="122"/>
  <c r="Q173" i="122"/>
  <c r="R173" i="122"/>
  <c r="S173" i="122"/>
  <c r="T173" i="122"/>
  <c r="U173" i="122"/>
  <c r="V173" i="122"/>
  <c r="W173" i="122"/>
  <c r="X173" i="122"/>
  <c r="Y173" i="122"/>
  <c r="Z173" i="122"/>
  <c r="H174" i="122"/>
  <c r="I174" i="122"/>
  <c r="J174" i="122"/>
  <c r="K174" i="122"/>
  <c r="L174" i="122"/>
  <c r="M174" i="122"/>
  <c r="N174" i="122"/>
  <c r="O174" i="122"/>
  <c r="P174" i="122"/>
  <c r="Q174" i="122"/>
  <c r="R174" i="122"/>
  <c r="S174" i="122"/>
  <c r="T174" i="122"/>
  <c r="U174" i="122"/>
  <c r="V174" i="122"/>
  <c r="W174" i="122"/>
  <c r="X174" i="122"/>
  <c r="Y174" i="122"/>
  <c r="Z174" i="122"/>
  <c r="AA174" i="122" s="1"/>
  <c r="H175" i="122"/>
  <c r="I175" i="122"/>
  <c r="J175" i="122"/>
  <c r="K175" i="122"/>
  <c r="L175" i="122"/>
  <c r="M175" i="122"/>
  <c r="N175" i="122"/>
  <c r="O175" i="122"/>
  <c r="P175" i="122"/>
  <c r="Q175" i="122"/>
  <c r="R175" i="122"/>
  <c r="S175" i="122"/>
  <c r="T175" i="122"/>
  <c r="U175" i="122"/>
  <c r="V175" i="122"/>
  <c r="W175" i="122"/>
  <c r="X175" i="122"/>
  <c r="Y175" i="122"/>
  <c r="Z175" i="122"/>
  <c r="U177" i="122"/>
  <c r="V177" i="122"/>
  <c r="W177" i="122"/>
  <c r="X177" i="122"/>
  <c r="Y177" i="122"/>
  <c r="Z177" i="122"/>
  <c r="M178" i="122"/>
  <c r="N178" i="122"/>
  <c r="O178" i="122"/>
  <c r="P178" i="122"/>
  <c r="Q178" i="122"/>
  <c r="R178" i="122"/>
  <c r="S178" i="122"/>
  <c r="T178" i="122"/>
  <c r="S179" i="122"/>
  <c r="T179" i="122"/>
  <c r="U179" i="122"/>
  <c r="V179" i="122"/>
  <c r="W179" i="122"/>
  <c r="X179" i="122"/>
  <c r="Y179" i="122"/>
  <c r="Z179" i="122"/>
  <c r="AA179" i="122" s="1"/>
  <c r="N5" i="81"/>
  <c r="N6" i="81"/>
  <c r="N7" i="81"/>
  <c r="N8" i="81"/>
  <c r="N9" i="81"/>
  <c r="N10" i="81"/>
  <c r="N11" i="81"/>
  <c r="N12" i="81"/>
  <c r="N16" i="81"/>
  <c r="N19" i="81"/>
  <c r="N23" i="81"/>
  <c r="N26" i="81"/>
  <c r="AF12" i="81"/>
  <c r="AF11" i="81"/>
  <c r="AF10" i="81"/>
  <c r="AF9" i="81"/>
  <c r="M27" i="81" s="1"/>
  <c r="N27" i="81" s="1"/>
  <c r="AF8" i="81"/>
  <c r="M15" i="81" s="1"/>
  <c r="K56" i="81"/>
  <c r="K55" i="81"/>
  <c r="AD12" i="81"/>
  <c r="AD11" i="81"/>
  <c r="AD10" i="81"/>
  <c r="AD9" i="81"/>
  <c r="AD8" i="81"/>
  <c r="AE12" i="81"/>
  <c r="AE11" i="81"/>
  <c r="AE10" i="81"/>
  <c r="L4" i="81" s="1"/>
  <c r="AE9" i="81"/>
  <c r="L18" i="81" s="1"/>
  <c r="AE8" i="81"/>
  <c r="L15" i="81" s="1"/>
  <c r="AB2" i="124" l="1"/>
  <c r="AC2" i="124" s="1"/>
  <c r="AD2" i="124" s="1"/>
  <c r="AE2" i="124" s="1"/>
  <c r="AF2" i="124" s="1"/>
  <c r="K3" i="81"/>
  <c r="K4" i="81"/>
  <c r="K15" i="81"/>
  <c r="M4" i="81"/>
  <c r="N4" i="81" s="1"/>
  <c r="M3" i="81"/>
  <c r="N3" i="81" s="1"/>
  <c r="K30" i="81"/>
  <c r="K22" i="81"/>
  <c r="K14" i="81"/>
  <c r="K27" i="81"/>
  <c r="K18" i="81"/>
  <c r="K25" i="81"/>
  <c r="K17" i="81"/>
  <c r="K29" i="81"/>
  <c r="K21" i="81"/>
  <c r="K13" i="81"/>
  <c r="K31" i="81"/>
  <c r="K24" i="81"/>
  <c r="K28" i="81"/>
  <c r="K20" i="81"/>
  <c r="K38" i="81"/>
  <c r="K39" i="81"/>
  <c r="K50" i="81"/>
  <c r="K40" i="81"/>
  <c r="K47" i="81"/>
  <c r="K43" i="81"/>
  <c r="K46" i="81"/>
  <c r="K41" i="81"/>
  <c r="K42" i="81"/>
  <c r="K48" i="81"/>
  <c r="K36" i="81"/>
  <c r="K33" i="81"/>
  <c r="K32" i="81"/>
  <c r="K35" i="81"/>
  <c r="K34" i="81"/>
  <c r="K37" i="81"/>
  <c r="J93" i="123"/>
  <c r="P93" i="123"/>
  <c r="K93" i="123"/>
  <c r="Q93" i="123"/>
  <c r="L93" i="123"/>
  <c r="M93" i="123"/>
  <c r="N93" i="123"/>
  <c r="L185" i="122"/>
  <c r="Y185" i="122"/>
  <c r="M17" i="81"/>
  <c r="X185" i="122"/>
  <c r="L56" i="81"/>
  <c r="M56" i="81" s="1"/>
  <c r="N56" i="81" s="1"/>
  <c r="K177" i="122"/>
  <c r="M39" i="81"/>
  <c r="N39" i="81" s="1"/>
  <c r="S185" i="122"/>
  <c r="K135" i="123"/>
  <c r="N49" i="81"/>
  <c r="I177" i="122"/>
  <c r="M22" i="81"/>
  <c r="N22" i="81" s="1"/>
  <c r="W185" i="122"/>
  <c r="Q186" i="122"/>
  <c r="K185" i="122"/>
  <c r="M185" i="122"/>
  <c r="M31" i="81"/>
  <c r="N31" i="81" s="1"/>
  <c r="J177" i="122"/>
  <c r="Z185" i="122"/>
  <c r="N185" i="122"/>
  <c r="H185" i="122"/>
  <c r="N186" i="122"/>
  <c r="P135" i="123"/>
  <c r="N15" i="81"/>
  <c r="H186" i="122"/>
  <c r="Q135" i="123"/>
  <c r="L27" i="81"/>
  <c r="N184" i="122"/>
  <c r="M135" i="123"/>
  <c r="L3" i="81"/>
  <c r="R185" i="122"/>
  <c r="L55" i="81"/>
  <c r="L25" i="81"/>
  <c r="L17" i="81"/>
  <c r="L31" i="81"/>
  <c r="L24" i="81"/>
  <c r="L29" i="81"/>
  <c r="L21" i="81"/>
  <c r="L13" i="81"/>
  <c r="L28" i="81"/>
  <c r="L20" i="81"/>
  <c r="AE13" i="81"/>
  <c r="L22" i="81"/>
  <c r="L50" i="81"/>
  <c r="M35" i="81"/>
  <c r="M37" i="81"/>
  <c r="M36" i="81"/>
  <c r="M33" i="81"/>
  <c r="M32" i="81"/>
  <c r="L39" i="81"/>
  <c r="L30" i="81"/>
  <c r="AD13" i="81"/>
  <c r="L32" i="81"/>
  <c r="L37" i="81"/>
  <c r="L35" i="81"/>
  <c r="L34" i="81"/>
  <c r="L14" i="81"/>
  <c r="L33" i="81"/>
  <c r="M34" i="81"/>
  <c r="L36" i="81"/>
  <c r="M29" i="81"/>
  <c r="M21" i="81"/>
  <c r="M13" i="81"/>
  <c r="M30" i="81"/>
  <c r="M20" i="81"/>
  <c r="M28" i="81"/>
  <c r="M18" i="81"/>
  <c r="AF13" i="81"/>
  <c r="M25" i="81"/>
  <c r="M24" i="81"/>
  <c r="M14" i="81"/>
  <c r="V119" i="123"/>
  <c r="L38" i="81"/>
  <c r="M50" i="81"/>
  <c r="N44" i="81"/>
  <c r="T185" i="122"/>
  <c r="U185" i="122"/>
  <c r="O185" i="122"/>
  <c r="I185" i="122"/>
  <c r="V185" i="122"/>
  <c r="P185" i="122"/>
  <c r="J185" i="122"/>
  <c r="L135" i="123"/>
  <c r="M38" i="81"/>
  <c r="N45" i="81"/>
  <c r="L177" i="122"/>
  <c r="L170" i="122"/>
  <c r="L178" i="122" s="1"/>
  <c r="H177" i="122"/>
  <c r="N135" i="123"/>
  <c r="H135" i="123"/>
  <c r="P186" i="122"/>
  <c r="Q185" i="122"/>
  <c r="O186" i="122"/>
  <c r="AB174" i="122"/>
  <c r="AB178" i="122"/>
  <c r="AB179" i="122"/>
  <c r="M40" i="81"/>
  <c r="M46" i="81"/>
  <c r="M41" i="81"/>
  <c r="M47" i="81"/>
  <c r="M42" i="81"/>
  <c r="M48" i="81"/>
  <c r="M43" i="81"/>
  <c r="L40" i="81"/>
  <c r="L46" i="81"/>
  <c r="L41" i="81"/>
  <c r="L47" i="81"/>
  <c r="L42" i="81"/>
  <c r="L48" i="81"/>
  <c r="L43" i="81"/>
  <c r="N94" i="123" l="1"/>
  <c r="K94" i="123"/>
  <c r="Q94" i="123"/>
  <c r="N17" i="81"/>
  <c r="M94" i="123"/>
  <c r="L94" i="123"/>
  <c r="N47" i="81"/>
  <c r="N29" i="81"/>
  <c r="N35" i="81"/>
  <c r="N41" i="81"/>
  <c r="N50" i="81"/>
  <c r="N28" i="81"/>
  <c r="L52" i="81"/>
  <c r="N32" i="81"/>
  <c r="N14" i="81"/>
  <c r="N20" i="81"/>
  <c r="K52" i="81"/>
  <c r="N43" i="81"/>
  <c r="N40" i="81"/>
  <c r="N24" i="81"/>
  <c r="N30" i="81"/>
  <c r="N33" i="81"/>
  <c r="L51" i="81"/>
  <c r="N46" i="81"/>
  <c r="N25" i="81"/>
  <c r="N34" i="81"/>
  <c r="N36" i="81"/>
  <c r="M55" i="81"/>
  <c r="M51" i="81"/>
  <c r="N18" i="81"/>
  <c r="M52" i="81"/>
  <c r="N48" i="81"/>
  <c r="N13" i="81"/>
  <c r="N42" i="81"/>
  <c r="N38" i="81"/>
  <c r="N21" i="81"/>
  <c r="N37" i="81"/>
  <c r="AC178" i="122"/>
  <c r="AC179" i="122"/>
  <c r="AC174" i="122"/>
  <c r="N52" i="81" l="1"/>
  <c r="N55" i="81"/>
  <c r="N51" i="81"/>
  <c r="AD174" i="122"/>
  <c r="AD179" i="122"/>
  <c r="AD178" i="122"/>
  <c r="AE178" i="122" l="1"/>
  <c r="AE179" i="122"/>
  <c r="AE174" i="122"/>
  <c r="Z64" i="122"/>
  <c r="L36" i="119"/>
  <c r="L34" i="119"/>
  <c r="L33" i="119"/>
  <c r="L32" i="119"/>
  <c r="Z73" i="122" l="1"/>
  <c r="L19" i="118" s="1"/>
  <c r="L15" i="118"/>
  <c r="AF174" i="122"/>
  <c r="AF179" i="122"/>
  <c r="AF178" i="122"/>
  <c r="L16" i="119"/>
  <c r="P16" i="119" s="1"/>
  <c r="L15" i="119"/>
  <c r="P15" i="119" s="1"/>
  <c r="L14" i="119"/>
  <c r="P14" i="119" s="1"/>
  <c r="AA79" i="125"/>
  <c r="AA44" i="125"/>
  <c r="R88" i="122" l="1"/>
  <c r="R19" i="122" l="1"/>
  <c r="AD47" i="124"/>
  <c r="AC47" i="124"/>
  <c r="AB47" i="124"/>
  <c r="AA47" i="124"/>
  <c r="AA116" i="122" s="1"/>
  <c r="AB116" i="122" l="1"/>
  <c r="AD280" i="103" s="1"/>
  <c r="AD284" i="103" s="1"/>
  <c r="AC280" i="103"/>
  <c r="AC284" i="103" s="1"/>
  <c r="AC116" i="122" l="1"/>
  <c r="R36" i="132"/>
  <c r="H42" i="132"/>
  <c r="I42" i="132" s="1"/>
  <c r="J42" i="132" s="1"/>
  <c r="K42" i="132" s="1"/>
  <c r="L42" i="132" s="1"/>
  <c r="F43" i="132"/>
  <c r="F44" i="132" s="1"/>
  <c r="F45" i="132" s="1"/>
  <c r="F46" i="132" s="1"/>
  <c r="F32" i="132"/>
  <c r="F33" i="132" s="1"/>
  <c r="F34" i="132" s="1"/>
  <c r="F35" i="132" s="1"/>
  <c r="F36" i="132" s="1"/>
  <c r="F37" i="132" s="1"/>
  <c r="H30" i="132"/>
  <c r="I30" i="132" s="1"/>
  <c r="J30" i="132" s="1"/>
  <c r="K30" i="132" s="1"/>
  <c r="L30" i="132" s="1"/>
  <c r="I16" i="132"/>
  <c r="I15" i="132"/>
  <c r="J15" i="132" s="1"/>
  <c r="I12" i="132"/>
  <c r="I11" i="132"/>
  <c r="H20" i="132"/>
  <c r="H19" i="132"/>
  <c r="I7" i="132"/>
  <c r="J7" i="132" s="1"/>
  <c r="K7" i="132" s="1"/>
  <c r="L7" i="132" s="1"/>
  <c r="M7" i="132" s="1"/>
  <c r="N7" i="132" s="1"/>
  <c r="O7" i="132" s="1"/>
  <c r="Z110" i="123"/>
  <c r="Y110" i="123"/>
  <c r="X110" i="123"/>
  <c r="W110" i="123"/>
  <c r="V110" i="123"/>
  <c r="U110" i="123"/>
  <c r="S110" i="123"/>
  <c r="R110" i="123"/>
  <c r="Q109" i="123"/>
  <c r="P109" i="123"/>
  <c r="N109" i="123"/>
  <c r="M109" i="123"/>
  <c r="L109" i="123"/>
  <c r="K109" i="123"/>
  <c r="H109" i="123"/>
  <c r="Q108" i="123"/>
  <c r="P108" i="123"/>
  <c r="N108" i="123"/>
  <c r="M108" i="123"/>
  <c r="L108" i="123"/>
  <c r="K108" i="123"/>
  <c r="H108" i="123"/>
  <c r="Z107" i="123"/>
  <c r="Y107" i="123"/>
  <c r="X107" i="123"/>
  <c r="W107" i="123"/>
  <c r="V107" i="123"/>
  <c r="U107" i="123"/>
  <c r="T107" i="123"/>
  <c r="S107" i="123"/>
  <c r="R107" i="123"/>
  <c r="Q107" i="123"/>
  <c r="P107" i="123"/>
  <c r="N107" i="123"/>
  <c r="M107" i="123"/>
  <c r="L107" i="123"/>
  <c r="K107" i="123"/>
  <c r="J107" i="123"/>
  <c r="I107" i="123"/>
  <c r="H107" i="123"/>
  <c r="P106" i="123"/>
  <c r="N106" i="123"/>
  <c r="M106" i="123"/>
  <c r="L106" i="123"/>
  <c r="K106" i="123"/>
  <c r="J106" i="123"/>
  <c r="I106" i="123"/>
  <c r="H106" i="123"/>
  <c r="AI57" i="124"/>
  <c r="F142" i="118"/>
  <c r="G142" i="118"/>
  <c r="H142" i="118"/>
  <c r="I142" i="118"/>
  <c r="J142" i="118"/>
  <c r="K142" i="118"/>
  <c r="L142" i="118"/>
  <c r="F94" i="118"/>
  <c r="G94" i="118"/>
  <c r="H94" i="118"/>
  <c r="I94" i="118"/>
  <c r="J94" i="118"/>
  <c r="K94" i="118"/>
  <c r="L94" i="118"/>
  <c r="F95" i="118"/>
  <c r="G95" i="118"/>
  <c r="H95" i="118"/>
  <c r="I95" i="118"/>
  <c r="J95" i="118"/>
  <c r="K95" i="118"/>
  <c r="L95" i="118"/>
  <c r="F96" i="118"/>
  <c r="G96" i="118"/>
  <c r="H96" i="118"/>
  <c r="I96" i="118"/>
  <c r="J96" i="118"/>
  <c r="K96" i="118"/>
  <c r="L96" i="118"/>
  <c r="F97" i="118"/>
  <c r="G97" i="118"/>
  <c r="H97" i="118"/>
  <c r="I97" i="118"/>
  <c r="J97" i="118"/>
  <c r="K97" i="118"/>
  <c r="L97" i="118"/>
  <c r="F98" i="118"/>
  <c r="G98" i="118"/>
  <c r="H98" i="118"/>
  <c r="I98" i="118"/>
  <c r="J98" i="118"/>
  <c r="K98" i="118"/>
  <c r="L98" i="118"/>
  <c r="F99" i="118"/>
  <c r="G99" i="118"/>
  <c r="H99" i="118"/>
  <c r="I99" i="118"/>
  <c r="J99" i="118"/>
  <c r="K99" i="118"/>
  <c r="L99" i="118"/>
  <c r="F100" i="118"/>
  <c r="G100" i="118"/>
  <c r="H100" i="118"/>
  <c r="I100" i="118"/>
  <c r="J100" i="118"/>
  <c r="K100" i="118"/>
  <c r="L100" i="118"/>
  <c r="F101" i="118"/>
  <c r="H101" i="118"/>
  <c r="I101" i="118"/>
  <c r="J101" i="118"/>
  <c r="K101" i="118"/>
  <c r="L101" i="118"/>
  <c r="F105" i="118"/>
  <c r="G105" i="118"/>
  <c r="H105" i="118"/>
  <c r="I105" i="118"/>
  <c r="J105" i="118"/>
  <c r="K105" i="118"/>
  <c r="L105" i="118"/>
  <c r="F106" i="118"/>
  <c r="G106" i="118"/>
  <c r="H106" i="118"/>
  <c r="I106" i="118"/>
  <c r="J106" i="118"/>
  <c r="K106" i="118"/>
  <c r="L106" i="118"/>
  <c r="F107" i="118"/>
  <c r="G107" i="118"/>
  <c r="H107" i="118"/>
  <c r="I107" i="118"/>
  <c r="J107" i="118"/>
  <c r="K107" i="118"/>
  <c r="L107" i="118"/>
  <c r="F108" i="118"/>
  <c r="G108" i="118"/>
  <c r="H108" i="118"/>
  <c r="M108" i="118"/>
  <c r="N108" i="118"/>
  <c r="O108" i="118"/>
  <c r="P108" i="118"/>
  <c r="Q108" i="118"/>
  <c r="F109" i="118"/>
  <c r="G109" i="118"/>
  <c r="H109" i="118"/>
  <c r="I109" i="118"/>
  <c r="J109" i="118"/>
  <c r="K109" i="118"/>
  <c r="L109" i="118"/>
  <c r="F110" i="118"/>
  <c r="G110" i="118"/>
  <c r="H110" i="118"/>
  <c r="M110" i="118"/>
  <c r="N110" i="118"/>
  <c r="O110" i="118"/>
  <c r="P110" i="118"/>
  <c r="Q110" i="118"/>
  <c r="F111" i="118"/>
  <c r="G111" i="118"/>
  <c r="H111" i="118"/>
  <c r="I111" i="118"/>
  <c r="J111" i="118"/>
  <c r="K111" i="118"/>
  <c r="L111" i="118"/>
  <c r="F112" i="118"/>
  <c r="G112" i="118"/>
  <c r="H112" i="118"/>
  <c r="I112" i="118"/>
  <c r="J112" i="118"/>
  <c r="K112" i="118"/>
  <c r="L112" i="118"/>
  <c r="F113" i="118"/>
  <c r="G113" i="118"/>
  <c r="H113" i="118"/>
  <c r="I113" i="118"/>
  <c r="J113" i="118"/>
  <c r="K113" i="118"/>
  <c r="L113" i="118"/>
  <c r="F114" i="118"/>
  <c r="G114" i="118"/>
  <c r="H114" i="118"/>
  <c r="I114" i="118"/>
  <c r="J114" i="118"/>
  <c r="K114" i="118"/>
  <c r="L114" i="118"/>
  <c r="F118" i="118"/>
  <c r="G118" i="118"/>
  <c r="H118" i="118"/>
  <c r="I118" i="118"/>
  <c r="J118" i="118"/>
  <c r="K118" i="118"/>
  <c r="L118" i="118"/>
  <c r="F119" i="118"/>
  <c r="G119" i="118"/>
  <c r="H119" i="118"/>
  <c r="I119" i="118"/>
  <c r="J119" i="118"/>
  <c r="K119" i="118"/>
  <c r="L119" i="118"/>
  <c r="F120" i="118"/>
  <c r="G120" i="118"/>
  <c r="H120" i="118"/>
  <c r="I120" i="118"/>
  <c r="J120" i="118"/>
  <c r="K120" i="118"/>
  <c r="L120" i="118"/>
  <c r="F121" i="118"/>
  <c r="G121" i="118"/>
  <c r="H121" i="118"/>
  <c r="I121" i="118"/>
  <c r="J121" i="118"/>
  <c r="K121" i="118"/>
  <c r="L121" i="118"/>
  <c r="F122" i="118"/>
  <c r="G122" i="118"/>
  <c r="H122" i="118"/>
  <c r="I122" i="118"/>
  <c r="J122" i="118"/>
  <c r="K122" i="118"/>
  <c r="L122" i="118"/>
  <c r="F123" i="118"/>
  <c r="G123" i="118"/>
  <c r="H123" i="118"/>
  <c r="I123" i="118"/>
  <c r="J123" i="118"/>
  <c r="K123" i="118"/>
  <c r="L123" i="118"/>
  <c r="F127" i="118"/>
  <c r="G127" i="118"/>
  <c r="H127" i="118"/>
  <c r="I127" i="118"/>
  <c r="J127" i="118"/>
  <c r="K127" i="118"/>
  <c r="L127" i="118"/>
  <c r="F128" i="118"/>
  <c r="G128" i="118"/>
  <c r="H128" i="118"/>
  <c r="I128" i="118"/>
  <c r="J128" i="118"/>
  <c r="K128" i="118"/>
  <c r="L128" i="118"/>
  <c r="F129" i="118"/>
  <c r="G129" i="118"/>
  <c r="H129" i="118"/>
  <c r="I129" i="118"/>
  <c r="J129" i="118"/>
  <c r="K129" i="118"/>
  <c r="L129" i="118"/>
  <c r="F130" i="118"/>
  <c r="G130" i="118"/>
  <c r="H130" i="118"/>
  <c r="M130" i="118"/>
  <c r="N130" i="118"/>
  <c r="O130" i="118"/>
  <c r="P130" i="118"/>
  <c r="Q130" i="118"/>
  <c r="F131" i="118"/>
  <c r="G131" i="118"/>
  <c r="H131" i="118"/>
  <c r="I131" i="118"/>
  <c r="J131" i="118"/>
  <c r="K131" i="118"/>
  <c r="L131" i="118"/>
  <c r="F132" i="118"/>
  <c r="G132" i="118"/>
  <c r="H132" i="118"/>
  <c r="I132" i="118"/>
  <c r="J132" i="118"/>
  <c r="K132" i="118"/>
  <c r="L132" i="118"/>
  <c r="F133" i="118"/>
  <c r="G133" i="118"/>
  <c r="H133" i="118"/>
  <c r="I133" i="118"/>
  <c r="J133" i="118"/>
  <c r="K133" i="118"/>
  <c r="L133" i="118"/>
  <c r="F134" i="118"/>
  <c r="G134" i="118"/>
  <c r="H134" i="118"/>
  <c r="I134" i="118"/>
  <c r="J134" i="118"/>
  <c r="K134" i="118"/>
  <c r="L134" i="118"/>
  <c r="M134" i="118"/>
  <c r="N134" i="118"/>
  <c r="O134" i="118"/>
  <c r="P134" i="118"/>
  <c r="Q134" i="118"/>
  <c r="F138" i="118"/>
  <c r="G138" i="118"/>
  <c r="H138" i="118"/>
  <c r="I138" i="118"/>
  <c r="J138" i="118"/>
  <c r="K138" i="118"/>
  <c r="L138" i="118"/>
  <c r="F139" i="118"/>
  <c r="G139" i="118"/>
  <c r="H139" i="118"/>
  <c r="I139" i="118"/>
  <c r="J139" i="118"/>
  <c r="K139" i="118"/>
  <c r="L139" i="118"/>
  <c r="F140" i="118"/>
  <c r="G140" i="118"/>
  <c r="H140" i="118"/>
  <c r="I140" i="118"/>
  <c r="J140" i="118"/>
  <c r="L140" i="118"/>
  <c r="F141" i="118"/>
  <c r="G141" i="118"/>
  <c r="H141" i="118"/>
  <c r="I141" i="118"/>
  <c r="J141" i="118"/>
  <c r="K141" i="118"/>
  <c r="L141" i="118"/>
  <c r="G93" i="118"/>
  <c r="H93" i="118"/>
  <c r="I93" i="118"/>
  <c r="J93" i="118"/>
  <c r="K93" i="118"/>
  <c r="L93" i="118"/>
  <c r="F93" i="118"/>
  <c r="B94" i="118"/>
  <c r="B95" i="118"/>
  <c r="B96" i="118"/>
  <c r="B97" i="118"/>
  <c r="B98" i="118"/>
  <c r="B99" i="118"/>
  <c r="B100" i="118"/>
  <c r="B101" i="118"/>
  <c r="B102" i="118"/>
  <c r="B103" i="118"/>
  <c r="B105" i="118"/>
  <c r="B106" i="118"/>
  <c r="B107" i="118"/>
  <c r="B108" i="118"/>
  <c r="B109" i="118"/>
  <c r="B110" i="118"/>
  <c r="B111" i="118"/>
  <c r="B112" i="118"/>
  <c r="B113" i="118"/>
  <c r="B114" i="118"/>
  <c r="B115" i="118"/>
  <c r="B116" i="118"/>
  <c r="B118" i="118"/>
  <c r="B119" i="118"/>
  <c r="B120" i="118"/>
  <c r="B121" i="118"/>
  <c r="B122" i="118"/>
  <c r="B123" i="118"/>
  <c r="B124" i="118"/>
  <c r="B125" i="118"/>
  <c r="B127" i="118"/>
  <c r="B128" i="118"/>
  <c r="B129" i="118"/>
  <c r="B130" i="118"/>
  <c r="B131" i="118"/>
  <c r="B132" i="118"/>
  <c r="B133" i="118"/>
  <c r="B134" i="118"/>
  <c r="B135" i="118"/>
  <c r="B136" i="118"/>
  <c r="B138" i="118"/>
  <c r="B139" i="118"/>
  <c r="B140" i="118"/>
  <c r="B141" i="118"/>
  <c r="B142" i="118"/>
  <c r="B144" i="118"/>
  <c r="B93" i="118"/>
  <c r="B42" i="118"/>
  <c r="B43" i="118"/>
  <c r="B44" i="118"/>
  <c r="C44" i="118"/>
  <c r="D44" i="118"/>
  <c r="E44" i="118"/>
  <c r="F44" i="118"/>
  <c r="G44" i="118"/>
  <c r="H44" i="118"/>
  <c r="I44" i="118"/>
  <c r="J44" i="118"/>
  <c r="K44" i="118"/>
  <c r="L44" i="118"/>
  <c r="B45" i="118"/>
  <c r="C45" i="118"/>
  <c r="D45" i="118"/>
  <c r="E45" i="118"/>
  <c r="F45" i="118"/>
  <c r="G45" i="118"/>
  <c r="H45" i="118"/>
  <c r="I45" i="118"/>
  <c r="J45" i="118"/>
  <c r="K45" i="118"/>
  <c r="L45" i="118"/>
  <c r="M45" i="118"/>
  <c r="N45" i="118"/>
  <c r="O45" i="118"/>
  <c r="P45" i="118"/>
  <c r="Q45" i="118"/>
  <c r="B46" i="118"/>
  <c r="C46" i="118"/>
  <c r="D46" i="118"/>
  <c r="E46" i="118"/>
  <c r="F46" i="118"/>
  <c r="G46" i="118"/>
  <c r="H46" i="118"/>
  <c r="I46" i="118"/>
  <c r="J46" i="118"/>
  <c r="K46" i="118"/>
  <c r="L46" i="118"/>
  <c r="B47" i="118"/>
  <c r="C47" i="118"/>
  <c r="D47" i="118"/>
  <c r="E47" i="118"/>
  <c r="F47" i="118"/>
  <c r="G47" i="118"/>
  <c r="H47" i="118"/>
  <c r="I47" i="118"/>
  <c r="J47" i="118"/>
  <c r="K47" i="118"/>
  <c r="L47" i="118"/>
  <c r="M47" i="118"/>
  <c r="N47" i="118"/>
  <c r="O47" i="118"/>
  <c r="P47" i="118"/>
  <c r="Q47" i="118"/>
  <c r="B48" i="118"/>
  <c r="C48" i="118"/>
  <c r="D48" i="118"/>
  <c r="E48" i="118"/>
  <c r="F48" i="118"/>
  <c r="G48" i="118"/>
  <c r="H48" i="118"/>
  <c r="I48" i="118"/>
  <c r="J48" i="118"/>
  <c r="K48" i="118"/>
  <c r="L48" i="118"/>
  <c r="M48" i="118"/>
  <c r="N48" i="118"/>
  <c r="O48" i="118"/>
  <c r="P48" i="118"/>
  <c r="Q48" i="118"/>
  <c r="B49" i="118"/>
  <c r="D49" i="118"/>
  <c r="E49" i="118"/>
  <c r="F49" i="118"/>
  <c r="G49" i="118"/>
  <c r="B50" i="118"/>
  <c r="C50" i="118"/>
  <c r="D50" i="118"/>
  <c r="E50" i="118"/>
  <c r="F50" i="118"/>
  <c r="G50" i="118"/>
  <c r="H50" i="118"/>
  <c r="I50" i="118"/>
  <c r="J50" i="118"/>
  <c r="K50" i="118"/>
  <c r="L50" i="118"/>
  <c r="M50" i="118"/>
  <c r="N50" i="118"/>
  <c r="O50" i="118"/>
  <c r="P50" i="118"/>
  <c r="Q50" i="118"/>
  <c r="B51" i="118"/>
  <c r="C51" i="118"/>
  <c r="D51" i="118"/>
  <c r="E51" i="118"/>
  <c r="F51" i="118"/>
  <c r="G51" i="118"/>
  <c r="H51" i="118"/>
  <c r="I51" i="118"/>
  <c r="J51" i="118"/>
  <c r="K51" i="118"/>
  <c r="L51" i="118"/>
  <c r="B52" i="118"/>
  <c r="C52" i="118"/>
  <c r="D52" i="118"/>
  <c r="E52" i="118"/>
  <c r="F52" i="118"/>
  <c r="G52" i="118"/>
  <c r="H52" i="118"/>
  <c r="I52" i="118"/>
  <c r="J52" i="118"/>
  <c r="K52" i="118"/>
  <c r="L52" i="118"/>
  <c r="B53" i="118"/>
  <c r="C53" i="118"/>
  <c r="D53" i="118"/>
  <c r="B54" i="118"/>
  <c r="C54" i="118"/>
  <c r="D54" i="118"/>
  <c r="E54" i="118"/>
  <c r="F54" i="118"/>
  <c r="G54" i="118"/>
  <c r="H54" i="118"/>
  <c r="I54" i="118"/>
  <c r="J54" i="118"/>
  <c r="K54" i="118"/>
  <c r="L54" i="118"/>
  <c r="M54" i="118"/>
  <c r="N54" i="118"/>
  <c r="O54" i="118"/>
  <c r="P54" i="118"/>
  <c r="Q54" i="118"/>
  <c r="B56" i="118"/>
  <c r="C56" i="118"/>
  <c r="B58" i="118"/>
  <c r="D58" i="118"/>
  <c r="B59" i="118"/>
  <c r="C59" i="118"/>
  <c r="D59" i="118"/>
  <c r="E59" i="118"/>
  <c r="F59" i="118"/>
  <c r="G59" i="118"/>
  <c r="H59" i="118"/>
  <c r="I59" i="118"/>
  <c r="J59" i="118"/>
  <c r="K59" i="118"/>
  <c r="L59" i="118"/>
  <c r="B60" i="118"/>
  <c r="D60" i="118"/>
  <c r="E60" i="118"/>
  <c r="F60" i="118"/>
  <c r="G60" i="118"/>
  <c r="H60" i="118"/>
  <c r="I60" i="118"/>
  <c r="J60" i="118"/>
  <c r="K60" i="118"/>
  <c r="L60" i="118"/>
  <c r="B61" i="118"/>
  <c r="C61" i="118"/>
  <c r="B62" i="118"/>
  <c r="C62" i="118"/>
  <c r="B63" i="118"/>
  <c r="C63" i="118"/>
  <c r="D63" i="118"/>
  <c r="E63" i="118"/>
  <c r="F63" i="118"/>
  <c r="G63" i="118"/>
  <c r="H63" i="118"/>
  <c r="I63" i="118"/>
  <c r="J63" i="118"/>
  <c r="K63" i="118"/>
  <c r="L63" i="118"/>
  <c r="M63" i="118"/>
  <c r="N63" i="118"/>
  <c r="O63" i="118"/>
  <c r="P63" i="118"/>
  <c r="Q63" i="118"/>
  <c r="B64" i="118"/>
  <c r="B65" i="118"/>
  <c r="C65" i="118"/>
  <c r="B67" i="118"/>
  <c r="C67" i="118"/>
  <c r="D67" i="118"/>
  <c r="E67" i="118"/>
  <c r="F67" i="118"/>
  <c r="H67" i="118"/>
  <c r="I67" i="118"/>
  <c r="J67" i="118"/>
  <c r="K67" i="118"/>
  <c r="L67" i="118"/>
  <c r="M67" i="118"/>
  <c r="N67" i="118"/>
  <c r="O67" i="118"/>
  <c r="P67" i="118"/>
  <c r="Q67" i="118"/>
  <c r="B68" i="118"/>
  <c r="C68" i="118"/>
  <c r="D68" i="118"/>
  <c r="E68" i="118"/>
  <c r="F68" i="118"/>
  <c r="G68" i="118"/>
  <c r="H68" i="118"/>
  <c r="I68" i="118"/>
  <c r="J68" i="118"/>
  <c r="K68" i="118"/>
  <c r="L68" i="118"/>
  <c r="M68" i="118"/>
  <c r="N68" i="118"/>
  <c r="O68" i="118"/>
  <c r="P68" i="118"/>
  <c r="Q68" i="118"/>
  <c r="B69" i="118"/>
  <c r="C69" i="118"/>
  <c r="D69" i="118"/>
  <c r="E69" i="118"/>
  <c r="F69" i="118"/>
  <c r="G69" i="118"/>
  <c r="H69" i="118"/>
  <c r="I69" i="118"/>
  <c r="J69" i="118"/>
  <c r="K69" i="118"/>
  <c r="L69" i="118"/>
  <c r="M69" i="118"/>
  <c r="N69" i="118"/>
  <c r="O69" i="118"/>
  <c r="P69" i="118"/>
  <c r="Q69" i="118"/>
  <c r="B70" i="118"/>
  <c r="C70" i="118"/>
  <c r="D70" i="118"/>
  <c r="E70" i="118"/>
  <c r="F70" i="118"/>
  <c r="G70" i="118"/>
  <c r="H70" i="118"/>
  <c r="I70" i="118"/>
  <c r="J70" i="118"/>
  <c r="K70" i="118"/>
  <c r="L70" i="118"/>
  <c r="M70" i="118"/>
  <c r="N70" i="118"/>
  <c r="O70" i="118"/>
  <c r="P70" i="118"/>
  <c r="Q70" i="118"/>
  <c r="B71" i="118"/>
  <c r="C71" i="118"/>
  <c r="D71" i="118"/>
  <c r="E71" i="118"/>
  <c r="F71" i="118"/>
  <c r="G71" i="118"/>
  <c r="H71" i="118"/>
  <c r="I71" i="118"/>
  <c r="J71" i="118"/>
  <c r="K71" i="118"/>
  <c r="L71" i="118"/>
  <c r="M71" i="118"/>
  <c r="N71" i="118"/>
  <c r="O71" i="118"/>
  <c r="P71" i="118"/>
  <c r="Q71" i="118"/>
  <c r="B72" i="118"/>
  <c r="C72" i="118"/>
  <c r="D72" i="118"/>
  <c r="E72" i="118"/>
  <c r="F72" i="118"/>
  <c r="G72" i="118"/>
  <c r="H72" i="118"/>
  <c r="I72" i="118"/>
  <c r="J72" i="118"/>
  <c r="K72" i="118"/>
  <c r="L72" i="118"/>
  <c r="M72" i="118"/>
  <c r="N72" i="118"/>
  <c r="O72" i="118"/>
  <c r="P72" i="118"/>
  <c r="Q72" i="118"/>
  <c r="B73" i="118"/>
  <c r="C73" i="118"/>
  <c r="D73" i="118"/>
  <c r="E73" i="118"/>
  <c r="F73" i="118"/>
  <c r="G73" i="118"/>
  <c r="H73" i="118"/>
  <c r="I73" i="118"/>
  <c r="J73" i="118"/>
  <c r="K73" i="118"/>
  <c r="L73" i="118"/>
  <c r="B74" i="118"/>
  <c r="C74" i="118"/>
  <c r="D74" i="118"/>
  <c r="E74" i="118"/>
  <c r="F74" i="118"/>
  <c r="G74" i="118"/>
  <c r="H74" i="118"/>
  <c r="I74" i="118"/>
  <c r="J74" i="118"/>
  <c r="K74" i="118"/>
  <c r="L74" i="118"/>
  <c r="Q74" i="118"/>
  <c r="B75" i="118"/>
  <c r="B76" i="118"/>
  <c r="C76" i="118"/>
  <c r="B78" i="118"/>
  <c r="B79" i="118"/>
  <c r="C79" i="118"/>
  <c r="D79" i="118"/>
  <c r="E79" i="118"/>
  <c r="F79" i="118"/>
  <c r="G79" i="118"/>
  <c r="H79" i="118"/>
  <c r="I79" i="118"/>
  <c r="J79" i="118"/>
  <c r="K79" i="118"/>
  <c r="L79" i="118"/>
  <c r="M79" i="118"/>
  <c r="N79" i="118"/>
  <c r="O79" i="118"/>
  <c r="P79" i="118"/>
  <c r="Q79" i="118"/>
  <c r="B80" i="118"/>
  <c r="C80" i="118"/>
  <c r="D80" i="118"/>
  <c r="E80" i="118"/>
  <c r="F80" i="118"/>
  <c r="G80" i="118"/>
  <c r="H80" i="118"/>
  <c r="I80" i="118"/>
  <c r="J80" i="118"/>
  <c r="K80" i="118"/>
  <c r="L80" i="118"/>
  <c r="M80" i="118"/>
  <c r="N80" i="118"/>
  <c r="O80" i="118"/>
  <c r="P80" i="118"/>
  <c r="Q80" i="118"/>
  <c r="B81" i="118"/>
  <c r="B82" i="118"/>
  <c r="B84" i="118"/>
  <c r="B85" i="118"/>
  <c r="C85" i="118"/>
  <c r="D85" i="118"/>
  <c r="E85" i="118"/>
  <c r="F85" i="118"/>
  <c r="G85" i="118"/>
  <c r="H85" i="118"/>
  <c r="I85" i="118"/>
  <c r="J85" i="118"/>
  <c r="K85" i="118"/>
  <c r="L85" i="118"/>
  <c r="B86" i="118"/>
  <c r="C86" i="118"/>
  <c r="D86" i="118"/>
  <c r="E86" i="118"/>
  <c r="B41" i="118"/>
  <c r="X83" i="122"/>
  <c r="AA83" i="122"/>
  <c r="D25" i="118"/>
  <c r="E25" i="118"/>
  <c r="C25" i="118"/>
  <c r="D22" i="118"/>
  <c r="E22" i="118"/>
  <c r="F22" i="118"/>
  <c r="G22" i="118"/>
  <c r="H22" i="118"/>
  <c r="C22" i="118"/>
  <c r="C10" i="118"/>
  <c r="D10" i="118"/>
  <c r="E10" i="118"/>
  <c r="F10" i="118"/>
  <c r="G10" i="118"/>
  <c r="H10" i="118"/>
  <c r="I10" i="118"/>
  <c r="J10" i="118"/>
  <c r="K10" i="118"/>
  <c r="L10" i="118"/>
  <c r="C11" i="118"/>
  <c r="D11" i="118"/>
  <c r="E11" i="118"/>
  <c r="F11" i="118"/>
  <c r="G11" i="118"/>
  <c r="H11" i="118"/>
  <c r="I11" i="118"/>
  <c r="J11" i="118"/>
  <c r="K11" i="118"/>
  <c r="L11" i="118"/>
  <c r="C12" i="118"/>
  <c r="D12" i="118"/>
  <c r="E12" i="118"/>
  <c r="F12" i="118"/>
  <c r="G12" i="118"/>
  <c r="H12" i="118"/>
  <c r="I12" i="118"/>
  <c r="J12" i="118"/>
  <c r="K12" i="118"/>
  <c r="L12" i="118"/>
  <c r="C13" i="118"/>
  <c r="D13" i="118"/>
  <c r="E13" i="118"/>
  <c r="F13" i="118"/>
  <c r="G13" i="118"/>
  <c r="H13" i="118"/>
  <c r="I13" i="118"/>
  <c r="J13" i="118"/>
  <c r="K13" i="118"/>
  <c r="L13" i="118"/>
  <c r="C14" i="118"/>
  <c r="D14" i="118"/>
  <c r="E14" i="118"/>
  <c r="F14" i="118"/>
  <c r="G14" i="118"/>
  <c r="H14" i="118"/>
  <c r="I14" i="118"/>
  <c r="J14" i="118"/>
  <c r="K14" i="118"/>
  <c r="L14" i="118"/>
  <c r="C18" i="118"/>
  <c r="D18" i="118"/>
  <c r="E18" i="118"/>
  <c r="F18" i="118"/>
  <c r="G18" i="118"/>
  <c r="H18" i="118"/>
  <c r="I18" i="118"/>
  <c r="J18" i="118"/>
  <c r="K18" i="118"/>
  <c r="L18" i="118"/>
  <c r="M18" i="118"/>
  <c r="N18" i="118"/>
  <c r="O18" i="118"/>
  <c r="P18" i="118"/>
  <c r="Q18" i="118"/>
  <c r="AD116" i="122" l="1"/>
  <c r="AE280" i="103"/>
  <c r="AE284" i="103" s="1"/>
  <c r="AB83" i="122"/>
  <c r="I20" i="132"/>
  <c r="H21" i="132"/>
  <c r="I19" i="132"/>
  <c r="K15" i="132"/>
  <c r="J19" i="132"/>
  <c r="J16" i="132"/>
  <c r="N74" i="118"/>
  <c r="O74" i="118"/>
  <c r="P74" i="118"/>
  <c r="M74" i="118"/>
  <c r="AE116" i="122" l="1"/>
  <c r="AF280" i="103"/>
  <c r="AF284" i="103" s="1"/>
  <c r="AC83" i="122"/>
  <c r="I21" i="132"/>
  <c r="K16" i="132"/>
  <c r="J20" i="132"/>
  <c r="J21" i="132" s="1"/>
  <c r="L15" i="132"/>
  <c r="K19" i="132"/>
  <c r="W160" i="122"/>
  <c r="V160" i="122"/>
  <c r="U160" i="122"/>
  <c r="T160" i="122"/>
  <c r="S160" i="122"/>
  <c r="Q159" i="122"/>
  <c r="P159" i="122"/>
  <c r="O159" i="122"/>
  <c r="N159" i="122"/>
  <c r="M159" i="122"/>
  <c r="L159" i="122"/>
  <c r="K159" i="122"/>
  <c r="J159" i="122"/>
  <c r="I159" i="122"/>
  <c r="H159" i="122"/>
  <c r="AF158" i="122"/>
  <c r="AE158" i="122"/>
  <c r="AD158" i="122"/>
  <c r="AC158" i="122"/>
  <c r="AB158" i="122"/>
  <c r="AA158" i="122"/>
  <c r="Z158" i="122"/>
  <c r="Y158" i="122"/>
  <c r="X158" i="122"/>
  <c r="O155" i="122"/>
  <c r="N155" i="122"/>
  <c r="M155" i="122"/>
  <c r="L155" i="122"/>
  <c r="K155" i="122"/>
  <c r="J155" i="122"/>
  <c r="I155" i="122"/>
  <c r="H155" i="122"/>
  <c r="AF154" i="122"/>
  <c r="AE154" i="122"/>
  <c r="AD154" i="122"/>
  <c r="AC154" i="122"/>
  <c r="AB154" i="122"/>
  <c r="AA154" i="122"/>
  <c r="Z154" i="122"/>
  <c r="Y154" i="122"/>
  <c r="X154" i="122"/>
  <c r="W154" i="122"/>
  <c r="V154" i="122"/>
  <c r="U154" i="122"/>
  <c r="T154" i="122"/>
  <c r="S154" i="122"/>
  <c r="R154" i="122"/>
  <c r="Q154" i="122"/>
  <c r="Q155" i="122" s="1"/>
  <c r="P154" i="122"/>
  <c r="P155" i="122" s="1"/>
  <c r="U118" i="125"/>
  <c r="U120" i="125" s="1"/>
  <c r="U127" i="125" s="1"/>
  <c r="DJ26" i="131"/>
  <c r="DJ24" i="131"/>
  <c r="DJ23" i="131"/>
  <c r="DJ19" i="131"/>
  <c r="AA30" i="124"/>
  <c r="U160" i="125"/>
  <c r="V160" i="125" s="1"/>
  <c r="W102" i="125"/>
  <c r="X102" i="125" s="1"/>
  <c r="Y102" i="125" s="1"/>
  <c r="Z102" i="125" s="1"/>
  <c r="W101" i="125"/>
  <c r="Y74" i="125"/>
  <c r="Z74" i="125"/>
  <c r="X74" i="125"/>
  <c r="AA26" i="125"/>
  <c r="AB26" i="125" s="1"/>
  <c r="AC26" i="125" s="1"/>
  <c r="AD26" i="125" s="1"/>
  <c r="AE26" i="125" s="1"/>
  <c r="AF26" i="125" s="1"/>
  <c r="X38" i="125"/>
  <c r="Y38" i="125" s="1"/>
  <c r="Z38" i="125" s="1"/>
  <c r="AA44" i="123"/>
  <c r="X81" i="125"/>
  <c r="AB81" i="125" s="1"/>
  <c r="AC81" i="125" s="1"/>
  <c r="AD81" i="125" s="1"/>
  <c r="AE81" i="125" s="1"/>
  <c r="AF81" i="125" s="1"/>
  <c r="AC85" i="125"/>
  <c r="AD85" i="125" s="1"/>
  <c r="AE85" i="125" s="1"/>
  <c r="AF85" i="125" s="1"/>
  <c r="K4" i="125"/>
  <c r="L4" i="125"/>
  <c r="M4" i="125"/>
  <c r="N4" i="125"/>
  <c r="O4" i="125"/>
  <c r="P4" i="125"/>
  <c r="Q4" i="125"/>
  <c r="S4" i="125"/>
  <c r="T47" i="125"/>
  <c r="U47" i="125"/>
  <c r="T48" i="125"/>
  <c r="U48" i="125"/>
  <c r="V48" i="125"/>
  <c r="T49" i="125"/>
  <c r="U49" i="125"/>
  <c r="T50" i="125"/>
  <c r="U50" i="125"/>
  <c r="V50" i="125"/>
  <c r="T51" i="125"/>
  <c r="U51" i="125"/>
  <c r="V51" i="125"/>
  <c r="V46" i="125"/>
  <c r="U46" i="125"/>
  <c r="T46" i="125"/>
  <c r="AF116" i="122" l="1"/>
  <c r="AH280" i="103" s="1"/>
  <c r="AH284" i="103" s="1"/>
  <c r="AG280" i="103"/>
  <c r="AG284" i="103" s="1"/>
  <c r="AD83" i="122"/>
  <c r="M15" i="132"/>
  <c r="L19" i="132"/>
  <c r="U126" i="125"/>
  <c r="L16" i="132"/>
  <c r="K20" i="132"/>
  <c r="K21" i="132" s="1"/>
  <c r="AB44" i="123"/>
  <c r="AB69" i="123" s="1"/>
  <c r="M133" i="118"/>
  <c r="AB30" i="124"/>
  <c r="M60" i="118"/>
  <c r="Z160" i="122"/>
  <c r="T155" i="122"/>
  <c r="Z155" i="122"/>
  <c r="R155" i="122"/>
  <c r="X155" i="122"/>
  <c r="AD155" i="122"/>
  <c r="U155" i="122"/>
  <c r="AA155" i="122"/>
  <c r="AA52" i="125" s="1"/>
  <c r="AB160" i="122"/>
  <c r="U161" i="122"/>
  <c r="AF160" i="122"/>
  <c r="AA160" i="122"/>
  <c r="V161" i="122"/>
  <c r="V155" i="122"/>
  <c r="AB155" i="122"/>
  <c r="W161" i="122"/>
  <c r="AC160" i="122"/>
  <c r="W155" i="122"/>
  <c r="AC155" i="122"/>
  <c r="X160" i="122"/>
  <c r="X161" i="122" s="1"/>
  <c r="AD160" i="122"/>
  <c r="Y160" i="122"/>
  <c r="AE160" i="122"/>
  <c r="R159" i="122"/>
  <c r="R160" i="122" s="1"/>
  <c r="S161" i="122" s="1"/>
  <c r="AF155" i="122"/>
  <c r="S155" i="122"/>
  <c r="Y155" i="122"/>
  <c r="T161" i="122"/>
  <c r="AA69" i="123"/>
  <c r="W103" i="125"/>
  <c r="X101" i="125"/>
  <c r="AB44" i="125"/>
  <c r="AC44" i="125" s="1"/>
  <c r="AD44" i="125" s="1"/>
  <c r="AE44" i="125" s="1"/>
  <c r="AF44" i="125" s="1"/>
  <c r="AA38" i="125"/>
  <c r="AB38" i="125" s="1"/>
  <c r="AC38" i="125" s="1"/>
  <c r="AD38" i="125" s="1"/>
  <c r="AE38" i="125" s="1"/>
  <c r="AF38" i="125" s="1"/>
  <c r="AH42" i="125"/>
  <c r="U53" i="125"/>
  <c r="R35" i="118" l="1"/>
  <c r="AE83" i="122"/>
  <c r="M16" i="132"/>
  <c r="L20" i="132"/>
  <c r="L21" i="132" s="1"/>
  <c r="M19" i="132"/>
  <c r="N15" i="132"/>
  <c r="AF161" i="122"/>
  <c r="AC30" i="124"/>
  <c r="N60" i="118"/>
  <c r="AA161" i="122"/>
  <c r="AC44" i="123"/>
  <c r="N133" i="118"/>
  <c r="AC161" i="122"/>
  <c r="AB161" i="122"/>
  <c r="Y161" i="122"/>
  <c r="Z161" i="122"/>
  <c r="AE161" i="122"/>
  <c r="AD161" i="122"/>
  <c r="AE155" i="122"/>
  <c r="X103" i="125"/>
  <c r="Y101" i="125"/>
  <c r="AF83" i="122" l="1"/>
  <c r="O15" i="132"/>
  <c r="O19" i="132" s="1"/>
  <c r="N19" i="132"/>
  <c r="N16" i="132"/>
  <c r="M20" i="132"/>
  <c r="M21" i="132" s="1"/>
  <c r="H22" i="132" s="1"/>
  <c r="AD44" i="123"/>
  <c r="O133" i="118"/>
  <c r="AC69" i="123"/>
  <c r="AD30" i="124"/>
  <c r="O60" i="118"/>
  <c r="Y103" i="125"/>
  <c r="Z101" i="125"/>
  <c r="O16" i="132" l="1"/>
  <c r="O20" i="132" s="1"/>
  <c r="O21" i="132" s="1"/>
  <c r="N20" i="132"/>
  <c r="N21" i="132" s="1"/>
  <c r="AE30" i="124"/>
  <c r="P60" i="118"/>
  <c r="AE44" i="123"/>
  <c r="P133" i="118"/>
  <c r="AD69" i="123"/>
  <c r="Z103" i="125"/>
  <c r="AF44" i="123" l="1"/>
  <c r="Q133" i="118"/>
  <c r="AE69" i="123"/>
  <c r="AF30" i="124"/>
  <c r="R60" i="118" s="1"/>
  <c r="Q60" i="118"/>
  <c r="W48" i="125"/>
  <c r="W66" i="125" s="1"/>
  <c r="X40" i="125"/>
  <c r="Y40" i="125" s="1"/>
  <c r="Z40" i="125" s="1"/>
  <c r="AA40" i="125" s="1"/>
  <c r="AB40" i="125" s="1"/>
  <c r="AC40" i="125" s="1"/>
  <c r="AD40" i="125" s="1"/>
  <c r="AE40" i="125" s="1"/>
  <c r="AF40" i="125" s="1"/>
  <c r="W50" i="125"/>
  <c r="W42" i="125"/>
  <c r="X42" i="125" s="1"/>
  <c r="W46" i="125"/>
  <c r="AF69" i="123" l="1"/>
  <c r="R133" i="118"/>
  <c r="X39" i="125"/>
  <c r="W51" i="125"/>
  <c r="Y42" i="125"/>
  <c r="X51" i="125"/>
  <c r="X41" i="125"/>
  <c r="X37" i="125"/>
  <c r="H4" i="125"/>
  <c r="J4" i="125"/>
  <c r="T4" i="125"/>
  <c r="T11" i="125" s="1"/>
  <c r="V4" i="125"/>
  <c r="V11" i="125" s="1"/>
  <c r="T7" i="125"/>
  <c r="V7" i="125"/>
  <c r="T12" i="125"/>
  <c r="V12" i="125"/>
  <c r="T16" i="125"/>
  <c r="V16" i="125"/>
  <c r="T20" i="125"/>
  <c r="V20" i="125"/>
  <c r="T32" i="125"/>
  <c r="T34" i="125"/>
  <c r="V34" i="125" s="1"/>
  <c r="V38" i="125"/>
  <c r="T56" i="125"/>
  <c r="V56" i="125"/>
  <c r="T57" i="125"/>
  <c r="V57" i="125"/>
  <c r="T58" i="125"/>
  <c r="V58" i="125"/>
  <c r="T59" i="125"/>
  <c r="V59" i="125"/>
  <c r="T60" i="125"/>
  <c r="V60" i="125"/>
  <c r="T61" i="125"/>
  <c r="V61" i="125"/>
  <c r="T78" i="125"/>
  <c r="V78" i="125"/>
  <c r="T103" i="125"/>
  <c r="V103" i="125"/>
  <c r="T136" i="125"/>
  <c r="V136" i="125"/>
  <c r="T145" i="125"/>
  <c r="V145" i="125" s="1"/>
  <c r="T155" i="125"/>
  <c r="V155" i="125" s="1"/>
  <c r="T156" i="125"/>
  <c r="V156" i="125" s="1"/>
  <c r="T157" i="125"/>
  <c r="V157" i="125" s="1"/>
  <c r="T158" i="125"/>
  <c r="V158" i="125" s="1"/>
  <c r="T204" i="125"/>
  <c r="V204" i="125" s="1"/>
  <c r="T205" i="125"/>
  <c r="V205" i="125" s="1"/>
  <c r="T210" i="125"/>
  <c r="T211" i="125"/>
  <c r="V211" i="125" s="1"/>
  <c r="T215" i="125"/>
  <c r="V215" i="125" s="1"/>
  <c r="T216" i="125"/>
  <c r="V216" i="125" s="1"/>
  <c r="T217" i="125"/>
  <c r="V217" i="125" s="1"/>
  <c r="T218" i="125"/>
  <c r="V218" i="125" s="1"/>
  <c r="T221" i="125"/>
  <c r="V221" i="125" s="1"/>
  <c r="T222" i="125"/>
  <c r="V222" i="125" s="1"/>
  <c r="T223" i="125"/>
  <c r="V223" i="125" s="1"/>
  <c r="T224" i="125"/>
  <c r="V224" i="125" s="1"/>
  <c r="T239" i="125"/>
  <c r="V239" i="125"/>
  <c r="T253" i="125"/>
  <c r="V253" i="125" s="1"/>
  <c r="V270" i="125"/>
  <c r="T285" i="125"/>
  <c r="T308" i="125"/>
  <c r="T306" i="125" s="1"/>
  <c r="V308" i="125"/>
  <c r="V306" i="125" s="1"/>
  <c r="T312" i="125"/>
  <c r="V312" i="125"/>
  <c r="T313" i="125"/>
  <c r="V313" i="125"/>
  <c r="AA270" i="125"/>
  <c r="AA269" i="125" l="1"/>
  <c r="AA268" i="125" s="1"/>
  <c r="AB270" i="125"/>
  <c r="V47" i="125"/>
  <c r="X48" i="125"/>
  <c r="Y39" i="125"/>
  <c r="X50" i="125"/>
  <c r="Y41" i="125"/>
  <c r="W47" i="125"/>
  <c r="Z42" i="125"/>
  <c r="Y51" i="125"/>
  <c r="X46" i="125"/>
  <c r="Y37" i="125"/>
  <c r="V137" i="125"/>
  <c r="V210" i="125"/>
  <c r="V208" i="125" s="1"/>
  <c r="T209" i="125"/>
  <c r="V269" i="125"/>
  <c r="T208" i="125"/>
  <c r="T15" i="125"/>
  <c r="V15" i="125"/>
  <c r="AC270" i="125" l="1"/>
  <c r="AB269" i="125"/>
  <c r="AB268" i="125" s="1"/>
  <c r="Z39" i="125"/>
  <c r="Y48" i="125"/>
  <c r="AA42" i="125"/>
  <c r="AB42" i="125" s="1"/>
  <c r="AC42" i="125" s="1"/>
  <c r="AD42" i="125" s="1"/>
  <c r="AE42" i="125" s="1"/>
  <c r="AF42" i="125" s="1"/>
  <c r="Z51" i="125"/>
  <c r="X47" i="125"/>
  <c r="Z37" i="125"/>
  <c r="Y46" i="125"/>
  <c r="Y50" i="125"/>
  <c r="Z41" i="125"/>
  <c r="V209" i="125"/>
  <c r="V212" i="125" s="1"/>
  <c r="T212" i="125"/>
  <c r="T131" i="125"/>
  <c r="T118" i="125" s="1"/>
  <c r="T130" i="125"/>
  <c r="V285" i="125"/>
  <c r="T270" i="125"/>
  <c r="V268" i="125"/>
  <c r="AD270" i="125" l="1"/>
  <c r="AC269" i="125"/>
  <c r="AC268" i="125" s="1"/>
  <c r="AA39" i="125"/>
  <c r="Z48" i="125"/>
  <c r="AA41" i="125"/>
  <c r="Z50" i="125"/>
  <c r="Y47" i="125"/>
  <c r="AA37" i="125"/>
  <c r="Z46" i="125"/>
  <c r="T117" i="125"/>
  <c r="T284" i="125"/>
  <c r="T269" i="125"/>
  <c r="V131" i="125"/>
  <c r="V118" i="125" s="1"/>
  <c r="AE270" i="125" l="1"/>
  <c r="AD269" i="125"/>
  <c r="AD268" i="125" s="1"/>
  <c r="AA48" i="125"/>
  <c r="AB39" i="125"/>
  <c r="Z47" i="125"/>
  <c r="Z65" i="125" s="1"/>
  <c r="AB37" i="125"/>
  <c r="AA46" i="125"/>
  <c r="AB41" i="125"/>
  <c r="AC41" i="125" s="1"/>
  <c r="AD41" i="125" s="1"/>
  <c r="AE41" i="125" s="1"/>
  <c r="AF41" i="125" s="1"/>
  <c r="AA50" i="125"/>
  <c r="T268" i="125"/>
  <c r="T120" i="125"/>
  <c r="V130" i="125"/>
  <c r="V117" i="125" s="1"/>
  <c r="T294" i="125"/>
  <c r="T144" i="125"/>
  <c r="T148" i="125"/>
  <c r="AF270" i="125" l="1"/>
  <c r="AF269" i="125" s="1"/>
  <c r="AF268" i="125" s="1"/>
  <c r="AE269" i="125"/>
  <c r="AE268" i="125" s="1"/>
  <c r="AC39" i="125"/>
  <c r="AB48" i="125"/>
  <c r="AC37" i="125"/>
  <c r="AB46" i="125"/>
  <c r="V120" i="125"/>
  <c r="V284" i="125"/>
  <c r="V294" i="125" s="1"/>
  <c r="T150" i="125"/>
  <c r="T167" i="125"/>
  <c r="AD39" i="125" l="1"/>
  <c r="AC48" i="125"/>
  <c r="AD37" i="125"/>
  <c r="AC46" i="125"/>
  <c r="T152" i="125"/>
  <c r="T168" i="125"/>
  <c r="V144" i="125"/>
  <c r="V148" i="125"/>
  <c r="AE39" i="125" l="1"/>
  <c r="AD48" i="125"/>
  <c r="AE37" i="125"/>
  <c r="AD46" i="125"/>
  <c r="V150" i="125"/>
  <c r="V152" i="125" s="1"/>
  <c r="V167" i="125"/>
  <c r="V166" i="125" l="1"/>
  <c r="AF39" i="125"/>
  <c r="AF48" i="125" s="1"/>
  <c r="AE48" i="125"/>
  <c r="AF37" i="125"/>
  <c r="AF46" i="125" s="1"/>
  <c r="AE46" i="125"/>
  <c r="V168" i="125" l="1"/>
  <c r="V169" i="125" l="1"/>
  <c r="X78" i="125"/>
  <c r="Y78" i="125"/>
  <c r="Z78" i="125"/>
  <c r="W78" i="125"/>
  <c r="W80" i="125" s="1"/>
  <c r="W204" i="125"/>
  <c r="X204" i="125" s="1"/>
  <c r="Y204" i="125" s="1"/>
  <c r="Z204" i="125" s="1"/>
  <c r="AA204" i="125" s="1"/>
  <c r="AB204" i="125" s="1"/>
  <c r="AC204" i="125" s="1"/>
  <c r="AD204" i="125" s="1"/>
  <c r="AE204" i="125" s="1"/>
  <c r="AF204" i="125" s="1"/>
  <c r="W205" i="125"/>
  <c r="X205" i="125" s="1"/>
  <c r="Y205" i="125" s="1"/>
  <c r="Z205" i="125" s="1"/>
  <c r="AA205" i="125" s="1"/>
  <c r="AB205" i="125" s="1"/>
  <c r="AC205" i="125" s="1"/>
  <c r="AD205" i="125" s="1"/>
  <c r="AE205" i="125" s="1"/>
  <c r="AF205" i="125" s="1"/>
  <c r="Y210" i="125"/>
  <c r="Z210" i="125" s="1"/>
  <c r="W211" i="125"/>
  <c r="X211" i="125" s="1"/>
  <c r="AO246" i="125"/>
  <c r="AA33" i="123"/>
  <c r="M122" i="118" s="1"/>
  <c r="H59" i="123"/>
  <c r="I59" i="123"/>
  <c r="J59" i="123"/>
  <c r="K59" i="123"/>
  <c r="L59" i="123"/>
  <c r="M59" i="123"/>
  <c r="N59" i="123"/>
  <c r="O59" i="123"/>
  <c r="P59" i="123"/>
  <c r="Q59" i="123"/>
  <c r="R59" i="123"/>
  <c r="S59" i="123"/>
  <c r="T59" i="123"/>
  <c r="U59" i="123"/>
  <c r="V59" i="123"/>
  <c r="W59" i="123"/>
  <c r="X59" i="123"/>
  <c r="Y59" i="123"/>
  <c r="Z59" i="123"/>
  <c r="H60" i="123"/>
  <c r="I60" i="123"/>
  <c r="J60" i="123"/>
  <c r="K60" i="123"/>
  <c r="L60" i="123"/>
  <c r="M60" i="123"/>
  <c r="N60" i="123"/>
  <c r="O60" i="123"/>
  <c r="P60" i="123"/>
  <c r="Q60" i="123"/>
  <c r="R60" i="123"/>
  <c r="S60" i="123"/>
  <c r="T60" i="123"/>
  <c r="U60" i="123"/>
  <c r="V60" i="123"/>
  <c r="W60" i="123"/>
  <c r="X60" i="123"/>
  <c r="Y60" i="123"/>
  <c r="Z60" i="123"/>
  <c r="H61" i="123"/>
  <c r="I61" i="123"/>
  <c r="J61" i="123"/>
  <c r="K61" i="123"/>
  <c r="L61" i="123"/>
  <c r="M61" i="123"/>
  <c r="N61" i="123"/>
  <c r="O61" i="123"/>
  <c r="P61" i="123"/>
  <c r="Q61" i="123"/>
  <c r="R61" i="123"/>
  <c r="S61" i="123"/>
  <c r="T61" i="123"/>
  <c r="U61" i="123"/>
  <c r="V61" i="123"/>
  <c r="W61" i="123"/>
  <c r="X61" i="123"/>
  <c r="Y61" i="123"/>
  <c r="Z61" i="123"/>
  <c r="S62" i="123"/>
  <c r="T62" i="123"/>
  <c r="U62" i="123"/>
  <c r="V62" i="123"/>
  <c r="W62" i="123"/>
  <c r="X62" i="123"/>
  <c r="Y62" i="123"/>
  <c r="Z62" i="123"/>
  <c r="R63" i="123"/>
  <c r="S63" i="123"/>
  <c r="U63" i="123"/>
  <c r="V63" i="123"/>
  <c r="W63" i="123"/>
  <c r="X63" i="123"/>
  <c r="Y63" i="123"/>
  <c r="Z63" i="123"/>
  <c r="H66" i="123"/>
  <c r="I66" i="123"/>
  <c r="J66" i="123"/>
  <c r="K66" i="123"/>
  <c r="L66" i="123"/>
  <c r="M66" i="123"/>
  <c r="N66" i="123"/>
  <c r="O66" i="123"/>
  <c r="P66" i="123"/>
  <c r="Q66" i="123"/>
  <c r="R66" i="123"/>
  <c r="S66" i="123"/>
  <c r="T66" i="123"/>
  <c r="U66" i="123"/>
  <c r="V66" i="123"/>
  <c r="W66" i="123"/>
  <c r="X66" i="123"/>
  <c r="Y66" i="123"/>
  <c r="Z66" i="123"/>
  <c r="H67" i="123"/>
  <c r="I67" i="123"/>
  <c r="J67" i="123"/>
  <c r="K67" i="123"/>
  <c r="L67" i="123"/>
  <c r="M67" i="123"/>
  <c r="N67" i="123"/>
  <c r="P67" i="123"/>
  <c r="Q67" i="123"/>
  <c r="R67" i="123"/>
  <c r="S67" i="123"/>
  <c r="T67" i="123"/>
  <c r="U67" i="123"/>
  <c r="V67" i="123"/>
  <c r="W67" i="123"/>
  <c r="X67" i="123"/>
  <c r="Y67" i="123"/>
  <c r="Z67" i="123"/>
  <c r="H68" i="123"/>
  <c r="I68" i="123"/>
  <c r="J68" i="123"/>
  <c r="K68" i="123"/>
  <c r="L68" i="123"/>
  <c r="M68" i="123"/>
  <c r="N68" i="123"/>
  <c r="O68" i="123"/>
  <c r="P68" i="123"/>
  <c r="Q68" i="123"/>
  <c r="R68" i="123"/>
  <c r="S68" i="123"/>
  <c r="T68" i="123"/>
  <c r="U68" i="123"/>
  <c r="V68" i="123"/>
  <c r="W68" i="123"/>
  <c r="X68" i="123"/>
  <c r="Y68" i="123"/>
  <c r="Z68" i="123"/>
  <c r="S69" i="123"/>
  <c r="T69" i="123"/>
  <c r="U69" i="123"/>
  <c r="V69" i="123"/>
  <c r="W69" i="123"/>
  <c r="X69" i="123"/>
  <c r="Y69" i="123"/>
  <c r="Z69" i="123"/>
  <c r="P70" i="123"/>
  <c r="Q70" i="123"/>
  <c r="S70" i="123"/>
  <c r="T70" i="123"/>
  <c r="U70" i="123"/>
  <c r="V70" i="123"/>
  <c r="W70" i="123"/>
  <c r="X70" i="123"/>
  <c r="Y70" i="123"/>
  <c r="Z70" i="123"/>
  <c r="X47" i="123"/>
  <c r="Y47" i="123"/>
  <c r="Z47" i="123"/>
  <c r="W47" i="123"/>
  <c r="AA25" i="123"/>
  <c r="AA210" i="125" l="1"/>
  <c r="AB210" i="125" s="1"/>
  <c r="AC210" i="125" s="1"/>
  <c r="AD210" i="125" s="1"/>
  <c r="AB33" i="123"/>
  <c r="N122" i="118" s="1"/>
  <c r="R64" i="123"/>
  <c r="Y72" i="123"/>
  <c r="S72" i="123"/>
  <c r="U72" i="123"/>
  <c r="S64" i="123"/>
  <c r="P71" i="123"/>
  <c r="I136" i="118"/>
  <c r="W109" i="123"/>
  <c r="K136" i="118"/>
  <c r="Y109" i="123"/>
  <c r="J136" i="118"/>
  <c r="X109" i="123"/>
  <c r="L136" i="118"/>
  <c r="Z109" i="123"/>
  <c r="AB25" i="123"/>
  <c r="N114" i="118" s="1"/>
  <c r="M114" i="118"/>
  <c r="Z72" i="123"/>
  <c r="V71" i="123"/>
  <c r="Q71" i="123"/>
  <c r="X72" i="123"/>
  <c r="T72" i="123"/>
  <c r="W64" i="123"/>
  <c r="X64" i="123"/>
  <c r="W71" i="123"/>
  <c r="V64" i="123"/>
  <c r="U71" i="123"/>
  <c r="Y71" i="123"/>
  <c r="S71" i="123"/>
  <c r="Z71" i="123"/>
  <c r="T71" i="123"/>
  <c r="V72" i="123"/>
  <c r="Y64" i="123"/>
  <c r="W72" i="123"/>
  <c r="Z64" i="123"/>
  <c r="U64" i="123"/>
  <c r="X198" i="125"/>
  <c r="X199" i="125" s="1"/>
  <c r="X209" i="125"/>
  <c r="X208" i="125"/>
  <c r="Y211" i="125"/>
  <c r="Y198" i="125" s="1"/>
  <c r="Y199" i="125" s="1"/>
  <c r="X71" i="123"/>
  <c r="AC33" i="123" l="1"/>
  <c r="AD33" i="123" s="1"/>
  <c r="AC25" i="123"/>
  <c r="O114" i="118" s="1"/>
  <c r="X212" i="125"/>
  <c r="W210" i="125"/>
  <c r="Y200" i="125"/>
  <c r="Y201" i="125"/>
  <c r="Y208" i="125"/>
  <c r="Z211" i="125"/>
  <c r="Y209" i="125"/>
  <c r="AE210" i="125"/>
  <c r="X201" i="125"/>
  <c r="X200" i="125"/>
  <c r="O122" i="118" l="1"/>
  <c r="AD25" i="123"/>
  <c r="AE25" i="123" s="1"/>
  <c r="AE33" i="123"/>
  <c r="P122" i="118"/>
  <c r="Y212" i="125"/>
  <c r="AF210" i="125"/>
  <c r="W208" i="125"/>
  <c r="W209" i="125"/>
  <c r="AA211" i="125"/>
  <c r="Z208" i="125"/>
  <c r="Z198" i="125"/>
  <c r="Z199" i="125" s="1"/>
  <c r="Z209" i="125"/>
  <c r="P114" i="118" l="1"/>
  <c r="AF33" i="123"/>
  <c r="R122" i="118" s="1"/>
  <c r="Q122" i="118"/>
  <c r="AF25" i="123"/>
  <c r="R114" i="118" s="1"/>
  <c r="Q114" i="118"/>
  <c r="AB211" i="125"/>
  <c r="AA208" i="125"/>
  <c r="AA209" i="125"/>
  <c r="AA198" i="125"/>
  <c r="AA199" i="125" s="1"/>
  <c r="W212" i="125"/>
  <c r="Z201" i="125"/>
  <c r="Z200" i="125"/>
  <c r="Z212" i="125"/>
  <c r="AA212" i="125" l="1"/>
  <c r="AA201" i="125"/>
  <c r="AA200" i="125"/>
  <c r="AC211" i="125"/>
  <c r="AB209" i="125"/>
  <c r="AB208" i="125"/>
  <c r="AB198" i="125"/>
  <c r="AB199" i="125" s="1"/>
  <c r="AB212" i="125" l="1"/>
  <c r="AB201" i="125"/>
  <c r="AB200" i="125"/>
  <c r="AD211" i="125"/>
  <c r="AC208" i="125"/>
  <c r="AC209" i="125"/>
  <c r="AC198" i="125"/>
  <c r="AC199" i="125" s="1"/>
  <c r="AC200" i="125" l="1"/>
  <c r="AC201" i="125"/>
  <c r="AC212" i="125"/>
  <c r="AE211" i="125"/>
  <c r="AD198" i="125"/>
  <c r="AD199" i="125" s="1"/>
  <c r="AD209" i="125"/>
  <c r="AD208" i="125"/>
  <c r="AD200" i="125" l="1"/>
  <c r="AD201" i="125"/>
  <c r="AF211" i="125"/>
  <c r="AE198" i="125"/>
  <c r="AE199" i="125" s="1"/>
  <c r="AE209" i="125"/>
  <c r="AE208" i="125"/>
  <c r="AD212" i="125"/>
  <c r="AE212" i="125" l="1"/>
  <c r="AE200" i="125"/>
  <c r="AE201" i="125"/>
  <c r="AF198" i="125"/>
  <c r="AF199" i="125" s="1"/>
  <c r="AF209" i="125"/>
  <c r="AF208" i="125"/>
  <c r="AF212" i="125" l="1"/>
  <c r="AF201" i="125"/>
  <c r="AF200" i="125"/>
  <c r="R50" i="126" l="1"/>
  <c r="Z82" i="126"/>
  <c r="X82" i="126"/>
  <c r="T82" i="126"/>
  <c r="R82" i="126"/>
  <c r="N82" i="126"/>
  <c r="L82" i="126"/>
  <c r="Y82" i="126"/>
  <c r="W82" i="126"/>
  <c r="V82" i="126"/>
  <c r="U82" i="126"/>
  <c r="S82" i="126"/>
  <c r="Q82" i="126"/>
  <c r="P82" i="126"/>
  <c r="O82" i="126"/>
  <c r="M82" i="126"/>
  <c r="T78" i="126"/>
  <c r="T77" i="126"/>
  <c r="U77" i="126" s="1"/>
  <c r="T76" i="126"/>
  <c r="U76" i="126" s="1"/>
  <c r="AC73" i="126"/>
  <c r="AD73" i="126" s="1"/>
  <c r="V54" i="126"/>
  <c r="W54" i="126" s="1"/>
  <c r="U78" i="126" l="1"/>
  <c r="R52" i="126"/>
  <c r="T50" i="126"/>
  <c r="T52" i="126" s="1"/>
  <c r="S50" i="126"/>
  <c r="S52" i="126" s="1"/>
  <c r="X54" i="126"/>
  <c r="Y54" i="126" l="1"/>
  <c r="Z54" i="126" l="1"/>
  <c r="AA54" i="126" l="1"/>
  <c r="AB54" i="126" l="1"/>
  <c r="AC54" i="126" l="1"/>
  <c r="AD54" i="126" l="1"/>
  <c r="AE54" i="126" l="1"/>
  <c r="AF54" i="126" s="1"/>
  <c r="W155" i="125" l="1"/>
  <c r="X155" i="125" s="1"/>
  <c r="Y155" i="125" s="1"/>
  <c r="Z155" i="125" s="1"/>
  <c r="AA155" i="125" s="1"/>
  <c r="AB155" i="125" s="1"/>
  <c r="AC155" i="125" s="1"/>
  <c r="AD155" i="125" s="1"/>
  <c r="AE155" i="125" s="1"/>
  <c r="AF155" i="125" s="1"/>
  <c r="W156" i="125"/>
  <c r="X156" i="125" s="1"/>
  <c r="Y156" i="125" s="1"/>
  <c r="Z156" i="125" s="1"/>
  <c r="AA156" i="125" s="1"/>
  <c r="AB156" i="125" s="1"/>
  <c r="AC156" i="125" s="1"/>
  <c r="AD156" i="125" s="1"/>
  <c r="AE156" i="125" s="1"/>
  <c r="AF156" i="125" s="1"/>
  <c r="W157" i="125"/>
  <c r="X157" i="125" s="1"/>
  <c r="Y157" i="125" s="1"/>
  <c r="Z157" i="125" s="1"/>
  <c r="AA157" i="125" s="1"/>
  <c r="AB157" i="125" s="1"/>
  <c r="AC157" i="125" s="1"/>
  <c r="AD157" i="125" s="1"/>
  <c r="AE157" i="125" s="1"/>
  <c r="AF157" i="125" s="1"/>
  <c r="W158" i="125"/>
  <c r="X158" i="125" s="1"/>
  <c r="Y158" i="125" s="1"/>
  <c r="Z158" i="125" s="1"/>
  <c r="AA158" i="125" s="1"/>
  <c r="AB158" i="125" s="1"/>
  <c r="AC158" i="125" s="1"/>
  <c r="AD158" i="125" s="1"/>
  <c r="AE158" i="125" s="1"/>
  <c r="AF158" i="125" s="1"/>
  <c r="T98" i="126"/>
  <c r="U98" i="126"/>
  <c r="V98" i="126"/>
  <c r="W98" i="126"/>
  <c r="X98" i="126"/>
  <c r="Y98" i="126"/>
  <c r="Z98" i="126"/>
  <c r="AA97" i="126"/>
  <c r="AA96" i="126"/>
  <c r="AB102" i="126"/>
  <c r="AC102" i="126" s="1"/>
  <c r="AB101" i="126"/>
  <c r="AC101" i="126" s="1"/>
  <c r="CM37" i="115" a="1"/>
  <c r="CM37" i="115" l="1"/>
  <c r="AB96" i="126"/>
  <c r="AC96" i="126" s="1"/>
  <c r="AA98" i="126"/>
  <c r="AB97" i="126"/>
  <c r="AC97" i="126" s="1"/>
  <c r="AD97" i="126" s="1"/>
  <c r="AE97" i="126" s="1"/>
  <c r="CQ38" i="115" l="1"/>
  <c r="AF97" i="126"/>
  <c r="AB98" i="126"/>
  <c r="AD96" i="126"/>
  <c r="AC98" i="126"/>
  <c r="AE96" i="126" l="1"/>
  <c r="AD98" i="126"/>
  <c r="AF96" i="126" l="1"/>
  <c r="AF98" i="126" s="1"/>
  <c r="AE98" i="126"/>
  <c r="Q88" i="126" l="1"/>
  <c r="R88" i="126"/>
  <c r="S88" i="126"/>
  <c r="T88" i="126"/>
  <c r="U88" i="126"/>
  <c r="V88" i="126"/>
  <c r="W88" i="126"/>
  <c r="X88" i="126"/>
  <c r="Y88" i="126"/>
  <c r="Z88" i="126"/>
  <c r="AA87" i="126"/>
  <c r="AA86" i="126"/>
  <c r="AD92" i="126"/>
  <c r="AD91" i="126"/>
  <c r="R92" i="126"/>
  <c r="S92" i="126"/>
  <c r="T92" i="126"/>
  <c r="U92" i="126"/>
  <c r="V92" i="126"/>
  <c r="W92" i="126"/>
  <c r="X92" i="126"/>
  <c r="Y92" i="126"/>
  <c r="Z92" i="126"/>
  <c r="S91" i="126"/>
  <c r="T91" i="126"/>
  <c r="U91" i="126"/>
  <c r="V91" i="126"/>
  <c r="W91" i="126"/>
  <c r="X91" i="126"/>
  <c r="Y91" i="126"/>
  <c r="Z91" i="126"/>
  <c r="R91" i="126"/>
  <c r="J43" i="126"/>
  <c r="K43" i="126"/>
  <c r="L43" i="126"/>
  <c r="M43" i="126"/>
  <c r="N43" i="126"/>
  <c r="O43" i="126"/>
  <c r="P43" i="126"/>
  <c r="Q43" i="126"/>
  <c r="R43" i="126"/>
  <c r="S43" i="126"/>
  <c r="T43" i="126"/>
  <c r="U43" i="126"/>
  <c r="V43" i="126"/>
  <c r="K47" i="126"/>
  <c r="L47" i="126"/>
  <c r="M47" i="126"/>
  <c r="N47" i="126"/>
  <c r="O47" i="126"/>
  <c r="P47" i="126"/>
  <c r="Q47" i="126"/>
  <c r="R47" i="126"/>
  <c r="L46" i="126"/>
  <c r="M46" i="126"/>
  <c r="N46" i="126"/>
  <c r="O46" i="126"/>
  <c r="P46" i="126"/>
  <c r="Q46" i="126"/>
  <c r="R46" i="126"/>
  <c r="K46" i="126"/>
  <c r="U81" i="123"/>
  <c r="O81" i="123"/>
  <c r="X41" i="123"/>
  <c r="J130" i="118" s="1"/>
  <c r="J135" i="118" s="1"/>
  <c r="Y41" i="123"/>
  <c r="K130" i="118" s="1"/>
  <c r="K135" i="118" s="1"/>
  <c r="Z41" i="123"/>
  <c r="L130" i="118" s="1"/>
  <c r="L135" i="118" s="1"/>
  <c r="W41" i="123"/>
  <c r="I130" i="118" s="1"/>
  <c r="I135" i="118" s="1"/>
  <c r="W19" i="123"/>
  <c r="I108" i="118" s="1"/>
  <c r="X19" i="123"/>
  <c r="J108" i="118" s="1"/>
  <c r="Y19" i="123"/>
  <c r="K108" i="118" s="1"/>
  <c r="Z19" i="123"/>
  <c r="L108" i="118" s="1"/>
  <c r="S68" i="126" l="1"/>
  <c r="S56" i="126"/>
  <c r="S53" i="126" s="1"/>
  <c r="S55" i="126" s="1"/>
  <c r="S60" i="126"/>
  <c r="R60" i="126"/>
  <c r="R68" i="126"/>
  <c r="R56" i="126"/>
  <c r="R53" i="126" s="1"/>
  <c r="R55" i="126" s="1"/>
  <c r="U56" i="126"/>
  <c r="U60" i="126"/>
  <c r="U68" i="126"/>
  <c r="T56" i="126"/>
  <c r="T53" i="126" s="1"/>
  <c r="T55" i="126" s="1"/>
  <c r="T60" i="126"/>
  <c r="T68" i="126"/>
  <c r="W81" i="123"/>
  <c r="W80" i="123"/>
  <c r="Z81" i="123"/>
  <c r="Z80" i="123"/>
  <c r="X81" i="123"/>
  <c r="X80" i="123"/>
  <c r="Y81" i="123"/>
  <c r="Y80" i="123"/>
  <c r="J81" i="123"/>
  <c r="P81" i="123"/>
  <c r="V81" i="123"/>
  <c r="AB87" i="126"/>
  <c r="AC87" i="126" s="1"/>
  <c r="AB86" i="126"/>
  <c r="Q81" i="123"/>
  <c r="N80" i="123"/>
  <c r="T80" i="123"/>
  <c r="K81" i="123"/>
  <c r="O80" i="123"/>
  <c r="U80" i="123"/>
  <c r="L81" i="123"/>
  <c r="R80" i="123"/>
  <c r="N81" i="123"/>
  <c r="T81" i="123"/>
  <c r="R81" i="123"/>
  <c r="M81" i="123"/>
  <c r="S80" i="123"/>
  <c r="L80" i="123"/>
  <c r="S81" i="123"/>
  <c r="M80" i="123"/>
  <c r="K80" i="123"/>
  <c r="Q80" i="123"/>
  <c r="AA88" i="126"/>
  <c r="J80" i="123"/>
  <c r="P80" i="123"/>
  <c r="V80" i="123"/>
  <c r="I81" i="123"/>
  <c r="I80" i="123"/>
  <c r="AC86" i="126" l="1"/>
  <c r="AD86" i="126" s="1"/>
  <c r="AE86" i="126" s="1"/>
  <c r="T65" i="126"/>
  <c r="T62" i="126"/>
  <c r="T59" i="126"/>
  <c r="T58" i="126"/>
  <c r="R62" i="126"/>
  <c r="R65" i="126"/>
  <c r="R59" i="126"/>
  <c r="R58" i="126"/>
  <c r="U65" i="126"/>
  <c r="U62" i="126"/>
  <c r="S58" i="126"/>
  <c r="S59" i="126"/>
  <c r="U59" i="126"/>
  <c r="V59" i="126" s="1"/>
  <c r="W59" i="126" s="1"/>
  <c r="X59" i="126" s="1"/>
  <c r="Y59" i="126" s="1"/>
  <c r="Z59" i="126" s="1"/>
  <c r="AA59" i="126" s="1"/>
  <c r="AB59" i="126" s="1"/>
  <c r="AC59" i="126" s="1"/>
  <c r="AD59" i="126" s="1"/>
  <c r="AE59" i="126" s="1"/>
  <c r="AF59" i="126" s="1"/>
  <c r="U58" i="126"/>
  <c r="V58" i="126" s="1"/>
  <c r="U53" i="126"/>
  <c r="U55" i="126" s="1"/>
  <c r="V55" i="126" s="1"/>
  <c r="S65" i="126"/>
  <c r="S62" i="126"/>
  <c r="AB88" i="126"/>
  <c r="AD87" i="126"/>
  <c r="AC88" i="126" l="1"/>
  <c r="AD88" i="126"/>
  <c r="U50" i="126"/>
  <c r="U51" i="126" s="1"/>
  <c r="V51" i="126" s="1"/>
  <c r="R64" i="126"/>
  <c r="R63" i="126"/>
  <c r="U67" i="126"/>
  <c r="U66" i="126"/>
  <c r="V66" i="126" s="1"/>
  <c r="W58" i="126"/>
  <c r="V60" i="126"/>
  <c r="S67" i="126"/>
  <c r="S66" i="126"/>
  <c r="R67" i="126"/>
  <c r="R66" i="126"/>
  <c r="U63" i="126"/>
  <c r="V63" i="126" s="1"/>
  <c r="U64" i="126"/>
  <c r="V64" i="126" s="1"/>
  <c r="W64" i="126" s="1"/>
  <c r="X64" i="126" s="1"/>
  <c r="Y64" i="126" s="1"/>
  <c r="Z64" i="126" s="1"/>
  <c r="AA64" i="126" s="1"/>
  <c r="AB64" i="126" s="1"/>
  <c r="AC64" i="126" s="1"/>
  <c r="AD64" i="126" s="1"/>
  <c r="AE64" i="126" s="1"/>
  <c r="AF64" i="126" s="1"/>
  <c r="W55" i="126"/>
  <c r="V53" i="126"/>
  <c r="T64" i="126"/>
  <c r="T63" i="126"/>
  <c r="S63" i="126"/>
  <c r="S64" i="126"/>
  <c r="T67" i="126"/>
  <c r="T66" i="126"/>
  <c r="AE87" i="126"/>
  <c r="AE88" i="126" s="1"/>
  <c r="AF86" i="126"/>
  <c r="U52" i="126" l="1"/>
  <c r="V52" i="126" s="1"/>
  <c r="W52" i="126" s="1"/>
  <c r="X52" i="126" s="1"/>
  <c r="S72" i="126"/>
  <c r="W66" i="126"/>
  <c r="V67" i="126"/>
  <c r="W67" i="126" s="1"/>
  <c r="X67" i="126" s="1"/>
  <c r="Y67" i="126" s="1"/>
  <c r="T72" i="126"/>
  <c r="X55" i="126"/>
  <c r="W53" i="126"/>
  <c r="W63" i="126"/>
  <c r="V62" i="126"/>
  <c r="W60" i="126"/>
  <c r="X58" i="126"/>
  <c r="W51" i="126"/>
  <c r="AF87" i="126"/>
  <c r="AF88" i="126" s="1"/>
  <c r="U72" i="126" l="1"/>
  <c r="V50" i="126"/>
  <c r="V56" i="126" s="1"/>
  <c r="W41" i="126"/>
  <c r="W42" i="126"/>
  <c r="Y52" i="126"/>
  <c r="X42" i="126"/>
  <c r="V65" i="126"/>
  <c r="V68" i="126" s="1"/>
  <c r="X53" i="126"/>
  <c r="Y55" i="126"/>
  <c r="X60" i="126"/>
  <c r="Y58" i="126"/>
  <c r="Z67" i="126"/>
  <c r="W62" i="126"/>
  <c r="X63" i="126"/>
  <c r="W50" i="126"/>
  <c r="W56" i="126" s="1"/>
  <c r="X51" i="126"/>
  <c r="W65" i="126"/>
  <c r="X66" i="126"/>
  <c r="AA8" i="122"/>
  <c r="I11" i="127"/>
  <c r="I12" i="127" s="1"/>
  <c r="J11" i="127"/>
  <c r="J12" i="127" s="1"/>
  <c r="K11" i="127"/>
  <c r="K12" i="127" s="1"/>
  <c r="L11" i="127"/>
  <c r="L12" i="127" s="1"/>
  <c r="M11" i="127"/>
  <c r="M12" i="127" s="1"/>
  <c r="N11" i="127"/>
  <c r="N12" i="127" s="1"/>
  <c r="H11" i="127"/>
  <c r="H12" i="127" s="1"/>
  <c r="DG26" i="131"/>
  <c r="DE26" i="131"/>
  <c r="DC26" i="131"/>
  <c r="DB26" i="131"/>
  <c r="DG24" i="131"/>
  <c r="DE24" i="131"/>
  <c r="DC24" i="131"/>
  <c r="DB24" i="131"/>
  <c r="DG23" i="131"/>
  <c r="DE23" i="131"/>
  <c r="DC23" i="131"/>
  <c r="DB23" i="131"/>
  <c r="DG19" i="131"/>
  <c r="DE19" i="131"/>
  <c r="DC19" i="131"/>
  <c r="DB19" i="131"/>
  <c r="CY26" i="131"/>
  <c r="CW26" i="131"/>
  <c r="CU26" i="131"/>
  <c r="CT26" i="131"/>
  <c r="CY24" i="131"/>
  <c r="CW24" i="131"/>
  <c r="CU24" i="131"/>
  <c r="CT24" i="131"/>
  <c r="CY23" i="131"/>
  <c r="CW23" i="131"/>
  <c r="CU23" i="131"/>
  <c r="CT23" i="131"/>
  <c r="CY19" i="131"/>
  <c r="CW19" i="131"/>
  <c r="CU19" i="131"/>
  <c r="CT19" i="131"/>
  <c r="CI26" i="131"/>
  <c r="CG26" i="131"/>
  <c r="CE26" i="131"/>
  <c r="CD26" i="131"/>
  <c r="CI24" i="131"/>
  <c r="CG24" i="131"/>
  <c r="CE24" i="131"/>
  <c r="CD24" i="131"/>
  <c r="CI23" i="131"/>
  <c r="CG23" i="131"/>
  <c r="CE23" i="131"/>
  <c r="CD23" i="131"/>
  <c r="CD22" i="131"/>
  <c r="CD21" i="131"/>
  <c r="CD20" i="131"/>
  <c r="CI19" i="131"/>
  <c r="CG19" i="131"/>
  <c r="CE19" i="131"/>
  <c r="CD19" i="131"/>
  <c r="CM26" i="131"/>
  <c r="CO26" i="131"/>
  <c r="CQ26" i="131"/>
  <c r="CL26" i="131"/>
  <c r="CM24" i="131"/>
  <c r="CO24" i="131"/>
  <c r="CQ24" i="131"/>
  <c r="CM23" i="131"/>
  <c r="CO23" i="131"/>
  <c r="CQ23" i="131"/>
  <c r="CL20" i="131"/>
  <c r="CL21" i="131"/>
  <c r="CL22" i="131"/>
  <c r="CL23" i="131"/>
  <c r="CL24" i="131"/>
  <c r="CM19" i="131"/>
  <c r="CO19" i="131"/>
  <c r="CQ19" i="131"/>
  <c r="CL19" i="131"/>
  <c r="M16" i="129"/>
  <c r="I16" i="129"/>
  <c r="AA15" i="122" l="1"/>
  <c r="W43" i="126"/>
  <c r="Y72" i="126"/>
  <c r="X41" i="126"/>
  <c r="X43" i="126" s="1"/>
  <c r="Z52" i="126"/>
  <c r="Y42" i="126"/>
  <c r="Y60" i="126"/>
  <c r="Z58" i="126"/>
  <c r="X62" i="126"/>
  <c r="Y63" i="126"/>
  <c r="AA67" i="126"/>
  <c r="Y51" i="126"/>
  <c r="X50" i="126"/>
  <c r="X56" i="126" s="1"/>
  <c r="W68" i="126"/>
  <c r="Z55" i="126"/>
  <c r="Y53" i="126"/>
  <c r="X65" i="126"/>
  <c r="Y66" i="126"/>
  <c r="J16" i="129"/>
  <c r="K16" i="129" s="1"/>
  <c r="L16" i="129" s="1"/>
  <c r="N8" i="122"/>
  <c r="M8" i="122"/>
  <c r="L8" i="122"/>
  <c r="K8" i="122"/>
  <c r="J8" i="122"/>
  <c r="I8" i="122"/>
  <c r="H8" i="122"/>
  <c r="Z72" i="126" l="1"/>
  <c r="X68" i="126"/>
  <c r="Y41" i="126"/>
  <c r="Y43" i="126" s="1"/>
  <c r="AA52" i="126"/>
  <c r="AB52" i="126" s="1"/>
  <c r="AC52" i="126" s="1"/>
  <c r="AD52" i="126" s="1"/>
  <c r="AE52" i="126" s="1"/>
  <c r="AF52" i="126" s="1"/>
  <c r="Z42" i="126"/>
  <c r="Z60" i="126"/>
  <c r="AA58" i="126"/>
  <c r="AB67" i="126"/>
  <c r="AA55" i="126"/>
  <c r="Z53" i="126"/>
  <c r="Y62" i="126"/>
  <c r="Z63" i="126"/>
  <c r="AA63" i="126" s="1"/>
  <c r="AB63" i="126" s="1"/>
  <c r="AC63" i="126" s="1"/>
  <c r="AD63" i="126" s="1"/>
  <c r="AE63" i="126" s="1"/>
  <c r="AF63" i="126" s="1"/>
  <c r="AF62" i="126" s="1"/>
  <c r="Y65" i="126"/>
  <c r="Z66" i="126"/>
  <c r="AA66" i="126" s="1"/>
  <c r="AB66" i="126" s="1"/>
  <c r="AC66" i="126" s="1"/>
  <c r="AD66" i="126" s="1"/>
  <c r="AE66" i="126" s="1"/>
  <c r="AF66" i="126" s="1"/>
  <c r="Z51" i="126"/>
  <c r="Y50" i="126"/>
  <c r="Y56" i="126" s="1"/>
  <c r="AA88" i="123"/>
  <c r="B9" i="128" l="1"/>
  <c r="AC67" i="126"/>
  <c r="AD67" i="126" s="1"/>
  <c r="Y68" i="126"/>
  <c r="Z41" i="126"/>
  <c r="Z43" i="126" s="1"/>
  <c r="AA72" i="126"/>
  <c r="Z62" i="126"/>
  <c r="AA60" i="126"/>
  <c r="AB58" i="126"/>
  <c r="Z50" i="126"/>
  <c r="Z56" i="126" s="1"/>
  <c r="AA51" i="126"/>
  <c r="AA53" i="126"/>
  <c r="AB55" i="126"/>
  <c r="AB72" i="126" s="1"/>
  <c r="Z65" i="126"/>
  <c r="AB88" i="123"/>
  <c r="AC88" i="123" s="1"/>
  <c r="AD88" i="123" s="1"/>
  <c r="AE88" i="123" s="1"/>
  <c r="AF88" i="123" s="1"/>
  <c r="AD91" i="122"/>
  <c r="AE91" i="122" s="1"/>
  <c r="AF91" i="122" s="1"/>
  <c r="Z96" i="122"/>
  <c r="AA96" i="122" s="1"/>
  <c r="AB96" i="122" s="1"/>
  <c r="AC96" i="122" s="1"/>
  <c r="AD96" i="122" s="1"/>
  <c r="AE96" i="122" s="1"/>
  <c r="AF96" i="122" s="1"/>
  <c r="Y96" i="122"/>
  <c r="X96" i="122"/>
  <c r="W96" i="122"/>
  <c r="W90" i="122"/>
  <c r="W88" i="122" s="1"/>
  <c r="X90" i="122"/>
  <c r="X88" i="122" s="1"/>
  <c r="Y90" i="122"/>
  <c r="Y88" i="122" s="1"/>
  <c r="Z90" i="122"/>
  <c r="Z88" i="122" s="1"/>
  <c r="H44" i="122"/>
  <c r="I44" i="122"/>
  <c r="J44" i="122"/>
  <c r="K44" i="122"/>
  <c r="L44" i="122"/>
  <c r="M44" i="122"/>
  <c r="N44" i="122"/>
  <c r="O44" i="122"/>
  <c r="P44" i="122"/>
  <c r="Q44" i="122"/>
  <c r="R44" i="122"/>
  <c r="S44" i="122"/>
  <c r="T44" i="122"/>
  <c r="U44" i="122"/>
  <c r="V44" i="122"/>
  <c r="W44" i="122"/>
  <c r="X44" i="122"/>
  <c r="Y44" i="122"/>
  <c r="Z44" i="122"/>
  <c r="AA44" i="122" s="1"/>
  <c r="AB44" i="122" s="1"/>
  <c r="AC44" i="122" s="1"/>
  <c r="AD44" i="122" s="1"/>
  <c r="AE44" i="122" s="1"/>
  <c r="AF44" i="122" s="1"/>
  <c r="AB40" i="122"/>
  <c r="AC40" i="122" s="1"/>
  <c r="AD40" i="122" s="1"/>
  <c r="AE40" i="122" s="1"/>
  <c r="AF40" i="122" s="1"/>
  <c r="Z3" i="122"/>
  <c r="AA3" i="122" s="1"/>
  <c r="AB3" i="122" s="1"/>
  <c r="AC3" i="122" s="1"/>
  <c r="AD3" i="122" s="1"/>
  <c r="AE3" i="122" s="1"/>
  <c r="AF3" i="122" s="1"/>
  <c r="Y3" i="122"/>
  <c r="X3" i="122"/>
  <c r="W3" i="122"/>
  <c r="V3" i="122"/>
  <c r="U3" i="122"/>
  <c r="T3" i="122"/>
  <c r="S3" i="122"/>
  <c r="R3" i="122"/>
  <c r="Q3" i="122"/>
  <c r="P3" i="122"/>
  <c r="O3" i="122"/>
  <c r="N3" i="122"/>
  <c r="M3" i="122"/>
  <c r="L3" i="122"/>
  <c r="K3" i="122"/>
  <c r="J3" i="122"/>
  <c r="I3" i="122"/>
  <c r="H3" i="122"/>
  <c r="G3" i="122"/>
  <c r="F3" i="122"/>
  <c r="E3" i="122"/>
  <c r="D3" i="122"/>
  <c r="C3" i="122"/>
  <c r="B3" i="122"/>
  <c r="DH43" i="131"/>
  <c r="DD43" i="131"/>
  <c r="DD72" i="131" s="1"/>
  <c r="CZ43" i="131"/>
  <c r="CV43" i="131"/>
  <c r="CV72" i="131" s="1"/>
  <c r="CR43" i="131"/>
  <c r="CN43" i="131"/>
  <c r="CN72" i="131" s="1"/>
  <c r="CJ43" i="131"/>
  <c r="CF43" i="131"/>
  <c r="CF72" i="131" s="1"/>
  <c r="CB43" i="131"/>
  <c r="BX43" i="131"/>
  <c r="BT43" i="131"/>
  <c r="BP43" i="131"/>
  <c r="BL43" i="131"/>
  <c r="BH43" i="131"/>
  <c r="BD43" i="131"/>
  <c r="AZ43" i="131"/>
  <c r="AV43" i="131"/>
  <c r="AR43" i="131"/>
  <c r="AN43" i="131"/>
  <c r="AJ43" i="131"/>
  <c r="G32" i="130"/>
  <c r="I32" i="130" s="1"/>
  <c r="K32" i="130" s="1"/>
  <c r="M32" i="130" s="1"/>
  <c r="O32" i="130" s="1"/>
  <c r="Q32" i="130" s="1"/>
  <c r="S32" i="130" s="1"/>
  <c r="U32" i="130" s="1"/>
  <c r="W32" i="130" s="1"/>
  <c r="Y32" i="130" s="1"/>
  <c r="AA32" i="130" s="1"/>
  <c r="AC32" i="130" s="1"/>
  <c r="AE32" i="130" s="1"/>
  <c r="F32" i="130"/>
  <c r="H32" i="130" s="1"/>
  <c r="J32" i="130" s="1"/>
  <c r="L32" i="130" s="1"/>
  <c r="N32" i="130" s="1"/>
  <c r="P32" i="130" s="1"/>
  <c r="R32" i="130" s="1"/>
  <c r="T32" i="130" s="1"/>
  <c r="V32" i="130" s="1"/>
  <c r="X32" i="130" s="1"/>
  <c r="Z32" i="130" s="1"/>
  <c r="AB32" i="130" s="1"/>
  <c r="AD32" i="130" s="1"/>
  <c r="AF32" i="130" s="1"/>
  <c r="CR69" i="131" l="1"/>
  <c r="CV69" i="131"/>
  <c r="CZ69" i="131"/>
  <c r="DH69" i="131"/>
  <c r="DD69" i="131"/>
  <c r="CN69" i="131"/>
  <c r="K26" i="118"/>
  <c r="L26" i="118"/>
  <c r="J26" i="118"/>
  <c r="I26" i="118"/>
  <c r="X103" i="123"/>
  <c r="Z103" i="123"/>
  <c r="Y103" i="123"/>
  <c r="W103" i="123"/>
  <c r="AA65" i="126"/>
  <c r="AC55" i="126"/>
  <c r="AB53" i="126"/>
  <c r="Z68" i="126"/>
  <c r="AA62" i="126"/>
  <c r="AC58" i="126"/>
  <c r="AB60" i="126"/>
  <c r="AA50" i="126"/>
  <c r="AA56" i="126" s="1"/>
  <c r="AB51" i="126"/>
  <c r="AE67" i="126"/>
  <c r="AF67" i="126" s="1"/>
  <c r="AF43" i="131"/>
  <c r="AB43" i="131"/>
  <c r="X43" i="131"/>
  <c r="T43" i="131"/>
  <c r="P43" i="131"/>
  <c r="L43" i="131"/>
  <c r="H43" i="131"/>
  <c r="D43" i="131"/>
  <c r="CA69" i="131"/>
  <c r="BY69" i="131"/>
  <c r="BW69" i="131"/>
  <c r="BV69" i="131"/>
  <c r="BS69" i="131"/>
  <c r="BQ69" i="131"/>
  <c r="BO69" i="131"/>
  <c r="BN69" i="131"/>
  <c r="BK69" i="131"/>
  <c r="BI69" i="131"/>
  <c r="BG69" i="131"/>
  <c r="BF69" i="131"/>
  <c r="BC69" i="131"/>
  <c r="BA69" i="131"/>
  <c r="AY69" i="131"/>
  <c r="AX69" i="131"/>
  <c r="AU69" i="131"/>
  <c r="AS69" i="131"/>
  <c r="AQ69" i="131"/>
  <c r="AP69" i="131"/>
  <c r="AM69" i="131"/>
  <c r="AK69" i="131"/>
  <c r="AI69" i="131"/>
  <c r="AH69" i="131"/>
  <c r="AE69" i="131"/>
  <c r="AC69" i="131"/>
  <c r="AA69" i="131"/>
  <c r="Z69" i="131"/>
  <c r="W69" i="131"/>
  <c r="U69" i="131"/>
  <c r="S69" i="131"/>
  <c r="R69" i="131"/>
  <c r="O69" i="131"/>
  <c r="M69" i="131"/>
  <c r="K69" i="131"/>
  <c r="J69" i="131"/>
  <c r="G69" i="131"/>
  <c r="E69" i="131"/>
  <c r="C69" i="131"/>
  <c r="B69" i="131"/>
  <c r="CA56" i="131"/>
  <c r="BY56" i="131"/>
  <c r="BW56" i="131"/>
  <c r="BV56" i="131"/>
  <c r="BS56" i="131"/>
  <c r="BQ56" i="131"/>
  <c r="BO56" i="131"/>
  <c r="BN56" i="131"/>
  <c r="BK56" i="131"/>
  <c r="BI56" i="131"/>
  <c r="BG56" i="131"/>
  <c r="BF56" i="131"/>
  <c r="BC56" i="131"/>
  <c r="BA56" i="131"/>
  <c r="AY56" i="131"/>
  <c r="AX56" i="131"/>
  <c r="AU56" i="131"/>
  <c r="AS56" i="131"/>
  <c r="AQ56" i="131"/>
  <c r="AP56" i="131"/>
  <c r="AM56" i="131"/>
  <c r="AK56" i="131"/>
  <c r="AI56" i="131"/>
  <c r="AH56" i="131"/>
  <c r="AE56" i="131"/>
  <c r="AC56" i="131"/>
  <c r="AA56" i="131"/>
  <c r="Z56" i="131"/>
  <c r="W56" i="131"/>
  <c r="U56" i="131"/>
  <c r="S56" i="131"/>
  <c r="R56" i="131"/>
  <c r="O56" i="131"/>
  <c r="M56" i="131"/>
  <c r="K56" i="131"/>
  <c r="J56" i="131"/>
  <c r="G56" i="131"/>
  <c r="E56" i="131"/>
  <c r="C56" i="131"/>
  <c r="B56" i="131"/>
  <c r="CA29" i="131"/>
  <c r="BY29" i="131"/>
  <c r="BW29" i="131"/>
  <c r="BV29" i="131"/>
  <c r="BS29" i="131"/>
  <c r="BQ29" i="131"/>
  <c r="BO29" i="131"/>
  <c r="BN29" i="131"/>
  <c r="BK29" i="131"/>
  <c r="BI29" i="131"/>
  <c r="BG29" i="131"/>
  <c r="BF29" i="131"/>
  <c r="BC29" i="131"/>
  <c r="BA29" i="131"/>
  <c r="AY29" i="131"/>
  <c r="AX29" i="131"/>
  <c r="AU29" i="131"/>
  <c r="AS29" i="131"/>
  <c r="AQ29" i="131"/>
  <c r="AP29" i="131"/>
  <c r="AM29" i="131"/>
  <c r="AK29" i="131"/>
  <c r="AI29" i="131"/>
  <c r="AH29" i="131"/>
  <c r="AE29" i="131"/>
  <c r="AC29" i="131"/>
  <c r="AA29" i="131"/>
  <c r="Z29" i="131"/>
  <c r="W29" i="131"/>
  <c r="U29" i="131"/>
  <c r="S29" i="131"/>
  <c r="R29" i="131"/>
  <c r="O29" i="131"/>
  <c r="M29" i="131"/>
  <c r="K29" i="131"/>
  <c r="J29" i="131"/>
  <c r="G29" i="131"/>
  <c r="E29" i="131"/>
  <c r="C29" i="131"/>
  <c r="B29" i="131"/>
  <c r="DH13" i="131"/>
  <c r="DH11" i="131"/>
  <c r="DH10" i="131"/>
  <c r="DH6" i="131"/>
  <c r="DD13" i="131"/>
  <c r="DD11" i="131"/>
  <c r="DD10" i="131"/>
  <c r="DD6" i="131"/>
  <c r="CZ13" i="131"/>
  <c r="CZ11" i="131"/>
  <c r="CZ51" i="131" s="1"/>
  <c r="CZ10" i="131"/>
  <c r="CZ50" i="131" s="1"/>
  <c r="CZ6" i="131"/>
  <c r="CZ46" i="131" s="1"/>
  <c r="CV13" i="131"/>
  <c r="CV11" i="131"/>
  <c r="CV51" i="131" s="1"/>
  <c r="CV10" i="131"/>
  <c r="CV50" i="131" s="1"/>
  <c r="CV6" i="131"/>
  <c r="CV46" i="131" s="1"/>
  <c r="CR13" i="131"/>
  <c r="CR11" i="131"/>
  <c r="CR51" i="131" s="1"/>
  <c r="CR10" i="131"/>
  <c r="CR50" i="131" s="1"/>
  <c r="CR6" i="131"/>
  <c r="CR46" i="131" s="1"/>
  <c r="CN10" i="131"/>
  <c r="CN50" i="131" s="1"/>
  <c r="CN13" i="131"/>
  <c r="CN11" i="131"/>
  <c r="CN51" i="131" s="1"/>
  <c r="CN6" i="131"/>
  <c r="CN46" i="131" s="1"/>
  <c r="CF13" i="131"/>
  <c r="CJ13" i="131"/>
  <c r="CJ11" i="131"/>
  <c r="CJ51" i="131" s="1"/>
  <c r="CJ10" i="131"/>
  <c r="CJ50" i="131" s="1"/>
  <c r="CJ9" i="131"/>
  <c r="CJ8" i="131"/>
  <c r="CJ7" i="131"/>
  <c r="CJ6" i="131"/>
  <c r="CJ46" i="131" s="1"/>
  <c r="CF11" i="131"/>
  <c r="CF51" i="131" s="1"/>
  <c r="CF10" i="131"/>
  <c r="CF50" i="131" s="1"/>
  <c r="CF9" i="131"/>
  <c r="CH9" i="131" s="1"/>
  <c r="CB11" i="131"/>
  <c r="CB10" i="131"/>
  <c r="CB9" i="131"/>
  <c r="BP13" i="131"/>
  <c r="BR13" i="131" s="1"/>
  <c r="BX13" i="131"/>
  <c r="BZ13" i="131" s="1"/>
  <c r="BX11" i="131"/>
  <c r="BZ11" i="131" s="1"/>
  <c r="BX10" i="131"/>
  <c r="BZ10" i="131" s="1"/>
  <c r="BX9" i="131"/>
  <c r="BZ9" i="131" s="1"/>
  <c r="BT11" i="131"/>
  <c r="BT10" i="131"/>
  <c r="BT9" i="131"/>
  <c r="BG16" i="131"/>
  <c r="BP11" i="131"/>
  <c r="BR11" i="131" s="1"/>
  <c r="BP10" i="131"/>
  <c r="BR10" i="131" s="1"/>
  <c r="BP9" i="131"/>
  <c r="BR9" i="131" s="1"/>
  <c r="AZ13" i="131"/>
  <c r="BB13" i="131" s="1"/>
  <c r="BH13" i="131"/>
  <c r="BJ13" i="131" s="1"/>
  <c r="BH11" i="131"/>
  <c r="BJ11" i="131" s="1"/>
  <c r="BL11" i="131" s="1"/>
  <c r="BM11" i="131" s="1"/>
  <c r="BH10" i="131"/>
  <c r="BJ10" i="131" s="1"/>
  <c r="BL10" i="131" s="1"/>
  <c r="BM10" i="131" s="1"/>
  <c r="BH9" i="131"/>
  <c r="BJ9" i="131" s="1"/>
  <c r="BL9" i="131" s="1"/>
  <c r="BM9" i="131" s="1"/>
  <c r="CF8" i="131"/>
  <c r="CH8" i="131" s="1"/>
  <c r="CF7" i="131"/>
  <c r="CH7" i="131" s="1"/>
  <c r="CF6" i="131"/>
  <c r="CF46" i="131" s="1"/>
  <c r="CB13" i="131"/>
  <c r="CB8" i="131"/>
  <c r="CB7" i="131"/>
  <c r="CB6" i="131"/>
  <c r="BX8" i="131"/>
  <c r="BZ8" i="131" s="1"/>
  <c r="BX7" i="131"/>
  <c r="BZ7" i="131" s="1"/>
  <c r="BX6" i="131"/>
  <c r="BZ6" i="131" s="1"/>
  <c r="BT13" i="131"/>
  <c r="BT8" i="131"/>
  <c r="BT7" i="131"/>
  <c r="BT6" i="131"/>
  <c r="BP8" i="131"/>
  <c r="BR8" i="131" s="1"/>
  <c r="BP7" i="131"/>
  <c r="BR7" i="131" s="1"/>
  <c r="BP6" i="131"/>
  <c r="BR6" i="131" s="1"/>
  <c r="BL13" i="131"/>
  <c r="BL8" i="131"/>
  <c r="BL7" i="131"/>
  <c r="BL6" i="131"/>
  <c r="BH8" i="131"/>
  <c r="BJ8" i="131" s="1"/>
  <c r="BH7" i="131"/>
  <c r="BJ7" i="131" s="1"/>
  <c r="BH6" i="131"/>
  <c r="BJ6" i="131" s="1"/>
  <c r="AZ8" i="131"/>
  <c r="AZ7" i="131"/>
  <c r="BB7" i="131" s="1"/>
  <c r="AZ6" i="131"/>
  <c r="BB6" i="131" s="1"/>
  <c r="BD13" i="131"/>
  <c r="BD8" i="131"/>
  <c r="BD7" i="131"/>
  <c r="BD6" i="131"/>
  <c r="AV13" i="131"/>
  <c r="AW13" i="131" s="1"/>
  <c r="AV12" i="131"/>
  <c r="AV8" i="131"/>
  <c r="AV7" i="131"/>
  <c r="AV6" i="131"/>
  <c r="AU16" i="131"/>
  <c r="AT13" i="131"/>
  <c r="AR12" i="131"/>
  <c r="AT12" i="131" s="1"/>
  <c r="AR8" i="131"/>
  <c r="AT8" i="131" s="1"/>
  <c r="AR7" i="131"/>
  <c r="AT7" i="131" s="1"/>
  <c r="AR6" i="131"/>
  <c r="AT6" i="131" s="1"/>
  <c r="AN13" i="131"/>
  <c r="AO13" i="131" s="1"/>
  <c r="AN12" i="131"/>
  <c r="AN8" i="131"/>
  <c r="AN7" i="131"/>
  <c r="AN6" i="131"/>
  <c r="AL13" i="131"/>
  <c r="AJ12" i="131"/>
  <c r="AL12" i="131" s="1"/>
  <c r="AJ8" i="131"/>
  <c r="AL8" i="131" s="1"/>
  <c r="AJ7" i="131"/>
  <c r="AL7" i="131" s="1"/>
  <c r="AJ6" i="131"/>
  <c r="AL6" i="131" s="1"/>
  <c r="AF13" i="131"/>
  <c r="AG13" i="131" s="1"/>
  <c r="AF12" i="131"/>
  <c r="AF8" i="131"/>
  <c r="AF7" i="131"/>
  <c r="AF6" i="131"/>
  <c r="AD13" i="131"/>
  <c r="AB12" i="131"/>
  <c r="AD12" i="131" s="1"/>
  <c r="AB8" i="131"/>
  <c r="AD8" i="131" s="1"/>
  <c r="AB7" i="131"/>
  <c r="AD7" i="131" s="1"/>
  <c r="AB6" i="131"/>
  <c r="AD6" i="131" s="1"/>
  <c r="X13" i="131"/>
  <c r="Y13" i="131" s="1"/>
  <c r="X12" i="131"/>
  <c r="X8" i="131"/>
  <c r="X7" i="131"/>
  <c r="X6" i="131"/>
  <c r="V13" i="131"/>
  <c r="T12" i="131"/>
  <c r="V12" i="131" s="1"/>
  <c r="T8" i="131"/>
  <c r="V8" i="131" s="1"/>
  <c r="T7" i="131"/>
  <c r="V7" i="131" s="1"/>
  <c r="T6" i="131"/>
  <c r="V6" i="131" s="1"/>
  <c r="DJ16" i="131"/>
  <c r="P13" i="131"/>
  <c r="Q13" i="131" s="1"/>
  <c r="P12" i="131"/>
  <c r="P8" i="131"/>
  <c r="P7" i="131"/>
  <c r="P6" i="131"/>
  <c r="N13" i="131"/>
  <c r="L12" i="131"/>
  <c r="N12" i="131" s="1"/>
  <c r="L8" i="131"/>
  <c r="N8" i="131" s="1"/>
  <c r="L7" i="131"/>
  <c r="N7" i="131" s="1"/>
  <c r="L6" i="131"/>
  <c r="N6" i="131" s="1"/>
  <c r="M16" i="131"/>
  <c r="O16" i="131"/>
  <c r="H13" i="131"/>
  <c r="I13" i="131" s="1"/>
  <c r="H12" i="131"/>
  <c r="H8" i="131"/>
  <c r="H7" i="131"/>
  <c r="H6" i="131"/>
  <c r="F13" i="131"/>
  <c r="D12" i="131"/>
  <c r="F12" i="131" s="1"/>
  <c r="D8" i="131"/>
  <c r="F8" i="131" s="1"/>
  <c r="D7" i="131"/>
  <c r="F7" i="131" s="1"/>
  <c r="D6" i="131"/>
  <c r="F6" i="131" s="1"/>
  <c r="G16" i="131"/>
  <c r="DE16" i="131"/>
  <c r="DB16" i="131"/>
  <c r="CW16" i="131"/>
  <c r="CT16" i="131"/>
  <c r="CO16" i="131"/>
  <c r="CL16" i="131"/>
  <c r="CI16" i="131"/>
  <c r="CG16" i="131"/>
  <c r="CE16" i="131"/>
  <c r="CD16" i="131"/>
  <c r="CA16" i="131"/>
  <c r="BY16" i="131"/>
  <c r="BW16" i="131"/>
  <c r="BV16" i="131"/>
  <c r="BS16" i="131"/>
  <c r="BQ16" i="131"/>
  <c r="BO16" i="131"/>
  <c r="BN16" i="131"/>
  <c r="BK16" i="131"/>
  <c r="BI16" i="131"/>
  <c r="BF16" i="131"/>
  <c r="BC16" i="131"/>
  <c r="BA16" i="131"/>
  <c r="AY16" i="131"/>
  <c r="AX16" i="131"/>
  <c r="AS16" i="131"/>
  <c r="AQ16" i="131"/>
  <c r="AP16" i="131"/>
  <c r="AM16" i="131"/>
  <c r="AK16" i="131"/>
  <c r="AI16" i="131"/>
  <c r="AH16" i="131"/>
  <c r="AE16" i="131"/>
  <c r="AC16" i="131"/>
  <c r="AA16" i="131"/>
  <c r="Z16" i="131"/>
  <c r="W16" i="131"/>
  <c r="U16" i="131"/>
  <c r="S16" i="131"/>
  <c r="R16" i="131"/>
  <c r="K16" i="131"/>
  <c r="J16" i="131"/>
  <c r="E16" i="131"/>
  <c r="C16" i="131"/>
  <c r="B16" i="131"/>
  <c r="CD29" i="131" l="1"/>
  <c r="CG29" i="131"/>
  <c r="CV16" i="131"/>
  <c r="CT29" i="131"/>
  <c r="DH46" i="131"/>
  <c r="CZ16" i="131"/>
  <c r="CW29" i="131"/>
  <c r="DH50" i="131"/>
  <c r="CM29" i="131"/>
  <c r="CE29" i="131"/>
  <c r="CQ29" i="131"/>
  <c r="CI29" i="131"/>
  <c r="DJ29" i="131"/>
  <c r="DD46" i="131"/>
  <c r="CN16" i="131"/>
  <c r="CP16" i="131" s="1"/>
  <c r="CL29" i="131"/>
  <c r="DD50" i="131"/>
  <c r="DD16" i="131"/>
  <c r="DD56" i="131" s="1"/>
  <c r="DB29" i="131"/>
  <c r="DH16" i="131"/>
  <c r="DE29" i="131"/>
  <c r="DH51" i="131"/>
  <c r="CR16" i="131"/>
  <c r="CO29" i="131"/>
  <c r="DD51" i="131"/>
  <c r="AA68" i="126"/>
  <c r="X69" i="131"/>
  <c r="BT69" i="131"/>
  <c r="AV69" i="131"/>
  <c r="AF65" i="126"/>
  <c r="AF68" i="126" s="1"/>
  <c r="AD55" i="126"/>
  <c r="AC53" i="126"/>
  <c r="AC72" i="126"/>
  <c r="AB50" i="126"/>
  <c r="AB56" i="126" s="1"/>
  <c r="AC51" i="126"/>
  <c r="AD58" i="126"/>
  <c r="AC60" i="126"/>
  <c r="AB65" i="126"/>
  <c r="AB62" i="126"/>
  <c r="DH26" i="131"/>
  <c r="CR26" i="131"/>
  <c r="CH13" i="131"/>
  <c r="CH26" i="131" s="1"/>
  <c r="CF26" i="131"/>
  <c r="CR23" i="131"/>
  <c r="CX13" i="131"/>
  <c r="CV26" i="131"/>
  <c r="DF10" i="131"/>
  <c r="DD23" i="131"/>
  <c r="CP6" i="131"/>
  <c r="CN19" i="131"/>
  <c r="CP11" i="131"/>
  <c r="CN24" i="131"/>
  <c r="CZ23" i="131"/>
  <c r="DD26" i="131"/>
  <c r="CR24" i="131"/>
  <c r="DF11" i="131"/>
  <c r="DD24" i="131"/>
  <c r="CH6" i="131"/>
  <c r="CH19" i="131" s="1"/>
  <c r="CF19" i="131"/>
  <c r="CH10" i="131"/>
  <c r="CH23" i="131" s="1"/>
  <c r="CF23" i="131"/>
  <c r="CJ23" i="131"/>
  <c r="CP13" i="131"/>
  <c r="CN26" i="131"/>
  <c r="CX6" i="131"/>
  <c r="CV19" i="131"/>
  <c r="CZ24" i="131"/>
  <c r="DH19" i="131"/>
  <c r="CZ19" i="131"/>
  <c r="CH11" i="131"/>
  <c r="CH24" i="131" s="1"/>
  <c r="CF24" i="131"/>
  <c r="CJ24" i="131"/>
  <c r="CP10" i="131"/>
  <c r="CN23" i="131"/>
  <c r="CX10" i="131"/>
  <c r="CV23" i="131"/>
  <c r="CZ26" i="131"/>
  <c r="DH23" i="131"/>
  <c r="CJ19" i="131"/>
  <c r="CJ26" i="131"/>
  <c r="CR19" i="131"/>
  <c r="CX11" i="131"/>
  <c r="CV24" i="131"/>
  <c r="DF6" i="131"/>
  <c r="DD19" i="131"/>
  <c r="DH24" i="131"/>
  <c r="BH16" i="131"/>
  <c r="BJ16" i="131" s="1"/>
  <c r="AG7" i="131"/>
  <c r="CC13" i="131"/>
  <c r="BU10" i="131"/>
  <c r="AF16" i="131"/>
  <c r="D69" i="131"/>
  <c r="F69" i="131" s="1"/>
  <c r="P69" i="131"/>
  <c r="AB69" i="131"/>
  <c r="AD69" i="131" s="1"/>
  <c r="AN69" i="131"/>
  <c r="AZ69" i="131"/>
  <c r="BB69" i="131" s="1"/>
  <c r="BL69" i="131"/>
  <c r="BX69" i="131"/>
  <c r="BZ69" i="131" s="1"/>
  <c r="BD16" i="131"/>
  <c r="H56" i="131"/>
  <c r="AF56" i="131"/>
  <c r="BD56" i="131"/>
  <c r="BP56" i="131"/>
  <c r="BR56" i="131" s="1"/>
  <c r="CB56" i="131"/>
  <c r="H69" i="131"/>
  <c r="T69" i="131"/>
  <c r="Y69" i="131" s="1"/>
  <c r="AF69" i="131"/>
  <c r="AR69" i="131"/>
  <c r="BD69" i="131"/>
  <c r="H29" i="131"/>
  <c r="T29" i="131"/>
  <c r="V29" i="131" s="1"/>
  <c r="AF29" i="131"/>
  <c r="AR29" i="131"/>
  <c r="AT29" i="131" s="1"/>
  <c r="BD29" i="131"/>
  <c r="BP29" i="131"/>
  <c r="BR29" i="131" s="1"/>
  <c r="CB29" i="131"/>
  <c r="AN56" i="131"/>
  <c r="BX56" i="131"/>
  <c r="BZ56" i="131" s="1"/>
  <c r="AV16" i="131"/>
  <c r="BU6" i="131"/>
  <c r="BU11" i="131"/>
  <c r="AN29" i="131"/>
  <c r="D56" i="131"/>
  <c r="F56" i="131" s="1"/>
  <c r="AB56" i="131"/>
  <c r="AD56" i="131" s="1"/>
  <c r="AZ56" i="131"/>
  <c r="BL16" i="131"/>
  <c r="P29" i="131"/>
  <c r="BL29" i="131"/>
  <c r="P56" i="131"/>
  <c r="BL56" i="131"/>
  <c r="L29" i="131"/>
  <c r="N29" i="131" s="1"/>
  <c r="AJ29" i="131"/>
  <c r="AL29" i="131" s="1"/>
  <c r="BH29" i="131"/>
  <c r="BJ29" i="131" s="1"/>
  <c r="L56" i="131"/>
  <c r="N56" i="131" s="1"/>
  <c r="AJ56" i="131"/>
  <c r="AL56" i="131" s="1"/>
  <c r="BH56" i="131"/>
  <c r="BJ56" i="131" s="1"/>
  <c r="BP69" i="131"/>
  <c r="BX16" i="131"/>
  <c r="BZ16" i="131" s="1"/>
  <c r="L69" i="131"/>
  <c r="N69" i="131" s="1"/>
  <c r="AJ69" i="131"/>
  <c r="AL69" i="131" s="1"/>
  <c r="BH69" i="131"/>
  <c r="BJ69" i="131" s="1"/>
  <c r="T56" i="131"/>
  <c r="V56" i="131" s="1"/>
  <c r="AR56" i="131"/>
  <c r="AT56" i="131" s="1"/>
  <c r="X29" i="131"/>
  <c r="AV29" i="131"/>
  <c r="BT29" i="131"/>
  <c r="AR16" i="131"/>
  <c r="AT16" i="131" s="1"/>
  <c r="D29" i="131"/>
  <c r="F29" i="131" s="1"/>
  <c r="AB29" i="131"/>
  <c r="AD29" i="131" s="1"/>
  <c r="AZ29" i="131"/>
  <c r="BB29" i="131" s="1"/>
  <c r="BX29" i="131"/>
  <c r="BZ29" i="131" s="1"/>
  <c r="X56" i="131"/>
  <c r="AV56" i="131"/>
  <c r="BT56" i="131"/>
  <c r="BT16" i="131"/>
  <c r="CB69" i="131"/>
  <c r="AG8" i="131"/>
  <c r="T16" i="131"/>
  <c r="V16" i="131" s="1"/>
  <c r="CF16" i="131"/>
  <c r="CX16" i="131"/>
  <c r="AO12" i="131"/>
  <c r="BU13" i="131"/>
  <c r="X16" i="131"/>
  <c r="AJ16" i="131"/>
  <c r="AL16" i="131" s="1"/>
  <c r="CJ16" i="131"/>
  <c r="AG6" i="131"/>
  <c r="AW6" i="131"/>
  <c r="AN16" i="131"/>
  <c r="CB16" i="131"/>
  <c r="AW7" i="131"/>
  <c r="CC11" i="131"/>
  <c r="AW8" i="131"/>
  <c r="BE6" i="131"/>
  <c r="BE8" i="131"/>
  <c r="BM6" i="131"/>
  <c r="BU7" i="131"/>
  <c r="CC7" i="131"/>
  <c r="CC9" i="131"/>
  <c r="CC6" i="131"/>
  <c r="Y7" i="131"/>
  <c r="AG12" i="131"/>
  <c r="AW12" i="131"/>
  <c r="BE7" i="131"/>
  <c r="BM7" i="131"/>
  <c r="BU8" i="131"/>
  <c r="CC8" i="131"/>
  <c r="CC10" i="131"/>
  <c r="DF13" i="131"/>
  <c r="Y8" i="131"/>
  <c r="AO7" i="131"/>
  <c r="AB16" i="131"/>
  <c r="AD16" i="131" s="1"/>
  <c r="AZ16" i="131"/>
  <c r="BB16" i="131" s="1"/>
  <c r="BP16" i="131"/>
  <c r="BR16" i="131" s="1"/>
  <c r="Y12" i="131"/>
  <c r="AO8" i="131"/>
  <c r="BE13" i="131"/>
  <c r="BB8" i="131"/>
  <c r="BM13" i="131"/>
  <c r="BM8" i="131"/>
  <c r="BU9" i="131"/>
  <c r="P16" i="131"/>
  <c r="Y6" i="131"/>
  <c r="AO6" i="131"/>
  <c r="L16" i="131"/>
  <c r="N16" i="131" s="1"/>
  <c r="Q6" i="131"/>
  <c r="Q7" i="131"/>
  <c r="I6" i="131"/>
  <c r="Q8" i="131"/>
  <c r="Q12" i="131"/>
  <c r="I7" i="131"/>
  <c r="D16" i="131"/>
  <c r="F16" i="131" s="1"/>
  <c r="H16" i="131"/>
  <c r="I8" i="131"/>
  <c r="I12" i="131"/>
  <c r="CX29" i="131" l="1"/>
  <c r="CX19" i="131"/>
  <c r="DH56" i="131"/>
  <c r="CR29" i="131"/>
  <c r="CR56" i="131"/>
  <c r="CZ29" i="131"/>
  <c r="CZ56" i="131"/>
  <c r="CN29" i="131"/>
  <c r="CN56" i="131"/>
  <c r="DD29" i="131"/>
  <c r="CJ29" i="131"/>
  <c r="CJ56" i="131"/>
  <c r="CH16" i="131"/>
  <c r="CH29" i="131" s="1"/>
  <c r="CF29" i="131"/>
  <c r="CF56" i="131"/>
  <c r="DF16" i="131"/>
  <c r="DH29" i="131"/>
  <c r="CV29" i="131"/>
  <c r="CV56" i="131"/>
  <c r="CX24" i="131"/>
  <c r="CP26" i="131"/>
  <c r="BU69" i="131"/>
  <c r="AW69" i="131"/>
  <c r="AT69" i="131"/>
  <c r="AB68" i="126"/>
  <c r="AC62" i="126"/>
  <c r="AE58" i="126"/>
  <c r="AD60" i="126"/>
  <c r="AC50" i="126"/>
  <c r="AC56" i="126" s="1"/>
  <c r="AD51" i="126"/>
  <c r="AC65" i="126"/>
  <c r="AE55" i="126"/>
  <c r="AF55" i="126" s="1"/>
  <c r="AD53" i="126"/>
  <c r="AD72" i="126"/>
  <c r="BM16" i="131"/>
  <c r="DF19" i="131"/>
  <c r="CX26" i="131"/>
  <c r="DF26" i="131"/>
  <c r="BE56" i="131"/>
  <c r="CP23" i="131"/>
  <c r="CP19" i="131"/>
  <c r="CX23" i="131"/>
  <c r="DF24" i="131"/>
  <c r="CP24" i="131"/>
  <c r="DF23" i="131"/>
  <c r="BR69" i="131"/>
  <c r="BB56" i="131"/>
  <c r="CC69" i="131"/>
  <c r="AO29" i="131"/>
  <c r="CC29" i="131"/>
  <c r="I69" i="131"/>
  <c r="I56" i="131"/>
  <c r="BU56" i="131"/>
  <c r="Y29" i="131"/>
  <c r="AG69" i="131"/>
  <c r="AG56" i="131"/>
  <c r="V69" i="131"/>
  <c r="BM69" i="131"/>
  <c r="Q29" i="131"/>
  <c r="AO69" i="131"/>
  <c r="BM29" i="131"/>
  <c r="CC56" i="131"/>
  <c r="BE69" i="131"/>
  <c r="BE29" i="131"/>
  <c r="BU29" i="131"/>
  <c r="Q56" i="131"/>
  <c r="BM56" i="131"/>
  <c r="AW29" i="131"/>
  <c r="CC16" i="131"/>
  <c r="AO56" i="131"/>
  <c r="AW16" i="131"/>
  <c r="AW56" i="131"/>
  <c r="Y56" i="131"/>
  <c r="I29" i="131"/>
  <c r="Q69" i="131"/>
  <c r="Q16" i="131"/>
  <c r="AO16" i="131"/>
  <c r="BE16" i="131"/>
  <c r="Y16" i="131"/>
  <c r="BU16" i="131"/>
  <c r="AG16" i="131"/>
  <c r="I16" i="131"/>
  <c r="DF29" i="131" l="1"/>
  <c r="CP29" i="131"/>
  <c r="DL13" i="131"/>
  <c r="DK26" i="131"/>
  <c r="AE60" i="126"/>
  <c r="AF58" i="126"/>
  <c r="AF60" i="126" s="1"/>
  <c r="AF53" i="126"/>
  <c r="AF72" i="126"/>
  <c r="AE65" i="126"/>
  <c r="AD65" i="126"/>
  <c r="AD62" i="126"/>
  <c r="AE62" i="126"/>
  <c r="AE51" i="126"/>
  <c r="AD50" i="126"/>
  <c r="AD56" i="126" s="1"/>
  <c r="AE53" i="126"/>
  <c r="AE72" i="126"/>
  <c r="AC68" i="126"/>
  <c r="BB4" i="130"/>
  <c r="BF4" i="130" s="1"/>
  <c r="BJ4" i="130" s="1"/>
  <c r="BN4" i="130" s="1"/>
  <c r="BR4" i="130" s="1"/>
  <c r="BV4" i="130" s="1"/>
  <c r="BZ4" i="130" s="1"/>
  <c r="CD4" i="130" s="1"/>
  <c r="CH4" i="130" s="1"/>
  <c r="CL4" i="130" s="1"/>
  <c r="CP4" i="130" s="1"/>
  <c r="CT4" i="130" s="1"/>
  <c r="CX4" i="130" s="1"/>
  <c r="DB4" i="130" s="1"/>
  <c r="BA4" i="130"/>
  <c r="BE4" i="130" s="1"/>
  <c r="BI4" i="130" s="1"/>
  <c r="BM4" i="130" s="1"/>
  <c r="BQ4" i="130" s="1"/>
  <c r="BU4" i="130" s="1"/>
  <c r="BY4" i="130" s="1"/>
  <c r="CC4" i="130" s="1"/>
  <c r="CG4" i="130" s="1"/>
  <c r="CK4" i="130" s="1"/>
  <c r="CO4" i="130" s="1"/>
  <c r="CS4" i="130" s="1"/>
  <c r="CW4" i="130" s="1"/>
  <c r="DA4" i="130" s="1"/>
  <c r="AZ4" i="130"/>
  <c r="BD4" i="130" s="1"/>
  <c r="BH4" i="130" s="1"/>
  <c r="BL4" i="130" s="1"/>
  <c r="BP4" i="130" s="1"/>
  <c r="BT4" i="130" s="1"/>
  <c r="BX4" i="130" s="1"/>
  <c r="CB4" i="130" s="1"/>
  <c r="CF4" i="130" s="1"/>
  <c r="CJ4" i="130" s="1"/>
  <c r="CN4" i="130" s="1"/>
  <c r="CR4" i="130" s="1"/>
  <c r="CV4" i="130" s="1"/>
  <c r="CZ4" i="130" s="1"/>
  <c r="AY4" i="130"/>
  <c r="BC4" i="130" s="1"/>
  <c r="BG4" i="130" s="1"/>
  <c r="BK4" i="130" s="1"/>
  <c r="BO4" i="130" s="1"/>
  <c r="BS4" i="130" s="1"/>
  <c r="BW4" i="130" s="1"/>
  <c r="CA4" i="130" s="1"/>
  <c r="CE4" i="130" s="1"/>
  <c r="CI4" i="130" s="1"/>
  <c r="CM4" i="130" s="1"/>
  <c r="CQ4" i="130" s="1"/>
  <c r="CU4" i="130" s="1"/>
  <c r="CY4" i="130" s="1"/>
  <c r="BF4" i="131"/>
  <c r="AX4" i="131"/>
  <c r="AP4" i="131"/>
  <c r="AH4" i="131"/>
  <c r="AG4" i="131"/>
  <c r="AF4" i="131"/>
  <c r="AE4" i="131"/>
  <c r="AD4" i="131"/>
  <c r="AC4" i="131"/>
  <c r="AB4" i="131"/>
  <c r="AA4" i="131"/>
  <c r="Z4" i="131"/>
  <c r="Y4" i="131"/>
  <c r="X4" i="131"/>
  <c r="W4" i="131"/>
  <c r="V4" i="131"/>
  <c r="U4" i="131"/>
  <c r="T4" i="131"/>
  <c r="S4" i="131"/>
  <c r="R4" i="131"/>
  <c r="Q4" i="131"/>
  <c r="P4" i="131"/>
  <c r="O4" i="131"/>
  <c r="N4" i="131"/>
  <c r="M4" i="131"/>
  <c r="L4" i="131"/>
  <c r="K4" i="131"/>
  <c r="J4" i="131"/>
  <c r="I4" i="131"/>
  <c r="H4" i="131"/>
  <c r="G4" i="131"/>
  <c r="F4" i="131"/>
  <c r="E4" i="131"/>
  <c r="D4" i="131"/>
  <c r="C4" i="131"/>
  <c r="B4" i="131"/>
  <c r="CC2" i="131"/>
  <c r="CK2" i="131" s="1"/>
  <c r="CS2" i="131" s="1"/>
  <c r="DA2" i="131" s="1"/>
  <c r="DI2" i="131" s="1"/>
  <c r="DQ2" i="131" s="1"/>
  <c r="DY2" i="131" s="1"/>
  <c r="EG2" i="131" s="1"/>
  <c r="CB2" i="131"/>
  <c r="CJ2" i="131" s="1"/>
  <c r="CR2" i="131" s="1"/>
  <c r="CZ2" i="131" s="1"/>
  <c r="DH2" i="131" s="1"/>
  <c r="DP2" i="131" s="1"/>
  <c r="DX2" i="131" s="1"/>
  <c r="EF2" i="131" s="1"/>
  <c r="CA2" i="131"/>
  <c r="CI2" i="131" s="1"/>
  <c r="CQ2" i="131" s="1"/>
  <c r="CY2" i="131" s="1"/>
  <c r="DG2" i="131" s="1"/>
  <c r="DO2" i="131" s="1"/>
  <c r="DW2" i="131" s="1"/>
  <c r="EE2" i="131" s="1"/>
  <c r="BZ2" i="131"/>
  <c r="CH2" i="131" s="1"/>
  <c r="CP2" i="131" s="1"/>
  <c r="CX2" i="131" s="1"/>
  <c r="DF2" i="131" s="1"/>
  <c r="DN2" i="131" s="1"/>
  <c r="DV2" i="131" s="1"/>
  <c r="ED2" i="131" s="1"/>
  <c r="BY2" i="131"/>
  <c r="CG2" i="131" s="1"/>
  <c r="CO2" i="131" s="1"/>
  <c r="CW2" i="131" s="1"/>
  <c r="DE2" i="131" s="1"/>
  <c r="DM2" i="131" s="1"/>
  <c r="DU2" i="131" s="1"/>
  <c r="EC2" i="131" s="1"/>
  <c r="BX2" i="131"/>
  <c r="CF2" i="131" s="1"/>
  <c r="CN2" i="131" s="1"/>
  <c r="CV2" i="131" s="1"/>
  <c r="DD2" i="131" s="1"/>
  <c r="DL2" i="131" s="1"/>
  <c r="DT2" i="131" s="1"/>
  <c r="EB2" i="131" s="1"/>
  <c r="BW2" i="131"/>
  <c r="CE2" i="131" s="1"/>
  <c r="CM2" i="131" s="1"/>
  <c r="CU2" i="131" s="1"/>
  <c r="DC2" i="131" s="1"/>
  <c r="DK2" i="131" s="1"/>
  <c r="DS2" i="131" s="1"/>
  <c r="EA2" i="131" s="1"/>
  <c r="BV2" i="131"/>
  <c r="CD2" i="131" s="1"/>
  <c r="CL2" i="131" s="1"/>
  <c r="CT2" i="131" s="1"/>
  <c r="DB2" i="131" s="1"/>
  <c r="DJ2" i="131" s="1"/>
  <c r="DR2" i="131" s="1"/>
  <c r="DZ2" i="131" s="1"/>
  <c r="BN1" i="131"/>
  <c r="BV1" i="131" s="1"/>
  <c r="CD1" i="131" s="1"/>
  <c r="CL1" i="131" s="1"/>
  <c r="CT1" i="131" s="1"/>
  <c r="DB1" i="131" s="1"/>
  <c r="DJ1" i="131" s="1"/>
  <c r="DR1" i="131" s="1"/>
  <c r="DZ1" i="131" s="1"/>
  <c r="BG1" i="131"/>
  <c r="BH1" i="131" s="1"/>
  <c r="BH4" i="131" s="1"/>
  <c r="AY1" i="131"/>
  <c r="AQ1" i="131"/>
  <c r="AR1" i="131" s="1"/>
  <c r="AI1" i="131"/>
  <c r="AJ1" i="131" s="1"/>
  <c r="AK1" i="131" s="1"/>
  <c r="AL1" i="131" s="1"/>
  <c r="AM1" i="131" s="1"/>
  <c r="AN1" i="131" s="1"/>
  <c r="AO1" i="131" s="1"/>
  <c r="AO4" i="131" s="1"/>
  <c r="DL26" i="131" l="1"/>
  <c r="AE50" i="126"/>
  <c r="AE56" i="126" s="1"/>
  <c r="AF51" i="126"/>
  <c r="AF50" i="126" s="1"/>
  <c r="AF56" i="126" s="1"/>
  <c r="AE68" i="126"/>
  <c r="AD68" i="126"/>
  <c r="DZ4" i="131"/>
  <c r="AK4" i="131"/>
  <c r="AL4" i="131"/>
  <c r="BV4" i="131"/>
  <c r="AM4" i="131"/>
  <c r="CT4" i="131"/>
  <c r="DR4" i="131"/>
  <c r="AQ4" i="131"/>
  <c r="AS1" i="131"/>
  <c r="AR4" i="131"/>
  <c r="AZ1" i="131"/>
  <c r="AY4" i="131"/>
  <c r="AN4" i="131"/>
  <c r="CD4" i="131"/>
  <c r="DB4" i="131"/>
  <c r="AI4" i="131"/>
  <c r="BG4" i="131"/>
  <c r="AJ4" i="131"/>
  <c r="BN4" i="131"/>
  <c r="CL4" i="131"/>
  <c r="DJ4" i="131"/>
  <c r="BI1" i="131"/>
  <c r="BI4" i="131" s="1"/>
  <c r="BP1" i="131"/>
  <c r="BO1" i="131"/>
  <c r="BX1" i="131" l="1"/>
  <c r="BP4" i="131"/>
  <c r="BA1" i="131"/>
  <c r="AZ4" i="131"/>
  <c r="AT1" i="131"/>
  <c r="AS4" i="131"/>
  <c r="BW1" i="131"/>
  <c r="BO4" i="131"/>
  <c r="BQ1" i="131"/>
  <c r="BJ1" i="131"/>
  <c r="BJ4" i="131" s="1"/>
  <c r="AU1" i="131" l="1"/>
  <c r="AT4" i="131"/>
  <c r="BY1" i="131"/>
  <c r="BQ4" i="131"/>
  <c r="BB1" i="131"/>
  <c r="BA4" i="131"/>
  <c r="CE1" i="131"/>
  <c r="BW4" i="131"/>
  <c r="CF1" i="131"/>
  <c r="BX4" i="131"/>
  <c r="BK1" i="131"/>
  <c r="BK4" i="131" s="1"/>
  <c r="BR1" i="131"/>
  <c r="CN1" i="131" l="1"/>
  <c r="CF4" i="131"/>
  <c r="CG1" i="131"/>
  <c r="BY4" i="131"/>
  <c r="CM1" i="131"/>
  <c r="CE4" i="131"/>
  <c r="AV1" i="131"/>
  <c r="AU4" i="131"/>
  <c r="BZ1" i="131"/>
  <c r="BR4" i="131"/>
  <c r="BC1" i="131"/>
  <c r="BB4" i="131"/>
  <c r="BS1" i="131"/>
  <c r="BL1" i="131"/>
  <c r="BL4" i="131" s="1"/>
  <c r="BD1" i="131" l="1"/>
  <c r="BC4" i="131"/>
  <c r="CU1" i="131"/>
  <c r="CM4" i="131"/>
  <c r="CH1" i="131"/>
  <c r="BZ4" i="131"/>
  <c r="CO1" i="131"/>
  <c r="CG4" i="131"/>
  <c r="CA1" i="131"/>
  <c r="BS4" i="131"/>
  <c r="AW1" i="131"/>
  <c r="AW4" i="131" s="1"/>
  <c r="AV4" i="131"/>
  <c r="CV1" i="131"/>
  <c r="CN4" i="131"/>
  <c r="BT1" i="131"/>
  <c r="BM1" i="131"/>
  <c r="BU1" i="131" l="1"/>
  <c r="BM4" i="131"/>
  <c r="CB1" i="131"/>
  <c r="BT4" i="131"/>
  <c r="CI1" i="131"/>
  <c r="CA4" i="131"/>
  <c r="DC1" i="131"/>
  <c r="CU4" i="131"/>
  <c r="DD1" i="131"/>
  <c r="CV4" i="131"/>
  <c r="CW1" i="131"/>
  <c r="CO4" i="131"/>
  <c r="BE1" i="131"/>
  <c r="BE4" i="131" s="1"/>
  <c r="BD4" i="131"/>
  <c r="CP1" i="131"/>
  <c r="CH4" i="131"/>
  <c r="AA38" i="122"/>
  <c r="B10" i="128" l="1"/>
  <c r="AB38" i="122"/>
  <c r="DE1" i="131"/>
  <c r="CW4" i="131"/>
  <c r="CQ1" i="131"/>
  <c r="CI4" i="131"/>
  <c r="CX1" i="131"/>
  <c r="CP4" i="131"/>
  <c r="DL1" i="131"/>
  <c r="DD4" i="131"/>
  <c r="CJ1" i="131"/>
  <c r="CB4" i="131"/>
  <c r="DK1" i="131"/>
  <c r="DC4" i="131"/>
  <c r="CC1" i="131"/>
  <c r="BU4" i="131"/>
  <c r="AC38" i="122" l="1"/>
  <c r="CR1" i="131"/>
  <c r="CJ4" i="131"/>
  <c r="CY1" i="131"/>
  <c r="CQ4" i="131"/>
  <c r="CK1" i="131"/>
  <c r="CC4" i="131"/>
  <c r="DT1" i="131"/>
  <c r="DL4" i="131"/>
  <c r="DM1" i="131"/>
  <c r="DE4" i="131"/>
  <c r="DS1" i="131"/>
  <c r="DK4" i="131"/>
  <c r="DF1" i="131"/>
  <c r="CX4" i="131"/>
  <c r="CK40" i="131" l="1"/>
  <c r="CK13" i="131"/>
  <c r="CK26" i="131" s="1"/>
  <c r="AD38" i="122"/>
  <c r="EA1" i="131"/>
  <c r="EA4" i="131" s="1"/>
  <c r="DS4" i="131"/>
  <c r="CS1" i="131"/>
  <c r="CK4" i="131"/>
  <c r="DU1" i="131"/>
  <c r="DM4" i="131"/>
  <c r="DG1" i="131"/>
  <c r="CY4" i="131"/>
  <c r="DN1" i="131"/>
  <c r="DF4" i="131"/>
  <c r="EB1" i="131"/>
  <c r="EB4" i="131" s="1"/>
  <c r="DT4" i="131"/>
  <c r="CZ1" i="131"/>
  <c r="CR4" i="131"/>
  <c r="CS13" i="131" l="1"/>
  <c r="CS26" i="131" s="1"/>
  <c r="CS40" i="131"/>
  <c r="CS66" i="131" s="1"/>
  <c r="AE38" i="122"/>
  <c r="DV1" i="131"/>
  <c r="DN4" i="131"/>
  <c r="DA1" i="131"/>
  <c r="CS4" i="131"/>
  <c r="DH1" i="131"/>
  <c r="CZ4" i="131"/>
  <c r="DO1" i="131"/>
  <c r="DG4" i="131"/>
  <c r="EC1" i="131"/>
  <c r="EC4" i="131" s="1"/>
  <c r="DU4" i="131"/>
  <c r="DA40" i="131" l="1"/>
  <c r="DA66" i="131" s="1"/>
  <c r="DA13" i="131"/>
  <c r="DA26" i="131" s="1"/>
  <c r="AF38" i="122"/>
  <c r="DP1" i="131"/>
  <c r="DH4" i="131"/>
  <c r="DI1" i="131"/>
  <c r="DA4" i="131"/>
  <c r="DW1" i="131"/>
  <c r="DO4" i="131"/>
  <c r="ED1" i="131"/>
  <c r="ED4" i="131" s="1"/>
  <c r="DV4" i="131"/>
  <c r="DI13" i="131" l="1"/>
  <c r="DI40" i="131"/>
  <c r="DI66" i="131" s="1"/>
  <c r="DQ1" i="131"/>
  <c r="DI4" i="131"/>
  <c r="DX1" i="131"/>
  <c r="DP4" i="131"/>
  <c r="EE1" i="131"/>
  <c r="EE4" i="131" s="1"/>
  <c r="DW4" i="131"/>
  <c r="DQ13" i="131" l="1"/>
  <c r="DM13" i="131" s="1"/>
  <c r="DI26" i="131"/>
  <c r="EF1" i="131"/>
  <c r="EF4" i="131" s="1"/>
  <c r="DX4" i="131"/>
  <c r="DY1" i="131"/>
  <c r="DQ4" i="131"/>
  <c r="O66" i="130"/>
  <c r="N66" i="130"/>
  <c r="M66" i="130"/>
  <c r="L66" i="130"/>
  <c r="K66" i="130"/>
  <c r="J66" i="130"/>
  <c r="I66" i="130"/>
  <c r="H66" i="130"/>
  <c r="G66" i="130"/>
  <c r="F66" i="130"/>
  <c r="AD65" i="130"/>
  <c r="AB65" i="130"/>
  <c r="Z65" i="130"/>
  <c r="Y65" i="130"/>
  <c r="X65" i="130"/>
  <c r="W65" i="130"/>
  <c r="V65" i="130"/>
  <c r="U65" i="130"/>
  <c r="T65" i="130"/>
  <c r="AD64" i="130"/>
  <c r="AB64" i="130"/>
  <c r="Z64" i="130"/>
  <c r="Y64" i="130"/>
  <c r="X64" i="130"/>
  <c r="W64" i="130"/>
  <c r="V64" i="130"/>
  <c r="U64" i="130"/>
  <c r="T64" i="130"/>
  <c r="S62" i="130"/>
  <c r="R62" i="130"/>
  <c r="Q62" i="130"/>
  <c r="P62" i="130"/>
  <c r="O62" i="130"/>
  <c r="N62" i="130"/>
  <c r="M62" i="130"/>
  <c r="L62" i="130"/>
  <c r="K62" i="130"/>
  <c r="J62" i="130"/>
  <c r="I62" i="130"/>
  <c r="H62" i="130"/>
  <c r="G62" i="130"/>
  <c r="F62" i="130"/>
  <c r="S61" i="130"/>
  <c r="R61" i="130"/>
  <c r="Q61" i="130"/>
  <c r="P61" i="130"/>
  <c r="O61" i="130"/>
  <c r="N61" i="130"/>
  <c r="M61" i="130"/>
  <c r="L61" i="130"/>
  <c r="K61" i="130"/>
  <c r="J61" i="130"/>
  <c r="I61" i="130"/>
  <c r="H61" i="130"/>
  <c r="G61" i="130"/>
  <c r="F61" i="130"/>
  <c r="AD60" i="130"/>
  <c r="AB60" i="130"/>
  <c r="Z60" i="130"/>
  <c r="Y60" i="130"/>
  <c r="X60" i="130"/>
  <c r="W60" i="130"/>
  <c r="V60" i="130"/>
  <c r="U60" i="130"/>
  <c r="T60" i="130"/>
  <c r="S60" i="130"/>
  <c r="R60" i="130"/>
  <c r="Q60" i="130"/>
  <c r="P60" i="130"/>
  <c r="O60" i="130"/>
  <c r="N60" i="130"/>
  <c r="M60" i="130"/>
  <c r="L60" i="130"/>
  <c r="K60" i="130"/>
  <c r="J60" i="130"/>
  <c r="I60" i="130"/>
  <c r="H60" i="130"/>
  <c r="G60" i="130"/>
  <c r="F60" i="130"/>
  <c r="N53" i="130"/>
  <c r="M53" i="130"/>
  <c r="L53" i="130"/>
  <c r="K53" i="130"/>
  <c r="J53" i="130"/>
  <c r="I53" i="130"/>
  <c r="H53" i="130"/>
  <c r="G53" i="130"/>
  <c r="F53" i="130"/>
  <c r="E53" i="130"/>
  <c r="D53" i="130"/>
  <c r="AD52" i="130"/>
  <c r="AB52" i="130"/>
  <c r="Z52" i="130"/>
  <c r="Y52" i="130"/>
  <c r="X52" i="130"/>
  <c r="W52" i="130"/>
  <c r="V52" i="130"/>
  <c r="U52" i="130"/>
  <c r="T52" i="130"/>
  <c r="S52" i="130"/>
  <c r="R52" i="130"/>
  <c r="AD51" i="130"/>
  <c r="AB51" i="130"/>
  <c r="Z51" i="130"/>
  <c r="Y51" i="130"/>
  <c r="X51" i="130"/>
  <c r="W51" i="130"/>
  <c r="V51" i="130"/>
  <c r="U51" i="130"/>
  <c r="T51" i="130"/>
  <c r="S51" i="130"/>
  <c r="R51" i="130"/>
  <c r="S50" i="130"/>
  <c r="R50" i="130"/>
  <c r="S49" i="130"/>
  <c r="R49" i="130"/>
  <c r="Q49" i="130"/>
  <c r="P49" i="130"/>
  <c r="O49" i="130"/>
  <c r="N49" i="130"/>
  <c r="M49" i="130"/>
  <c r="L49" i="130"/>
  <c r="K49" i="130"/>
  <c r="J49" i="130"/>
  <c r="I49" i="130"/>
  <c r="H49" i="130"/>
  <c r="G49" i="130"/>
  <c r="F49" i="130"/>
  <c r="E49" i="130"/>
  <c r="D49" i="130"/>
  <c r="S48" i="130"/>
  <c r="R48" i="130"/>
  <c r="Q48" i="130"/>
  <c r="P48" i="130"/>
  <c r="O48" i="130"/>
  <c r="N48" i="130"/>
  <c r="M48" i="130"/>
  <c r="L48" i="130"/>
  <c r="K48" i="130"/>
  <c r="J48" i="130"/>
  <c r="I48" i="130"/>
  <c r="H48" i="130"/>
  <c r="G48" i="130"/>
  <c r="F48" i="130"/>
  <c r="E48" i="130"/>
  <c r="D48" i="130"/>
  <c r="AD47" i="130"/>
  <c r="AB47" i="130"/>
  <c r="Z47" i="130"/>
  <c r="Y47" i="130"/>
  <c r="X47" i="130"/>
  <c r="W47" i="130"/>
  <c r="V47" i="130"/>
  <c r="U47" i="130"/>
  <c r="T47" i="130"/>
  <c r="S47" i="130"/>
  <c r="R47" i="130"/>
  <c r="Q47" i="130"/>
  <c r="P47" i="130"/>
  <c r="O47" i="130"/>
  <c r="N47" i="130"/>
  <c r="M47" i="130"/>
  <c r="L47" i="130"/>
  <c r="K47" i="130"/>
  <c r="J47" i="130"/>
  <c r="I47" i="130"/>
  <c r="H47" i="130"/>
  <c r="G47" i="130"/>
  <c r="F47" i="130"/>
  <c r="E47" i="130"/>
  <c r="D47" i="130"/>
  <c r="AD44" i="130"/>
  <c r="AB44" i="130"/>
  <c r="Z44" i="130"/>
  <c r="Y44" i="130"/>
  <c r="X44" i="130"/>
  <c r="W44" i="130"/>
  <c r="V44" i="130"/>
  <c r="U44" i="130"/>
  <c r="T44" i="130"/>
  <c r="S44" i="130"/>
  <c r="R44" i="130"/>
  <c r="Q44" i="130"/>
  <c r="P44" i="130"/>
  <c r="O44" i="130"/>
  <c r="N44" i="130"/>
  <c r="M44" i="130"/>
  <c r="L44" i="130"/>
  <c r="K44" i="130"/>
  <c r="J44" i="130"/>
  <c r="I44" i="130"/>
  <c r="H44" i="130"/>
  <c r="G44" i="130"/>
  <c r="F44" i="130"/>
  <c r="E44" i="130"/>
  <c r="D44" i="130"/>
  <c r="N25" i="130"/>
  <c r="M25" i="130"/>
  <c r="L25" i="130"/>
  <c r="K25" i="130"/>
  <c r="J25" i="130"/>
  <c r="I25" i="130"/>
  <c r="H25" i="130"/>
  <c r="G25" i="130"/>
  <c r="F25" i="130"/>
  <c r="CY24" i="130"/>
  <c r="CW24" i="130"/>
  <c r="CU24" i="130"/>
  <c r="CT24" i="130"/>
  <c r="CS24" i="130"/>
  <c r="CQ24" i="130"/>
  <c r="CP24" i="130"/>
  <c r="CO24" i="130"/>
  <c r="CM24" i="130"/>
  <c r="CL24" i="130"/>
  <c r="CK24" i="130"/>
  <c r="CJ24" i="130"/>
  <c r="CI24" i="130"/>
  <c r="CH24" i="130"/>
  <c r="CG24" i="130"/>
  <c r="CF24" i="130"/>
  <c r="CE24" i="130"/>
  <c r="CD24" i="130"/>
  <c r="CC24" i="130"/>
  <c r="CB24" i="130"/>
  <c r="AD24" i="130"/>
  <c r="AB24" i="130"/>
  <c r="Z24" i="130"/>
  <c r="Y24" i="130"/>
  <c r="X24" i="130"/>
  <c r="W24" i="130"/>
  <c r="V24" i="130"/>
  <c r="U24" i="130"/>
  <c r="T24" i="130"/>
  <c r="CY23" i="130"/>
  <c r="CW23" i="130"/>
  <c r="CU23" i="130"/>
  <c r="CT23" i="130"/>
  <c r="CS23" i="130"/>
  <c r="CQ23" i="130"/>
  <c r="CP23" i="130"/>
  <c r="CO23" i="130"/>
  <c r="CM23" i="130"/>
  <c r="CL23" i="130"/>
  <c r="CK23" i="130"/>
  <c r="CJ23" i="130"/>
  <c r="CI23" i="130"/>
  <c r="CH23" i="130"/>
  <c r="CG23" i="130"/>
  <c r="CF23" i="130"/>
  <c r="CE23" i="130"/>
  <c r="CD23" i="130"/>
  <c r="CC23" i="130"/>
  <c r="CB23" i="130"/>
  <c r="AD23" i="130"/>
  <c r="AB23" i="130"/>
  <c r="Z23" i="130"/>
  <c r="Y23" i="130"/>
  <c r="X23" i="130"/>
  <c r="W23" i="130"/>
  <c r="V23" i="130"/>
  <c r="U23" i="130"/>
  <c r="T23" i="130"/>
  <c r="Y22" i="130"/>
  <c r="X22" i="130"/>
  <c r="W22" i="130"/>
  <c r="V22" i="130"/>
  <c r="U22" i="130"/>
  <c r="T22" i="130"/>
  <c r="BZ21" i="130"/>
  <c r="BY21" i="130"/>
  <c r="BX21" i="130"/>
  <c r="BW21" i="130"/>
  <c r="BV21" i="130"/>
  <c r="BU21" i="130"/>
  <c r="BT21" i="130"/>
  <c r="BS21" i="130"/>
  <c r="BR21" i="130"/>
  <c r="BQ21" i="130"/>
  <c r="BP21" i="130"/>
  <c r="BO21" i="130"/>
  <c r="BN21" i="130"/>
  <c r="BM21" i="130"/>
  <c r="BL21" i="130"/>
  <c r="BK21" i="130"/>
  <c r="BJ21" i="130"/>
  <c r="BI21" i="130"/>
  <c r="BH21" i="130"/>
  <c r="BG21" i="130"/>
  <c r="BF21" i="130"/>
  <c r="BE21" i="130"/>
  <c r="BD21" i="130"/>
  <c r="BC21" i="130"/>
  <c r="BB21" i="130"/>
  <c r="BA21" i="130"/>
  <c r="AZ21" i="130"/>
  <c r="AY21" i="130"/>
  <c r="Y21" i="130"/>
  <c r="X21" i="130"/>
  <c r="W21" i="130"/>
  <c r="V21" i="130"/>
  <c r="U21" i="130"/>
  <c r="T21" i="130"/>
  <c r="S21" i="130"/>
  <c r="R21" i="130"/>
  <c r="Q21" i="130"/>
  <c r="P21" i="130"/>
  <c r="O21" i="130"/>
  <c r="N21" i="130"/>
  <c r="M21" i="130"/>
  <c r="L21" i="130"/>
  <c r="K21" i="130"/>
  <c r="J21" i="130"/>
  <c r="I21" i="130"/>
  <c r="H21" i="130"/>
  <c r="G21" i="130"/>
  <c r="F21" i="130"/>
  <c r="BZ20" i="130"/>
  <c r="BY20" i="130"/>
  <c r="BX20" i="130"/>
  <c r="BW20" i="130"/>
  <c r="BV20" i="130"/>
  <c r="BU20" i="130"/>
  <c r="BT20" i="130"/>
  <c r="BS20" i="130"/>
  <c r="BR20" i="130"/>
  <c r="BQ20" i="130"/>
  <c r="BP20" i="130"/>
  <c r="BO20" i="130"/>
  <c r="BN20" i="130"/>
  <c r="BM20" i="130"/>
  <c r="BL20" i="130"/>
  <c r="BK20" i="130"/>
  <c r="BJ20" i="130"/>
  <c r="BI20" i="130"/>
  <c r="BH20" i="130"/>
  <c r="BG20" i="130"/>
  <c r="BF20" i="130"/>
  <c r="BE20" i="130"/>
  <c r="BD20" i="130"/>
  <c r="BC20" i="130"/>
  <c r="BB20" i="130"/>
  <c r="BA20" i="130"/>
  <c r="AZ20" i="130"/>
  <c r="AY20" i="130"/>
  <c r="Y20" i="130"/>
  <c r="X20" i="130"/>
  <c r="W20" i="130"/>
  <c r="V20" i="130"/>
  <c r="U20" i="130"/>
  <c r="T20" i="130"/>
  <c r="S20" i="130"/>
  <c r="R20" i="130"/>
  <c r="Q20" i="130"/>
  <c r="P20" i="130"/>
  <c r="O20" i="130"/>
  <c r="N20" i="130"/>
  <c r="M20" i="130"/>
  <c r="L20" i="130"/>
  <c r="K20" i="130"/>
  <c r="J20" i="130"/>
  <c r="I20" i="130"/>
  <c r="H20" i="130"/>
  <c r="G20" i="130"/>
  <c r="F20" i="130"/>
  <c r="CY19" i="130"/>
  <c r="CW19" i="130"/>
  <c r="CU19" i="130"/>
  <c r="CS19" i="130"/>
  <c r="CQ19" i="130"/>
  <c r="CO19" i="130"/>
  <c r="CM19" i="130"/>
  <c r="CL19" i="130"/>
  <c r="CK19" i="130"/>
  <c r="CJ19" i="130"/>
  <c r="CI19" i="130"/>
  <c r="CH19" i="130"/>
  <c r="CG19" i="130"/>
  <c r="CF19" i="130"/>
  <c r="CE19" i="130"/>
  <c r="CD19" i="130"/>
  <c r="CC19" i="130"/>
  <c r="CB19" i="130"/>
  <c r="CA19" i="130"/>
  <c r="BZ19" i="130"/>
  <c r="BY19" i="130"/>
  <c r="BX19" i="130"/>
  <c r="BW19" i="130"/>
  <c r="BV19" i="130"/>
  <c r="BU19" i="130"/>
  <c r="BT19" i="130"/>
  <c r="BS19" i="130"/>
  <c r="BR19" i="130"/>
  <c r="BQ19" i="130"/>
  <c r="BP19" i="130"/>
  <c r="BO19" i="130"/>
  <c r="BN19" i="130"/>
  <c r="BM19" i="130"/>
  <c r="BL19" i="130"/>
  <c r="BK19" i="130"/>
  <c r="BJ19" i="130"/>
  <c r="BI19" i="130"/>
  <c r="BH19" i="130"/>
  <c r="BG19" i="130"/>
  <c r="BF19" i="130"/>
  <c r="BE19" i="130"/>
  <c r="BD19" i="130"/>
  <c r="BC19" i="130"/>
  <c r="BB19" i="130"/>
  <c r="BA19" i="130"/>
  <c r="AZ19" i="130"/>
  <c r="AY19" i="130"/>
  <c r="AD19" i="130"/>
  <c r="AB19" i="130"/>
  <c r="Z19" i="130"/>
  <c r="Y19" i="130"/>
  <c r="X19" i="130"/>
  <c r="W19" i="130"/>
  <c r="V19" i="130"/>
  <c r="U19" i="130"/>
  <c r="T19" i="130"/>
  <c r="S19" i="130"/>
  <c r="R19" i="130"/>
  <c r="Q19" i="130"/>
  <c r="P19" i="130"/>
  <c r="O19" i="130"/>
  <c r="N19" i="130"/>
  <c r="M19" i="130"/>
  <c r="L19" i="130"/>
  <c r="K19" i="130"/>
  <c r="J19" i="130"/>
  <c r="I19" i="130"/>
  <c r="H19" i="130"/>
  <c r="G19" i="130"/>
  <c r="F19" i="130"/>
  <c r="CY16" i="130"/>
  <c r="CW16" i="130"/>
  <c r="CU16" i="130"/>
  <c r="CS16" i="130"/>
  <c r="CQ16" i="130"/>
  <c r="CO16" i="130"/>
  <c r="CM16" i="130"/>
  <c r="CL16" i="130"/>
  <c r="CK16" i="130"/>
  <c r="CJ16" i="130"/>
  <c r="CI16" i="130"/>
  <c r="CH16" i="130"/>
  <c r="CG16" i="130"/>
  <c r="CF16" i="130"/>
  <c r="CE16" i="130"/>
  <c r="CD16" i="130"/>
  <c r="CC16" i="130"/>
  <c r="CB16" i="130"/>
  <c r="CA16" i="130"/>
  <c r="BZ16" i="130"/>
  <c r="BY16" i="130"/>
  <c r="BX16" i="130"/>
  <c r="BW16" i="130"/>
  <c r="BV16" i="130"/>
  <c r="BU16" i="130"/>
  <c r="BT16" i="130"/>
  <c r="BS16" i="130"/>
  <c r="BQ16" i="130"/>
  <c r="BP16" i="130"/>
  <c r="BO16" i="130"/>
  <c r="BN16" i="130"/>
  <c r="BM16" i="130"/>
  <c r="BL16" i="130"/>
  <c r="BK16" i="130"/>
  <c r="BJ16" i="130"/>
  <c r="BI16" i="130"/>
  <c r="BH16" i="130"/>
  <c r="BG16" i="130"/>
  <c r="BF16" i="130"/>
  <c r="BE16" i="130"/>
  <c r="BD16" i="130"/>
  <c r="BC16" i="130"/>
  <c r="BB16" i="130"/>
  <c r="BA16" i="130"/>
  <c r="AZ16" i="130"/>
  <c r="AY16" i="130"/>
  <c r="AX16" i="130"/>
  <c r="AW16" i="130"/>
  <c r="AV16" i="130"/>
  <c r="AU16" i="130"/>
  <c r="AD16" i="130"/>
  <c r="AB16" i="130"/>
  <c r="Z16" i="130"/>
  <c r="Y16" i="130"/>
  <c r="X16" i="130"/>
  <c r="W16" i="130"/>
  <c r="V16" i="130"/>
  <c r="U16" i="130"/>
  <c r="T16" i="130"/>
  <c r="S16" i="130"/>
  <c r="R16" i="130"/>
  <c r="Q16" i="130"/>
  <c r="P16" i="130"/>
  <c r="N16" i="130"/>
  <c r="M16" i="130"/>
  <c r="L16" i="130"/>
  <c r="K16" i="130"/>
  <c r="J16" i="130"/>
  <c r="I16" i="130"/>
  <c r="H16" i="130"/>
  <c r="G16" i="130"/>
  <c r="F16" i="130"/>
  <c r="E16" i="130"/>
  <c r="D16" i="130"/>
  <c r="CX13" i="130"/>
  <c r="M17" i="129"/>
  <c r="L17" i="129"/>
  <c r="K17" i="129"/>
  <c r="J17" i="129"/>
  <c r="I17" i="129"/>
  <c r="D14" i="129"/>
  <c r="E14" i="129" s="1"/>
  <c r="D13" i="129"/>
  <c r="E13" i="129" s="1"/>
  <c r="F13" i="129" s="1"/>
  <c r="G13" i="129" s="1"/>
  <c r="H13" i="129" s="1"/>
  <c r="I13" i="129" s="1"/>
  <c r="J13" i="129" s="1"/>
  <c r="K13" i="129" s="1"/>
  <c r="L13" i="129" s="1"/>
  <c r="M13" i="129" s="1"/>
  <c r="C12" i="129"/>
  <c r="C24" i="129" s="1"/>
  <c r="B14" i="129"/>
  <c r="C1" i="128"/>
  <c r="C9" i="128" s="1"/>
  <c r="D41" i="133" s="1"/>
  <c r="DM26" i="131" l="1"/>
  <c r="DN13" i="131"/>
  <c r="DO13" i="131" s="1"/>
  <c r="DQ26" i="131"/>
  <c r="C10" i="128"/>
  <c r="C6" i="133" s="1"/>
  <c r="D26" i="133" s="1"/>
  <c r="D42" i="133" s="1"/>
  <c r="O3" i="116"/>
  <c r="D1" i="128"/>
  <c r="D9" i="128" s="1"/>
  <c r="C30" i="129"/>
  <c r="EG1" i="131"/>
  <c r="EG4" i="131" s="1"/>
  <c r="DY4" i="131"/>
  <c r="D57" i="130"/>
  <c r="U29" i="130"/>
  <c r="CS29" i="130"/>
  <c r="S29" i="130"/>
  <c r="E57" i="130"/>
  <c r="BB29" i="130"/>
  <c r="BH29" i="130"/>
  <c r="BN29" i="130"/>
  <c r="CA29" i="130"/>
  <c r="CG29" i="130"/>
  <c r="CM29" i="130"/>
  <c r="T70" i="130"/>
  <c r="BU29" i="130"/>
  <c r="H70" i="130"/>
  <c r="N70" i="130"/>
  <c r="Z70" i="130"/>
  <c r="I29" i="130"/>
  <c r="BS29" i="130"/>
  <c r="J70" i="130"/>
  <c r="P70" i="130"/>
  <c r="V70" i="130"/>
  <c r="AD70" i="130"/>
  <c r="BA29" i="130"/>
  <c r="BG29" i="130"/>
  <c r="BM29" i="130"/>
  <c r="BT29" i="130"/>
  <c r="BZ29" i="130"/>
  <c r="CF29" i="130"/>
  <c r="CL29" i="130"/>
  <c r="CW29" i="130"/>
  <c r="K70" i="130"/>
  <c r="Q70" i="130"/>
  <c r="W70" i="130"/>
  <c r="F29" i="130"/>
  <c r="L29" i="130"/>
  <c r="BC29" i="130"/>
  <c r="BI29" i="130"/>
  <c r="BO29" i="130"/>
  <c r="F70" i="130"/>
  <c r="L70" i="130"/>
  <c r="R70" i="130"/>
  <c r="X70" i="130"/>
  <c r="T29" i="130"/>
  <c r="F57" i="130"/>
  <c r="BX29" i="130"/>
  <c r="CD29" i="130"/>
  <c r="CJ29" i="130"/>
  <c r="AZ29" i="130"/>
  <c r="BF29" i="130"/>
  <c r="BL29" i="130"/>
  <c r="BY29" i="130"/>
  <c r="CE29" i="130"/>
  <c r="CK29" i="130"/>
  <c r="CU29" i="130"/>
  <c r="I57" i="130"/>
  <c r="U57" i="130"/>
  <c r="AB70" i="130"/>
  <c r="P57" i="130"/>
  <c r="P29" i="130"/>
  <c r="V57" i="130"/>
  <c r="V29" i="130"/>
  <c r="J57" i="130"/>
  <c r="J29" i="130"/>
  <c r="Q57" i="130"/>
  <c r="W57" i="130"/>
  <c r="W29" i="130"/>
  <c r="AD29" i="130"/>
  <c r="BD29" i="130"/>
  <c r="BJ29" i="130"/>
  <c r="BP29" i="130"/>
  <c r="CB29" i="130"/>
  <c r="CH29" i="130"/>
  <c r="CO29" i="130"/>
  <c r="Y29" i="130"/>
  <c r="G70" i="130"/>
  <c r="I70" i="130"/>
  <c r="G57" i="130"/>
  <c r="M70" i="130"/>
  <c r="O70" i="130"/>
  <c r="M57" i="130"/>
  <c r="S70" i="130"/>
  <c r="U70" i="130"/>
  <c r="S57" i="130"/>
  <c r="Y70" i="130"/>
  <c r="Y57" i="130"/>
  <c r="L57" i="130"/>
  <c r="K57" i="130"/>
  <c r="K29" i="130"/>
  <c r="R29" i="130"/>
  <c r="X29" i="130"/>
  <c r="AY29" i="130"/>
  <c r="BE29" i="130"/>
  <c r="BK29" i="130"/>
  <c r="BQ29" i="130"/>
  <c r="BW29" i="130"/>
  <c r="CC29" i="130"/>
  <c r="CI29" i="130"/>
  <c r="CY29" i="130"/>
  <c r="H57" i="130"/>
  <c r="N57" i="130"/>
  <c r="T57" i="130"/>
  <c r="Z57" i="130"/>
  <c r="R57" i="130"/>
  <c r="X57" i="130"/>
  <c r="Z29" i="130"/>
  <c r="G29" i="130"/>
  <c r="AD57" i="130"/>
  <c r="H29" i="130"/>
  <c r="N29" i="130"/>
  <c r="AB57" i="130"/>
  <c r="AB29" i="130"/>
  <c r="M29" i="130"/>
  <c r="CQ29" i="130"/>
  <c r="D18" i="129"/>
  <c r="E18" i="129"/>
  <c r="F14" i="129"/>
  <c r="D12" i="129"/>
  <c r="DO26" i="131" l="1"/>
  <c r="DP13" i="131"/>
  <c r="DP26" i="131" s="1"/>
  <c r="DN26" i="131"/>
  <c r="D10" i="128"/>
  <c r="D6" i="133" s="1"/>
  <c r="E1" i="128"/>
  <c r="E9" i="128" s="1"/>
  <c r="E12" i="129"/>
  <c r="F18" i="129"/>
  <c r="G14" i="129"/>
  <c r="E10" i="128" l="1"/>
  <c r="F1" i="128"/>
  <c r="F9" i="128" s="1"/>
  <c r="F12" i="129"/>
  <c r="H14" i="129"/>
  <c r="G18" i="129"/>
  <c r="C7" i="129" l="1"/>
  <c r="C31" i="129" s="1"/>
  <c r="E6" i="133"/>
  <c r="F10" i="128"/>
  <c r="F6" i="133" s="1"/>
  <c r="G1" i="128"/>
  <c r="G9" i="128" s="1"/>
  <c r="G12" i="129"/>
  <c r="I14" i="129"/>
  <c r="H18" i="129"/>
  <c r="G10" i="128" l="1"/>
  <c r="G6" i="133" s="1"/>
  <c r="H12" i="129"/>
  <c r="J14" i="129"/>
  <c r="I18" i="129"/>
  <c r="I12" i="129" l="1"/>
  <c r="J12" i="129" s="1"/>
  <c r="K12" i="129" s="1"/>
  <c r="L12" i="129" s="1"/>
  <c r="M12" i="129" s="1"/>
  <c r="J18" i="129"/>
  <c r="K14" i="129"/>
  <c r="K18" i="129" l="1"/>
  <c r="L14" i="129"/>
  <c r="L18" i="129" l="1"/>
  <c r="M14" i="129"/>
  <c r="M18" i="129" s="1"/>
  <c r="W69" i="124" l="1"/>
  <c r="X69" i="124"/>
  <c r="Y69" i="124"/>
  <c r="Z69" i="124"/>
  <c r="S92" i="123"/>
  <c r="T92" i="123"/>
  <c r="U92" i="123"/>
  <c r="V92" i="123"/>
  <c r="W92" i="123"/>
  <c r="X92" i="123"/>
  <c r="Y92" i="123"/>
  <c r="Z92" i="123"/>
  <c r="R92" i="123"/>
  <c r="S91" i="123"/>
  <c r="T91" i="123"/>
  <c r="U91" i="123"/>
  <c r="V91" i="123"/>
  <c r="W91" i="123"/>
  <c r="X91" i="123"/>
  <c r="Y91" i="123"/>
  <c r="Z91" i="123"/>
  <c r="R91" i="123"/>
  <c r="S90" i="123"/>
  <c r="T90" i="123"/>
  <c r="U90" i="123"/>
  <c r="V90" i="123"/>
  <c r="W90" i="123"/>
  <c r="X90" i="123"/>
  <c r="Y90" i="123"/>
  <c r="Z90" i="123"/>
  <c r="R90" i="123"/>
  <c r="S89" i="123"/>
  <c r="T89" i="123"/>
  <c r="U89" i="123"/>
  <c r="V89" i="123"/>
  <c r="W89" i="123"/>
  <c r="X89" i="123"/>
  <c r="Y89" i="123"/>
  <c r="Z89" i="123"/>
  <c r="R89" i="123"/>
  <c r="A92" i="123"/>
  <c r="A91" i="123"/>
  <c r="A90" i="123"/>
  <c r="A89" i="123"/>
  <c r="T93" i="123" l="1"/>
  <c r="R93" i="123"/>
  <c r="S93" i="123"/>
  <c r="Y93" i="123"/>
  <c r="Z93" i="123"/>
  <c r="U93" i="123"/>
  <c r="V93" i="123"/>
  <c r="X93" i="123"/>
  <c r="W93" i="123"/>
  <c r="U94" i="123" l="1"/>
  <c r="T94" i="123"/>
  <c r="S94" i="123"/>
  <c r="R94" i="123"/>
  <c r="W94" i="123"/>
  <c r="Z94" i="123"/>
  <c r="Y94" i="123"/>
  <c r="V94" i="123"/>
  <c r="X94" i="123"/>
  <c r="V87" i="123"/>
  <c r="W87" i="123" s="1"/>
  <c r="X87" i="123" s="1"/>
  <c r="Y87" i="123" s="1"/>
  <c r="Z87" i="123" s="1"/>
  <c r="AA87" i="123" s="1"/>
  <c r="AB77" i="123"/>
  <c r="V77" i="123"/>
  <c r="U77" i="123"/>
  <c r="T77" i="123"/>
  <c r="S77" i="123"/>
  <c r="Z82" i="123"/>
  <c r="V76" i="123"/>
  <c r="S76" i="123"/>
  <c r="H120" i="122"/>
  <c r="I120" i="122"/>
  <c r="J120" i="122"/>
  <c r="K120" i="122"/>
  <c r="L120" i="122"/>
  <c r="M120" i="122"/>
  <c r="N120" i="122"/>
  <c r="O120" i="122"/>
  <c r="P120" i="122"/>
  <c r="Q120" i="122"/>
  <c r="R120" i="122"/>
  <c r="S120" i="122"/>
  <c r="V120" i="122"/>
  <c r="W120" i="122"/>
  <c r="X120" i="122"/>
  <c r="Y120" i="122"/>
  <c r="Z120" i="122"/>
  <c r="I124" i="122"/>
  <c r="J124" i="122"/>
  <c r="K124" i="122"/>
  <c r="L124" i="122"/>
  <c r="M124" i="122"/>
  <c r="N124" i="122"/>
  <c r="O124" i="122"/>
  <c r="P124" i="122"/>
  <c r="Q124" i="122"/>
  <c r="R124" i="122"/>
  <c r="T124" i="122"/>
  <c r="U124" i="122"/>
  <c r="V124" i="122"/>
  <c r="W124" i="122"/>
  <c r="X124" i="122"/>
  <c r="Y124" i="122"/>
  <c r="Z124" i="122"/>
  <c r="AA124" i="122"/>
  <c r="AB124" i="122"/>
  <c r="AC124" i="122"/>
  <c r="AD124" i="122"/>
  <c r="AE124" i="122"/>
  <c r="AF124" i="122"/>
  <c r="H126" i="122"/>
  <c r="H124" i="122" s="1"/>
  <c r="M129" i="122"/>
  <c r="N129" i="122"/>
  <c r="R129" i="122"/>
  <c r="U130" i="122"/>
  <c r="H133" i="122"/>
  <c r="J133" i="122"/>
  <c r="J129" i="122" s="1"/>
  <c r="H136" i="122"/>
  <c r="I136" i="122"/>
  <c r="I129" i="122" s="1"/>
  <c r="K136" i="122"/>
  <c r="K129" i="122" s="1"/>
  <c r="L136" i="122"/>
  <c r="L129" i="122" s="1"/>
  <c r="O136" i="122"/>
  <c r="O129" i="122" s="1"/>
  <c r="P136" i="122"/>
  <c r="P129" i="122" s="1"/>
  <c r="Q136" i="122"/>
  <c r="Q129" i="122" s="1"/>
  <c r="S136" i="122"/>
  <c r="X136" i="122"/>
  <c r="X129" i="122" s="1"/>
  <c r="Y136" i="122"/>
  <c r="Y129" i="122" s="1"/>
  <c r="Z136" i="122"/>
  <c r="Z129" i="122" s="1"/>
  <c r="H138" i="122"/>
  <c r="H141" i="122" s="1"/>
  <c r="H144" i="122" s="1"/>
  <c r="J138" i="122"/>
  <c r="K138" i="122"/>
  <c r="L138" i="122"/>
  <c r="M138" i="122"/>
  <c r="N138" i="122"/>
  <c r="P138" i="122"/>
  <c r="Q138" i="122"/>
  <c r="R138" i="122"/>
  <c r="S138" i="122"/>
  <c r="T138" i="122"/>
  <c r="U138" i="122"/>
  <c r="V138" i="122"/>
  <c r="W138" i="122"/>
  <c r="X138" i="122"/>
  <c r="Y138" i="122"/>
  <c r="Z138" i="122"/>
  <c r="H139" i="122"/>
  <c r="I139" i="122"/>
  <c r="J139" i="122"/>
  <c r="K139" i="122"/>
  <c r="L139" i="122"/>
  <c r="M139" i="122"/>
  <c r="N139" i="122"/>
  <c r="O139" i="122"/>
  <c r="P139" i="122"/>
  <c r="Q139" i="122"/>
  <c r="R139" i="122"/>
  <c r="S139" i="122"/>
  <c r="T139" i="122"/>
  <c r="U139" i="122"/>
  <c r="V139" i="122"/>
  <c r="W139" i="122"/>
  <c r="X139" i="122"/>
  <c r="Y139" i="122"/>
  <c r="Z139" i="122"/>
  <c r="AC77" i="123" l="1"/>
  <c r="Z142" i="122"/>
  <c r="Y142" i="122"/>
  <c r="Y145" i="122" s="1"/>
  <c r="X142" i="122"/>
  <c r="X145" i="122" s="1"/>
  <c r="W142" i="122"/>
  <c r="W145" i="122" s="1"/>
  <c r="Y82" i="123"/>
  <c r="X83" i="123"/>
  <c r="W83" i="123"/>
  <c r="X82" i="123"/>
  <c r="Y77" i="123"/>
  <c r="Y83" i="123"/>
  <c r="W76" i="123"/>
  <c r="W82" i="123"/>
  <c r="Z83" i="123"/>
  <c r="AA129" i="122"/>
  <c r="R141" i="122"/>
  <c r="R144" i="122" s="1"/>
  <c r="Z141" i="122"/>
  <c r="T141" i="122"/>
  <c r="T144" i="122" s="1"/>
  <c r="L141" i="122"/>
  <c r="L144" i="122" s="1"/>
  <c r="N141" i="122"/>
  <c r="N144" i="122" s="1"/>
  <c r="R142" i="122"/>
  <c r="R145" i="122" s="1"/>
  <c r="L142" i="122"/>
  <c r="L145" i="122" s="1"/>
  <c r="V142" i="122"/>
  <c r="V145" i="122" s="1"/>
  <c r="I142" i="122"/>
  <c r="I145" i="122" s="1"/>
  <c r="H129" i="122"/>
  <c r="P142" i="122"/>
  <c r="P145" i="122" s="1"/>
  <c r="J142" i="122"/>
  <c r="J145" i="122" s="1"/>
  <c r="U142" i="122"/>
  <c r="U145" i="122" s="1"/>
  <c r="X141" i="122"/>
  <c r="X144" i="122" s="1"/>
  <c r="V141" i="122"/>
  <c r="V144" i="122" s="1"/>
  <c r="O142" i="122"/>
  <c r="O145" i="122" s="1"/>
  <c r="Y141" i="122"/>
  <c r="Y144" i="122" s="1"/>
  <c r="S141" i="122"/>
  <c r="S144" i="122" s="1"/>
  <c r="U82" i="123"/>
  <c r="M141" i="122"/>
  <c r="M144" i="122" s="1"/>
  <c r="U141" i="122"/>
  <c r="U144" i="122" s="1"/>
  <c r="K141" i="122"/>
  <c r="K144" i="122" s="1"/>
  <c r="T82" i="123"/>
  <c r="W141" i="122"/>
  <c r="W144" i="122" s="1"/>
  <c r="Q141" i="122"/>
  <c r="Q144" i="122" s="1"/>
  <c r="U83" i="123"/>
  <c r="T83" i="123"/>
  <c r="Z77" i="123"/>
  <c r="Y76" i="123"/>
  <c r="X76" i="123"/>
  <c r="S142" i="122"/>
  <c r="S145" i="122" s="1"/>
  <c r="T142" i="122"/>
  <c r="T145" i="122" s="1"/>
  <c r="M142" i="122"/>
  <c r="M145" i="122" s="1"/>
  <c r="N142" i="122"/>
  <c r="N145" i="122" s="1"/>
  <c r="Q142" i="122"/>
  <c r="Q145" i="122" s="1"/>
  <c r="K142" i="122"/>
  <c r="K145" i="122" s="1"/>
  <c r="V82" i="123"/>
  <c r="W77" i="123"/>
  <c r="V83" i="123"/>
  <c r="T76" i="123"/>
  <c r="Z76" i="123"/>
  <c r="AA76" i="123" s="1"/>
  <c r="X77" i="123"/>
  <c r="U76" i="123"/>
  <c r="T56" i="116"/>
  <c r="T54" i="116"/>
  <c r="T57" i="116" s="1"/>
  <c r="T53" i="116"/>
  <c r="T37" i="116"/>
  <c r="T36" i="116"/>
  <c r="T34" i="116"/>
  <c r="T33" i="116"/>
  <c r="AH44" i="103"/>
  <c r="AH46" i="103"/>
  <c r="AH47" i="103"/>
  <c r="AH48" i="103"/>
  <c r="AH51" i="103"/>
  <c r="AH89" i="103"/>
  <c r="AH137" i="103"/>
  <c r="AH179" i="103"/>
  <c r="AH205" i="103"/>
  <c r="AH208" i="103" s="1"/>
  <c r="AH321" i="103"/>
  <c r="AH324" i="103"/>
  <c r="Z145" i="122" l="1"/>
  <c r="AA145" i="122" s="1"/>
  <c r="AB145" i="122" s="1"/>
  <c r="AC145" i="122" s="1"/>
  <c r="AD145" i="122" s="1"/>
  <c r="AE145" i="122" s="1"/>
  <c r="AF145" i="122" s="1"/>
  <c r="AH209" i="103" s="1"/>
  <c r="AH210" i="103" s="1"/>
  <c r="Z144" i="122"/>
  <c r="AB144" i="122" s="1"/>
  <c r="AD77" i="123"/>
  <c r="V73" i="123"/>
  <c r="AB129" i="122"/>
  <c r="S73" i="123"/>
  <c r="Z73" i="123"/>
  <c r="W73" i="123"/>
  <c r="X73" i="123"/>
  <c r="Y73" i="123"/>
  <c r="U73" i="123"/>
  <c r="AB76" i="123"/>
  <c r="T58" i="116"/>
  <c r="AH91" i="103"/>
  <c r="AC144" i="122" l="1"/>
  <c r="AD144" i="122" s="1"/>
  <c r="AE144" i="122" s="1"/>
  <c r="AF144" i="122" s="1"/>
  <c r="AH212" i="103" s="1"/>
  <c r="AH213" i="103" s="1"/>
  <c r="D27" i="133"/>
  <c r="D32" i="133" s="1"/>
  <c r="AA122" i="122"/>
  <c r="AA66" i="124" s="1"/>
  <c r="AA121" i="122"/>
  <c r="AE77" i="123"/>
  <c r="W74" i="123"/>
  <c r="V74" i="123"/>
  <c r="Z74" i="123"/>
  <c r="AC129" i="122"/>
  <c r="X74" i="123"/>
  <c r="Y74" i="123"/>
  <c r="AC76" i="123"/>
  <c r="N32" i="122"/>
  <c r="M32" i="122"/>
  <c r="L32" i="122"/>
  <c r="K32" i="122"/>
  <c r="J32" i="122"/>
  <c r="I32" i="122"/>
  <c r="N26" i="122"/>
  <c r="M26" i="122"/>
  <c r="L26" i="122"/>
  <c r="K26" i="122"/>
  <c r="J26" i="122"/>
  <c r="I26" i="122"/>
  <c r="H26" i="122"/>
  <c r="N23" i="122"/>
  <c r="M23" i="122"/>
  <c r="L23" i="122"/>
  <c r="K23" i="122"/>
  <c r="J23" i="122"/>
  <c r="I23" i="122"/>
  <c r="H23" i="122"/>
  <c r="Z21" i="122"/>
  <c r="Y21" i="122"/>
  <c r="DA38" i="131" s="1"/>
  <c r="X21" i="122"/>
  <c r="CS38" i="131" s="1"/>
  <c r="W21" i="122"/>
  <c r="CK38" i="131" s="1"/>
  <c r="V21" i="122"/>
  <c r="U21" i="122"/>
  <c r="T21" i="122"/>
  <c r="Z20" i="122"/>
  <c r="Y20" i="122"/>
  <c r="DA37" i="131" s="1"/>
  <c r="X20" i="122"/>
  <c r="CS37" i="131" s="1"/>
  <c r="W20" i="122"/>
  <c r="CK37" i="131" s="1"/>
  <c r="V20" i="122"/>
  <c r="U20" i="122"/>
  <c r="Z19" i="122"/>
  <c r="Y19" i="122"/>
  <c r="DA33" i="131" s="1"/>
  <c r="X19" i="122"/>
  <c r="CS33" i="131" s="1"/>
  <c r="W19" i="122"/>
  <c r="CK33" i="131" s="1"/>
  <c r="V19" i="122"/>
  <c r="U19" i="122"/>
  <c r="T19" i="122"/>
  <c r="R23" i="122"/>
  <c r="Q19" i="122"/>
  <c r="P19" i="122"/>
  <c r="O19" i="122"/>
  <c r="Z15" i="122"/>
  <c r="Y15" i="122"/>
  <c r="X15" i="122"/>
  <c r="W15" i="122"/>
  <c r="V15" i="122"/>
  <c r="U15" i="122"/>
  <c r="N15" i="122"/>
  <c r="M15" i="122"/>
  <c r="L15" i="122"/>
  <c r="K15" i="122"/>
  <c r="N12" i="122"/>
  <c r="M12" i="122"/>
  <c r="L12" i="122"/>
  <c r="K12" i="122"/>
  <c r="J12" i="122"/>
  <c r="I12" i="122"/>
  <c r="H39" i="122"/>
  <c r="Z7" i="122"/>
  <c r="DI11" i="131" s="1"/>
  <c r="Y7" i="122"/>
  <c r="DA11" i="131" s="1"/>
  <c r="X7" i="122"/>
  <c r="CS11" i="131" s="1"/>
  <c r="W7" i="122"/>
  <c r="CK11" i="131" s="1"/>
  <c r="CK24" i="131" s="1"/>
  <c r="V7" i="122"/>
  <c r="U7" i="122"/>
  <c r="T7" i="122"/>
  <c r="Z6" i="122"/>
  <c r="DI10" i="131" s="1"/>
  <c r="Y6" i="122"/>
  <c r="DA10" i="131" s="1"/>
  <c r="X6" i="122"/>
  <c r="CS10" i="131" s="1"/>
  <c r="W6" i="122"/>
  <c r="CK10" i="131" s="1"/>
  <c r="CK23" i="131" s="1"/>
  <c r="V6" i="122"/>
  <c r="U6" i="122"/>
  <c r="Z5" i="122"/>
  <c r="DI6" i="131" s="1"/>
  <c r="Y5" i="122"/>
  <c r="DA6" i="131" s="1"/>
  <c r="X5" i="122"/>
  <c r="CS6" i="131" s="1"/>
  <c r="W5" i="122"/>
  <c r="CK6" i="131" s="1"/>
  <c r="V5" i="122"/>
  <c r="U5" i="122"/>
  <c r="T5" i="122"/>
  <c r="S5" i="122"/>
  <c r="S8" i="122" s="1"/>
  <c r="T15" i="122" s="1"/>
  <c r="R5" i="122"/>
  <c r="R8" i="122" s="1"/>
  <c r="Q5" i="122"/>
  <c r="Q8" i="122" s="1"/>
  <c r="P5" i="122"/>
  <c r="P8" i="122" s="1"/>
  <c r="O5" i="122"/>
  <c r="O8" i="122" s="1"/>
  <c r="O15" i="122" s="1"/>
  <c r="W253" i="125"/>
  <c r="X253" i="125" s="1"/>
  <c r="Y253" i="125" s="1"/>
  <c r="Z253" i="125" s="1"/>
  <c r="AA253" i="125" s="1"/>
  <c r="AB253" i="125" s="1"/>
  <c r="AC253" i="125" s="1"/>
  <c r="AD253" i="125" s="1"/>
  <c r="AE253" i="125" s="1"/>
  <c r="AF253" i="125" s="1"/>
  <c r="W239" i="125"/>
  <c r="W224" i="125"/>
  <c r="X224" i="125" s="1"/>
  <c r="Y224" i="125" s="1"/>
  <c r="Z224" i="125" s="1"/>
  <c r="AA224" i="125" s="1"/>
  <c r="AB224" i="125" s="1"/>
  <c r="AC224" i="125" s="1"/>
  <c r="AD224" i="125" s="1"/>
  <c r="AE224" i="125" s="1"/>
  <c r="AF224" i="125" s="1"/>
  <c r="W223" i="125"/>
  <c r="X223" i="125" s="1"/>
  <c r="Y223" i="125" s="1"/>
  <c r="Z223" i="125" s="1"/>
  <c r="AA223" i="125" s="1"/>
  <c r="AB223" i="125" s="1"/>
  <c r="AC223" i="125" s="1"/>
  <c r="AD223" i="125" s="1"/>
  <c r="AE223" i="125" s="1"/>
  <c r="AF223" i="125" s="1"/>
  <c r="W222" i="125"/>
  <c r="X222" i="125" s="1"/>
  <c r="Y222" i="125" s="1"/>
  <c r="Z222" i="125" s="1"/>
  <c r="AA222" i="125" s="1"/>
  <c r="AB222" i="125" s="1"/>
  <c r="AC222" i="125" s="1"/>
  <c r="AD222" i="125" s="1"/>
  <c r="AE222" i="125" s="1"/>
  <c r="AF222" i="125" s="1"/>
  <c r="W221" i="125"/>
  <c r="X221" i="125" s="1"/>
  <c r="Y221" i="125" s="1"/>
  <c r="Z221" i="125" s="1"/>
  <c r="AA221" i="125" s="1"/>
  <c r="AB221" i="125" s="1"/>
  <c r="AC221" i="125" s="1"/>
  <c r="AD221" i="125" s="1"/>
  <c r="AE221" i="125" s="1"/>
  <c r="AF221" i="125" s="1"/>
  <c r="W218" i="125"/>
  <c r="X218" i="125" s="1"/>
  <c r="Y218" i="125" s="1"/>
  <c r="Z218" i="125" s="1"/>
  <c r="AA218" i="125" s="1"/>
  <c r="AB218" i="125" s="1"/>
  <c r="AC218" i="125" s="1"/>
  <c r="AD218" i="125" s="1"/>
  <c r="AE218" i="125" s="1"/>
  <c r="AF218" i="125" s="1"/>
  <c r="W217" i="125"/>
  <c r="X217" i="125" s="1"/>
  <c r="Y217" i="125" s="1"/>
  <c r="Z217" i="125" s="1"/>
  <c r="AA217" i="125" s="1"/>
  <c r="AB217" i="125" s="1"/>
  <c r="AC217" i="125" s="1"/>
  <c r="AD217" i="125" s="1"/>
  <c r="AE217" i="125" s="1"/>
  <c r="AF217" i="125" s="1"/>
  <c r="W216" i="125"/>
  <c r="X216" i="125" s="1"/>
  <c r="Y216" i="125" s="1"/>
  <c r="Z216" i="125" s="1"/>
  <c r="AA216" i="125" s="1"/>
  <c r="AB216" i="125" s="1"/>
  <c r="AC216" i="125" s="1"/>
  <c r="AD216" i="125" s="1"/>
  <c r="AE216" i="125" s="1"/>
  <c r="AF216" i="125" s="1"/>
  <c r="W215" i="125"/>
  <c r="X215" i="125" s="1"/>
  <c r="Y215" i="125" s="1"/>
  <c r="Z215" i="125" s="1"/>
  <c r="AA215" i="125" s="1"/>
  <c r="AB215" i="125" s="1"/>
  <c r="AC215" i="125" s="1"/>
  <c r="AD215" i="125" s="1"/>
  <c r="AE215" i="125" s="1"/>
  <c r="AF215" i="125" s="1"/>
  <c r="AD193" i="125"/>
  <c r="Y193" i="125"/>
  <c r="X193" i="125"/>
  <c r="X190" i="125" s="1"/>
  <c r="AA184" i="125"/>
  <c r="Y186" i="125"/>
  <c r="W145" i="125"/>
  <c r="X145" i="125" s="1"/>
  <c r="Y145" i="125" s="1"/>
  <c r="Z145" i="125" s="1"/>
  <c r="AA145" i="125" s="1"/>
  <c r="AB145" i="125" s="1"/>
  <c r="AC145" i="125" s="1"/>
  <c r="AD145" i="125" s="1"/>
  <c r="AE145" i="125" s="1"/>
  <c r="AF145" i="125" s="1"/>
  <c r="AD136" i="125"/>
  <c r="W135" i="125"/>
  <c r="Z80" i="125"/>
  <c r="Y80" i="125"/>
  <c r="X80" i="125"/>
  <c r="W34" i="125"/>
  <c r="X34" i="125" s="1"/>
  <c r="Y34" i="125" s="1"/>
  <c r="Z34" i="125" s="1"/>
  <c r="AA34" i="125" s="1"/>
  <c r="AA31" i="125"/>
  <c r="AA51" i="125" s="1"/>
  <c r="AB30" i="125"/>
  <c r="AB50" i="125" s="1"/>
  <c r="AC49" i="125"/>
  <c r="AB49" i="125"/>
  <c r="AA49" i="125"/>
  <c r="Z29" i="125"/>
  <c r="Z49" i="125" s="1"/>
  <c r="Y29" i="125"/>
  <c r="Y49" i="125" s="1"/>
  <c r="X29" i="125"/>
  <c r="X49" i="125" s="1"/>
  <c r="W29" i="125"/>
  <c r="Z313" i="125"/>
  <c r="Y313" i="125"/>
  <c r="X313" i="125"/>
  <c r="W313" i="125"/>
  <c r="Z312" i="125"/>
  <c r="AA312" i="125" s="1"/>
  <c r="Y312" i="125"/>
  <c r="X312" i="125"/>
  <c r="W312" i="125"/>
  <c r="AA310" i="125"/>
  <c r="AB310" i="125" s="1"/>
  <c r="AC310" i="125" s="1"/>
  <c r="AD310" i="125" s="1"/>
  <c r="AE310" i="125" s="1"/>
  <c r="AF310" i="125" s="1"/>
  <c r="AA309" i="125"/>
  <c r="AB309" i="125" s="1"/>
  <c r="AC309" i="125" s="1"/>
  <c r="AD309" i="125" s="1"/>
  <c r="AE309" i="125" s="1"/>
  <c r="AF309" i="125" s="1"/>
  <c r="Z308" i="125"/>
  <c r="Z306" i="125" s="1"/>
  <c r="Y308" i="125"/>
  <c r="Y306" i="125" s="1"/>
  <c r="X308" i="125"/>
  <c r="X306" i="125" s="1"/>
  <c r="W308" i="125"/>
  <c r="W306" i="125" s="1"/>
  <c r="AA307" i="125"/>
  <c r="AB307" i="125" s="1"/>
  <c r="AC307" i="125" s="1"/>
  <c r="AD307" i="125" s="1"/>
  <c r="AE307" i="125" s="1"/>
  <c r="AF307" i="125" s="1"/>
  <c r="Z20" i="125"/>
  <c r="Y20" i="125"/>
  <c r="X20" i="125"/>
  <c r="W20" i="125"/>
  <c r="Z16" i="125"/>
  <c r="Y16" i="125"/>
  <c r="X16" i="125"/>
  <c r="W16" i="125"/>
  <c r="Z12" i="125"/>
  <c r="Y12" i="125"/>
  <c r="X12" i="125"/>
  <c r="W12" i="125"/>
  <c r="Z7" i="125"/>
  <c r="Y7" i="125"/>
  <c r="X7" i="125"/>
  <c r="W7" i="125"/>
  <c r="Z4" i="125"/>
  <c r="Y4" i="125"/>
  <c r="X4" i="125"/>
  <c r="W4" i="125"/>
  <c r="Z111" i="126"/>
  <c r="Y111" i="126"/>
  <c r="X111" i="126"/>
  <c r="W109" i="126"/>
  <c r="V109" i="126"/>
  <c r="U109" i="126"/>
  <c r="T109" i="126"/>
  <c r="S109" i="126"/>
  <c r="X107" i="126"/>
  <c r="W107" i="126"/>
  <c r="V107" i="126"/>
  <c r="V23" i="126" s="1"/>
  <c r="U107" i="126"/>
  <c r="S98" i="126"/>
  <c r="T89" i="126"/>
  <c r="S89" i="126"/>
  <c r="R89" i="126"/>
  <c r="Q89" i="126"/>
  <c r="P89" i="126"/>
  <c r="O89" i="126"/>
  <c r="N89" i="126"/>
  <c r="M89" i="126"/>
  <c r="L89" i="126"/>
  <c r="K89" i="126"/>
  <c r="U44" i="126"/>
  <c r="T44" i="126"/>
  <c r="S44" i="126"/>
  <c r="R44" i="126"/>
  <c r="Q44" i="126"/>
  <c r="P44" i="126"/>
  <c r="O44" i="126"/>
  <c r="N44" i="126"/>
  <c r="M44" i="126"/>
  <c r="L44" i="126"/>
  <c r="K44" i="126"/>
  <c r="J44" i="126"/>
  <c r="I44" i="126"/>
  <c r="Z37" i="126"/>
  <c r="AA37" i="126" s="1"/>
  <c r="Y37" i="126"/>
  <c r="X37" i="126"/>
  <c r="W37" i="126"/>
  <c r="V37" i="126"/>
  <c r="U37" i="126"/>
  <c r="AA35" i="126"/>
  <c r="AB35" i="126" s="1"/>
  <c r="AC35" i="126" s="1"/>
  <c r="AD35" i="126" s="1"/>
  <c r="AE35" i="126" s="1"/>
  <c r="AF35" i="126" s="1"/>
  <c r="AA34" i="126"/>
  <c r="AB34" i="126" s="1"/>
  <c r="AC34" i="126" s="1"/>
  <c r="AD34" i="126" s="1"/>
  <c r="AE34" i="126" s="1"/>
  <c r="AF34" i="126" s="1"/>
  <c r="Z33" i="126"/>
  <c r="Z31" i="126" s="1"/>
  <c r="Y33" i="126"/>
  <c r="Y31" i="126" s="1"/>
  <c r="X33" i="126"/>
  <c r="X31" i="126" s="1"/>
  <c r="W33" i="126"/>
  <c r="W31" i="126" s="1"/>
  <c r="V33" i="126"/>
  <c r="V31" i="126" s="1"/>
  <c r="U33" i="126"/>
  <c r="U31" i="126" s="1"/>
  <c r="T33" i="126"/>
  <c r="T31" i="126" s="1"/>
  <c r="AA32" i="126"/>
  <c r="AB32" i="126" s="1"/>
  <c r="AC32" i="126" s="1"/>
  <c r="AD32" i="126" s="1"/>
  <c r="AE32" i="126" s="1"/>
  <c r="AF32" i="126" s="1"/>
  <c r="Z23" i="126"/>
  <c r="Y23" i="126"/>
  <c r="Z21" i="126"/>
  <c r="Y21" i="126"/>
  <c r="X21" i="126"/>
  <c r="W21" i="126"/>
  <c r="V21" i="126"/>
  <c r="Z19" i="126"/>
  <c r="Y19" i="126"/>
  <c r="X19" i="126"/>
  <c r="W19" i="126"/>
  <c r="W20" i="126" s="1"/>
  <c r="V19" i="126"/>
  <c r="V20" i="126" s="1"/>
  <c r="S19" i="126"/>
  <c r="S20" i="126" s="1"/>
  <c r="R19" i="126"/>
  <c r="R20" i="126" s="1"/>
  <c r="Q19" i="126"/>
  <c r="Q20" i="126" s="1"/>
  <c r="Z18" i="126"/>
  <c r="Y18" i="126"/>
  <c r="X18" i="126"/>
  <c r="W18" i="126"/>
  <c r="V18" i="126"/>
  <c r="R18" i="126"/>
  <c r="Q18" i="126"/>
  <c r="P18" i="126"/>
  <c r="O18" i="126"/>
  <c r="Z17" i="126"/>
  <c r="Y17" i="126"/>
  <c r="X17" i="126"/>
  <c r="W17" i="126"/>
  <c r="V17" i="126"/>
  <c r="R17" i="126"/>
  <c r="Q17" i="126"/>
  <c r="Z15" i="126"/>
  <c r="Y15" i="126"/>
  <c r="X15" i="126"/>
  <c r="W15" i="126"/>
  <c r="V15" i="126"/>
  <c r="U15" i="126"/>
  <c r="Z11" i="126"/>
  <c r="Y11" i="126"/>
  <c r="X11" i="126"/>
  <c r="W11" i="126"/>
  <c r="V11" i="126"/>
  <c r="U11" i="126"/>
  <c r="Z10" i="126"/>
  <c r="Y10" i="126"/>
  <c r="X10" i="126"/>
  <c r="W10" i="126"/>
  <c r="V10" i="126"/>
  <c r="U10" i="126"/>
  <c r="Z7" i="126"/>
  <c r="Y7" i="126"/>
  <c r="X7" i="126"/>
  <c r="W7" i="126"/>
  <c r="V7" i="126"/>
  <c r="T6" i="126"/>
  <c r="T37" i="126" s="1"/>
  <c r="N44" i="127"/>
  <c r="O44" i="127" s="1"/>
  <c r="M44" i="127"/>
  <c r="L44" i="127"/>
  <c r="K44" i="127"/>
  <c r="J44" i="127"/>
  <c r="I44" i="127"/>
  <c r="H44" i="127"/>
  <c r="O42" i="127"/>
  <c r="P42" i="127" s="1"/>
  <c r="Q42" i="127" s="1"/>
  <c r="R42" i="127" s="1"/>
  <c r="S42" i="127" s="1"/>
  <c r="T42" i="127" s="1"/>
  <c r="O41" i="127"/>
  <c r="P41" i="127" s="1"/>
  <c r="Q41" i="127" s="1"/>
  <c r="R41" i="127" s="1"/>
  <c r="S41" i="127" s="1"/>
  <c r="T41" i="127" s="1"/>
  <c r="N40" i="127"/>
  <c r="N37" i="127" s="1"/>
  <c r="N38" i="127" s="1"/>
  <c r="M40" i="127"/>
  <c r="M37" i="127" s="1"/>
  <c r="M38" i="127" s="1"/>
  <c r="L40" i="127"/>
  <c r="L37" i="127" s="1"/>
  <c r="L38" i="127" s="1"/>
  <c r="K40" i="127"/>
  <c r="K37" i="127" s="1"/>
  <c r="K38" i="127" s="1"/>
  <c r="J40" i="127"/>
  <c r="J37" i="127" s="1"/>
  <c r="J38" i="127" s="1"/>
  <c r="I40" i="127"/>
  <c r="I37" i="127" s="1"/>
  <c r="I38" i="127" s="1"/>
  <c r="H40" i="127"/>
  <c r="H37" i="127" s="1"/>
  <c r="O39" i="127"/>
  <c r="P39" i="127" s="1"/>
  <c r="Q39" i="127" s="1"/>
  <c r="R39" i="127" s="1"/>
  <c r="S39" i="127" s="1"/>
  <c r="T39" i="127" s="1"/>
  <c r="H33" i="127"/>
  <c r="N29" i="127"/>
  <c r="M29" i="127"/>
  <c r="I29" i="127"/>
  <c r="N27" i="127"/>
  <c r="M27" i="127"/>
  <c r="L27" i="127"/>
  <c r="K27" i="127"/>
  <c r="J27" i="127"/>
  <c r="I27" i="127"/>
  <c r="N20" i="127"/>
  <c r="M20" i="127"/>
  <c r="L20" i="127"/>
  <c r="K20" i="127"/>
  <c r="J20" i="127"/>
  <c r="I20" i="127"/>
  <c r="H20" i="127"/>
  <c r="N16" i="127"/>
  <c r="M16" i="127"/>
  <c r="L16" i="127"/>
  <c r="K16" i="127"/>
  <c r="J16" i="127"/>
  <c r="I16" i="127"/>
  <c r="N15" i="127"/>
  <c r="M15" i="127"/>
  <c r="L15" i="127"/>
  <c r="K15" i="127"/>
  <c r="J15" i="127"/>
  <c r="I15" i="127"/>
  <c r="N7" i="127"/>
  <c r="M7" i="127"/>
  <c r="L7" i="127"/>
  <c r="K7" i="127"/>
  <c r="J7" i="127"/>
  <c r="I7" i="127"/>
  <c r="H7" i="127"/>
  <c r="Q56" i="123"/>
  <c r="Z54" i="123"/>
  <c r="L144" i="118" s="1"/>
  <c r="L143" i="118" s="1"/>
  <c r="X54" i="123"/>
  <c r="W54" i="123"/>
  <c r="V54" i="123"/>
  <c r="U54" i="123"/>
  <c r="T54" i="123"/>
  <c r="S54" i="123"/>
  <c r="L54" i="123"/>
  <c r="K54" i="123"/>
  <c r="J54" i="123"/>
  <c r="I54" i="123"/>
  <c r="H54" i="123"/>
  <c r="AA51" i="123"/>
  <c r="Y51" i="123"/>
  <c r="O50" i="123"/>
  <c r="AA49" i="123"/>
  <c r="R49" i="123"/>
  <c r="O49" i="123"/>
  <c r="V47" i="123"/>
  <c r="U47" i="123"/>
  <c r="T47" i="123"/>
  <c r="S47" i="123"/>
  <c r="J47" i="123"/>
  <c r="I47" i="123"/>
  <c r="AA46" i="123"/>
  <c r="R46" i="123"/>
  <c r="O46" i="123"/>
  <c r="O70" i="123" s="1"/>
  <c r="N46" i="123"/>
  <c r="M46" i="123"/>
  <c r="L46" i="123"/>
  <c r="K46" i="123"/>
  <c r="H46" i="123"/>
  <c r="AA43" i="123"/>
  <c r="AA42" i="123"/>
  <c r="AA39" i="123"/>
  <c r="I39" i="123"/>
  <c r="AA38" i="123"/>
  <c r="O38" i="123"/>
  <c r="Y36" i="123"/>
  <c r="X36" i="123"/>
  <c r="W36" i="123"/>
  <c r="V36" i="123"/>
  <c r="U36" i="123"/>
  <c r="T36" i="123"/>
  <c r="R36" i="123"/>
  <c r="Z35" i="123"/>
  <c r="Q35" i="123"/>
  <c r="P35" i="123"/>
  <c r="N35" i="123"/>
  <c r="M35" i="123"/>
  <c r="L35" i="123"/>
  <c r="K35" i="123"/>
  <c r="J35" i="123"/>
  <c r="I35" i="123"/>
  <c r="H35" i="123"/>
  <c r="AA34" i="123"/>
  <c r="O34" i="123"/>
  <c r="AA32" i="123"/>
  <c r="S32" i="123"/>
  <c r="O31" i="123"/>
  <c r="AA30" i="123"/>
  <c r="M119" i="118" s="1"/>
  <c r="AA29" i="123"/>
  <c r="O29" i="123"/>
  <c r="V27" i="123"/>
  <c r="U27" i="123"/>
  <c r="S27" i="123"/>
  <c r="R27" i="123"/>
  <c r="O27" i="123"/>
  <c r="J27" i="123"/>
  <c r="I27" i="123"/>
  <c r="AA26" i="123"/>
  <c r="T26" i="123"/>
  <c r="Q26" i="123"/>
  <c r="P26" i="123"/>
  <c r="N26" i="123"/>
  <c r="M26" i="123"/>
  <c r="L26" i="123"/>
  <c r="K26" i="123"/>
  <c r="H26" i="123"/>
  <c r="AA24" i="123"/>
  <c r="AA22" i="123"/>
  <c r="AA17" i="123"/>
  <c r="AA16" i="123"/>
  <c r="Z14" i="123"/>
  <c r="Y14" i="123"/>
  <c r="X14" i="123"/>
  <c r="W14" i="123"/>
  <c r="V14" i="123"/>
  <c r="T14" i="123"/>
  <c r="O14" i="123"/>
  <c r="P13" i="123"/>
  <c r="N13" i="123"/>
  <c r="M13" i="123"/>
  <c r="L13" i="123"/>
  <c r="K13" i="123"/>
  <c r="J13" i="123"/>
  <c r="I13" i="123"/>
  <c r="H13" i="123"/>
  <c r="AA12" i="123"/>
  <c r="U12" i="123"/>
  <c r="Q12" i="123"/>
  <c r="AA11" i="123"/>
  <c r="AA10" i="123"/>
  <c r="AA9" i="123"/>
  <c r="AA8" i="123"/>
  <c r="AA7" i="123"/>
  <c r="O6" i="123"/>
  <c r="O134" i="123" s="1"/>
  <c r="O5" i="123"/>
  <c r="N57" i="124"/>
  <c r="H57" i="124"/>
  <c r="Q51" i="124"/>
  <c r="P51" i="124"/>
  <c r="O51" i="124"/>
  <c r="N51" i="124"/>
  <c r="H51" i="124"/>
  <c r="Z49" i="124"/>
  <c r="Y49" i="124"/>
  <c r="X49" i="124"/>
  <c r="W49" i="124"/>
  <c r="V49" i="124"/>
  <c r="T49" i="124"/>
  <c r="S49" i="124"/>
  <c r="R49" i="124"/>
  <c r="K49" i="124"/>
  <c r="J49" i="124"/>
  <c r="I49" i="124"/>
  <c r="Q48" i="124"/>
  <c r="P48" i="124"/>
  <c r="O48" i="124"/>
  <c r="N48" i="124"/>
  <c r="M48" i="124"/>
  <c r="P45" i="124"/>
  <c r="AA44" i="124"/>
  <c r="Z44" i="124"/>
  <c r="Y44" i="124"/>
  <c r="X44" i="124"/>
  <c r="W44" i="124"/>
  <c r="V44" i="124"/>
  <c r="U44" i="124"/>
  <c r="T44" i="124"/>
  <c r="R44" i="124"/>
  <c r="P44" i="124"/>
  <c r="O44" i="124"/>
  <c r="L41" i="124"/>
  <c r="K41" i="124"/>
  <c r="J41" i="124"/>
  <c r="I41" i="124"/>
  <c r="H41" i="124"/>
  <c r="AA31" i="123"/>
  <c r="U37" i="124"/>
  <c r="M35" i="124"/>
  <c r="J35" i="124"/>
  <c r="I35" i="124"/>
  <c r="T34" i="124"/>
  <c r="S34" i="124"/>
  <c r="R34" i="124"/>
  <c r="N34" i="124"/>
  <c r="L34" i="124"/>
  <c r="K34" i="124"/>
  <c r="Z31" i="124"/>
  <c r="Y31" i="124"/>
  <c r="X31" i="124"/>
  <c r="W31" i="124"/>
  <c r="V31" i="124"/>
  <c r="U31" i="124"/>
  <c r="T31" i="124"/>
  <c r="S31" i="124"/>
  <c r="R31" i="124"/>
  <c r="Q30" i="124"/>
  <c r="P30" i="124"/>
  <c r="O30" i="124"/>
  <c r="H30" i="124"/>
  <c r="AB29" i="124"/>
  <c r="Z29" i="124"/>
  <c r="Y29" i="124"/>
  <c r="X29" i="124"/>
  <c r="W29" i="124"/>
  <c r="V29" i="124"/>
  <c r="U29" i="124"/>
  <c r="T29" i="124"/>
  <c r="S29" i="124"/>
  <c r="R29" i="124"/>
  <c r="Q29" i="124"/>
  <c r="P29" i="124"/>
  <c r="O29" i="124"/>
  <c r="N29" i="124"/>
  <c r="M29" i="124"/>
  <c r="L29" i="124"/>
  <c r="K29" i="124"/>
  <c r="J29" i="124"/>
  <c r="I29" i="124"/>
  <c r="H29" i="124"/>
  <c r="R27" i="124"/>
  <c r="N27" i="124"/>
  <c r="M27" i="124"/>
  <c r="L27" i="124"/>
  <c r="K27" i="124"/>
  <c r="J27" i="124"/>
  <c r="I27" i="124"/>
  <c r="H27" i="124"/>
  <c r="Z26" i="124"/>
  <c r="L58" i="118" s="1"/>
  <c r="Y26" i="124"/>
  <c r="X26" i="124"/>
  <c r="W26" i="124"/>
  <c r="V26" i="124"/>
  <c r="U26" i="124"/>
  <c r="T26" i="124"/>
  <c r="S26" i="124"/>
  <c r="Q26" i="124"/>
  <c r="P26" i="124"/>
  <c r="O26" i="124"/>
  <c r="M24" i="124"/>
  <c r="M180" i="122" s="1"/>
  <c r="M186" i="122" s="1"/>
  <c r="L24" i="124"/>
  <c r="L180" i="122" s="1"/>
  <c r="L186" i="122" s="1"/>
  <c r="K24" i="124"/>
  <c r="J24" i="124"/>
  <c r="J180" i="122" s="1"/>
  <c r="J186" i="122" s="1"/>
  <c r="I24" i="124"/>
  <c r="I180" i="122" s="1"/>
  <c r="I186" i="122" s="1"/>
  <c r="Z20" i="124"/>
  <c r="Y20" i="124"/>
  <c r="Y22" i="124" s="1"/>
  <c r="X20" i="124"/>
  <c r="X22" i="124" s="1"/>
  <c r="W20" i="124"/>
  <c r="W22" i="124" s="1"/>
  <c r="V20" i="124"/>
  <c r="U20" i="124"/>
  <c r="T20" i="124"/>
  <c r="S20" i="124"/>
  <c r="L17" i="124"/>
  <c r="K17" i="124"/>
  <c r="J17" i="124"/>
  <c r="I17" i="124"/>
  <c r="H17" i="124"/>
  <c r="L16" i="124"/>
  <c r="K16" i="124"/>
  <c r="J16" i="124"/>
  <c r="I16" i="124"/>
  <c r="H16" i="124"/>
  <c r="Z15" i="124"/>
  <c r="L49" i="118" s="1"/>
  <c r="Y15" i="124"/>
  <c r="K49" i="118" s="1"/>
  <c r="X15" i="124"/>
  <c r="J49" i="118" s="1"/>
  <c r="W15" i="124"/>
  <c r="I49" i="118" s="1"/>
  <c r="V15" i="124"/>
  <c r="H49" i="118" s="1"/>
  <c r="Q15" i="124"/>
  <c r="C49" i="118" s="1"/>
  <c r="P15" i="124"/>
  <c r="O11" i="124"/>
  <c r="AA9" i="124"/>
  <c r="P8" i="124"/>
  <c r="O8" i="124"/>
  <c r="N8" i="124"/>
  <c r="M8" i="124"/>
  <c r="L8" i="124"/>
  <c r="K8" i="124"/>
  <c r="J8" i="124"/>
  <c r="I8" i="124"/>
  <c r="H8" i="124"/>
  <c r="P6" i="124"/>
  <c r="L6" i="124"/>
  <c r="Q5" i="124"/>
  <c r="O5" i="124"/>
  <c r="N5" i="124"/>
  <c r="M5" i="124"/>
  <c r="K5" i="124"/>
  <c r="J5" i="124"/>
  <c r="I5" i="124"/>
  <c r="H5" i="124"/>
  <c r="Z113" i="122"/>
  <c r="Y113" i="122"/>
  <c r="X113" i="122"/>
  <c r="W113" i="122"/>
  <c r="V113" i="122"/>
  <c r="U113" i="122"/>
  <c r="T113" i="122"/>
  <c r="S113" i="122"/>
  <c r="R113" i="122"/>
  <c r="Q113" i="122"/>
  <c r="P113" i="122"/>
  <c r="O113" i="122"/>
  <c r="R45" i="124"/>
  <c r="S44" i="124" s="1"/>
  <c r="L109" i="122"/>
  <c r="K109" i="122"/>
  <c r="J109" i="122"/>
  <c r="Q87" i="122"/>
  <c r="Z75" i="122"/>
  <c r="Y75" i="122"/>
  <c r="K21" i="118" s="1"/>
  <c r="X75" i="122"/>
  <c r="J21" i="118" s="1"/>
  <c r="W75" i="122"/>
  <c r="I21" i="118" s="1"/>
  <c r="V75" i="122"/>
  <c r="H21" i="118" s="1"/>
  <c r="U75" i="122"/>
  <c r="G21" i="118" s="1"/>
  <c r="T75" i="122"/>
  <c r="F21" i="118" s="1"/>
  <c r="S75" i="122"/>
  <c r="R75" i="122"/>
  <c r="Q75" i="122"/>
  <c r="P75" i="122"/>
  <c r="O75" i="122"/>
  <c r="N75" i="122"/>
  <c r="M75" i="122"/>
  <c r="L75" i="122"/>
  <c r="K75" i="122"/>
  <c r="J75" i="122"/>
  <c r="I75" i="122"/>
  <c r="H75" i="122"/>
  <c r="Y64" i="122"/>
  <c r="X64" i="122"/>
  <c r="W64" i="122"/>
  <c r="V64" i="122"/>
  <c r="U64" i="122"/>
  <c r="G15" i="118" s="1"/>
  <c r="T64" i="122"/>
  <c r="F15" i="118" s="1"/>
  <c r="S64" i="122"/>
  <c r="R64" i="122"/>
  <c r="Q64" i="122"/>
  <c r="Q73" i="122" s="1"/>
  <c r="P64" i="122"/>
  <c r="P73" i="122" s="1"/>
  <c r="O64" i="122"/>
  <c r="N64" i="122"/>
  <c r="M64" i="122"/>
  <c r="L64" i="122"/>
  <c r="K64" i="122"/>
  <c r="J64" i="122"/>
  <c r="I64" i="122"/>
  <c r="Z63" i="122"/>
  <c r="AA63" i="122" s="1"/>
  <c r="Y63" i="122"/>
  <c r="X63" i="122"/>
  <c r="W63" i="122"/>
  <c r="V63" i="122"/>
  <c r="U63" i="122"/>
  <c r="T63" i="122"/>
  <c r="S63" i="122"/>
  <c r="R63" i="122"/>
  <c r="Q63" i="122"/>
  <c r="P63" i="122"/>
  <c r="Z61" i="122"/>
  <c r="AA61" i="122" s="1"/>
  <c r="Y61" i="122"/>
  <c r="X61" i="122"/>
  <c r="W61" i="122"/>
  <c r="V61" i="122"/>
  <c r="U61" i="122"/>
  <c r="T61" i="122"/>
  <c r="S61" i="122"/>
  <c r="R61" i="122"/>
  <c r="Q61" i="122"/>
  <c r="P61" i="122"/>
  <c r="O61" i="122"/>
  <c r="N61" i="122"/>
  <c r="M61" i="122"/>
  <c r="L61" i="122"/>
  <c r="K61" i="122"/>
  <c r="J61" i="122"/>
  <c r="I61" i="122"/>
  <c r="H61" i="122"/>
  <c r="Z59" i="122"/>
  <c r="AA59" i="122" s="1"/>
  <c r="AB59" i="122" s="1"/>
  <c r="AC59" i="122" s="1"/>
  <c r="Y59" i="122"/>
  <c r="X59" i="122"/>
  <c r="W59" i="122"/>
  <c r="V59" i="122"/>
  <c r="U59" i="122"/>
  <c r="T59" i="122"/>
  <c r="S59" i="122"/>
  <c r="R59" i="122"/>
  <c r="Q59" i="122"/>
  <c r="P59" i="122"/>
  <c r="O59" i="122"/>
  <c r="N59" i="122"/>
  <c r="M59" i="122"/>
  <c r="L59" i="122"/>
  <c r="K59" i="122"/>
  <c r="J59" i="122"/>
  <c r="I59" i="122"/>
  <c r="H59" i="122"/>
  <c r="Z56" i="122"/>
  <c r="AA56" i="122" s="1"/>
  <c r="AB56" i="122" s="1"/>
  <c r="Y56" i="122"/>
  <c r="X56" i="122"/>
  <c r="W56" i="122"/>
  <c r="V56" i="122"/>
  <c r="U56" i="122"/>
  <c r="T56" i="122"/>
  <c r="S56" i="122"/>
  <c r="R56" i="122"/>
  <c r="Q56" i="122"/>
  <c r="P56" i="122"/>
  <c r="O56" i="122"/>
  <c r="N56" i="122"/>
  <c r="M56" i="122"/>
  <c r="L56" i="122"/>
  <c r="K56" i="122"/>
  <c r="J56" i="122"/>
  <c r="I56" i="122"/>
  <c r="H55" i="122"/>
  <c r="Z54" i="122"/>
  <c r="AA54" i="122" s="1"/>
  <c r="AB54" i="122" s="1"/>
  <c r="Y54" i="122"/>
  <c r="X54" i="122"/>
  <c r="W54" i="122"/>
  <c r="V54" i="122"/>
  <c r="U54" i="122"/>
  <c r="T54" i="122"/>
  <c r="S54" i="122"/>
  <c r="R54" i="122"/>
  <c r="Q54" i="122"/>
  <c r="P54" i="122"/>
  <c r="O54" i="122"/>
  <c r="N54" i="122"/>
  <c r="M54" i="122"/>
  <c r="L54" i="122"/>
  <c r="K54" i="122"/>
  <c r="J54" i="122"/>
  <c r="I54" i="122"/>
  <c r="H54" i="122"/>
  <c r="Z52" i="122"/>
  <c r="Y52" i="122"/>
  <c r="X52" i="122"/>
  <c r="W52" i="122"/>
  <c r="V52" i="122"/>
  <c r="U52" i="122"/>
  <c r="T52" i="122"/>
  <c r="S52" i="122"/>
  <c r="R52" i="122"/>
  <c r="Q52" i="122"/>
  <c r="P52" i="122"/>
  <c r="O52" i="122"/>
  <c r="N52" i="122"/>
  <c r="M52" i="122"/>
  <c r="L52" i="122"/>
  <c r="K52" i="122"/>
  <c r="J52" i="122"/>
  <c r="I52" i="122"/>
  <c r="H52" i="122"/>
  <c r="Z50" i="122"/>
  <c r="AA50" i="122" s="1"/>
  <c r="Y50" i="122"/>
  <c r="X50" i="122"/>
  <c r="W50" i="122"/>
  <c r="V50" i="122"/>
  <c r="U50" i="122"/>
  <c r="T50" i="122"/>
  <c r="S50" i="122"/>
  <c r="R50" i="122"/>
  <c r="Q50" i="122"/>
  <c r="P50" i="122"/>
  <c r="O50" i="122"/>
  <c r="N50" i="122"/>
  <c r="M50" i="122"/>
  <c r="L50" i="122"/>
  <c r="K50" i="122"/>
  <c r="J50" i="122"/>
  <c r="I50" i="122"/>
  <c r="H50" i="122"/>
  <c r="Z48" i="122"/>
  <c r="AA48" i="122" s="1"/>
  <c r="Y48" i="122"/>
  <c r="X48" i="122"/>
  <c r="W48" i="122"/>
  <c r="V48" i="122"/>
  <c r="U48" i="122"/>
  <c r="T48" i="122"/>
  <c r="S48" i="122"/>
  <c r="R48" i="122"/>
  <c r="Q48" i="122"/>
  <c r="P48" i="122"/>
  <c r="O48" i="122"/>
  <c r="N48" i="122"/>
  <c r="M48" i="122"/>
  <c r="L48" i="122"/>
  <c r="K48" i="122"/>
  <c r="J48" i="122"/>
  <c r="I48" i="122"/>
  <c r="H48" i="122"/>
  <c r="Z46" i="122"/>
  <c r="AA46" i="122" s="1"/>
  <c r="Y46" i="122"/>
  <c r="X46" i="122"/>
  <c r="W46" i="122"/>
  <c r="V46" i="122"/>
  <c r="U46" i="122"/>
  <c r="T46" i="122"/>
  <c r="S46" i="122"/>
  <c r="R46" i="122"/>
  <c r="Q46" i="122"/>
  <c r="P46" i="122"/>
  <c r="O46" i="122"/>
  <c r="N46" i="122"/>
  <c r="M46" i="122"/>
  <c r="L46" i="122"/>
  <c r="K46" i="122"/>
  <c r="J46" i="122"/>
  <c r="I46" i="122"/>
  <c r="H46" i="122"/>
  <c r="Z42" i="122"/>
  <c r="Y42" i="122"/>
  <c r="X42" i="122"/>
  <c r="W42" i="122"/>
  <c r="V42" i="122"/>
  <c r="U42" i="122"/>
  <c r="T42" i="122"/>
  <c r="S42" i="122"/>
  <c r="R42" i="122"/>
  <c r="Q42" i="122"/>
  <c r="P42" i="122"/>
  <c r="O42" i="122"/>
  <c r="N42" i="122"/>
  <c r="M42" i="122"/>
  <c r="L42" i="122"/>
  <c r="K42" i="122"/>
  <c r="J42" i="122"/>
  <c r="I42" i="122"/>
  <c r="L13" i="133" l="1"/>
  <c r="H13" i="133"/>
  <c r="I13" i="133"/>
  <c r="J13" i="133"/>
  <c r="D13" i="133"/>
  <c r="E13" i="133"/>
  <c r="F13" i="133"/>
  <c r="K13" i="133"/>
  <c r="G13" i="133"/>
  <c r="L53" i="118"/>
  <c r="Z22" i="124"/>
  <c r="AC293" i="103"/>
  <c r="AA285" i="103"/>
  <c r="AU106" i="125"/>
  <c r="AU118" i="125" s="1"/>
  <c r="AA65" i="124"/>
  <c r="AE193" i="125"/>
  <c r="AE194" i="125" s="1"/>
  <c r="AU105" i="125"/>
  <c r="AU117" i="125" s="1"/>
  <c r="DA64" i="131"/>
  <c r="I135" i="123"/>
  <c r="DA19" i="131"/>
  <c r="DA50" i="131"/>
  <c r="DA23" i="131"/>
  <c r="CS51" i="131"/>
  <c r="CS24" i="131"/>
  <c r="AP101" i="119"/>
  <c r="DI33" i="131"/>
  <c r="AP103" i="119"/>
  <c r="DI37" i="131"/>
  <c r="AP95" i="119"/>
  <c r="DI19" i="131"/>
  <c r="DI23" i="131"/>
  <c r="AP96" i="119"/>
  <c r="DA51" i="131"/>
  <c r="DA24" i="131"/>
  <c r="AP105" i="119"/>
  <c r="DI38" i="131"/>
  <c r="DI24" i="131"/>
  <c r="AP97" i="119"/>
  <c r="CK50" i="131"/>
  <c r="CK46" i="131"/>
  <c r="CK19" i="131"/>
  <c r="CS59" i="131"/>
  <c r="CS46" i="131"/>
  <c r="CS63" i="131"/>
  <c r="CS50" i="131"/>
  <c r="CK51" i="131"/>
  <c r="CS19" i="131"/>
  <c r="CS23" i="131"/>
  <c r="DA46" i="131"/>
  <c r="DA59" i="131"/>
  <c r="DA63" i="131"/>
  <c r="CS64" i="131"/>
  <c r="Z79" i="122"/>
  <c r="L22" i="118" s="1"/>
  <c r="L21" i="118"/>
  <c r="V73" i="122"/>
  <c r="H19" i="118" s="1"/>
  <c r="H15" i="118"/>
  <c r="W73" i="122"/>
  <c r="I19" i="118" s="1"/>
  <c r="I15" i="118"/>
  <c r="X73" i="122"/>
  <c r="J19" i="118" s="1"/>
  <c r="J15" i="118"/>
  <c r="Y73" i="122"/>
  <c r="K19" i="118" s="1"/>
  <c r="K15" i="118"/>
  <c r="O90" i="123"/>
  <c r="O93" i="123" s="1"/>
  <c r="I91" i="123"/>
  <c r="I93" i="123" s="1"/>
  <c r="J135" i="123"/>
  <c r="T70" i="122"/>
  <c r="T73" i="122"/>
  <c r="F19" i="118" s="1"/>
  <c r="U135" i="123"/>
  <c r="U70" i="122"/>
  <c r="U73" i="122"/>
  <c r="G19" i="118" s="1"/>
  <c r="K180" i="122"/>
  <c r="K186" i="122" s="1"/>
  <c r="V135" i="123"/>
  <c r="R70" i="122"/>
  <c r="R73" i="122"/>
  <c r="S70" i="122"/>
  <c r="E15" i="118" s="1"/>
  <c r="S73" i="122"/>
  <c r="S135" i="123"/>
  <c r="H53" i="118"/>
  <c r="J57" i="124"/>
  <c r="J58" i="118"/>
  <c r="E64" i="118"/>
  <c r="O107" i="123"/>
  <c r="R12" i="123"/>
  <c r="R14" i="123" s="1"/>
  <c r="M105" i="118"/>
  <c r="S36" i="123"/>
  <c r="M128" i="118"/>
  <c r="M70" i="123"/>
  <c r="M71" i="123" s="1"/>
  <c r="G144" i="118"/>
  <c r="G143" i="118" s="1"/>
  <c r="I53" i="118"/>
  <c r="K58" i="118"/>
  <c r="H34" i="124"/>
  <c r="H48" i="124"/>
  <c r="AA35" i="123"/>
  <c r="AB35" i="123" s="1"/>
  <c r="AC35" i="123" s="1"/>
  <c r="AD35" i="123" s="1"/>
  <c r="AE35" i="123" s="1"/>
  <c r="AF35" i="123" s="1"/>
  <c r="J125" i="118"/>
  <c r="J124" i="118" s="1"/>
  <c r="N70" i="123"/>
  <c r="N71" i="123" s="1"/>
  <c r="S109" i="123"/>
  <c r="H144" i="118"/>
  <c r="H143" i="118" s="1"/>
  <c r="C42" i="118"/>
  <c r="J53" i="118"/>
  <c r="L51" i="124"/>
  <c r="I34" i="124"/>
  <c r="C78" i="118"/>
  <c r="R35" i="123"/>
  <c r="K125" i="118"/>
  <c r="K124" i="118" s="1"/>
  <c r="K56" i="123"/>
  <c r="I144" i="118"/>
  <c r="I143" i="118" s="1"/>
  <c r="H56" i="122"/>
  <c r="E53" i="118"/>
  <c r="K53" i="118"/>
  <c r="M57" i="124"/>
  <c r="J34" i="124"/>
  <c r="J103" i="118"/>
  <c r="J102" i="118" s="1"/>
  <c r="P110" i="123"/>
  <c r="F125" i="118"/>
  <c r="F124" i="118" s="1"/>
  <c r="O67" i="123"/>
  <c r="O71" i="123" s="1"/>
  <c r="H70" i="123"/>
  <c r="H71" i="123" s="1"/>
  <c r="R70" i="123"/>
  <c r="R71" i="123" s="1"/>
  <c r="R73" i="123" s="1"/>
  <c r="L56" i="123"/>
  <c r="J144" i="118"/>
  <c r="J143" i="118" s="1"/>
  <c r="F53" i="118"/>
  <c r="O57" i="124"/>
  <c r="O114" i="122" s="1"/>
  <c r="C60" i="118"/>
  <c r="M34" i="124"/>
  <c r="C75" i="118"/>
  <c r="H55" i="124"/>
  <c r="K103" i="118"/>
  <c r="K102" i="118" s="1"/>
  <c r="Q110" i="123"/>
  <c r="R108" i="123"/>
  <c r="K70" i="123"/>
  <c r="K71" i="123" s="1"/>
  <c r="G53" i="118"/>
  <c r="I57" i="124"/>
  <c r="P27" i="124"/>
  <c r="I58" i="118"/>
  <c r="L48" i="124"/>
  <c r="N55" i="124"/>
  <c r="O54" i="124" s="1"/>
  <c r="O55" i="124" s="1"/>
  <c r="P54" i="124" s="1"/>
  <c r="P55" i="124" s="1"/>
  <c r="Q54" i="124" s="1"/>
  <c r="O106" i="123"/>
  <c r="T110" i="123"/>
  <c r="S108" i="123"/>
  <c r="L70" i="123"/>
  <c r="L71" i="123" s="1"/>
  <c r="P49" i="123"/>
  <c r="R285" i="103" s="1"/>
  <c r="H56" i="123"/>
  <c r="F144" i="118"/>
  <c r="F143" i="118" s="1"/>
  <c r="T65" i="122"/>
  <c r="R65" i="122"/>
  <c r="U65" i="122"/>
  <c r="Q65" i="122"/>
  <c r="S65" i="122"/>
  <c r="V70" i="122"/>
  <c r="V65" i="122"/>
  <c r="J26" i="123"/>
  <c r="J108" i="123"/>
  <c r="H63" i="123"/>
  <c r="H64" i="123" s="1"/>
  <c r="H110" i="123"/>
  <c r="H136" i="118"/>
  <c r="H135" i="118" s="1"/>
  <c r="V109" i="123"/>
  <c r="I109" i="123"/>
  <c r="L63" i="123"/>
  <c r="L64" i="123" s="1"/>
  <c r="L110" i="123"/>
  <c r="AA63" i="123"/>
  <c r="AA110" i="123"/>
  <c r="G116" i="118"/>
  <c r="G115" i="118" s="1"/>
  <c r="U108" i="123"/>
  <c r="J46" i="123"/>
  <c r="J109" i="123"/>
  <c r="N63" i="123"/>
  <c r="N64" i="123" s="1"/>
  <c r="N110" i="123"/>
  <c r="F136" i="118"/>
  <c r="F135" i="118" s="1"/>
  <c r="T109" i="123"/>
  <c r="O26" i="123"/>
  <c r="O108" i="123"/>
  <c r="G136" i="118"/>
  <c r="G135" i="118" s="1"/>
  <c r="U109" i="123"/>
  <c r="K63" i="123"/>
  <c r="K64" i="123" s="1"/>
  <c r="K110" i="123"/>
  <c r="M63" i="123"/>
  <c r="M64" i="123" s="1"/>
  <c r="M110" i="123"/>
  <c r="I26" i="123"/>
  <c r="I108" i="123"/>
  <c r="H116" i="118"/>
  <c r="H115" i="118" s="1"/>
  <c r="V108" i="123"/>
  <c r="R48" i="124"/>
  <c r="D76" i="118"/>
  <c r="AB8" i="123"/>
  <c r="M97" i="118"/>
  <c r="G58" i="118"/>
  <c r="V32" i="124"/>
  <c r="H62" i="118" s="1"/>
  <c r="H61" i="118"/>
  <c r="S48" i="124"/>
  <c r="E76" i="118"/>
  <c r="Z48" i="124"/>
  <c r="L76" i="118"/>
  <c r="L75" i="118" s="1"/>
  <c r="AB9" i="123"/>
  <c r="M98" i="118"/>
  <c r="AB24" i="123"/>
  <c r="M113" i="118"/>
  <c r="AB29" i="123"/>
  <c r="M118" i="118"/>
  <c r="AB34" i="123"/>
  <c r="M123" i="118"/>
  <c r="Y54" i="123"/>
  <c r="K140" i="118"/>
  <c r="F58" i="118"/>
  <c r="H58" i="118"/>
  <c r="W32" i="124"/>
  <c r="I62" i="118" s="1"/>
  <c r="I61" i="118"/>
  <c r="T48" i="124"/>
  <c r="F76" i="118"/>
  <c r="F75" i="118" s="1"/>
  <c r="AB10" i="123"/>
  <c r="M99" i="118"/>
  <c r="U35" i="123"/>
  <c r="G125" i="118"/>
  <c r="G124" i="118" s="1"/>
  <c r="AA67" i="123"/>
  <c r="M127" i="118"/>
  <c r="AB51" i="123"/>
  <c r="M140" i="118"/>
  <c r="AB9" i="124"/>
  <c r="M44" i="118"/>
  <c r="W13" i="123"/>
  <c r="I103" i="118"/>
  <c r="I102" i="118" s="1"/>
  <c r="X32" i="124"/>
  <c r="J62" i="118" s="1"/>
  <c r="J61" i="118"/>
  <c r="V48" i="124"/>
  <c r="H76" i="118"/>
  <c r="H75" i="118" s="1"/>
  <c r="AB11" i="123"/>
  <c r="M100" i="118"/>
  <c r="Z13" i="123"/>
  <c r="L103" i="118"/>
  <c r="L102" i="118" s="1"/>
  <c r="V35" i="123"/>
  <c r="H125" i="118"/>
  <c r="H124" i="118" s="1"/>
  <c r="U32" i="124"/>
  <c r="G62" i="118" s="1"/>
  <c r="G61" i="118"/>
  <c r="AB12" i="123"/>
  <c r="M101" i="118"/>
  <c r="AA61" i="123"/>
  <c r="M111" i="118"/>
  <c r="R32" i="124"/>
  <c r="D62" i="118" s="1"/>
  <c r="D61" i="118"/>
  <c r="U49" i="124"/>
  <c r="G67" i="118"/>
  <c r="Q27" i="124"/>
  <c r="C58" i="118"/>
  <c r="S32" i="124"/>
  <c r="E62" i="118" s="1"/>
  <c r="E61" i="118"/>
  <c r="Y32" i="124"/>
  <c r="K62" i="118" s="1"/>
  <c r="K61" i="118"/>
  <c r="AA90" i="123"/>
  <c r="M120" i="118"/>
  <c r="W48" i="124"/>
  <c r="I76" i="118"/>
  <c r="I75" i="118" s="1"/>
  <c r="T13" i="123"/>
  <c r="F103" i="118"/>
  <c r="F102" i="118" s="1"/>
  <c r="W35" i="123"/>
  <c r="I125" i="118"/>
  <c r="I124" i="118" s="1"/>
  <c r="Y48" i="124"/>
  <c r="K76" i="118"/>
  <c r="K75" i="118" s="1"/>
  <c r="AB43" i="123"/>
  <c r="M132" i="118"/>
  <c r="R35" i="124"/>
  <c r="D64" i="118"/>
  <c r="E58" i="118"/>
  <c r="T32" i="124"/>
  <c r="F62" i="118" s="1"/>
  <c r="F61" i="118"/>
  <c r="Z32" i="124"/>
  <c r="L62" i="118" s="1"/>
  <c r="L61" i="118"/>
  <c r="X48" i="124"/>
  <c r="J76" i="118"/>
  <c r="J75" i="118" s="1"/>
  <c r="AB7" i="123"/>
  <c r="M96" i="118"/>
  <c r="U14" i="123"/>
  <c r="G101" i="118"/>
  <c r="V13" i="123"/>
  <c r="H103" i="118"/>
  <c r="H102" i="118" s="1"/>
  <c r="AB17" i="123"/>
  <c r="M106" i="118"/>
  <c r="AB32" i="123"/>
  <c r="M121" i="118"/>
  <c r="AA68" i="123"/>
  <c r="M131" i="118"/>
  <c r="AB49" i="123"/>
  <c r="M138" i="118"/>
  <c r="W49" i="125"/>
  <c r="V29" i="125"/>
  <c r="AB312" i="125"/>
  <c r="AC312" i="125" s="1"/>
  <c r="AA311" i="125"/>
  <c r="X32" i="125"/>
  <c r="AC30" i="125"/>
  <c r="AC50" i="125" s="1"/>
  <c r="AB31" i="125"/>
  <c r="Y32" i="125"/>
  <c r="P63" i="123"/>
  <c r="P64" i="123" s="1"/>
  <c r="P73" i="123" s="1"/>
  <c r="Q63" i="123"/>
  <c r="Q64" i="123" s="1"/>
  <c r="Q73" i="123" s="1"/>
  <c r="AF77" i="123"/>
  <c r="T63" i="123"/>
  <c r="T64" i="123" s="1"/>
  <c r="T73" i="123" s="1"/>
  <c r="AA70" i="123"/>
  <c r="AA136" i="125"/>
  <c r="AR106" i="125" s="1"/>
  <c r="AR118" i="125" s="1"/>
  <c r="AR120" i="125" s="1"/>
  <c r="T46" i="126"/>
  <c r="S17" i="126"/>
  <c r="S46" i="126"/>
  <c r="S18" i="126"/>
  <c r="S47" i="126"/>
  <c r="P15" i="122"/>
  <c r="Q15" i="122"/>
  <c r="S15" i="122"/>
  <c r="R15" i="122"/>
  <c r="AA11" i="124"/>
  <c r="M46" i="118" s="1"/>
  <c r="P84" i="122"/>
  <c r="P92" i="122" s="1"/>
  <c r="P97" i="122" s="1"/>
  <c r="R84" i="122"/>
  <c r="M84" i="122"/>
  <c r="M92" i="122" s="1"/>
  <c r="M97" i="122" s="1"/>
  <c r="S84" i="122"/>
  <c r="S92" i="122" s="1"/>
  <c r="S100" i="122" s="1"/>
  <c r="K84" i="122"/>
  <c r="K92" i="122" s="1"/>
  <c r="K97" i="122" s="1"/>
  <c r="L84" i="122"/>
  <c r="L92" i="122" s="1"/>
  <c r="L97" i="122" s="1"/>
  <c r="N84" i="122"/>
  <c r="N92" i="122" s="1"/>
  <c r="N97" i="122" s="1"/>
  <c r="T84" i="122"/>
  <c r="I84" i="122"/>
  <c r="I92" i="122" s="1"/>
  <c r="I97" i="122" s="1"/>
  <c r="O84" i="122"/>
  <c r="O92" i="122" s="1"/>
  <c r="O97" i="122" s="1"/>
  <c r="U84" i="122"/>
  <c r="V84" i="122"/>
  <c r="J84" i="122"/>
  <c r="J92" i="122" s="1"/>
  <c r="J97" i="122" s="1"/>
  <c r="Q84" i="122"/>
  <c r="Q92" i="122" s="1"/>
  <c r="Q97" i="122" s="1"/>
  <c r="X84" i="122"/>
  <c r="Z84" i="122"/>
  <c r="W84" i="122"/>
  <c r="Y84" i="122"/>
  <c r="X70" i="122"/>
  <c r="X189" i="122" s="1"/>
  <c r="Z70" i="122"/>
  <c r="Z189" i="122" s="1"/>
  <c r="W70" i="122"/>
  <c r="W189" i="122" s="1"/>
  <c r="Y70" i="122"/>
  <c r="Y189" i="122" s="1"/>
  <c r="Z65" i="122"/>
  <c r="W65" i="122"/>
  <c r="X65" i="122"/>
  <c r="Y65" i="122"/>
  <c r="Y79" i="122"/>
  <c r="K22" i="118" s="1"/>
  <c r="W79" i="122"/>
  <c r="I22" i="118" s="1"/>
  <c r="X79" i="122"/>
  <c r="J22" i="118" s="1"/>
  <c r="N39" i="122"/>
  <c r="I39" i="122"/>
  <c r="J39" i="122"/>
  <c r="K39" i="122"/>
  <c r="L39" i="122"/>
  <c r="M39" i="122"/>
  <c r="AD129" i="122"/>
  <c r="N6" i="124"/>
  <c r="O6" i="124"/>
  <c r="I6" i="124"/>
  <c r="R6" i="124" s="1"/>
  <c r="S6" i="124" s="1"/>
  <c r="Q7" i="124"/>
  <c r="Q106" i="123" s="1"/>
  <c r="M6" i="124"/>
  <c r="H6" i="124"/>
  <c r="J6" i="124"/>
  <c r="H29" i="122"/>
  <c r="K6" i="124"/>
  <c r="X11" i="125"/>
  <c r="W27" i="124"/>
  <c r="W70" i="124"/>
  <c r="AB30" i="123"/>
  <c r="N119" i="118" s="1"/>
  <c r="AA89" i="123"/>
  <c r="X27" i="124"/>
  <c r="X70" i="124"/>
  <c r="Y35" i="124"/>
  <c r="Y70" i="124"/>
  <c r="Z27" i="124"/>
  <c r="Z70" i="124"/>
  <c r="AB39" i="123"/>
  <c r="AA91" i="123"/>
  <c r="O138" i="122"/>
  <c r="O141" i="122" s="1"/>
  <c r="O144" i="122" s="1"/>
  <c r="I138" i="122"/>
  <c r="I141" i="122" s="1"/>
  <c r="I144" i="122" s="1"/>
  <c r="X15" i="125"/>
  <c r="T12" i="122"/>
  <c r="O19" i="126"/>
  <c r="O20" i="126" s="1"/>
  <c r="J16" i="122"/>
  <c r="T35" i="124"/>
  <c r="R32" i="122"/>
  <c r="AA138" i="122"/>
  <c r="T27" i="123"/>
  <c r="Z36" i="123"/>
  <c r="L125" i="118" s="1"/>
  <c r="L124" i="118" s="1"/>
  <c r="W15" i="125"/>
  <c r="Z14" i="122"/>
  <c r="K16" i="122"/>
  <c r="V34" i="122"/>
  <c r="J48" i="124"/>
  <c r="L16" i="122"/>
  <c r="AB26" i="123"/>
  <c r="AB22" i="123"/>
  <c r="R47" i="123"/>
  <c r="AB46" i="123"/>
  <c r="AD76" i="123"/>
  <c r="AB42" i="123"/>
  <c r="O135" i="123"/>
  <c r="K35" i="122"/>
  <c r="S35" i="124"/>
  <c r="V14" i="122"/>
  <c r="J56" i="123"/>
  <c r="W35" i="124"/>
  <c r="I56" i="123"/>
  <c r="Y13" i="122"/>
  <c r="X14" i="122"/>
  <c r="P17" i="126"/>
  <c r="W11" i="125"/>
  <c r="AA190" i="125"/>
  <c r="U27" i="124"/>
  <c r="U35" i="124"/>
  <c r="Y11" i="125"/>
  <c r="Y15" i="125"/>
  <c r="T20" i="122"/>
  <c r="T23" i="122" s="1"/>
  <c r="I35" i="122"/>
  <c r="V27" i="124"/>
  <c r="V35" i="124"/>
  <c r="O27" i="124"/>
  <c r="T17" i="126"/>
  <c r="Y9" i="122"/>
  <c r="DA16" i="131" s="1"/>
  <c r="M16" i="122"/>
  <c r="Q32" i="122"/>
  <c r="O34" i="124"/>
  <c r="V56" i="123"/>
  <c r="P26" i="122"/>
  <c r="T6" i="122"/>
  <c r="U13" i="122" s="1"/>
  <c r="Y28" i="122"/>
  <c r="W32" i="122"/>
  <c r="U34" i="122"/>
  <c r="W23" i="122"/>
  <c r="Y27" i="124"/>
  <c r="P34" i="124"/>
  <c r="K48" i="124"/>
  <c r="I48" i="124"/>
  <c r="O13" i="123"/>
  <c r="I46" i="123"/>
  <c r="U28" i="122"/>
  <c r="K51" i="124"/>
  <c r="P57" i="124"/>
  <c r="P114" i="122" s="1"/>
  <c r="R12" i="122"/>
  <c r="X12" i="122"/>
  <c r="V13" i="122"/>
  <c r="X23" i="122"/>
  <c r="AA186" i="125"/>
  <c r="Z12" i="122"/>
  <c r="Z9" i="122"/>
  <c r="DI16" i="131" s="1"/>
  <c r="U27" i="122"/>
  <c r="O12" i="122"/>
  <c r="O39" i="122"/>
  <c r="U12" i="122"/>
  <c r="U9" i="122"/>
  <c r="L35" i="122"/>
  <c r="L29" i="122"/>
  <c r="Z33" i="122"/>
  <c r="Z27" i="122"/>
  <c r="V12" i="122"/>
  <c r="N29" i="122"/>
  <c r="N16" i="122"/>
  <c r="AB31" i="123"/>
  <c r="W14" i="122"/>
  <c r="W13" i="122"/>
  <c r="I16" i="122"/>
  <c r="S26" i="122"/>
  <c r="S32" i="122"/>
  <c r="Y26" i="122"/>
  <c r="Y32" i="122"/>
  <c r="Y23" i="122"/>
  <c r="M35" i="122"/>
  <c r="M29" i="122"/>
  <c r="Q12" i="122"/>
  <c r="W12" i="122"/>
  <c r="X13" i="122"/>
  <c r="Y14" i="122"/>
  <c r="V9" i="122"/>
  <c r="P12" i="122"/>
  <c r="T32" i="122"/>
  <c r="Z32" i="122"/>
  <c r="Z23" i="122"/>
  <c r="N11" i="116" s="1"/>
  <c r="Z26" i="122"/>
  <c r="W9" i="122"/>
  <c r="CK16" i="131" s="1"/>
  <c r="CK29" i="131" s="1"/>
  <c r="T28" i="122"/>
  <c r="S12" i="122"/>
  <c r="Y12" i="122"/>
  <c r="Z13" i="122"/>
  <c r="U14" i="122"/>
  <c r="X9" i="122"/>
  <c r="CS16" i="131" s="1"/>
  <c r="S23" i="122"/>
  <c r="T26" i="122"/>
  <c r="O32" i="122"/>
  <c r="O23" i="122"/>
  <c r="U32" i="122"/>
  <c r="U23" i="122"/>
  <c r="V27" i="122"/>
  <c r="W34" i="122"/>
  <c r="W28" i="122"/>
  <c r="N35" i="122"/>
  <c r="U26" i="122"/>
  <c r="Z28" i="122"/>
  <c r="P32" i="122"/>
  <c r="V32" i="122"/>
  <c r="V23" i="122"/>
  <c r="J11" i="116" s="1"/>
  <c r="W27" i="122"/>
  <c r="X34" i="122"/>
  <c r="X28" i="122"/>
  <c r="I29" i="122"/>
  <c r="P23" i="122"/>
  <c r="V26" i="122"/>
  <c r="V33" i="122"/>
  <c r="Q26" i="122"/>
  <c r="W26" i="122"/>
  <c r="X27" i="122"/>
  <c r="J29" i="122"/>
  <c r="Q23" i="122"/>
  <c r="R35" i="122" s="1"/>
  <c r="X32" i="122"/>
  <c r="W33" i="122"/>
  <c r="Y34" i="122"/>
  <c r="R26" i="122"/>
  <c r="X26" i="122"/>
  <c r="Y33" i="122"/>
  <c r="K29" i="122"/>
  <c r="O26" i="122"/>
  <c r="Y27" i="122"/>
  <c r="X33" i="122"/>
  <c r="Z34" i="122"/>
  <c r="J35" i="122"/>
  <c r="V28" i="122"/>
  <c r="AB34" i="125"/>
  <c r="AA47" i="125"/>
  <c r="AA65" i="125" s="1"/>
  <c r="Z15" i="125"/>
  <c r="Z11" i="125"/>
  <c r="Z32" i="125"/>
  <c r="AB186" i="125"/>
  <c r="AB79" i="125"/>
  <c r="W136" i="125"/>
  <c r="X135" i="125"/>
  <c r="X188" i="125"/>
  <c r="Y190" i="125"/>
  <c r="Y194" i="125"/>
  <c r="X183" i="125"/>
  <c r="X239" i="125"/>
  <c r="AD29" i="125"/>
  <c r="AD49" i="125" s="1"/>
  <c r="AF34" i="130"/>
  <c r="W32" i="125"/>
  <c r="Q24" i="126"/>
  <c r="Z186" i="125"/>
  <c r="AC136" i="125"/>
  <c r="AB136" i="125"/>
  <c r="AC186" i="125"/>
  <c r="AD185" i="125"/>
  <c r="Z193" i="125"/>
  <c r="AQ105" i="125" s="1"/>
  <c r="AQ117" i="125" s="1"/>
  <c r="AB193" i="125"/>
  <c r="AS105" i="125" s="1"/>
  <c r="AS117" i="125" s="1"/>
  <c r="T15" i="126"/>
  <c r="T19" i="126"/>
  <c r="T20" i="126" s="1"/>
  <c r="AB37" i="126"/>
  <c r="DA10" i="130"/>
  <c r="Z20" i="126"/>
  <c r="AF39" i="130"/>
  <c r="U7" i="126"/>
  <c r="T99" i="126"/>
  <c r="O17" i="126"/>
  <c r="P19" i="126"/>
  <c r="X20" i="126"/>
  <c r="Y20" i="126"/>
  <c r="G20" i="127"/>
  <c r="P44" i="127"/>
  <c r="X13" i="123"/>
  <c r="Y13" i="123"/>
  <c r="Q13" i="123"/>
  <c r="AB38" i="123"/>
  <c r="AB16" i="123"/>
  <c r="J51" i="124"/>
  <c r="S27" i="124"/>
  <c r="M51" i="124"/>
  <c r="Z35" i="124"/>
  <c r="L65" i="118" s="1"/>
  <c r="AA26" i="124"/>
  <c r="AA129" i="123" s="1"/>
  <c r="T27" i="124"/>
  <c r="AC29" i="124"/>
  <c r="I51" i="124"/>
  <c r="Q6" i="124"/>
  <c r="Q34" i="124"/>
  <c r="X35" i="124"/>
  <c r="K57" i="124"/>
  <c r="Q57" i="124"/>
  <c r="L57" i="124"/>
  <c r="AC56" i="122"/>
  <c r="AD56" i="122" s="1"/>
  <c r="H64" i="122"/>
  <c r="AB48" i="122"/>
  <c r="AB50" i="122"/>
  <c r="AB46" i="122"/>
  <c r="AC54" i="122"/>
  <c r="AD59" i="122"/>
  <c r="AB63" i="122"/>
  <c r="AB61" i="122"/>
  <c r="O38" i="118"/>
  <c r="P38" i="118"/>
  <c r="Q38" i="118"/>
  <c r="AG89" i="103"/>
  <c r="AG137" i="103"/>
  <c r="AG179" i="103"/>
  <c r="AG205" i="103"/>
  <c r="AG324" i="103"/>
  <c r="AG321" i="103"/>
  <c r="AF44" i="103"/>
  <c r="AG44" i="103"/>
  <c r="AG46" i="103"/>
  <c r="AG47" i="103"/>
  <c r="AG48" i="103"/>
  <c r="AG51" i="103"/>
  <c r="CW37" i="115" a="1"/>
  <c r="CK43" i="131" l="1"/>
  <c r="CK56" i="131" s="1"/>
  <c r="K11" i="116"/>
  <c r="DA43" i="131"/>
  <c r="M11" i="116"/>
  <c r="CS43" i="131"/>
  <c r="L11" i="116"/>
  <c r="AD293" i="103"/>
  <c r="AU120" i="125"/>
  <c r="AS106" i="125"/>
  <c r="AS118" i="125" s="1"/>
  <c r="AS120" i="125" s="1"/>
  <c r="AT106" i="125"/>
  <c r="AT118" i="125" s="1"/>
  <c r="AF193" i="125"/>
  <c r="AV105" i="125"/>
  <c r="AV117" i="125" s="1"/>
  <c r="S97" i="122"/>
  <c r="AA141" i="122"/>
  <c r="AB121" i="122" s="1"/>
  <c r="R189" i="122"/>
  <c r="U189" i="122"/>
  <c r="U102" i="123"/>
  <c r="U104" i="123" s="1"/>
  <c r="S85" i="122"/>
  <c r="S189" i="122"/>
  <c r="S102" i="123"/>
  <c r="S104" i="123" s="1"/>
  <c r="T189" i="122"/>
  <c r="T102" i="123"/>
  <c r="T104" i="123" s="1"/>
  <c r="H17" i="118"/>
  <c r="V189" i="122"/>
  <c r="V102" i="123"/>
  <c r="V104" i="123" s="1"/>
  <c r="L17" i="118"/>
  <c r="CS29" i="131"/>
  <c r="DA29" i="131"/>
  <c r="DI64" i="131"/>
  <c r="DI51" i="131"/>
  <c r="DI59" i="131"/>
  <c r="DI46" i="131"/>
  <c r="DA56" i="131"/>
  <c r="AP107" i="119"/>
  <c r="DI43" i="131"/>
  <c r="DI29" i="131"/>
  <c r="AP99" i="119"/>
  <c r="DI63" i="131"/>
  <c r="DI50" i="131"/>
  <c r="P94" i="123"/>
  <c r="O94" i="123"/>
  <c r="T92" i="122"/>
  <c r="F23" i="118"/>
  <c r="X102" i="123"/>
  <c r="X104" i="123" s="1"/>
  <c r="J17" i="118"/>
  <c r="V92" i="122"/>
  <c r="H23" i="118"/>
  <c r="Y92" i="122"/>
  <c r="K23" i="118"/>
  <c r="T85" i="122"/>
  <c r="F17" i="118"/>
  <c r="Y102" i="123"/>
  <c r="Y104" i="123" s="1"/>
  <c r="K17" i="118"/>
  <c r="Z92" i="122"/>
  <c r="L23" i="118"/>
  <c r="U92" i="122"/>
  <c r="G23" i="118"/>
  <c r="U85" i="122"/>
  <c r="G17" i="118"/>
  <c r="I94" i="123"/>
  <c r="J94" i="123"/>
  <c r="W92" i="122"/>
  <c r="I23" i="118"/>
  <c r="W102" i="123"/>
  <c r="W104" i="123" s="1"/>
  <c r="I17" i="118"/>
  <c r="X92" i="122"/>
  <c r="J23" i="118"/>
  <c r="D15" i="118"/>
  <c r="M73" i="123"/>
  <c r="R135" i="123"/>
  <c r="T135" i="123"/>
  <c r="Z116" i="123"/>
  <c r="AA116" i="123" s="1"/>
  <c r="Z184" i="122"/>
  <c r="AA184" i="122" s="1"/>
  <c r="AB184" i="122" s="1"/>
  <c r="AC184" i="122" s="1"/>
  <c r="AD184" i="122" s="1"/>
  <c r="AE184" i="122" s="1"/>
  <c r="AF184" i="122" s="1"/>
  <c r="Z118" i="123"/>
  <c r="AA118" i="123" s="1"/>
  <c r="Z125" i="123"/>
  <c r="AA125" i="123" s="1"/>
  <c r="U116" i="123"/>
  <c r="U125" i="123"/>
  <c r="U118" i="123"/>
  <c r="U184" i="122"/>
  <c r="X125" i="123"/>
  <c r="X118" i="123"/>
  <c r="X184" i="122"/>
  <c r="X116" i="123"/>
  <c r="W118" i="123"/>
  <c r="W125" i="123"/>
  <c r="W116" i="123"/>
  <c r="W184" i="122"/>
  <c r="V118" i="123"/>
  <c r="V125" i="123"/>
  <c r="V184" i="122"/>
  <c r="V116" i="123"/>
  <c r="Y125" i="123"/>
  <c r="Y118" i="123"/>
  <c r="Y116" i="123"/>
  <c r="Y184" i="122"/>
  <c r="R85" i="122"/>
  <c r="N73" i="123"/>
  <c r="L73" i="123"/>
  <c r="K73" i="123"/>
  <c r="AA36" i="123"/>
  <c r="I65" i="118"/>
  <c r="I64" i="118" s="1"/>
  <c r="N138" i="118"/>
  <c r="D75" i="118"/>
  <c r="J70" i="123"/>
  <c r="J71" i="123" s="1"/>
  <c r="F65" i="118"/>
  <c r="F64" i="118" s="1"/>
  <c r="J65" i="118"/>
  <c r="J64" i="118" s="1"/>
  <c r="H65" i="118"/>
  <c r="H64" i="118" s="1"/>
  <c r="C64" i="118"/>
  <c r="O35" i="123"/>
  <c r="K65" i="118"/>
  <c r="K64" i="118" s="1"/>
  <c r="N118" i="118"/>
  <c r="N105" i="118"/>
  <c r="O109" i="123"/>
  <c r="M55" i="124"/>
  <c r="R13" i="123"/>
  <c r="T108" i="123"/>
  <c r="I55" i="124"/>
  <c r="K55" i="124"/>
  <c r="G65" i="118"/>
  <c r="G64" i="118" s="1"/>
  <c r="E65" i="118"/>
  <c r="N128" i="118"/>
  <c r="U56" i="123"/>
  <c r="D65" i="118"/>
  <c r="K144" i="118"/>
  <c r="K143" i="118" s="1"/>
  <c r="E75" i="118"/>
  <c r="L55" i="124"/>
  <c r="S12" i="123"/>
  <c r="J55" i="124"/>
  <c r="R109" i="123"/>
  <c r="H73" i="123"/>
  <c r="H74" i="123" s="1"/>
  <c r="P54" i="123"/>
  <c r="Z102" i="123"/>
  <c r="Z104" i="123" s="1"/>
  <c r="Z85" i="122"/>
  <c r="C23" i="118"/>
  <c r="AB70" i="123"/>
  <c r="V85" i="122"/>
  <c r="AC49" i="123"/>
  <c r="C84" i="118"/>
  <c r="Q114" i="122"/>
  <c r="V74" i="122"/>
  <c r="S74" i="122"/>
  <c r="R74" i="122"/>
  <c r="U74" i="122"/>
  <c r="C15" i="118"/>
  <c r="T74" i="122"/>
  <c r="I63" i="123"/>
  <c r="I64" i="123" s="1"/>
  <c r="I110" i="123"/>
  <c r="L64" i="118"/>
  <c r="AC29" i="123"/>
  <c r="O63" i="123"/>
  <c r="O64" i="123" s="1"/>
  <c r="O73" i="123" s="1"/>
  <c r="O110" i="123"/>
  <c r="AB63" i="123"/>
  <c r="AB110" i="123"/>
  <c r="J63" i="123"/>
  <c r="J64" i="123" s="1"/>
  <c r="J110" i="123"/>
  <c r="AB68" i="123"/>
  <c r="N131" i="118"/>
  <c r="AC11" i="123"/>
  <c r="N100" i="118"/>
  <c r="Q55" i="124"/>
  <c r="C81" i="118"/>
  <c r="T56" i="123"/>
  <c r="F116" i="118"/>
  <c r="F115" i="118" s="1"/>
  <c r="AB67" i="123"/>
  <c r="N127" i="118"/>
  <c r="R5" i="124"/>
  <c r="C43" i="118"/>
  <c r="AC32" i="123"/>
  <c r="N121" i="118"/>
  <c r="U13" i="123"/>
  <c r="G103" i="118"/>
  <c r="G102" i="118" s="1"/>
  <c r="AC9" i="124"/>
  <c r="N44" i="118"/>
  <c r="AC24" i="123"/>
  <c r="N113" i="118"/>
  <c r="AC8" i="123"/>
  <c r="N97" i="118"/>
  <c r="AA70" i="124"/>
  <c r="M58" i="118"/>
  <c r="AB90" i="123"/>
  <c r="N120" i="118"/>
  <c r="AB61" i="123"/>
  <c r="N111" i="118"/>
  <c r="AC17" i="123"/>
  <c r="N106" i="118"/>
  <c r="AC7" i="123"/>
  <c r="N96" i="118"/>
  <c r="AC43" i="123"/>
  <c r="N132" i="118"/>
  <c r="U48" i="124"/>
  <c r="G76" i="118"/>
  <c r="G75" i="118" s="1"/>
  <c r="AC12" i="123"/>
  <c r="N101" i="118"/>
  <c r="AC51" i="123"/>
  <c r="N140" i="118"/>
  <c r="AC10" i="123"/>
  <c r="N99" i="118"/>
  <c r="AC34" i="123"/>
  <c r="N123" i="118"/>
  <c r="AC9" i="123"/>
  <c r="N98" i="118"/>
  <c r="R92" i="122"/>
  <c r="Y74" i="122"/>
  <c r="Y85" i="122"/>
  <c r="W85" i="122"/>
  <c r="W74" i="122"/>
  <c r="Z74" i="122"/>
  <c r="X74" i="122"/>
  <c r="X85" i="122"/>
  <c r="Q74" i="123"/>
  <c r="V49" i="125"/>
  <c r="V32" i="125"/>
  <c r="AC31" i="125"/>
  <c r="AC51" i="125" s="1"/>
  <c r="AB51" i="125"/>
  <c r="AA78" i="125"/>
  <c r="AA80" i="125" s="1"/>
  <c r="T227" i="125"/>
  <c r="AD30" i="125"/>
  <c r="AD50" i="125" s="1"/>
  <c r="AO249" i="125"/>
  <c r="AO250" i="125"/>
  <c r="U74" i="123"/>
  <c r="T74" i="123"/>
  <c r="I70" i="123"/>
  <c r="I71" i="123" s="1"/>
  <c r="AD137" i="125"/>
  <c r="U46" i="126"/>
  <c r="U19" i="126"/>
  <c r="U20" i="126" s="1"/>
  <c r="T47" i="126"/>
  <c r="AC11" i="124"/>
  <c r="O46" i="118" s="1"/>
  <c r="AE11" i="124"/>
  <c r="Q46" i="118" s="1"/>
  <c r="AD11" i="124"/>
  <c r="P46" i="118" s="1"/>
  <c r="AB11" i="124"/>
  <c r="N46" i="118" s="1"/>
  <c r="L87" i="122"/>
  <c r="H84" i="122"/>
  <c r="H92" i="122" s="1"/>
  <c r="H97" i="122" s="1"/>
  <c r="Z87" i="122"/>
  <c r="S39" i="122"/>
  <c r="W39" i="122"/>
  <c r="Q39" i="122"/>
  <c r="V39" i="122"/>
  <c r="X39" i="122"/>
  <c r="P39" i="122"/>
  <c r="R39" i="122"/>
  <c r="U39" i="122"/>
  <c r="Z39" i="122"/>
  <c r="Y39" i="122"/>
  <c r="AE129" i="122"/>
  <c r="O16" i="122"/>
  <c r="Q8" i="124"/>
  <c r="R8" i="124" s="1"/>
  <c r="S8" i="124" s="1"/>
  <c r="AF60" i="130"/>
  <c r="O16" i="130"/>
  <c r="BR16" i="130"/>
  <c r="AF38" i="130"/>
  <c r="AF65" i="130"/>
  <c r="DA23" i="130"/>
  <c r="P141" i="122"/>
  <c r="P144" i="122" s="1"/>
  <c r="AC30" i="123"/>
  <c r="O119" i="118" s="1"/>
  <c r="AB89" i="123"/>
  <c r="AC39" i="123"/>
  <c r="AB91" i="123"/>
  <c r="J141" i="122"/>
  <c r="J144" i="122" s="1"/>
  <c r="V16" i="122"/>
  <c r="O23" i="126"/>
  <c r="S16" i="122"/>
  <c r="T9" i="122"/>
  <c r="AF136" i="125"/>
  <c r="X35" i="122"/>
  <c r="AH248" i="103"/>
  <c r="AF11" i="124"/>
  <c r="R46" i="118" s="1"/>
  <c r="AC46" i="123"/>
  <c r="AC42" i="123"/>
  <c r="AC22" i="123"/>
  <c r="R74" i="123"/>
  <c r="S74" i="123"/>
  <c r="AE76" i="123"/>
  <c r="AC26" i="123"/>
  <c r="AC31" i="123"/>
  <c r="AB138" i="122"/>
  <c r="U33" i="122"/>
  <c r="P16" i="122"/>
  <c r="Y16" i="122"/>
  <c r="T27" i="122"/>
  <c r="AH38" i="130"/>
  <c r="X29" i="122"/>
  <c r="W16" i="122"/>
  <c r="Q16" i="122"/>
  <c r="AH39" i="130"/>
  <c r="U29" i="122"/>
  <c r="U35" i="122"/>
  <c r="T35" i="122"/>
  <c r="Y35" i="122"/>
  <c r="Y29" i="122"/>
  <c r="S35" i="122"/>
  <c r="S29" i="122"/>
  <c r="W29" i="122"/>
  <c r="Z16" i="122"/>
  <c r="Q29" i="122"/>
  <c r="Q35" i="122"/>
  <c r="V29" i="122"/>
  <c r="V35" i="122"/>
  <c r="O29" i="122"/>
  <c r="O35" i="122"/>
  <c r="R29" i="122"/>
  <c r="R16" i="122"/>
  <c r="Z35" i="122"/>
  <c r="Z29" i="122"/>
  <c r="P29" i="122"/>
  <c r="P35" i="122"/>
  <c r="X16" i="122"/>
  <c r="W35" i="122"/>
  <c r="AD186" i="125"/>
  <c r="AE185" i="125"/>
  <c r="AF185" i="125" s="1"/>
  <c r="Y191" i="125"/>
  <c r="AA32" i="125"/>
  <c r="AB137" i="125"/>
  <c r="AH34" i="130"/>
  <c r="AC34" i="125"/>
  <c r="AB194" i="125"/>
  <c r="AC193" i="125"/>
  <c r="AT105" i="125" s="1"/>
  <c r="AT117" i="125" s="1"/>
  <c r="AB190" i="125"/>
  <c r="AD190" i="125"/>
  <c r="X136" i="125"/>
  <c r="Y135" i="125"/>
  <c r="AC137" i="125"/>
  <c r="X184" i="125"/>
  <c r="X189" i="125"/>
  <c r="W285" i="125"/>
  <c r="Z190" i="125"/>
  <c r="Z194" i="125"/>
  <c r="AA194" i="125"/>
  <c r="Y188" i="125"/>
  <c r="AE29" i="125"/>
  <c r="AE49" i="125" s="1"/>
  <c r="AE136" i="125"/>
  <c r="AD312" i="125"/>
  <c r="W137" i="125"/>
  <c r="AC79" i="125"/>
  <c r="AC37" i="126"/>
  <c r="DC11" i="130"/>
  <c r="DC24" i="130" s="1"/>
  <c r="U47" i="126"/>
  <c r="U17" i="126"/>
  <c r="DE10" i="130"/>
  <c r="T18" i="126"/>
  <c r="P20" i="126"/>
  <c r="P23" i="126" s="1"/>
  <c r="AB36" i="123"/>
  <c r="AF10" i="130"/>
  <c r="Q44" i="127"/>
  <c r="G43" i="127"/>
  <c r="DA11" i="130"/>
  <c r="DA24" i="130" s="1"/>
  <c r="AF11" i="130"/>
  <c r="AF52" i="130" s="1"/>
  <c r="T87" i="122"/>
  <c r="R87" i="122"/>
  <c r="AC16" i="123"/>
  <c r="AC38" i="123"/>
  <c r="AD29" i="124"/>
  <c r="N87" i="122"/>
  <c r="N4" i="124"/>
  <c r="AB26" i="124"/>
  <c r="AB129" i="123" s="1"/>
  <c r="L4" i="124"/>
  <c r="I4" i="124"/>
  <c r="I87" i="122"/>
  <c r="K4" i="124"/>
  <c r="K87" i="122"/>
  <c r="AE56" i="122"/>
  <c r="AF56" i="122" s="1"/>
  <c r="AD54" i="122"/>
  <c r="U87" i="122"/>
  <c r="AC63" i="122"/>
  <c r="Q4" i="124"/>
  <c r="V87" i="122"/>
  <c r="J4" i="124"/>
  <c r="J87" i="122"/>
  <c r="O4" i="124"/>
  <c r="O87" i="122"/>
  <c r="W87" i="122"/>
  <c r="AC61" i="122"/>
  <c r="AE59" i="122"/>
  <c r="AF59" i="122" s="1"/>
  <c r="AC50" i="122"/>
  <c r="AC48" i="122"/>
  <c r="S4" i="124"/>
  <c r="S87" i="122"/>
  <c r="P4" i="124"/>
  <c r="X87" i="122"/>
  <c r="Y87" i="122"/>
  <c r="M4" i="124"/>
  <c r="M87" i="122"/>
  <c r="AC46" i="122"/>
  <c r="AG91" i="103"/>
  <c r="CW37" i="115"/>
  <c r="AG208" i="103"/>
  <c r="DA69" i="131" l="1"/>
  <c r="CS56" i="131"/>
  <c r="CS69" i="131"/>
  <c r="AE293" i="103"/>
  <c r="AT120" i="125"/>
  <c r="AW106" i="125"/>
  <c r="AW118" i="125" s="1"/>
  <c r="AV106" i="125"/>
  <c r="AV118" i="125" s="1"/>
  <c r="AV120" i="125" s="1"/>
  <c r="X72" i="124"/>
  <c r="Z72" i="124"/>
  <c r="Z103" i="122"/>
  <c r="Z101" i="122"/>
  <c r="Y103" i="122"/>
  <c r="Y101" i="122"/>
  <c r="W72" i="124"/>
  <c r="Y72" i="124"/>
  <c r="AB65" i="124"/>
  <c r="AF194" i="125"/>
  <c r="AW105" i="125"/>
  <c r="AW117" i="125" s="1"/>
  <c r="R190" i="122"/>
  <c r="H24" i="118"/>
  <c r="U91" i="122"/>
  <c r="S93" i="122"/>
  <c r="X97" i="122"/>
  <c r="Z97" i="122"/>
  <c r="Y97" i="122"/>
  <c r="T97" i="122"/>
  <c r="V97" i="122"/>
  <c r="R97" i="122"/>
  <c r="W97" i="122"/>
  <c r="U97" i="122"/>
  <c r="S91" i="122"/>
  <c r="E23" i="118"/>
  <c r="AB141" i="122"/>
  <c r="AC121" i="122" s="1"/>
  <c r="V4" i="124"/>
  <c r="U4" i="124"/>
  <c r="DI69" i="131"/>
  <c r="DI56" i="131"/>
  <c r="U93" i="122"/>
  <c r="O74" i="123"/>
  <c r="T4" i="124"/>
  <c r="I24" i="118"/>
  <c r="F20" i="118"/>
  <c r="K24" i="118"/>
  <c r="H20" i="118"/>
  <c r="I27" i="118"/>
  <c r="G27" i="118"/>
  <c r="F24" i="118"/>
  <c r="T91" i="122"/>
  <c r="T93" i="122"/>
  <c r="L24" i="118"/>
  <c r="J27" i="118"/>
  <c r="J20" i="118"/>
  <c r="L27" i="118"/>
  <c r="K27" i="118"/>
  <c r="F27" i="118"/>
  <c r="K20" i="118"/>
  <c r="L20" i="118"/>
  <c r="G20" i="118"/>
  <c r="J24" i="118"/>
  <c r="I20" i="118"/>
  <c r="L74" i="123"/>
  <c r="G24" i="118"/>
  <c r="H27" i="118"/>
  <c r="M74" i="123"/>
  <c r="N74" i="123"/>
  <c r="M125" i="118"/>
  <c r="M124" i="118" s="1"/>
  <c r="T39" i="122"/>
  <c r="T184" i="122"/>
  <c r="R91" i="122"/>
  <c r="R93" i="122"/>
  <c r="D23" i="118"/>
  <c r="AB125" i="123"/>
  <c r="AB118" i="123"/>
  <c r="AB116" i="123"/>
  <c r="Q107" i="122"/>
  <c r="C33" i="118" s="1"/>
  <c r="Q106" i="122"/>
  <c r="C32" i="118" s="1"/>
  <c r="Q104" i="122"/>
  <c r="Q105" i="122"/>
  <c r="J73" i="123"/>
  <c r="K74" i="123" s="1"/>
  <c r="J23" i="124"/>
  <c r="I23" i="124"/>
  <c r="L3" i="118"/>
  <c r="C3" i="118"/>
  <c r="S14" i="123"/>
  <c r="L23" i="124"/>
  <c r="O105" i="118"/>
  <c r="G3" i="118"/>
  <c r="I3" i="118"/>
  <c r="O118" i="118"/>
  <c r="O138" i="118"/>
  <c r="C27" i="118"/>
  <c r="P56" i="123"/>
  <c r="P23" i="124"/>
  <c r="O128" i="118"/>
  <c r="D3" i="118"/>
  <c r="E3" i="118"/>
  <c r="V91" i="122"/>
  <c r="Q23" i="124"/>
  <c r="K23" i="124"/>
  <c r="N125" i="118"/>
  <c r="N124" i="118" s="1"/>
  <c r="J3" i="118"/>
  <c r="R100" i="122"/>
  <c r="O52" i="123"/>
  <c r="Q285" i="103" s="1"/>
  <c r="K3" i="118"/>
  <c r="H3" i="118"/>
  <c r="D42" i="118"/>
  <c r="AD49" i="123"/>
  <c r="AE49" i="123" s="1"/>
  <c r="R101" i="122"/>
  <c r="V93" i="122"/>
  <c r="V98" i="122" s="1"/>
  <c r="R4" i="124"/>
  <c r="R102" i="122"/>
  <c r="R71" i="122"/>
  <c r="S71" i="122"/>
  <c r="U71" i="122"/>
  <c r="V71" i="122"/>
  <c r="Q71" i="122"/>
  <c r="I73" i="123"/>
  <c r="AC70" i="123"/>
  <c r="P74" i="123"/>
  <c r="R103" i="122"/>
  <c r="AD29" i="123"/>
  <c r="AC63" i="123"/>
  <c r="AC110" i="123"/>
  <c r="R7" i="124"/>
  <c r="AD9" i="123"/>
  <c r="O98" i="118"/>
  <c r="AD51" i="123"/>
  <c r="O140" i="118"/>
  <c r="AD43" i="123"/>
  <c r="O132" i="118"/>
  <c r="AD8" i="123"/>
  <c r="O97" i="118"/>
  <c r="R54" i="124"/>
  <c r="D81" i="118" s="1"/>
  <c r="C82" i="118"/>
  <c r="AC90" i="123"/>
  <c r="O120" i="118"/>
  <c r="AC61" i="123"/>
  <c r="O111" i="118"/>
  <c r="AD34" i="123"/>
  <c r="O123" i="118"/>
  <c r="AD12" i="123"/>
  <c r="O101" i="118"/>
  <c r="AD7" i="123"/>
  <c r="O96" i="118"/>
  <c r="AD24" i="123"/>
  <c r="O113" i="118"/>
  <c r="AD11" i="123"/>
  <c r="O100" i="118"/>
  <c r="AD32" i="123"/>
  <c r="O121" i="118"/>
  <c r="AB70" i="124"/>
  <c r="N58" i="118"/>
  <c r="AC68" i="123"/>
  <c r="O131" i="118"/>
  <c r="AD10" i="123"/>
  <c r="O99" i="118"/>
  <c r="AD17" i="123"/>
  <c r="O106" i="118"/>
  <c r="AC67" i="123"/>
  <c r="O127" i="118"/>
  <c r="AD9" i="124"/>
  <c r="O44" i="118"/>
  <c r="Y91" i="122"/>
  <c r="X91" i="122"/>
  <c r="W91" i="122"/>
  <c r="Z91" i="122"/>
  <c r="AE30" i="125"/>
  <c r="AE50" i="125" s="1"/>
  <c r="AD31" i="125"/>
  <c r="AD51" i="125" s="1"/>
  <c r="AB78" i="125"/>
  <c r="AB80" i="125" s="1"/>
  <c r="AB47" i="125"/>
  <c r="T232" i="125"/>
  <c r="AO251" i="125"/>
  <c r="AF29" i="125"/>
  <c r="X71" i="122"/>
  <c r="X21" i="123"/>
  <c r="Y71" i="122"/>
  <c r="Y21" i="123"/>
  <c r="W71" i="122"/>
  <c r="W21" i="123"/>
  <c r="Z71" i="122"/>
  <c r="Z21" i="123"/>
  <c r="Y93" i="122"/>
  <c r="W93" i="122"/>
  <c r="X93" i="122"/>
  <c r="Z93" i="122"/>
  <c r="Z98" i="122" s="1"/>
  <c r="X4" i="124"/>
  <c r="W4" i="124"/>
  <c r="Y4" i="124"/>
  <c r="H87" i="122"/>
  <c r="AF129" i="122"/>
  <c r="T16" i="122"/>
  <c r="T29" i="122"/>
  <c r="DE23" i="130"/>
  <c r="AF64" i="130"/>
  <c r="AF51" i="130"/>
  <c r="AH65" i="130"/>
  <c r="AF23" i="130"/>
  <c r="AF24" i="130"/>
  <c r="AH60" i="130"/>
  <c r="BR29" i="130"/>
  <c r="BV29" i="130"/>
  <c r="AH64" i="130"/>
  <c r="O29" i="130"/>
  <c r="Q29" i="130"/>
  <c r="O57" i="130"/>
  <c r="U16" i="122"/>
  <c r="AD30" i="123"/>
  <c r="P119" i="118" s="1"/>
  <c r="AC89" i="123"/>
  <c r="AD39" i="123"/>
  <c r="AC91" i="123"/>
  <c r="AC36" i="123"/>
  <c r="AF186" i="125"/>
  <c r="AF190" i="125"/>
  <c r="AF137" i="125"/>
  <c r="AD22" i="123"/>
  <c r="AD26" i="123"/>
  <c r="AD42" i="123"/>
  <c r="AD46" i="123"/>
  <c r="AF76" i="123"/>
  <c r="AD31" i="123"/>
  <c r="AC138" i="122"/>
  <c r="W160" i="125"/>
  <c r="T102" i="122"/>
  <c r="F32" i="118" s="1"/>
  <c r="T103" i="122"/>
  <c r="Y239" i="125"/>
  <c r="Y183" i="125"/>
  <c r="X285" i="125"/>
  <c r="DC6" i="130"/>
  <c r="DC19" i="130" s="1"/>
  <c r="Z135" i="125"/>
  <c r="Y136" i="125"/>
  <c r="AC194" i="125"/>
  <c r="AC190" i="125"/>
  <c r="AD194" i="125"/>
  <c r="AB32" i="125"/>
  <c r="AE186" i="125"/>
  <c r="AE190" i="125"/>
  <c r="DA6" i="130"/>
  <c r="X137" i="125"/>
  <c r="T100" i="122"/>
  <c r="AE137" i="125"/>
  <c r="T101" i="122"/>
  <c r="AD79" i="125"/>
  <c r="Z191" i="125"/>
  <c r="AA191" i="125"/>
  <c r="AB191" i="125"/>
  <c r="AE312" i="125"/>
  <c r="AF312" i="125" s="1"/>
  <c r="AD34" i="125"/>
  <c r="AE34" i="125" s="1"/>
  <c r="AF34" i="125" s="1"/>
  <c r="AH10" i="130"/>
  <c r="AH51" i="130" s="1"/>
  <c r="DC10" i="130"/>
  <c r="U18" i="126"/>
  <c r="U24" i="126" s="1"/>
  <c r="AD37" i="126"/>
  <c r="H27" i="127"/>
  <c r="G44" i="127"/>
  <c r="AH11" i="130"/>
  <c r="DE11" i="130"/>
  <c r="DE24" i="130" s="1"/>
  <c r="R44" i="127"/>
  <c r="N23" i="124"/>
  <c r="N52" i="123"/>
  <c r="P285" i="103" s="1"/>
  <c r="AD16" i="123"/>
  <c r="AD38" i="123"/>
  <c r="M23" i="124"/>
  <c r="M52" i="123"/>
  <c r="O285" i="103" s="1"/>
  <c r="AC26" i="124"/>
  <c r="AC129" i="123" s="1"/>
  <c r="AE29" i="124"/>
  <c r="AF29" i="124" s="1"/>
  <c r="AD50" i="122"/>
  <c r="Q100" i="122"/>
  <c r="Q102" i="122"/>
  <c r="Q101" i="122"/>
  <c r="Q103" i="122"/>
  <c r="S102" i="122"/>
  <c r="S103" i="122"/>
  <c r="S101" i="122"/>
  <c r="AD63" i="122"/>
  <c r="V100" i="122"/>
  <c r="V101" i="122"/>
  <c r="V103" i="122"/>
  <c r="V102" i="122"/>
  <c r="H32" i="118" s="1"/>
  <c r="AD48" i="122"/>
  <c r="O100" i="122"/>
  <c r="O103" i="122"/>
  <c r="O102" i="122"/>
  <c r="O101" i="122"/>
  <c r="P101" i="122"/>
  <c r="P100" i="122"/>
  <c r="P103" i="122"/>
  <c r="P102" i="122"/>
  <c r="W100" i="122"/>
  <c r="W101" i="122"/>
  <c r="W102" i="122"/>
  <c r="I32" i="118" s="1"/>
  <c r="W103" i="122"/>
  <c r="Y102" i="122"/>
  <c r="K32" i="118" s="1"/>
  <c r="Y100" i="122"/>
  <c r="X101" i="122"/>
  <c r="X103" i="122"/>
  <c r="X102" i="122"/>
  <c r="J32" i="118" s="1"/>
  <c r="X100" i="122"/>
  <c r="U100" i="122"/>
  <c r="U102" i="122"/>
  <c r="G32" i="118" s="1"/>
  <c r="U101" i="122"/>
  <c r="U103" i="122"/>
  <c r="AD46" i="122"/>
  <c r="AD61" i="122"/>
  <c r="AE54" i="122"/>
  <c r="AF54" i="122" s="1"/>
  <c r="AF293" i="103" l="1"/>
  <c r="AW120" i="125"/>
  <c r="R98" i="122"/>
  <c r="R104" i="122"/>
  <c r="U98" i="122"/>
  <c r="U106" i="122"/>
  <c r="G33" i="118" s="1"/>
  <c r="U104" i="122"/>
  <c r="X98" i="122"/>
  <c r="X105" i="122"/>
  <c r="X107" i="122"/>
  <c r="X106" i="122"/>
  <c r="J33" i="118" s="1"/>
  <c r="X104" i="122"/>
  <c r="L12" i="116" s="1"/>
  <c r="T98" i="122"/>
  <c r="F31" i="118" s="1"/>
  <c r="T104" i="122"/>
  <c r="T107" i="122"/>
  <c r="T106" i="122"/>
  <c r="T105" i="122"/>
  <c r="Y98" i="122"/>
  <c r="K31" i="118" s="1"/>
  <c r="Y105" i="122"/>
  <c r="W98" i="122"/>
  <c r="I31" i="118" s="1"/>
  <c r="W106" i="122"/>
  <c r="I33" i="118" s="1"/>
  <c r="W105" i="122"/>
  <c r="W107" i="122"/>
  <c r="W104" i="122"/>
  <c r="K12" i="116" s="1"/>
  <c r="E27" i="118"/>
  <c r="S98" i="122"/>
  <c r="S105" i="122"/>
  <c r="S104" i="122"/>
  <c r="S107" i="122"/>
  <c r="E33" i="118" s="1"/>
  <c r="S106" i="122"/>
  <c r="E32" i="118" s="1"/>
  <c r="AC65" i="124"/>
  <c r="H30" i="118"/>
  <c r="F30" i="118"/>
  <c r="R191" i="122"/>
  <c r="R193" i="122" s="1"/>
  <c r="R194" i="122" s="1"/>
  <c r="K30" i="118"/>
  <c r="F3" i="118"/>
  <c r="G30" i="118"/>
  <c r="L30" i="118"/>
  <c r="I30" i="118"/>
  <c r="J30" i="118"/>
  <c r="H41" i="118"/>
  <c r="L31" i="118"/>
  <c r="H31" i="118"/>
  <c r="AC141" i="122"/>
  <c r="AD121" i="122" s="1"/>
  <c r="U107" i="122"/>
  <c r="G41" i="118"/>
  <c r="F41" i="118"/>
  <c r="G28" i="118"/>
  <c r="U105" i="122"/>
  <c r="T71" i="122"/>
  <c r="I28" i="118"/>
  <c r="K28" i="118"/>
  <c r="H28" i="118"/>
  <c r="L28" i="118"/>
  <c r="J28" i="118"/>
  <c r="F28" i="118"/>
  <c r="F33" i="118"/>
  <c r="AC116" i="123"/>
  <c r="D27" i="118"/>
  <c r="R106" i="122"/>
  <c r="D32" i="118" s="1"/>
  <c r="R107" i="122"/>
  <c r="D33" i="118" s="1"/>
  <c r="R105" i="122"/>
  <c r="AC118" i="123"/>
  <c r="R106" i="123"/>
  <c r="V105" i="122"/>
  <c r="V106" i="122"/>
  <c r="H33" i="118" s="1"/>
  <c r="V107" i="122"/>
  <c r="V104" i="122"/>
  <c r="AC125" i="123"/>
  <c r="J74" i="123"/>
  <c r="P128" i="118"/>
  <c r="P105" i="118"/>
  <c r="S56" i="123"/>
  <c r="S13" i="123"/>
  <c r="N54" i="123"/>
  <c r="P138" i="118"/>
  <c r="O125" i="118"/>
  <c r="O124" i="118" s="1"/>
  <c r="H4" i="124"/>
  <c r="P118" i="118"/>
  <c r="M54" i="123"/>
  <c r="R52" i="123"/>
  <c r="T285" i="103" s="1"/>
  <c r="I74" i="123"/>
  <c r="AE29" i="123"/>
  <c r="AF29" i="123" s="1"/>
  <c r="R118" i="118" s="1"/>
  <c r="D43" i="118"/>
  <c r="AD63" i="123"/>
  <c r="AD110" i="123"/>
  <c r="AD70" i="123"/>
  <c r="S5" i="124"/>
  <c r="R24" i="124"/>
  <c r="R180" i="122" s="1"/>
  <c r="R186" i="122" s="1"/>
  <c r="W27" i="123"/>
  <c r="W135" i="123" s="1"/>
  <c r="I110" i="118"/>
  <c r="AE9" i="124"/>
  <c r="P44" i="118"/>
  <c r="AE17" i="123"/>
  <c r="P106" i="118"/>
  <c r="AC70" i="124"/>
  <c r="O58" i="118"/>
  <c r="AD67" i="123"/>
  <c r="P127" i="118"/>
  <c r="AD90" i="123"/>
  <c r="P120" i="118"/>
  <c r="AD61" i="123"/>
  <c r="P111" i="118"/>
  <c r="AE11" i="123"/>
  <c r="P100" i="118"/>
  <c r="AE12" i="123"/>
  <c r="P101" i="118"/>
  <c r="AE43" i="123"/>
  <c r="P132" i="118"/>
  <c r="K41" i="118"/>
  <c r="Y27" i="123"/>
  <c r="Y135" i="123" s="1"/>
  <c r="K110" i="118"/>
  <c r="AE10" i="123"/>
  <c r="P99" i="118"/>
  <c r="I41" i="118"/>
  <c r="AE24" i="123"/>
  <c r="P113" i="118"/>
  <c r="AE34" i="123"/>
  <c r="P123" i="118"/>
  <c r="AE51" i="123"/>
  <c r="P140" i="118"/>
  <c r="AF49" i="123"/>
  <c r="R138" i="118" s="1"/>
  <c r="Q138" i="118"/>
  <c r="J41" i="118"/>
  <c r="Z27" i="123"/>
  <c r="L110" i="118"/>
  <c r="X27" i="123"/>
  <c r="X135" i="123" s="1"/>
  <c r="J110" i="118"/>
  <c r="AD68" i="123"/>
  <c r="P131" i="118"/>
  <c r="AE32" i="123"/>
  <c r="P121" i="118"/>
  <c r="AE7" i="123"/>
  <c r="P96" i="118"/>
  <c r="AE8" i="123"/>
  <c r="P97" i="118"/>
  <c r="AE9" i="123"/>
  <c r="P98" i="118"/>
  <c r="AE31" i="125"/>
  <c r="AE51" i="125" s="1"/>
  <c r="AF30" i="125"/>
  <c r="AF50" i="125" s="1"/>
  <c r="AO252" i="125"/>
  <c r="AO254" i="125" s="1"/>
  <c r="AO255" i="125" s="1"/>
  <c r="AC78" i="125"/>
  <c r="AC80" i="125" s="1"/>
  <c r="AC47" i="125"/>
  <c r="AH49" i="103"/>
  <c r="AF49" i="125"/>
  <c r="V227" i="125"/>
  <c r="AD191" i="125"/>
  <c r="Z100" i="122"/>
  <c r="Z105" i="122"/>
  <c r="Z104" i="122"/>
  <c r="Z107" i="122"/>
  <c r="Z106" i="122"/>
  <c r="L33" i="118" s="1"/>
  <c r="Y107" i="122"/>
  <c r="Y104" i="122"/>
  <c r="M12" i="116" s="1"/>
  <c r="Y106" i="122"/>
  <c r="K33" i="118" s="1"/>
  <c r="Z102" i="122"/>
  <c r="L32" i="118" s="1"/>
  <c r="Z4" i="124"/>
  <c r="AH246" i="103"/>
  <c r="AF6" i="130"/>
  <c r="AH24" i="130"/>
  <c r="DA19" i="130"/>
  <c r="AH23" i="130"/>
  <c r="DC23" i="130"/>
  <c r="AH52" i="130"/>
  <c r="AE39" i="123"/>
  <c r="AD91" i="123"/>
  <c r="AE30" i="123"/>
  <c r="Q119" i="118" s="1"/>
  <c r="AD89" i="123"/>
  <c r="AD36" i="123"/>
  <c r="AF191" i="125"/>
  <c r="AE26" i="123"/>
  <c r="AE46" i="123"/>
  <c r="AE42" i="123"/>
  <c r="AE22" i="123"/>
  <c r="AE31" i="123"/>
  <c r="AD138" i="122"/>
  <c r="Z239" i="125"/>
  <c r="Z189" i="125"/>
  <c r="Z188" i="125"/>
  <c r="X160" i="125"/>
  <c r="Z183" i="125"/>
  <c r="Y137" i="125"/>
  <c r="DE6" i="130"/>
  <c r="DE19" i="130" s="1"/>
  <c r="Z136" i="125"/>
  <c r="AQ106" i="125" s="1"/>
  <c r="AQ118" i="125" s="1"/>
  <c r="Y285" i="125"/>
  <c r="AE79" i="125"/>
  <c r="AE191" i="125"/>
  <c r="AD27" i="125"/>
  <c r="AC32" i="125"/>
  <c r="Y184" i="125"/>
  <c r="Y189" i="125"/>
  <c r="AA239" i="125"/>
  <c r="AA183" i="125"/>
  <c r="AA188" i="125"/>
  <c r="AC191" i="125"/>
  <c r="Z184" i="125"/>
  <c r="AE37" i="126"/>
  <c r="AF37" i="126" s="1"/>
  <c r="K30" i="127"/>
  <c r="S44" i="127"/>
  <c r="T44" i="127" s="1"/>
  <c r="AE16" i="123"/>
  <c r="AE38" i="123"/>
  <c r="AD26" i="124"/>
  <c r="AD129" i="123" s="1"/>
  <c r="AE46" i="122"/>
  <c r="AF46" i="122" s="1"/>
  <c r="AE48" i="122"/>
  <c r="AF48" i="122" s="1"/>
  <c r="AE63" i="122"/>
  <c r="AF63" i="122" s="1"/>
  <c r="AE61" i="122"/>
  <c r="AF61" i="122" s="1"/>
  <c r="AE50" i="122"/>
  <c r="AF50" i="122" s="1"/>
  <c r="FO43" i="103"/>
  <c r="FO42" i="103"/>
  <c r="AS93" i="119"/>
  <c r="DI75" i="131" l="1"/>
  <c r="N12" i="116"/>
  <c r="J12" i="116"/>
  <c r="AG293" i="103"/>
  <c r="G31" i="118"/>
  <c r="R192" i="122"/>
  <c r="J31" i="118"/>
  <c r="AD65" i="124"/>
  <c r="AQ120" i="125"/>
  <c r="AP121" i="125" s="1"/>
  <c r="S190" i="122"/>
  <c r="AD141" i="122"/>
  <c r="AE121" i="122" s="1"/>
  <c r="DA75" i="131"/>
  <c r="CS75" i="131"/>
  <c r="CK75" i="131"/>
  <c r="CJ75" i="131" s="1"/>
  <c r="Q118" i="118"/>
  <c r="AD118" i="123"/>
  <c r="AD116" i="123"/>
  <c r="Z108" i="123"/>
  <c r="Z135" i="123"/>
  <c r="AD125" i="123"/>
  <c r="X108" i="123"/>
  <c r="O56" i="123"/>
  <c r="P125" i="118"/>
  <c r="P124" i="118" s="1"/>
  <c r="W108" i="123"/>
  <c r="Q128" i="118"/>
  <c r="R54" i="123"/>
  <c r="Y108" i="123"/>
  <c r="E42" i="118"/>
  <c r="M56" i="123"/>
  <c r="H23" i="124"/>
  <c r="N56" i="123"/>
  <c r="AE70" i="123"/>
  <c r="R57" i="124"/>
  <c r="AE63" i="123"/>
  <c r="AE110" i="123"/>
  <c r="D56" i="118"/>
  <c r="R51" i="124"/>
  <c r="S7" i="124"/>
  <c r="R23" i="124"/>
  <c r="AF8" i="123"/>
  <c r="R97" i="118" s="1"/>
  <c r="Q97" i="118"/>
  <c r="Z56" i="123"/>
  <c r="L116" i="118"/>
  <c r="L115" i="118" s="1"/>
  <c r="AE90" i="123"/>
  <c r="Q120" i="118"/>
  <c r="AF24" i="123"/>
  <c r="R113" i="118" s="1"/>
  <c r="Q113" i="118"/>
  <c r="Y56" i="123"/>
  <c r="K116" i="118"/>
  <c r="K115" i="118" s="1"/>
  <c r="AF12" i="123"/>
  <c r="R101" i="118" s="1"/>
  <c r="Q101" i="118"/>
  <c r="AF17" i="123"/>
  <c r="R106" i="118" s="1"/>
  <c r="Q106" i="118"/>
  <c r="AF7" i="123"/>
  <c r="Q96" i="118"/>
  <c r="AD70" i="124"/>
  <c r="P58" i="118"/>
  <c r="L41" i="118"/>
  <c r="AF51" i="123"/>
  <c r="R140" i="118" s="1"/>
  <c r="Q140" i="118"/>
  <c r="AF11" i="123"/>
  <c r="Q100" i="118"/>
  <c r="AF9" i="124"/>
  <c r="R44" i="118" s="1"/>
  <c r="Q44" i="118"/>
  <c r="AE61" i="123"/>
  <c r="Q111" i="118"/>
  <c r="AE68" i="123"/>
  <c r="Q131" i="118"/>
  <c r="AF9" i="123"/>
  <c r="R98" i="118" s="1"/>
  <c r="Q98" i="118"/>
  <c r="AF32" i="123"/>
  <c r="R121" i="118" s="1"/>
  <c r="Q121" i="118"/>
  <c r="X56" i="123"/>
  <c r="J116" i="118"/>
  <c r="J115" i="118" s="1"/>
  <c r="AE67" i="123"/>
  <c r="Q127" i="118"/>
  <c r="AF16" i="123"/>
  <c r="R105" i="118" s="1"/>
  <c r="Q105" i="118"/>
  <c r="AF34" i="123"/>
  <c r="R123" i="118" s="1"/>
  <c r="Q123" i="118"/>
  <c r="AF10" i="123"/>
  <c r="Q99" i="118"/>
  <c r="AF43" i="123"/>
  <c r="R132" i="118" s="1"/>
  <c r="Q132" i="118"/>
  <c r="W56" i="123"/>
  <c r="I116" i="118"/>
  <c r="I115" i="118" s="1"/>
  <c r="AF31" i="125"/>
  <c r="AF51" i="125" s="1"/>
  <c r="AH50" i="103"/>
  <c r="AD78" i="125"/>
  <c r="AD80" i="125" s="1"/>
  <c r="AD47" i="125"/>
  <c r="V232" i="125"/>
  <c r="T228" i="125"/>
  <c r="AF19" i="130"/>
  <c r="AH6" i="130"/>
  <c r="AH19" i="130" s="1"/>
  <c r="AF47" i="130"/>
  <c r="AF30" i="123"/>
  <c r="AE89" i="123"/>
  <c r="AF39" i="123"/>
  <c r="AE91" i="123"/>
  <c r="AE36" i="123"/>
  <c r="AF79" i="125"/>
  <c r="AF46" i="123"/>
  <c r="AF22" i="123"/>
  <c r="AF26" i="123"/>
  <c r="AF38" i="123"/>
  <c r="AF42" i="123"/>
  <c r="AE138" i="122"/>
  <c r="AE141" i="122" s="1"/>
  <c r="AF121" i="122" s="1"/>
  <c r="AF31" i="123"/>
  <c r="Y160" i="125"/>
  <c r="Z285" i="125"/>
  <c r="AA189" i="125"/>
  <c r="Z137" i="125"/>
  <c r="AA137" i="125"/>
  <c r="AB239" i="125"/>
  <c r="AB183" i="125"/>
  <c r="AB188" i="125"/>
  <c r="AD32" i="125"/>
  <c r="AE27" i="125"/>
  <c r="U102" i="126"/>
  <c r="U89" i="126"/>
  <c r="AE26" i="124"/>
  <c r="Q58" i="118" s="1"/>
  <c r="R96" i="118" l="1"/>
  <c r="AH293" i="103"/>
  <c r="T35" i="116" s="1"/>
  <c r="AF65" i="124"/>
  <c r="AE65" i="124"/>
  <c r="S191" i="122"/>
  <c r="S193" i="122" s="1"/>
  <c r="S194" i="122" s="1"/>
  <c r="R120" i="118"/>
  <c r="R127" i="118"/>
  <c r="AF68" i="123"/>
  <c r="R131" i="118"/>
  <c r="AF61" i="123"/>
  <c r="R111" i="118"/>
  <c r="R128" i="118"/>
  <c r="R99" i="118"/>
  <c r="AF89" i="123"/>
  <c r="R119" i="118"/>
  <c r="R100" i="118"/>
  <c r="AE125" i="123"/>
  <c r="AE118" i="123"/>
  <c r="S106" i="123"/>
  <c r="S105" i="123" s="1"/>
  <c r="S111" i="123" s="1"/>
  <c r="AE116" i="123"/>
  <c r="AE129" i="123"/>
  <c r="AH153" i="103"/>
  <c r="R56" i="123"/>
  <c r="AF67" i="123"/>
  <c r="D78" i="118"/>
  <c r="AF90" i="123"/>
  <c r="Q125" i="118"/>
  <c r="Q124" i="118" s="1"/>
  <c r="D84" i="118"/>
  <c r="R114" i="122"/>
  <c r="AF70" i="123"/>
  <c r="E43" i="118"/>
  <c r="AF63" i="123"/>
  <c r="AF110" i="123"/>
  <c r="R55" i="124"/>
  <c r="S54" i="124" s="1"/>
  <c r="E81" i="118" s="1"/>
  <c r="S24" i="124"/>
  <c r="S180" i="122" s="1"/>
  <c r="S186" i="122" s="1"/>
  <c r="T5" i="124"/>
  <c r="AH53" i="103"/>
  <c r="AE78" i="125"/>
  <c r="AE80" i="125" s="1"/>
  <c r="AE47" i="125"/>
  <c r="T233" i="125"/>
  <c r="T234" i="125" s="1"/>
  <c r="T229" i="125"/>
  <c r="AH52" i="103"/>
  <c r="AH54" i="103"/>
  <c r="AF27" i="125"/>
  <c r="CR44" i="115" s="1"/>
  <c r="CN44" i="115"/>
  <c r="AH47" i="130"/>
  <c r="AF26" i="124"/>
  <c r="AE70" i="124"/>
  <c r="AF91" i="123"/>
  <c r="AH151" i="103"/>
  <c r="AH275" i="103"/>
  <c r="AH148" i="103"/>
  <c r="AF138" i="122"/>
  <c r="AF141" i="122" s="1"/>
  <c r="AF36" i="123"/>
  <c r="R125" i="118" s="1"/>
  <c r="AH276" i="103"/>
  <c r="W284" i="125"/>
  <c r="Z160" i="125"/>
  <c r="AC239" i="125"/>
  <c r="AC183" i="125"/>
  <c r="AC188" i="125"/>
  <c r="W131" i="125"/>
  <c r="AB184" i="125"/>
  <c r="AB189" i="125"/>
  <c r="AA285" i="125"/>
  <c r="AE32" i="125"/>
  <c r="V89" i="126"/>
  <c r="U101" i="126"/>
  <c r="AB54" i="103"/>
  <c r="AB53" i="103"/>
  <c r="AB51" i="103"/>
  <c r="AB50" i="103"/>
  <c r="AB48" i="103"/>
  <c r="AB47" i="103"/>
  <c r="AB46" i="103"/>
  <c r="AB45" i="103"/>
  <c r="AB44" i="103"/>
  <c r="S192" i="122" l="1"/>
  <c r="T190" i="122"/>
  <c r="R124" i="118"/>
  <c r="AF70" i="124"/>
  <c r="R58" i="118"/>
  <c r="AF129" i="123"/>
  <c r="AF116" i="123"/>
  <c r="AF118" i="123"/>
  <c r="AF125" i="123"/>
  <c r="F42" i="118"/>
  <c r="S51" i="124"/>
  <c r="S57" i="124"/>
  <c r="E84" i="118" s="1"/>
  <c r="E56" i="118"/>
  <c r="S23" i="124"/>
  <c r="T6" i="124"/>
  <c r="T7" i="124"/>
  <c r="D82" i="118"/>
  <c r="AF78" i="125"/>
  <c r="AF80" i="125" s="1"/>
  <c r="AF47" i="125"/>
  <c r="V228" i="125"/>
  <c r="AF32" i="125"/>
  <c r="AH55" i="103" s="1"/>
  <c r="AH45" i="103"/>
  <c r="T43" i="116"/>
  <c r="T42" i="116"/>
  <c r="X284" i="125"/>
  <c r="W294" i="125"/>
  <c r="AA160" i="125"/>
  <c r="W69" i="125"/>
  <c r="W82" i="125"/>
  <c r="AB285" i="125"/>
  <c r="X131" i="125"/>
  <c r="AD239" i="125"/>
  <c r="AD183" i="125"/>
  <c r="AD188" i="125"/>
  <c r="AC184" i="125"/>
  <c r="AC189" i="125"/>
  <c r="W89" i="126"/>
  <c r="T191" i="122" l="1"/>
  <c r="T106" i="123"/>
  <c r="T105" i="123" s="1"/>
  <c r="T111" i="123" s="1"/>
  <c r="E78" i="118"/>
  <c r="S55" i="124"/>
  <c r="T54" i="124" s="1"/>
  <c r="F81" i="118" s="1"/>
  <c r="S114" i="122"/>
  <c r="T24" i="124"/>
  <c r="T180" i="122" s="1"/>
  <c r="T186" i="122" s="1"/>
  <c r="F43" i="118"/>
  <c r="U5" i="124"/>
  <c r="T8" i="124"/>
  <c r="W232" i="125"/>
  <c r="X227" i="125"/>
  <c r="V233" i="125"/>
  <c r="V234" i="125" s="1"/>
  <c r="V229" i="125"/>
  <c r="X82" i="125"/>
  <c r="AF183" i="125"/>
  <c r="AF188" i="125"/>
  <c r="AB160" i="125"/>
  <c r="Y284" i="125"/>
  <c r="X294" i="125"/>
  <c r="W67" i="125"/>
  <c r="W64" i="125"/>
  <c r="AE239" i="125"/>
  <c r="AE183" i="125"/>
  <c r="AE188" i="125"/>
  <c r="W148" i="125"/>
  <c r="W167" i="125" s="1"/>
  <c r="AC285" i="125"/>
  <c r="W144" i="125"/>
  <c r="X228" i="125"/>
  <c r="W233" i="125"/>
  <c r="W229" i="125"/>
  <c r="X162" i="125"/>
  <c r="Y131" i="125"/>
  <c r="X69" i="125"/>
  <c r="AD184" i="125"/>
  <c r="AD189" i="125"/>
  <c r="X89" i="126"/>
  <c r="F7" i="116"/>
  <c r="G4" i="116"/>
  <c r="S56" i="116"/>
  <c r="R56" i="116"/>
  <c r="Q56" i="116"/>
  <c r="P56" i="116"/>
  <c r="O56" i="116"/>
  <c r="S54" i="116"/>
  <c r="S57" i="116" s="1"/>
  <c r="S58" i="116" s="1"/>
  <c r="S53" i="116"/>
  <c r="R53" i="116"/>
  <c r="Q53" i="116"/>
  <c r="P53" i="116"/>
  <c r="O53" i="116"/>
  <c r="K2" i="116"/>
  <c r="L2" i="116" s="1"/>
  <c r="M2" i="116" s="1"/>
  <c r="N2" i="116" s="1"/>
  <c r="O2" i="116" s="1"/>
  <c r="P2" i="116" s="1"/>
  <c r="Q2" i="116" s="1"/>
  <c r="R2" i="116" s="1"/>
  <c r="S2" i="116" s="1"/>
  <c r="T2" i="116" s="1"/>
  <c r="S37" i="116"/>
  <c r="S36" i="116"/>
  <c r="S34" i="116"/>
  <c r="S33" i="116"/>
  <c r="G7" i="116"/>
  <c r="U190" i="122" l="1"/>
  <c r="T193" i="122"/>
  <c r="T194" i="122" s="1"/>
  <c r="T192" i="122"/>
  <c r="E82" i="118"/>
  <c r="T23" i="124"/>
  <c r="G42" i="118"/>
  <c r="U7" i="124"/>
  <c r="T51" i="124"/>
  <c r="T57" i="124"/>
  <c r="T114" i="122" s="1"/>
  <c r="F56" i="118"/>
  <c r="F55" i="118" s="1"/>
  <c r="U6" i="124"/>
  <c r="W234" i="125"/>
  <c r="Y227" i="125"/>
  <c r="X232" i="125"/>
  <c r="X242" i="125" s="1"/>
  <c r="X244" i="125" s="1"/>
  <c r="Y82" i="125"/>
  <c r="AF184" i="125"/>
  <c r="AF189" i="125"/>
  <c r="AF239" i="125"/>
  <c r="Z284" i="125"/>
  <c r="Y294" i="125"/>
  <c r="AC160" i="125"/>
  <c r="X144" i="125"/>
  <c r="Y69" i="125"/>
  <c r="X67" i="125"/>
  <c r="AD285" i="125"/>
  <c r="X148" i="125"/>
  <c r="X167" i="125" s="1"/>
  <c r="W150" i="125"/>
  <c r="W166" i="125" s="1"/>
  <c r="X64" i="125"/>
  <c r="Y228" i="125"/>
  <c r="X233" i="125"/>
  <c r="X245" i="125" s="1"/>
  <c r="X229" i="125"/>
  <c r="W68" i="125"/>
  <c r="X66" i="125"/>
  <c r="AE184" i="125"/>
  <c r="AE189" i="125"/>
  <c r="Z131" i="125"/>
  <c r="Y162" i="125"/>
  <c r="W65" i="125"/>
  <c r="Y89" i="126"/>
  <c r="G8" i="116"/>
  <c r="U24" i="124" l="1"/>
  <c r="U180" i="122" s="1"/>
  <c r="U186" i="122" s="1"/>
  <c r="U191" i="122"/>
  <c r="U106" i="123"/>
  <c r="U105" i="123" s="1"/>
  <c r="U111" i="123" s="1"/>
  <c r="F78" i="118"/>
  <c r="T55" i="124"/>
  <c r="U54" i="124" s="1"/>
  <c r="G81" i="118" s="1"/>
  <c r="G43" i="118"/>
  <c r="V5" i="124"/>
  <c r="U8" i="124"/>
  <c r="F84" i="118"/>
  <c r="T59" i="124"/>
  <c r="F86" i="118" s="1"/>
  <c r="X243" i="125"/>
  <c r="Y232" i="125"/>
  <c r="Y242" i="125" s="1"/>
  <c r="Y244" i="125" s="1"/>
  <c r="Z227" i="125"/>
  <c r="W84" i="125"/>
  <c r="W152" i="125"/>
  <c r="AD160" i="125"/>
  <c r="AA284" i="125"/>
  <c r="Z294" i="125"/>
  <c r="W168" i="125"/>
  <c r="X65" i="125"/>
  <c r="AE285" i="125"/>
  <c r="AF285" i="125" s="1"/>
  <c r="Z162" i="125"/>
  <c r="AB131" i="125"/>
  <c r="AC131" i="125" s="1"/>
  <c r="AD131" i="125" s="1"/>
  <c r="AE131" i="125" s="1"/>
  <c r="AF131" i="125" s="1"/>
  <c r="AB130" i="125"/>
  <c r="X234" i="125"/>
  <c r="Y67" i="125"/>
  <c r="X68" i="125"/>
  <c r="Z228" i="125"/>
  <c r="Y233" i="125"/>
  <c r="Y245" i="125" s="1"/>
  <c r="Y229" i="125"/>
  <c r="Z69" i="125"/>
  <c r="Y66" i="125"/>
  <c r="Y64" i="125"/>
  <c r="Y148" i="125"/>
  <c r="Y167" i="125" s="1"/>
  <c r="X150" i="125"/>
  <c r="X152" i="125" s="1"/>
  <c r="Y144" i="125"/>
  <c r="Z89" i="126"/>
  <c r="CA243" i="103"/>
  <c r="CA221" i="103"/>
  <c r="CU7" i="103"/>
  <c r="CT7" i="103"/>
  <c r="CS7" i="103"/>
  <c r="CR7" i="103"/>
  <c r="BB7" i="103"/>
  <c r="BA7" i="103"/>
  <c r="V8" i="103"/>
  <c r="W8" i="103" s="1"/>
  <c r="X8" i="103" s="1"/>
  <c r="Y8" i="103" s="1"/>
  <c r="Z8" i="103" s="1"/>
  <c r="AA8" i="103" s="1"/>
  <c r="AB8" i="103" s="1"/>
  <c r="AC8" i="103" s="1"/>
  <c r="AD8" i="103" s="1"/>
  <c r="AE8" i="103" s="1"/>
  <c r="AF8" i="103" s="1"/>
  <c r="AG8" i="103" s="1"/>
  <c r="CY8" i="103"/>
  <c r="CX8" i="103"/>
  <c r="DB8" i="103" s="1"/>
  <c r="DF8" i="103" s="1"/>
  <c r="DJ8" i="103" s="1"/>
  <c r="DN8" i="103" s="1"/>
  <c r="DR8" i="103" s="1"/>
  <c r="DV8" i="103" s="1"/>
  <c r="DZ8" i="103" s="1"/>
  <c r="ED8" i="103" s="1"/>
  <c r="EH8" i="103" s="1"/>
  <c r="EL8" i="103" s="1"/>
  <c r="EP8" i="103" s="1"/>
  <c r="ET8" i="103" s="1"/>
  <c r="EX8" i="103" s="1"/>
  <c r="CW8" i="103"/>
  <c r="DA8" i="103" s="1"/>
  <c r="DE8" i="103" s="1"/>
  <c r="DI8" i="103" s="1"/>
  <c r="DM8" i="103" s="1"/>
  <c r="DQ8" i="103" s="1"/>
  <c r="DU8" i="103" s="1"/>
  <c r="DY8" i="103" s="1"/>
  <c r="EC8" i="103" s="1"/>
  <c r="EG8" i="103" s="1"/>
  <c r="EK8" i="103" s="1"/>
  <c r="EO8" i="103" s="1"/>
  <c r="ES8" i="103" s="1"/>
  <c r="EW8" i="103" s="1"/>
  <c r="CV8" i="103"/>
  <c r="CZ8" i="103" s="1"/>
  <c r="DD8" i="103" s="1"/>
  <c r="DH8" i="103" s="1"/>
  <c r="DL8" i="103" s="1"/>
  <c r="DP8" i="103" s="1"/>
  <c r="DT8" i="103" s="1"/>
  <c r="DX8" i="103" s="1"/>
  <c r="EB8" i="103" s="1"/>
  <c r="EF8" i="103" s="1"/>
  <c r="EJ8" i="103" s="1"/>
  <c r="EN8" i="103" s="1"/>
  <c r="ER8" i="103" s="1"/>
  <c r="EV8" i="103" s="1"/>
  <c r="CY9" i="103"/>
  <c r="DC9" i="103" s="1"/>
  <c r="DG9" i="103" s="1"/>
  <c r="DK9" i="103" s="1"/>
  <c r="DO9" i="103" s="1"/>
  <c r="DS9" i="103" s="1"/>
  <c r="DW9" i="103" s="1"/>
  <c r="EA9" i="103" s="1"/>
  <c r="EE9" i="103" s="1"/>
  <c r="EI9" i="103" s="1"/>
  <c r="EM9" i="103" s="1"/>
  <c r="EQ9" i="103" s="1"/>
  <c r="CX9" i="103"/>
  <c r="DB9" i="103" s="1"/>
  <c r="DF9" i="103" s="1"/>
  <c r="DJ9" i="103" s="1"/>
  <c r="DN9" i="103" s="1"/>
  <c r="DR9" i="103" s="1"/>
  <c r="DV9" i="103" s="1"/>
  <c r="DZ9" i="103" s="1"/>
  <c r="ED9" i="103" s="1"/>
  <c r="EH9" i="103" s="1"/>
  <c r="EL9" i="103" s="1"/>
  <c r="EP9" i="103" s="1"/>
  <c r="ET9" i="103" s="1"/>
  <c r="EX9" i="103" s="1"/>
  <c r="FB9" i="103" s="1"/>
  <c r="FB7" i="103" s="1"/>
  <c r="CW9" i="103"/>
  <c r="DA9" i="103" s="1"/>
  <c r="DE9" i="103" s="1"/>
  <c r="DI9" i="103" s="1"/>
  <c r="DM9" i="103" s="1"/>
  <c r="DQ9" i="103" s="1"/>
  <c r="DU9" i="103" s="1"/>
  <c r="DY9" i="103" s="1"/>
  <c r="EC9" i="103" s="1"/>
  <c r="EG9" i="103" s="1"/>
  <c r="EK9" i="103" s="1"/>
  <c r="EO9" i="103" s="1"/>
  <c r="ES9" i="103" s="1"/>
  <c r="EW9" i="103" s="1"/>
  <c r="CV9" i="103"/>
  <c r="CZ9" i="103" s="1"/>
  <c r="DD9" i="103" s="1"/>
  <c r="DH9" i="103" s="1"/>
  <c r="DL9" i="103" s="1"/>
  <c r="DP9" i="103" s="1"/>
  <c r="DT9" i="103" s="1"/>
  <c r="DX9" i="103" s="1"/>
  <c r="EB9" i="103" s="1"/>
  <c r="EF9" i="103" s="1"/>
  <c r="EJ9" i="103" s="1"/>
  <c r="EN9" i="103" s="1"/>
  <c r="ER9" i="103" s="1"/>
  <c r="BD9" i="103"/>
  <c r="BD7" i="103" s="1"/>
  <c r="BC9" i="103"/>
  <c r="BD8" i="103"/>
  <c r="BC8" i="103"/>
  <c r="U51" i="124" l="1"/>
  <c r="G78" i="118" s="1"/>
  <c r="U57" i="124"/>
  <c r="U114" i="122" s="1"/>
  <c r="V190" i="122"/>
  <c r="G56" i="118"/>
  <c r="G55" i="118" s="1"/>
  <c r="U23" i="124"/>
  <c r="U193" i="122"/>
  <c r="U194" i="122" s="1"/>
  <c r="U192" i="122"/>
  <c r="F82" i="118"/>
  <c r="H42" i="118"/>
  <c r="V7" i="124"/>
  <c r="V6" i="124"/>
  <c r="X166" i="125"/>
  <c r="X168" i="125" s="1"/>
  <c r="Y243" i="125"/>
  <c r="AA227" i="125"/>
  <c r="Z232" i="125"/>
  <c r="Z242" i="125" s="1"/>
  <c r="Z82" i="125"/>
  <c r="W86" i="125"/>
  <c r="X84" i="125"/>
  <c r="AA82" i="125"/>
  <c r="AE160" i="125"/>
  <c r="AB284" i="125"/>
  <c r="AA294" i="125"/>
  <c r="DC8" i="103"/>
  <c r="Y234" i="125"/>
  <c r="Y65" i="125"/>
  <c r="AC130" i="125"/>
  <c r="Y150" i="125"/>
  <c r="Y166" i="125" s="1"/>
  <c r="Z148" i="125"/>
  <c r="Z167" i="125" s="1"/>
  <c r="Y68" i="125"/>
  <c r="Z64" i="125"/>
  <c r="Z66" i="125"/>
  <c r="Z67" i="125"/>
  <c r="AA69" i="125"/>
  <c r="AA162" i="125"/>
  <c r="BF8" i="103"/>
  <c r="Z144" i="125"/>
  <c r="AA228" i="125"/>
  <c r="Z233" i="125"/>
  <c r="Z245" i="125" s="1"/>
  <c r="Z229" i="125"/>
  <c r="AA89" i="126"/>
  <c r="EZ8" i="103"/>
  <c r="EV9" i="103"/>
  <c r="EV7" i="103" s="1"/>
  <c r="BE9" i="103"/>
  <c r="BE7" i="103" s="1"/>
  <c r="EU9" i="103"/>
  <c r="EY9" i="103" s="1"/>
  <c r="FC9" i="103" s="1"/>
  <c r="FC7" i="103" s="1"/>
  <c r="FA9" i="103"/>
  <c r="FA7" i="103" s="1"/>
  <c r="EW7" i="103"/>
  <c r="FA8" i="103"/>
  <c r="FB8" i="103"/>
  <c r="EX7" i="103"/>
  <c r="DQ7" i="103"/>
  <c r="DW7" i="103"/>
  <c r="CY7" i="103"/>
  <c r="EI7" i="103"/>
  <c r="EC7" i="103"/>
  <c r="DE7" i="103"/>
  <c r="EO7" i="103"/>
  <c r="BF9" i="103"/>
  <c r="BF7" i="103" s="1"/>
  <c r="DK7" i="103"/>
  <c r="BE8" i="103"/>
  <c r="CZ7" i="103"/>
  <c r="DF7" i="103"/>
  <c r="DL7" i="103"/>
  <c r="DR7" i="103"/>
  <c r="DX7" i="103"/>
  <c r="ED7" i="103"/>
  <c r="EJ7" i="103"/>
  <c r="EP7" i="103"/>
  <c r="BC7" i="103"/>
  <c r="DA7" i="103"/>
  <c r="DG7" i="103"/>
  <c r="DM7" i="103"/>
  <c r="DS7" i="103"/>
  <c r="DY7" i="103"/>
  <c r="EE7" i="103"/>
  <c r="EK7" i="103"/>
  <c r="EQ7" i="103"/>
  <c r="CV7" i="103"/>
  <c r="DB7" i="103"/>
  <c r="DH7" i="103"/>
  <c r="DN7" i="103"/>
  <c r="DT7" i="103"/>
  <c r="DZ7" i="103"/>
  <c r="EF7" i="103"/>
  <c r="EL7" i="103"/>
  <c r="ER7" i="103"/>
  <c r="CW7" i="103"/>
  <c r="DC7" i="103"/>
  <c r="DI7" i="103"/>
  <c r="DO7" i="103"/>
  <c r="DU7" i="103"/>
  <c r="EA7" i="103"/>
  <c r="EG7" i="103"/>
  <c r="EM7" i="103"/>
  <c r="ES7" i="103"/>
  <c r="CX7" i="103"/>
  <c r="DD7" i="103"/>
  <c r="DJ7" i="103"/>
  <c r="DP7" i="103"/>
  <c r="DV7" i="103"/>
  <c r="EB7" i="103"/>
  <c r="EH7" i="103"/>
  <c r="EN7" i="103"/>
  <c r="ET7" i="103"/>
  <c r="G84" i="118" l="1"/>
  <c r="U55" i="124"/>
  <c r="G82" i="118" s="1"/>
  <c r="U59" i="124"/>
  <c r="G86" i="118" s="1"/>
  <c r="V191" i="122"/>
  <c r="V193" i="122" s="1"/>
  <c r="V106" i="123"/>
  <c r="V105" i="123" s="1"/>
  <c r="V111" i="123" s="1"/>
  <c r="W5" i="124"/>
  <c r="V24" i="124"/>
  <c r="H43" i="118"/>
  <c r="V8" i="124"/>
  <c r="Z243" i="125"/>
  <c r="Z244" i="125"/>
  <c r="AA232" i="125"/>
  <c r="AA242" i="125" s="1"/>
  <c r="AA243" i="125" s="1"/>
  <c r="AB227" i="125"/>
  <c r="X86" i="125"/>
  <c r="Z84" i="125"/>
  <c r="Y84" i="125"/>
  <c r="AB82" i="125"/>
  <c r="AF160" i="125"/>
  <c r="X247" i="125"/>
  <c r="AB294" i="125"/>
  <c r="AC284" i="125"/>
  <c r="Y168" i="125"/>
  <c r="DG8" i="103"/>
  <c r="AA144" i="125"/>
  <c r="AB69" i="125"/>
  <c r="AD130" i="125"/>
  <c r="Z234" i="125"/>
  <c r="AA233" i="125"/>
  <c r="AA245" i="125" s="1"/>
  <c r="AB228" i="125"/>
  <c r="AA229" i="125"/>
  <c r="AB162" i="125"/>
  <c r="AA64" i="125"/>
  <c r="Z150" i="125"/>
  <c r="Z166" i="125" s="1"/>
  <c r="AA148" i="125"/>
  <c r="AA167" i="125" s="1"/>
  <c r="Y152" i="125"/>
  <c r="X169" i="125"/>
  <c r="AH182" i="125" s="1"/>
  <c r="BH8" i="103"/>
  <c r="AA67" i="125"/>
  <c r="AA66" i="125"/>
  <c r="Z68" i="125"/>
  <c r="AB89" i="126"/>
  <c r="BG9" i="103"/>
  <c r="BI9" i="103" s="1"/>
  <c r="EZ9" i="103"/>
  <c r="EZ7" i="103" s="1"/>
  <c r="EU7" i="103"/>
  <c r="EY7" i="103"/>
  <c r="BH9" i="103"/>
  <c r="BJ9" i="103" s="1"/>
  <c r="BG8" i="103"/>
  <c r="V54" i="124" l="1"/>
  <c r="H81" i="118" s="1"/>
  <c r="V194" i="122"/>
  <c r="J10" i="116"/>
  <c r="V192" i="122"/>
  <c r="W6" i="124"/>
  <c r="W190" i="122"/>
  <c r="W7" i="124"/>
  <c r="V57" i="124"/>
  <c r="V180" i="122"/>
  <c r="V186" i="122" s="1"/>
  <c r="V51" i="124"/>
  <c r="V55" i="124" s="1"/>
  <c r="W54" i="124" s="1"/>
  <c r="I81" i="118" s="1"/>
  <c r="V23" i="124"/>
  <c r="H56" i="118"/>
  <c r="H55" i="118" s="1"/>
  <c r="I42" i="118"/>
  <c r="AB232" i="125"/>
  <c r="AB242" i="125" s="1"/>
  <c r="AB244" i="125" s="1"/>
  <c r="AC227" i="125"/>
  <c r="AA244" i="125"/>
  <c r="AA102" i="125" s="1"/>
  <c r="Y86" i="125"/>
  <c r="Z86" i="125"/>
  <c r="AA84" i="125"/>
  <c r="AC82" i="125"/>
  <c r="Z247" i="125"/>
  <c r="Z152" i="125"/>
  <c r="AD284" i="125"/>
  <c r="AC294" i="125"/>
  <c r="Z168" i="125"/>
  <c r="AC69" i="125"/>
  <c r="AB67" i="125"/>
  <c r="AE130" i="125"/>
  <c r="Y169" i="125"/>
  <c r="BJ8" i="103"/>
  <c r="AA150" i="125"/>
  <c r="AA152" i="125" s="1"/>
  <c r="AB148" i="125"/>
  <c r="AB167" i="125" s="1"/>
  <c r="AC162" i="125"/>
  <c r="AB233" i="125"/>
  <c r="AB245" i="125" s="1"/>
  <c r="AC228" i="125"/>
  <c r="AB229" i="125"/>
  <c r="AA68" i="125"/>
  <c r="AB64" i="125"/>
  <c r="AB144" i="125"/>
  <c r="Y247" i="125"/>
  <c r="AB66" i="125"/>
  <c r="AA234" i="125"/>
  <c r="DK8" i="103"/>
  <c r="AC89" i="126"/>
  <c r="BG7" i="103"/>
  <c r="BH7" i="103"/>
  <c r="BI8" i="103"/>
  <c r="BL9" i="103"/>
  <c r="BJ7" i="103"/>
  <c r="BK9" i="103"/>
  <c r="BI7" i="103"/>
  <c r="W24" i="124" l="1"/>
  <c r="V114" i="122"/>
  <c r="J14" i="116"/>
  <c r="AA166" i="125"/>
  <c r="AA101" i="125" s="1"/>
  <c r="W191" i="122"/>
  <c r="W193" i="122" s="1"/>
  <c r="W180" i="122"/>
  <c r="W186" i="122" s="1"/>
  <c r="H84" i="118"/>
  <c r="X5" i="124"/>
  <c r="I43" i="118"/>
  <c r="W8" i="124"/>
  <c r="V59" i="124"/>
  <c r="H86" i="118" s="1"/>
  <c r="W106" i="123"/>
  <c r="W105" i="123" s="1"/>
  <c r="W111" i="123" s="1"/>
  <c r="AB243" i="125"/>
  <c r="H78" i="118"/>
  <c r="H82" i="118"/>
  <c r="AA106" i="125"/>
  <c r="AD227" i="125"/>
  <c r="AC232" i="125"/>
  <c r="AC242" i="125" s="1"/>
  <c r="AA86" i="125"/>
  <c r="AD82" i="125"/>
  <c r="AF130" i="125"/>
  <c r="AE284" i="125"/>
  <c r="AD294" i="125"/>
  <c r="Y248" i="125"/>
  <c r="AC144" i="125"/>
  <c r="Z248" i="125"/>
  <c r="AC64" i="125"/>
  <c r="AB234" i="125"/>
  <c r="AC148" i="125"/>
  <c r="AC167" i="125" s="1"/>
  <c r="AB150" i="125"/>
  <c r="AB152" i="125" s="1"/>
  <c r="AB102" i="125"/>
  <c r="AB106" i="125" s="1"/>
  <c r="BL8" i="103"/>
  <c r="AB68" i="125"/>
  <c r="AC67" i="125"/>
  <c r="AD162" i="125"/>
  <c r="AB65" i="125"/>
  <c r="Z169" i="125"/>
  <c r="AD69" i="125"/>
  <c r="AC66" i="125"/>
  <c r="DO8" i="103"/>
  <c r="AD228" i="125"/>
  <c r="AC233" i="125"/>
  <c r="AC245" i="125" s="1"/>
  <c r="AC229" i="125"/>
  <c r="AD89" i="126"/>
  <c r="BM9" i="103"/>
  <c r="BK7" i="103"/>
  <c r="BN9" i="103"/>
  <c r="BL7" i="103"/>
  <c r="BK8" i="103"/>
  <c r="W194" i="122" l="1"/>
  <c r="K10" i="116"/>
  <c r="W192" i="122"/>
  <c r="CK71" i="131" s="1"/>
  <c r="I56" i="118"/>
  <c r="I55" i="118" s="1"/>
  <c r="X7" i="124"/>
  <c r="X24" i="124" s="1"/>
  <c r="X190" i="122"/>
  <c r="W51" i="124"/>
  <c r="W55" i="124" s="1"/>
  <c r="X54" i="124" s="1"/>
  <c r="J81" i="118" s="1"/>
  <c r="W57" i="124"/>
  <c r="W23" i="124"/>
  <c r="J42" i="118"/>
  <c r="W62" i="124"/>
  <c r="W71" i="124" s="1"/>
  <c r="W73" i="124" s="1"/>
  <c r="X6" i="124"/>
  <c r="AB166" i="125"/>
  <c r="AB101" i="125" s="1"/>
  <c r="AC244" i="125"/>
  <c r="AC102" i="125" s="1"/>
  <c r="AC106" i="125" s="1"/>
  <c r="AC243" i="125"/>
  <c r="AE227" i="125"/>
  <c r="AD232" i="125"/>
  <c r="AD242" i="125" s="1"/>
  <c r="AA168" i="125"/>
  <c r="AA169" i="125" s="1"/>
  <c r="AB84" i="125"/>
  <c r="AE82" i="125"/>
  <c r="AE294" i="125"/>
  <c r="AF284" i="125"/>
  <c r="AF294" i="125" s="1"/>
  <c r="AE69" i="125"/>
  <c r="AF69" i="125"/>
  <c r="AF89" i="126"/>
  <c r="AC68" i="125"/>
  <c r="AD64" i="125"/>
  <c r="AE228" i="125"/>
  <c r="AD233" i="125"/>
  <c r="AD245" i="125" s="1"/>
  <c r="AD229" i="125"/>
  <c r="AD148" i="125"/>
  <c r="AD167" i="125" s="1"/>
  <c r="AC150" i="125"/>
  <c r="AC152" i="125" s="1"/>
  <c r="AD66" i="125"/>
  <c r="AE162" i="125"/>
  <c r="AC234" i="125"/>
  <c r="AC65" i="125"/>
  <c r="AD67" i="125"/>
  <c r="DS8" i="103"/>
  <c r="DW8" i="103" s="1"/>
  <c r="BN8" i="103"/>
  <c r="AD144" i="125"/>
  <c r="AE89" i="126"/>
  <c r="BP9" i="103"/>
  <c r="BN7" i="103"/>
  <c r="BM8" i="103"/>
  <c r="BO9" i="103"/>
  <c r="BM7" i="103"/>
  <c r="W59" i="124" l="1"/>
  <c r="I86" i="118" s="1"/>
  <c r="K14" i="116"/>
  <c r="X191" i="122"/>
  <c r="X193" i="122" s="1"/>
  <c r="X106" i="123"/>
  <c r="X105" i="123" s="1"/>
  <c r="X111" i="123" s="1"/>
  <c r="Y5" i="124"/>
  <c r="I82" i="118"/>
  <c r="J43" i="118"/>
  <c r="X180" i="122"/>
  <c r="X186" i="122" s="1"/>
  <c r="X8" i="124"/>
  <c r="CK72" i="131"/>
  <c r="CJ71" i="131"/>
  <c r="CJ72" i="131" s="1"/>
  <c r="I84" i="118"/>
  <c r="W114" i="122"/>
  <c r="I78" i="118"/>
  <c r="AC166" i="125"/>
  <c r="AC101" i="125" s="1"/>
  <c r="AD243" i="125"/>
  <c r="AD244" i="125"/>
  <c r="AD102" i="125" s="1"/>
  <c r="AD106" i="125" s="1"/>
  <c r="AF227" i="125"/>
  <c r="AF232" i="125" s="1"/>
  <c r="AF242" i="125" s="1"/>
  <c r="AE232" i="125"/>
  <c r="AE242" i="125" s="1"/>
  <c r="AE244" i="125" s="1"/>
  <c r="AA103" i="125"/>
  <c r="AA105" i="125"/>
  <c r="AB105" i="125"/>
  <c r="AB103" i="125"/>
  <c r="AB86" i="125"/>
  <c r="AC84" i="125"/>
  <c r="AF82" i="125"/>
  <c r="AF162" i="125"/>
  <c r="AF228" i="125"/>
  <c r="AE67" i="125"/>
  <c r="AF67" i="125"/>
  <c r="AE66" i="125"/>
  <c r="AF66" i="125"/>
  <c r="AE64" i="125"/>
  <c r="AF64" i="125"/>
  <c r="AD65" i="125"/>
  <c r="AE144" i="125"/>
  <c r="AA247" i="125"/>
  <c r="EA8" i="103"/>
  <c r="AE148" i="125"/>
  <c r="AD150" i="125"/>
  <c r="AD152" i="125" s="1"/>
  <c r="AD68" i="125"/>
  <c r="AB247" i="125"/>
  <c r="BP8" i="103"/>
  <c r="AE233" i="125"/>
  <c r="AE245" i="125" s="1"/>
  <c r="AE229" i="125"/>
  <c r="AD234" i="125"/>
  <c r="AB168" i="125"/>
  <c r="BO8" i="103"/>
  <c r="BR9" i="103"/>
  <c r="BP7" i="103"/>
  <c r="BQ9" i="103"/>
  <c r="BO7" i="103"/>
  <c r="X194" i="122" l="1"/>
  <c r="L10" i="116"/>
  <c r="X192" i="122"/>
  <c r="CS71" i="131" s="1"/>
  <c r="CS72" i="131" s="1"/>
  <c r="Y6" i="124"/>
  <c r="K42" i="118"/>
  <c r="Y7" i="124"/>
  <c r="Y190" i="122"/>
  <c r="X51" i="124"/>
  <c r="X62" i="124"/>
  <c r="X71" i="124" s="1"/>
  <c r="X73" i="124" s="1"/>
  <c r="X57" i="124"/>
  <c r="J56" i="118"/>
  <c r="J55" i="118" s="1"/>
  <c r="X23" i="124"/>
  <c r="AD166" i="125"/>
  <c r="AD101" i="125" s="1"/>
  <c r="AF148" i="125"/>
  <c r="AF167" i="125" s="1"/>
  <c r="AE167" i="125"/>
  <c r="AE102" i="125" s="1"/>
  <c r="AE106" i="125" s="1"/>
  <c r="AE243" i="125"/>
  <c r="AF244" i="125"/>
  <c r="AF243" i="125"/>
  <c r="AC105" i="125"/>
  <c r="AC103" i="125"/>
  <c r="AC104" i="125" s="1"/>
  <c r="AB104" i="125"/>
  <c r="AA104" i="125"/>
  <c r="AF144" i="125"/>
  <c r="AC86" i="125"/>
  <c r="AD84" i="125"/>
  <c r="AF65" i="125"/>
  <c r="AF233" i="125"/>
  <c r="AF245" i="125" s="1"/>
  <c r="AF229" i="125"/>
  <c r="AC247" i="125"/>
  <c r="AE68" i="125"/>
  <c r="AF68" i="125"/>
  <c r="BR8" i="103"/>
  <c r="AE234" i="125"/>
  <c r="AE65" i="125"/>
  <c r="AB169" i="125"/>
  <c r="AB248" i="125"/>
  <c r="EE8" i="103"/>
  <c r="AE150" i="125"/>
  <c r="AE152" i="125" s="1"/>
  <c r="AA248" i="125"/>
  <c r="AC168" i="125"/>
  <c r="BS9" i="103"/>
  <c r="BQ7" i="103"/>
  <c r="BT9" i="103"/>
  <c r="BR7" i="103"/>
  <c r="BQ8" i="103"/>
  <c r="Y24" i="124" l="1"/>
  <c r="X114" i="122"/>
  <c r="L14" i="116"/>
  <c r="CR71" i="131"/>
  <c r="CR72" i="131" s="1"/>
  <c r="J78" i="118"/>
  <c r="K43" i="118"/>
  <c r="Y8" i="124"/>
  <c r="Y106" i="123"/>
  <c r="Y105" i="123" s="1"/>
  <c r="Y111" i="123" s="1"/>
  <c r="X55" i="124"/>
  <c r="Y54" i="124" s="1"/>
  <c r="K81" i="118" s="1"/>
  <c r="Y180" i="122"/>
  <c r="Y186" i="122" s="1"/>
  <c r="J84" i="118"/>
  <c r="Z5" i="124"/>
  <c r="Y191" i="122"/>
  <c r="Y193" i="122" s="1"/>
  <c r="X59" i="124"/>
  <c r="J86" i="118" s="1"/>
  <c r="AF150" i="125"/>
  <c r="AF166" i="125" s="1"/>
  <c r="AF101" i="125" s="1"/>
  <c r="AF102" i="125"/>
  <c r="AF106" i="125" s="1"/>
  <c r="AE166" i="125"/>
  <c r="AE101" i="125" s="1"/>
  <c r="AD168" i="125"/>
  <c r="AD169" i="125" s="1"/>
  <c r="AC248" i="125"/>
  <c r="AD86" i="125"/>
  <c r="AF84" i="125"/>
  <c r="AE84" i="125"/>
  <c r="AF234" i="125"/>
  <c r="EI8" i="103"/>
  <c r="AC169" i="125"/>
  <c r="BT8" i="103"/>
  <c r="BS8" i="103"/>
  <c r="BU9" i="103"/>
  <c r="BS7" i="103"/>
  <c r="BV9" i="103"/>
  <c r="BT7" i="103"/>
  <c r="Y194" i="122" l="1"/>
  <c r="M10" i="116"/>
  <c r="CN43" i="115"/>
  <c r="CR43" i="115"/>
  <c r="Y62" i="124"/>
  <c r="Y71" i="124" s="1"/>
  <c r="Y73" i="124" s="1"/>
  <c r="L42" i="118"/>
  <c r="Y57" i="124"/>
  <c r="K56" i="118"/>
  <c r="K55" i="118" s="1"/>
  <c r="Z7" i="124"/>
  <c r="Y51" i="124"/>
  <c r="K78" i="118" s="1"/>
  <c r="Y23" i="124"/>
  <c r="J82" i="118"/>
  <c r="Z190" i="122"/>
  <c r="Y192" i="122"/>
  <c r="DA71" i="131" s="1"/>
  <c r="DA72" i="131" s="1"/>
  <c r="Z6" i="124"/>
  <c r="AA6" i="124" s="1"/>
  <c r="AB6" i="124" s="1"/>
  <c r="AC6" i="124" s="1"/>
  <c r="AD6" i="124" s="1"/>
  <c r="AE6" i="124" s="1"/>
  <c r="AF6" i="124" s="1"/>
  <c r="AF152" i="125"/>
  <c r="AF168" i="125"/>
  <c r="AE103" i="125"/>
  <c r="AE105" i="125"/>
  <c r="AD105" i="125"/>
  <c r="AD103" i="125"/>
  <c r="AD104" i="125" s="1"/>
  <c r="AF86" i="125"/>
  <c r="AE86" i="125"/>
  <c r="AD247" i="125"/>
  <c r="AD248" i="125" s="1"/>
  <c r="AE247" i="125"/>
  <c r="BV8" i="103"/>
  <c r="BT255" i="103"/>
  <c r="AE168" i="125"/>
  <c r="EM8" i="103"/>
  <c r="BU8" i="103"/>
  <c r="BX9" i="103"/>
  <c r="BV7" i="103"/>
  <c r="BW9" i="103"/>
  <c r="BU7" i="103"/>
  <c r="Z24" i="124" l="1"/>
  <c r="Z180" i="122" s="1"/>
  <c r="Z186" i="122" s="1"/>
  <c r="Y114" i="122"/>
  <c r="M14" i="116"/>
  <c r="Y59" i="124"/>
  <c r="K86" i="118" s="1"/>
  <c r="Z8" i="124"/>
  <c r="AA8" i="124" s="1"/>
  <c r="K84" i="118"/>
  <c r="Z191" i="122"/>
  <c r="Z193" i="122" s="1"/>
  <c r="L43" i="118"/>
  <c r="Y55" i="124"/>
  <c r="Z54" i="124" s="1"/>
  <c r="L81" i="118" s="1"/>
  <c r="Z106" i="123"/>
  <c r="Z105" i="123" s="1"/>
  <c r="Z111" i="123" s="1"/>
  <c r="CZ71" i="131"/>
  <c r="CZ72" i="131" s="1"/>
  <c r="AE104" i="125"/>
  <c r="AF103" i="125"/>
  <c r="AF104" i="125" s="1"/>
  <c r="CR42" i="115" s="1"/>
  <c r="AF105" i="125"/>
  <c r="AF169" i="125"/>
  <c r="AF247" i="125"/>
  <c r="AE248" i="125"/>
  <c r="BX8" i="103"/>
  <c r="BV255" i="103"/>
  <c r="AE169" i="125"/>
  <c r="EQ8" i="103"/>
  <c r="BY9" i="103"/>
  <c r="BW7" i="103"/>
  <c r="BZ9" i="103"/>
  <c r="CB9" i="103" s="1"/>
  <c r="BX7" i="103"/>
  <c r="BW8" i="103"/>
  <c r="Z62" i="124" l="1"/>
  <c r="Z71" i="124" s="1"/>
  <c r="Z73" i="124" s="1"/>
  <c r="Z51" i="124"/>
  <c r="L78" i="118" s="1"/>
  <c r="Z57" i="124"/>
  <c r="N14" i="116" s="1"/>
  <c r="L56" i="118"/>
  <c r="L55" i="118" s="1"/>
  <c r="Z23" i="124"/>
  <c r="Z194" i="122"/>
  <c r="N10" i="116"/>
  <c r="Z192" i="122"/>
  <c r="DI71" i="131" s="1"/>
  <c r="DI72" i="131" s="1"/>
  <c r="Z55" i="124"/>
  <c r="AA54" i="124" s="1"/>
  <c r="M81" i="118" s="1"/>
  <c r="K82" i="118"/>
  <c r="AF248" i="125"/>
  <c r="AA41" i="130"/>
  <c r="AA13" i="130"/>
  <c r="AA11" i="130"/>
  <c r="AA24" i="130" s="1"/>
  <c r="AA6" i="130"/>
  <c r="AA19" i="130" s="1"/>
  <c r="AA10" i="130"/>
  <c r="AA23" i="130" s="1"/>
  <c r="AA34" i="130"/>
  <c r="AA38" i="130"/>
  <c r="AA39" i="130"/>
  <c r="AA16" i="130"/>
  <c r="AA29" i="130" s="1"/>
  <c r="AA44" i="130"/>
  <c r="EU8" i="103"/>
  <c r="BX222" i="103"/>
  <c r="BX255" i="103"/>
  <c r="BZ8" i="103"/>
  <c r="BX223" i="103"/>
  <c r="BX221" i="103"/>
  <c r="BX224" i="103"/>
  <c r="CA9" i="103"/>
  <c r="BY7" i="103"/>
  <c r="BZ7" i="103"/>
  <c r="BY8" i="103"/>
  <c r="Z114" i="122" l="1"/>
  <c r="L84" i="118"/>
  <c r="Z59" i="124"/>
  <c r="L86" i="118" s="1"/>
  <c r="DH71" i="131"/>
  <c r="DH72" i="131" s="1"/>
  <c r="L82" i="118"/>
  <c r="AA65" i="130"/>
  <c r="AA52" i="130"/>
  <c r="AA64" i="130"/>
  <c r="AA51" i="130"/>
  <c r="AA57" i="130"/>
  <c r="AA70" i="130"/>
  <c r="AA60" i="130"/>
  <c r="AA47" i="130"/>
  <c r="AC41" i="130"/>
  <c r="AC13" i="130"/>
  <c r="AC34" i="130"/>
  <c r="AC39" i="130"/>
  <c r="AC38" i="130"/>
  <c r="AC6" i="130"/>
  <c r="AC19" i="130" s="1"/>
  <c r="AC10" i="130"/>
  <c r="AC23" i="130" s="1"/>
  <c r="AC11" i="130"/>
  <c r="AC24" i="130" s="1"/>
  <c r="AC44" i="130"/>
  <c r="AC16" i="130"/>
  <c r="AC29" i="130" s="1"/>
  <c r="BZ246" i="103"/>
  <c r="BZ222" i="103"/>
  <c r="BZ255" i="103"/>
  <c r="BZ223" i="103"/>
  <c r="CB8" i="103"/>
  <c r="BZ224" i="103"/>
  <c r="BZ245" i="103"/>
  <c r="EY8" i="103"/>
  <c r="CA8" i="103"/>
  <c r="CD9" i="103"/>
  <c r="CB7" i="103"/>
  <c r="CC9" i="103"/>
  <c r="CA7" i="103"/>
  <c r="AC51" i="130" l="1"/>
  <c r="AC64" i="130"/>
  <c r="AE13" i="130"/>
  <c r="AE41" i="130"/>
  <c r="AE39" i="130"/>
  <c r="AE11" i="130"/>
  <c r="AE24" i="130" s="1"/>
  <c r="AE6" i="130"/>
  <c r="AE19" i="130" s="1"/>
  <c r="AE10" i="130"/>
  <c r="AE23" i="130" s="1"/>
  <c r="AE34" i="130"/>
  <c r="AE38" i="130"/>
  <c r="AE44" i="130"/>
  <c r="AE16" i="130"/>
  <c r="AE29" i="130" s="1"/>
  <c r="AC65" i="130"/>
  <c r="AC52" i="130"/>
  <c r="AC70" i="130"/>
  <c r="AC57" i="130"/>
  <c r="AC60" i="130"/>
  <c r="AC47" i="130"/>
  <c r="CD8" i="103"/>
  <c r="CB224" i="103"/>
  <c r="CB221" i="103"/>
  <c r="CB240" i="103"/>
  <c r="CB246" i="103"/>
  <c r="CB255" i="103"/>
  <c r="CB222" i="103"/>
  <c r="CB245" i="103"/>
  <c r="CB223" i="103"/>
  <c r="FC8" i="103"/>
  <c r="BX45" i="103" s="1"/>
  <c r="CE9" i="103"/>
  <c r="CC7" i="103"/>
  <c r="CF9" i="103"/>
  <c r="CD7" i="103"/>
  <c r="CC8" i="103"/>
  <c r="CN42" i="115" l="1"/>
  <c r="CB45" i="103"/>
  <c r="AE64" i="130"/>
  <c r="AE51" i="130"/>
  <c r="AE70" i="130"/>
  <c r="AE57" i="130"/>
  <c r="AE65" i="130"/>
  <c r="AE52" i="130"/>
  <c r="AE60" i="130"/>
  <c r="AE47" i="130"/>
  <c r="CA45" i="103"/>
  <c r="BV45" i="103"/>
  <c r="AH77" i="103"/>
  <c r="AH76" i="103"/>
  <c r="AH78" i="103"/>
  <c r="BS30" i="103"/>
  <c r="CA30" i="103"/>
  <c r="BW45" i="103"/>
  <c r="BT45" i="103"/>
  <c r="BV30" i="103"/>
  <c r="BT30" i="103"/>
  <c r="BY30" i="103"/>
  <c r="BY45" i="103"/>
  <c r="BU30" i="103"/>
  <c r="BU45" i="103"/>
  <c r="BZ30" i="103"/>
  <c r="BZ45" i="103"/>
  <c r="CB30" i="103"/>
  <c r="BS45" i="103"/>
  <c r="BW30" i="103"/>
  <c r="CF8" i="103"/>
  <c r="CE8" i="103"/>
  <c r="CG9" i="103"/>
  <c r="CE7" i="103"/>
  <c r="CH9" i="103"/>
  <c r="CF7" i="103"/>
  <c r="AB30" i="103" l="1"/>
  <c r="AH63" i="103"/>
  <c r="W117" i="125"/>
  <c r="CH8" i="103"/>
  <c r="CJ8" i="103" s="1"/>
  <c r="CL8" i="103" s="1"/>
  <c r="CN8" i="103" s="1"/>
  <c r="W118" i="125"/>
  <c r="CI9" i="103"/>
  <c r="CG7" i="103"/>
  <c r="CJ9" i="103"/>
  <c r="CH7" i="103"/>
  <c r="CG8" i="103"/>
  <c r="CI8" i="103" s="1"/>
  <c r="CK8" i="103" s="1"/>
  <c r="CM8" i="103" s="1"/>
  <c r="CZ11" i="130" l="1" a="1"/>
  <c r="CZ11" i="130" s="1"/>
  <c r="CR11" i="130" a="1"/>
  <c r="CR11" i="130" s="1"/>
  <c r="CN10" i="130" a="1"/>
  <c r="CN10" i="130" s="1"/>
  <c r="CN23" i="130" s="1"/>
  <c r="X117" i="125"/>
  <c r="X118" i="125"/>
  <c r="CL9" i="103"/>
  <c r="CJ7" i="103"/>
  <c r="CK9" i="103"/>
  <c r="CI7" i="103"/>
  <c r="Y118" i="125" l="1"/>
  <c r="W120" i="125"/>
  <c r="Y117" i="125"/>
  <c r="CM9" i="103"/>
  <c r="CM7" i="103" s="1"/>
  <c r="CK7" i="103"/>
  <c r="CN9" i="103"/>
  <c r="CL7" i="103"/>
  <c r="Z117" i="125" l="1"/>
  <c r="Z118" i="125"/>
  <c r="CN7" i="103"/>
  <c r="CV6" i="130" l="1" a="1"/>
  <c r="CV6" i="130" s="1"/>
  <c r="DD10" i="130" a="1"/>
  <c r="DD10" i="130" s="1"/>
  <c r="CN6" i="130" a="1"/>
  <c r="CN6" i="130" s="1"/>
  <c r="CV11" i="130" a="1"/>
  <c r="CV11" i="130" s="1"/>
  <c r="CR16" i="130" a="1"/>
  <c r="CR16" i="130" s="1"/>
  <c r="DD11" i="130" a="1"/>
  <c r="DD11" i="130" s="1"/>
  <c r="DD24" i="130" s="1"/>
  <c r="CN11" i="130" a="1"/>
  <c r="CN11" i="130" s="1"/>
  <c r="CN16" i="130" a="1"/>
  <c r="CN16" i="130" s="1"/>
  <c r="CN29" i="130" s="1"/>
  <c r="CR6" i="130" a="1"/>
  <c r="CR6" i="130" s="1"/>
  <c r="CR13" i="130" a="1"/>
  <c r="CR13" i="130" s="1"/>
  <c r="CZ10" i="130" a="1"/>
  <c r="CZ10" i="130" s="1"/>
  <c r="DD6" i="130" a="1"/>
  <c r="DD6" i="130" s="1"/>
  <c r="CR10" i="130" a="1"/>
  <c r="CR10" i="130" s="1"/>
  <c r="CR23" i="130" s="1"/>
  <c r="CN13" i="130" a="1"/>
  <c r="CN13" i="130" s="1"/>
  <c r="CZ6" i="130" a="1"/>
  <c r="CZ6" i="130" s="1"/>
  <c r="CV16" i="130" a="1"/>
  <c r="CV16" i="130" s="1"/>
  <c r="CV10" i="130" a="1"/>
  <c r="CV10" i="130" s="1"/>
  <c r="CV13" i="130" a="1"/>
  <c r="CV13" i="130" s="1"/>
  <c r="AA118" i="125"/>
  <c r="AA117" i="125"/>
  <c r="AB49" i="103"/>
  <c r="AB333" i="103"/>
  <c r="AB325" i="103"/>
  <c r="AB324" i="103"/>
  <c r="AB317" i="103"/>
  <c r="AB339" i="103" s="1"/>
  <c r="AB306" i="103"/>
  <c r="AB305" i="103"/>
  <c r="AB299" i="103"/>
  <c r="AB276" i="103"/>
  <c r="AB275" i="103"/>
  <c r="AB274" i="103"/>
  <c r="AB265" i="103"/>
  <c r="AB258" i="103"/>
  <c r="AB253" i="103"/>
  <c r="AB248" i="103"/>
  <c r="AB244" i="103"/>
  <c r="AB204" i="103"/>
  <c r="AB192" i="103"/>
  <c r="AB185" i="103"/>
  <c r="AB180" i="103"/>
  <c r="AB179" i="103"/>
  <c r="AB178" i="103"/>
  <c r="AB205" i="103" s="1"/>
  <c r="AB177" i="103"/>
  <c r="AB176" i="103"/>
  <c r="AB153" i="103"/>
  <c r="AB151" i="103"/>
  <c r="AB148" i="103"/>
  <c r="AB147" i="103"/>
  <c r="AB146" i="103"/>
  <c r="AB143" i="103"/>
  <c r="AB191" i="103"/>
  <c r="AB92" i="103"/>
  <c r="AB89" i="103"/>
  <c r="AB85" i="103"/>
  <c r="AB84" i="103" s="1"/>
  <c r="AB136" i="103"/>
  <c r="AB242" i="103"/>
  <c r="EV13" i="103"/>
  <c r="EU13" i="103"/>
  <c r="CB258" i="103" l="1"/>
  <c r="CB265" i="103"/>
  <c r="CZ19" i="130"/>
  <c r="CV23" i="130"/>
  <c r="CR29" i="130"/>
  <c r="CV29" i="130"/>
  <c r="DD23" i="130"/>
  <c r="CN24" i="130"/>
  <c r="CR24" i="130"/>
  <c r="DA16" i="130"/>
  <c r="DA29" i="130" s="1"/>
  <c r="DD19" i="130"/>
  <c r="CR19" i="130"/>
  <c r="CT6" i="130"/>
  <c r="CV24" i="130"/>
  <c r="CZ24" i="130"/>
  <c r="CN19" i="130"/>
  <c r="CP6" i="130"/>
  <c r="CZ23" i="130"/>
  <c r="CV19" i="130"/>
  <c r="CX6" i="130"/>
  <c r="AB118" i="125"/>
  <c r="AB117" i="125"/>
  <c r="AB243" i="103"/>
  <c r="CB244" i="103"/>
  <c r="CB243" i="103" s="1"/>
  <c r="EX13" i="103"/>
  <c r="EW13" i="103"/>
  <c r="EY13" i="103"/>
  <c r="EZ13" i="103"/>
  <c r="FC13" i="103"/>
  <c r="FA13" i="103"/>
  <c r="FB13" i="103"/>
  <c r="AB181" i="103"/>
  <c r="AB186" i="103" s="1"/>
  <c r="AB183" i="103"/>
  <c r="AB144" i="103"/>
  <c r="AB273" i="103"/>
  <c r="AB286" i="103" s="1"/>
  <c r="AB206" i="103"/>
  <c r="AB207" i="103" s="1"/>
  <c r="AB208" i="103"/>
  <c r="AP98" i="119"/>
  <c r="BF93" i="119"/>
  <c r="AI17" i="119"/>
  <c r="AF17" i="119"/>
  <c r="AE17" i="119"/>
  <c r="AH11" i="119"/>
  <c r="AC23" i="119"/>
  <c r="AC21" i="119"/>
  <c r="AC20" i="119"/>
  <c r="AC19" i="119"/>
  <c r="AC17" i="119"/>
  <c r="AC16" i="119"/>
  <c r="AC15" i="119"/>
  <c r="AC14" i="119"/>
  <c r="AB11" i="119"/>
  <c r="Y11" i="119"/>
  <c r="X11" i="119"/>
  <c r="W11" i="119"/>
  <c r="S60" i="119"/>
  <c r="P60" i="119"/>
  <c r="I60" i="119"/>
  <c r="I87" i="119" s="1"/>
  <c r="M60" i="119"/>
  <c r="B4" i="119" a="1"/>
  <c r="B4" i="119" s="1"/>
  <c r="M8" i="119"/>
  <c r="L8" i="119" s="1" a="1"/>
  <c r="L8" i="119" s="1"/>
  <c r="S11" i="119"/>
  <c r="P11" i="119"/>
  <c r="M11" i="119"/>
  <c r="Q74" i="119"/>
  <c r="AT93" i="119"/>
  <c r="AR90" i="119"/>
  <c r="AS87" i="119"/>
  <c r="AR93" i="119"/>
  <c r="AP93" i="119"/>
  <c r="M71" i="119"/>
  <c r="M73" i="119"/>
  <c r="M75" i="119"/>
  <c r="M77" i="119"/>
  <c r="X23" i="119"/>
  <c r="X20" i="119"/>
  <c r="AS98" i="119"/>
  <c r="AS101" i="119"/>
  <c r="AS95" i="119"/>
  <c r="AS103" i="119"/>
  <c r="AS99" i="119"/>
  <c r="AS107" i="119"/>
  <c r="AS96" i="119"/>
  <c r="AS97" i="119"/>
  <c r="AS109" i="119"/>
  <c r="AS116" i="119"/>
  <c r="AS105" i="119"/>
  <c r="AS111" i="119"/>
  <c r="AS114" i="119"/>
  <c r="P20" i="119"/>
  <c r="P87" i="119"/>
  <c r="AB138" i="103" l="1"/>
  <c r="I79" i="119"/>
  <c r="CX11" i="130"/>
  <c r="CX24" i="130" s="1"/>
  <c r="CX19" i="130"/>
  <c r="CX10" i="130"/>
  <c r="CX23" i="130" s="1"/>
  <c r="DC16" i="130"/>
  <c r="CP19" i="130"/>
  <c r="CP16" i="130"/>
  <c r="CP29" i="130" s="1"/>
  <c r="CT19" i="130"/>
  <c r="CT16" i="130"/>
  <c r="AC117" i="125"/>
  <c r="AC118" i="125"/>
  <c r="Z291" i="125"/>
  <c r="Z273" i="125"/>
  <c r="Z108" i="125"/>
  <c r="Z250" i="125"/>
  <c r="Z256" i="125" s="1"/>
  <c r="AQ125" i="125" s="1"/>
  <c r="Z72" i="125"/>
  <c r="Z70" i="125" s="1" a="1"/>
  <c r="Z70" i="125" s="1"/>
  <c r="Z122" i="125"/>
  <c r="Z94" i="125"/>
  <c r="Z52" i="125"/>
  <c r="Z53" i="125" s="1"/>
  <c r="Z171" i="125"/>
  <c r="AP116" i="119"/>
  <c r="BF99" i="119"/>
  <c r="CB273" i="103"/>
  <c r="CC13" i="103"/>
  <c r="AB195" i="103"/>
  <c r="AB201" i="103" s="1"/>
  <c r="AB67" i="103"/>
  <c r="CE13" i="103"/>
  <c r="CF13" i="103"/>
  <c r="CD13" i="103"/>
  <c r="AB21" i="119"/>
  <c r="P29" i="119"/>
  <c r="M26" i="119"/>
  <c r="L26" i="119" s="1"/>
  <c r="L29" i="119" s="1"/>
  <c r="M29" i="119"/>
  <c r="S29" i="119"/>
  <c r="L11" i="119" a="1"/>
  <c r="L11" i="119" s="1"/>
  <c r="K8" i="119" a="1"/>
  <c r="K8" i="119" s="1"/>
  <c r="AS108" i="119"/>
  <c r="AS106" i="119"/>
  <c r="AS104" i="119"/>
  <c r="AS102" i="119"/>
  <c r="N66" i="119"/>
  <c r="Q87" i="119"/>
  <c r="H26" i="119"/>
  <c r="G26" i="119"/>
  <c r="P84" i="119"/>
  <c r="P23" i="119"/>
  <c r="P51" i="119"/>
  <c r="P81" i="119"/>
  <c r="Z22" i="126" l="1"/>
  <c r="AH43" i="125"/>
  <c r="Z73" i="125" a="1"/>
  <c r="Z73" i="125" s="1"/>
  <c r="Z88" i="125"/>
  <c r="Z89" i="125"/>
  <c r="Z91" i="125"/>
  <c r="Z92" i="125"/>
  <c r="L17" i="119"/>
  <c r="P17" i="119" s="1"/>
  <c r="CX16" i="130"/>
  <c r="CX29" i="130" s="1"/>
  <c r="DC29" i="130"/>
  <c r="CT29" i="130"/>
  <c r="DE16" i="130"/>
  <c r="DE29" i="130" s="1"/>
  <c r="Z125" i="125"/>
  <c r="AD118" i="125"/>
  <c r="Z279" i="125"/>
  <c r="Z277" i="125"/>
  <c r="Z278" i="125"/>
  <c r="AD117" i="125"/>
  <c r="Z175" i="125"/>
  <c r="Z176" i="125"/>
  <c r="Z177" i="125"/>
  <c r="AQ126" i="125" s="1"/>
  <c r="AQ127" i="125" s="1"/>
  <c r="AQ128" i="125" s="1"/>
  <c r="Z111" i="125"/>
  <c r="Z112" i="125"/>
  <c r="Z113" i="125"/>
  <c r="Z295" i="125"/>
  <c r="Z303" i="125" s="1"/>
  <c r="AB199" i="103"/>
  <c r="L23" i="119"/>
  <c r="M23" i="119" s="1"/>
  <c r="AB198" i="103"/>
  <c r="AB197" i="103"/>
  <c r="AB196" i="103"/>
  <c r="AB200" i="103"/>
  <c r="AP102" i="119"/>
  <c r="I26" i="119"/>
  <c r="I29" i="119" s="1"/>
  <c r="J8" i="119" a="1"/>
  <c r="J8" i="119" s="1"/>
  <c r="K11" i="119" a="1"/>
  <c r="K11" i="119" s="1"/>
  <c r="P54" i="119"/>
  <c r="Z296" i="125" l="1"/>
  <c r="M42" i="119"/>
  <c r="J11" i="119" a="1"/>
  <c r="J11" i="119" s="1"/>
  <c r="W23" i="119"/>
  <c r="W16" i="119"/>
  <c r="W15" i="119"/>
  <c r="I8" i="119" a="1"/>
  <c r="I8" i="119" s="1"/>
  <c r="AF118" i="125" l="1"/>
  <c r="AE118" i="125"/>
  <c r="AF117" i="125"/>
  <c r="AE117" i="125"/>
  <c r="M40" i="119"/>
  <c r="AH60" i="103"/>
  <c r="Z23" i="119"/>
  <c r="AA23" i="119"/>
  <c r="Z15" i="119"/>
  <c r="AA15" i="119"/>
  <c r="Z16" i="119"/>
  <c r="AA16" i="119"/>
  <c r="M44" i="119"/>
  <c r="I11" i="119" a="1"/>
  <c r="I11" i="119" s="1"/>
  <c r="AH61" i="103" l="1"/>
  <c r="AH59" i="103"/>
  <c r="N14" i="119"/>
  <c r="N23" i="119"/>
  <c r="Q54" i="119" l="1"/>
  <c r="N54" i="119" l="1"/>
  <c r="N79" i="119" l="1"/>
  <c r="AR104" i="119" l="1"/>
  <c r="S73" i="119"/>
  <c r="I42" i="119" l="1"/>
  <c r="S42" i="119" l="1"/>
  <c r="I44" i="119" l="1"/>
  <c r="U87" i="119" l="1"/>
  <c r="T87" i="119"/>
  <c r="N87" i="119" l="1"/>
  <c r="S75" i="119" l="1"/>
  <c r="AR106" i="119" l="1"/>
  <c r="S44" i="119" l="1"/>
  <c r="M83" i="119" l="1"/>
  <c r="P83" i="119" l="1"/>
  <c r="N84" i="119"/>
  <c r="I40" i="119" l="1"/>
  <c r="S71" i="119" l="1"/>
  <c r="AR102" i="119" l="1"/>
  <c r="S77" i="119"/>
  <c r="AR108" i="119" l="1"/>
  <c r="M50" i="119" l="1"/>
  <c r="P50" i="119" l="1"/>
  <c r="I46" i="119" l="1"/>
  <c r="L46" i="119" l="1"/>
  <c r="M46" i="119"/>
  <c r="S40" i="119" l="1"/>
  <c r="S46" i="119" l="1"/>
  <c r="DS72" i="115" l="1"/>
  <c r="DS69" i="115"/>
  <c r="DS67" i="115"/>
  <c r="DS65" i="115"/>
  <c r="AE204" i="103"/>
  <c r="AF204" i="103" s="1"/>
  <c r="ET65" i="103"/>
  <c r="ES65" i="103"/>
  <c r="ER65" i="103"/>
  <c r="ET64" i="103"/>
  <c r="ES64" i="103"/>
  <c r="ER64" i="103"/>
  <c r="T37" i="114"/>
  <c r="I37" i="114"/>
  <c r="E37" i="114"/>
  <c r="BA37" i="114"/>
  <c r="BE37" i="114"/>
  <c r="BB37" i="114"/>
  <c r="AZ37" i="114"/>
  <c r="BD37" i="114"/>
  <c r="BC37" i="114"/>
  <c r="AG204" i="103" l="1"/>
  <c r="AH204" i="103" s="1"/>
  <c r="G37" i="114"/>
  <c r="K37" i="114"/>
  <c r="CU17" i="115"/>
  <c r="AH206" i="103" l="1"/>
  <c r="T55" i="116"/>
  <c r="AG206" i="103"/>
  <c r="V45" i="114" l="1"/>
  <c r="AO30" i="121" l="1"/>
  <c r="AO27" i="121"/>
  <c r="AO17" i="121"/>
  <c r="AV30" i="121"/>
  <c r="AQ27" i="121"/>
  <c r="AO31" i="121" l="1"/>
  <c r="AO28" i="121"/>
  <c r="AP37" i="121"/>
  <c r="AM37" i="121" l="1"/>
  <c r="AJ37" i="121"/>
  <c r="AQ17" i="121" l="1"/>
  <c r="AP31" i="121"/>
  <c r="AP28" i="121"/>
  <c r="AQ28" i="121" l="1"/>
  <c r="AP40" i="121"/>
  <c r="AT27" i="121"/>
  <c r="AT17" i="121"/>
  <c r="C6" i="121"/>
  <c r="AC33" i="121" a="1"/>
  <c r="U33" i="121" a="1"/>
  <c r="K33" i="121" a="1"/>
  <c r="C3" i="121"/>
  <c r="P33" i="121" a="1"/>
  <c r="Y33" i="121" a="1"/>
  <c r="P30" i="121"/>
  <c r="AC17" i="121"/>
  <c r="AC22" i="121"/>
  <c r="U22" i="121"/>
  <c r="AC16" i="121"/>
  <c r="P14" i="121"/>
  <c r="K14" i="121"/>
  <c r="K17" i="121"/>
  <c r="P20" i="121"/>
  <c r="K22" i="121"/>
  <c r="Y24" i="121"/>
  <c r="K40" i="121"/>
  <c r="K24" i="121"/>
  <c r="AC13" i="121"/>
  <c r="U17" i="121"/>
  <c r="P27" i="121"/>
  <c r="K38" i="121"/>
  <c r="P22" i="121"/>
  <c r="P17" i="121"/>
  <c r="K16" i="121"/>
  <c r="K13" i="121"/>
  <c r="U38" i="121"/>
  <c r="AC14" i="121"/>
  <c r="K27" i="121"/>
  <c r="Y17" i="121"/>
  <c r="AC26" i="121"/>
  <c r="U15" i="121"/>
  <c r="AC40" i="121"/>
  <c r="Y20" i="121"/>
  <c r="U13" i="121"/>
  <c r="U26" i="121"/>
  <c r="U24" i="121"/>
  <c r="P26" i="121"/>
  <c r="P40" i="121"/>
  <c r="K30" i="121"/>
  <c r="Y14" i="121"/>
  <c r="P24" i="121"/>
  <c r="K26" i="121"/>
  <c r="Y13" i="121"/>
  <c r="U27" i="121"/>
  <c r="AC35" i="121"/>
  <c r="U30" i="121"/>
  <c r="AC15" i="121"/>
  <c r="Y40" i="121"/>
  <c r="P13" i="121"/>
  <c r="U14" i="121"/>
  <c r="Y35" i="121"/>
  <c r="Y15" i="121"/>
  <c r="Y16" i="121"/>
  <c r="U16" i="121"/>
  <c r="Y27" i="121"/>
  <c r="Y22" i="121"/>
  <c r="Y30" i="121"/>
  <c r="U40" i="121"/>
  <c r="P16" i="121"/>
  <c r="Y38" i="121"/>
  <c r="AC20" i="121"/>
  <c r="P15" i="121"/>
  <c r="K15" i="121"/>
  <c r="AC27" i="121"/>
  <c r="AC38" i="121"/>
  <c r="U20" i="121"/>
  <c r="AC30" i="121"/>
  <c r="U35" i="121"/>
  <c r="AC24" i="121"/>
  <c r="K35" i="121"/>
  <c r="Y26" i="121"/>
  <c r="K20" i="121"/>
  <c r="P35" i="121"/>
  <c r="P38" i="121"/>
  <c r="AD28" i="121" l="1"/>
  <c r="AT28" i="121" s="1"/>
  <c r="AD31" i="121"/>
  <c r="AD25" i="121"/>
  <c r="AT25" i="121" s="1"/>
  <c r="AD21" i="121"/>
  <c r="AT21" i="121" s="1"/>
  <c r="AD23" i="121"/>
  <c r="AT23" i="121" s="1"/>
  <c r="AJ13" i="121"/>
  <c r="AM14" i="121"/>
  <c r="AM15" i="121"/>
  <c r="AM16" i="121"/>
  <c r="AM17" i="121"/>
  <c r="AM20" i="121"/>
  <c r="AM22" i="121"/>
  <c r="AJ24" i="121"/>
  <c r="AM26" i="121"/>
  <c r="AJ27" i="121"/>
  <c r="AJ33" i="121"/>
  <c r="AJ40" i="121"/>
  <c r="AS27" i="121"/>
  <c r="AS17" i="121"/>
  <c r="K37" i="121"/>
  <c r="Z23" i="121"/>
  <c r="Z28" i="121"/>
  <c r="Z31" i="121"/>
  <c r="I31" i="121"/>
  <c r="L31" i="121"/>
  <c r="V31" i="121"/>
  <c r="V25" i="121"/>
  <c r="V28" i="121"/>
  <c r="Z21" i="121"/>
  <c r="I21" i="121"/>
  <c r="I28" i="121"/>
  <c r="AJ38" i="121"/>
  <c r="I23" i="121"/>
  <c r="AM27" i="121"/>
  <c r="Q23" i="121"/>
  <c r="V21" i="121"/>
  <c r="V23" i="121"/>
  <c r="AJ26" i="121"/>
  <c r="AJ35" i="121"/>
  <c r="AI38" i="121"/>
  <c r="AJ20" i="121"/>
  <c r="AJ30" i="121"/>
  <c r="L21" i="121"/>
  <c r="AL16" i="121"/>
  <c r="AI17" i="121"/>
  <c r="P33" i="121"/>
  <c r="R33" i="121" s="1"/>
  <c r="AI22" i="121"/>
  <c r="AC23" i="121"/>
  <c r="P31" i="121"/>
  <c r="AL15" i="121"/>
  <c r="P28" i="121"/>
  <c r="AI35" i="121"/>
  <c r="AI20" i="121"/>
  <c r="AC21" i="121"/>
  <c r="AC33" i="121"/>
  <c r="AE33" i="121" s="1"/>
  <c r="AI15" i="121"/>
  <c r="Y25" i="121"/>
  <c r="W15" i="121"/>
  <c r="U23" i="121"/>
  <c r="W22" i="121"/>
  <c r="P25" i="121"/>
  <c r="AL26" i="121"/>
  <c r="Y28" i="121"/>
  <c r="AA27" i="121"/>
  <c r="AL22" i="121"/>
  <c r="K23" i="121"/>
  <c r="AI26" i="121"/>
  <c r="Y31" i="121"/>
  <c r="AI16" i="121"/>
  <c r="U21" i="121"/>
  <c r="AL17" i="121"/>
  <c r="K21" i="121"/>
  <c r="AL20" i="121"/>
  <c r="P23" i="121"/>
  <c r="AC28" i="121"/>
  <c r="AI27" i="121"/>
  <c r="AC31" i="121"/>
  <c r="AI30" i="121"/>
  <c r="AL13" i="121"/>
  <c r="M13" i="121"/>
  <c r="AI13" i="121"/>
  <c r="AE13" i="121"/>
  <c r="R16" i="121"/>
  <c r="AA16" i="121"/>
  <c r="R17" i="121"/>
  <c r="AA17" i="121"/>
  <c r="K25" i="121"/>
  <c r="AL24" i="121"/>
  <c r="M24" i="121"/>
  <c r="U25" i="121"/>
  <c r="W24" i="121"/>
  <c r="AC25" i="121"/>
  <c r="AE24" i="121"/>
  <c r="AI24" i="121"/>
  <c r="R35" i="121"/>
  <c r="AA35" i="121"/>
  <c r="Y23" i="121"/>
  <c r="K28" i="121"/>
  <c r="AL27" i="121"/>
  <c r="U28" i="121"/>
  <c r="W28" i="121" s="1"/>
  <c r="K31" i="121"/>
  <c r="AL30" i="121"/>
  <c r="AW30" i="121" s="1"/>
  <c r="U31" i="121"/>
  <c r="K33" i="121"/>
  <c r="M33" i="121" s="1"/>
  <c r="Y33" i="121"/>
  <c r="AA33" i="121" s="1"/>
  <c r="AL40" i="121"/>
  <c r="AI40" i="121"/>
  <c r="W13" i="121"/>
  <c r="AL14" i="121"/>
  <c r="W14" i="121"/>
  <c r="AI14" i="121"/>
  <c r="P21" i="121"/>
  <c r="Y21" i="121"/>
  <c r="AA21" i="121" s="1"/>
  <c r="AA20" i="121"/>
  <c r="U33" i="121"/>
  <c r="W33" i="121" s="1"/>
  <c r="AA30" i="121"/>
  <c r="AE15" i="121"/>
  <c r="AA26" i="121"/>
  <c r="Q21" i="121"/>
  <c r="AE26" i="121"/>
  <c r="W40" i="121"/>
  <c r="AA13" i="121"/>
  <c r="AA14" i="121"/>
  <c r="M15" i="121"/>
  <c r="R15" i="121"/>
  <c r="AJ22" i="121"/>
  <c r="AA24" i="121"/>
  <c r="Z25" i="121"/>
  <c r="W35" i="121"/>
  <c r="M38" i="121"/>
  <c r="AE38" i="121"/>
  <c r="AA40" i="121"/>
  <c r="I25" i="121"/>
  <c r="AM40" i="121"/>
  <c r="R40" i="121"/>
  <c r="AA15" i="121"/>
  <c r="R26" i="121"/>
  <c r="AA38" i="121"/>
  <c r="AJ14" i="121"/>
  <c r="W26" i="121"/>
  <c r="AM13" i="121"/>
  <c r="R13" i="121"/>
  <c r="R14" i="121"/>
  <c r="AE14" i="121"/>
  <c r="W17" i="121"/>
  <c r="AE22" i="121"/>
  <c r="AM30" i="121"/>
  <c r="Q31" i="121"/>
  <c r="R38" i="121"/>
  <c r="M40" i="121"/>
  <c r="AE40" i="121"/>
  <c r="M17" i="121"/>
  <c r="W38" i="121"/>
  <c r="M16" i="121"/>
  <c r="L23" i="121"/>
  <c r="Q28" i="121"/>
  <c r="M14" i="121"/>
  <c r="AJ17" i="121"/>
  <c r="AE17" i="121"/>
  <c r="R20" i="121"/>
  <c r="M22" i="121"/>
  <c r="L25" i="121"/>
  <c r="R27" i="121"/>
  <c r="AJ15" i="121"/>
  <c r="AE16" i="121"/>
  <c r="W16" i="121"/>
  <c r="Q25" i="121"/>
  <c r="AM24" i="121"/>
  <c r="R24" i="121"/>
  <c r="M26" i="121"/>
  <c r="L28" i="121"/>
  <c r="R30" i="121"/>
  <c r="M35" i="121"/>
  <c r="AE35" i="121"/>
  <c r="M20" i="121"/>
  <c r="W20" i="121"/>
  <c r="AE20" i="121"/>
  <c r="R22" i="121"/>
  <c r="AA22" i="121"/>
  <c r="M27" i="121"/>
  <c r="W27" i="121"/>
  <c r="AE27" i="121"/>
  <c r="M30" i="121"/>
  <c r="W30" i="121"/>
  <c r="AE30" i="121"/>
  <c r="AM28" i="121" l="1"/>
  <c r="AM31" i="121"/>
  <c r="AX30" i="121"/>
  <c r="AA23" i="121"/>
  <c r="AA28" i="121"/>
  <c r="AE25" i="121"/>
  <c r="AS25" i="121"/>
  <c r="AE21" i="121"/>
  <c r="AS21" i="121"/>
  <c r="AE23" i="121"/>
  <c r="AS23" i="121"/>
  <c r="AE31" i="121"/>
  <c r="AE28" i="121"/>
  <c r="AS28" i="121"/>
  <c r="P37" i="121"/>
  <c r="M37" i="121"/>
  <c r="M31" i="121"/>
  <c r="W21" i="121"/>
  <c r="AA31" i="121"/>
  <c r="W31" i="121"/>
  <c r="W25" i="121"/>
  <c r="R23" i="121"/>
  <c r="W23" i="121"/>
  <c r="M21" i="121"/>
  <c r="M23" i="121"/>
  <c r="R28" i="121"/>
  <c r="AA25" i="121"/>
  <c r="M28" i="121"/>
  <c r="R31" i="121"/>
  <c r="M25" i="121"/>
  <c r="AL31" i="121"/>
  <c r="AI33" i="121"/>
  <c r="R25" i="121"/>
  <c r="R21" i="121"/>
  <c r="AL28" i="121"/>
  <c r="U37" i="121" l="1"/>
  <c r="R37" i="121"/>
  <c r="CI37" i="115" a="1"/>
  <c r="BQ37" i="115" a="1"/>
  <c r="CA37" i="115" a="1"/>
  <c r="BW37" i="115" a="1"/>
  <c r="CE37" i="115" a="1"/>
  <c r="Y37" i="121" l="1"/>
  <c r="W37" i="121"/>
  <c r="CI37" i="115"/>
  <c r="CA37" i="115"/>
  <c r="CE37" i="115"/>
  <c r="CE38" i="115" s="1"/>
  <c r="BW37" i="115"/>
  <c r="BW38" i="115" s="1"/>
  <c r="BQ37" i="115"/>
  <c r="CA38" i="115" l="1"/>
  <c r="CI38" i="115"/>
  <c r="CM38" i="115"/>
  <c r="AC37" i="121"/>
  <c r="AA37" i="121"/>
  <c r="AL37" i="121" l="1"/>
  <c r="AE37" i="121"/>
  <c r="AI37" i="121"/>
  <c r="BR44" i="115"/>
  <c r="M18" i="114" l="1"/>
  <c r="BD109" i="119"/>
  <c r="BD107" i="119"/>
  <c r="BD99" i="119"/>
  <c r="AT135" i="119" l="1"/>
  <c r="AT133" i="119"/>
  <c r="AT131" i="119"/>
  <c r="AT127" i="119"/>
  <c r="AT126" i="119"/>
  <c r="AT125" i="119"/>
  <c r="AA8" i="119" l="1"/>
  <c r="AI11" i="119" s="1"/>
  <c r="Z8" i="119"/>
  <c r="BF139" i="119"/>
  <c r="AT139" i="119"/>
  <c r="AA10" i="119" l="1"/>
  <c r="Z10" i="119"/>
  <c r="BA139" i="119"/>
  <c r="BD139" i="119"/>
  <c r="G18" i="116" l="1"/>
  <c r="BH42" i="115" l="1"/>
  <c r="I32" i="114"/>
  <c r="I23" i="114"/>
  <c r="I22" i="114"/>
  <c r="I21" i="114"/>
  <c r="I9" i="114"/>
  <c r="I8" i="114"/>
  <c r="I7" i="114"/>
  <c r="K32" i="114" l="1"/>
  <c r="K21" i="114"/>
  <c r="K22" i="114"/>
  <c r="K23" i="114"/>
  <c r="J29" i="114"/>
  <c r="J27" i="114"/>
  <c r="J28" i="114"/>
  <c r="I27" i="114"/>
  <c r="I28" i="114"/>
  <c r="I29" i="114"/>
  <c r="K29" i="114" l="1"/>
  <c r="K28" i="114"/>
  <c r="K27" i="114"/>
  <c r="BY243" i="103" l="1"/>
  <c r="S26" i="119"/>
  <c r="P26" i="119"/>
  <c r="AT132" i="119" l="1"/>
  <c r="AT136" i="119"/>
  <c r="AT134" i="119"/>
  <c r="BF108" i="119" l="1"/>
  <c r="BL43" i="115" l="1"/>
  <c r="AX127" i="119"/>
  <c r="AX125" i="119"/>
  <c r="AX128" i="119"/>
  <c r="AX126" i="119" l="1"/>
  <c r="AX139" i="119"/>
  <c r="AT116" i="119"/>
  <c r="AW128" i="119"/>
  <c r="AV128" i="119"/>
  <c r="Q48" i="119" l="1"/>
  <c r="Q45" i="119"/>
  <c r="Q43" i="119"/>
  <c r="Q41" i="119"/>
  <c r="Q39" i="119"/>
  <c r="Q36" i="119"/>
  <c r="Q34" i="119"/>
  <c r="Q33" i="119"/>
  <c r="Q32" i="119"/>
  <c r="P46" i="119"/>
  <c r="P44" i="119"/>
  <c r="P42" i="119"/>
  <c r="P40" i="119"/>
  <c r="S8" i="119"/>
  <c r="P8" i="119"/>
  <c r="H8" i="119"/>
  <c r="G8" i="119"/>
  <c r="F8" i="119"/>
  <c r="E8" i="119"/>
  <c r="EB73" i="115" l="1"/>
  <c r="EB71" i="115"/>
  <c r="EB70" i="115"/>
  <c r="EB68" i="115"/>
  <c r="EB66" i="115"/>
  <c r="EB64" i="115"/>
  <c r="EB62" i="115"/>
  <c r="EB60" i="115"/>
  <c r="EB59" i="115"/>
  <c r="EB58" i="115"/>
  <c r="AI43" i="115" l="1"/>
  <c r="Y39" i="114" l="1"/>
  <c r="X39" i="114"/>
  <c r="U39" i="114"/>
  <c r="F8" i="116"/>
  <c r="Y40" i="114"/>
  <c r="X40" i="114"/>
  <c r="W40" i="114"/>
  <c r="W39" i="114"/>
  <c r="V40" i="114"/>
  <c r="V39" i="114"/>
  <c r="U40" i="114"/>
  <c r="B13" i="116" l="1" a="1"/>
  <c r="B13" i="116" s="1"/>
  <c r="B15" i="116" a="1"/>
  <c r="B15" i="116" s="1"/>
  <c r="B16" i="116" a="1"/>
  <c r="B16" i="116" s="1"/>
  <c r="B12" i="116" a="1"/>
  <c r="B12" i="116" s="1"/>
  <c r="B14" i="116" a="1"/>
  <c r="B14" i="116" s="1"/>
  <c r="EO13" i="103"/>
  <c r="EN13" i="103"/>
  <c r="BY13" i="103" l="1"/>
  <c r="H44" i="119" l="1"/>
  <c r="H40" i="119"/>
  <c r="H42" i="119"/>
  <c r="DR72" i="115" l="1"/>
  <c r="EB72" i="115" s="1"/>
  <c r="DR69" i="115"/>
  <c r="EB69" i="115" s="1"/>
  <c r="DR67" i="115"/>
  <c r="EB67" i="115" s="1"/>
  <c r="DR65" i="115"/>
  <c r="EB65" i="115" s="1"/>
  <c r="DW58" i="115" l="1"/>
  <c r="Q47" i="117" l="1"/>
  <c r="Q44" i="117"/>
  <c r="K2" i="81"/>
  <c r="L2" i="81" s="1"/>
  <c r="M2" i="81" s="1"/>
  <c r="N2" i="81" s="1"/>
  <c r="O2" i="81" s="1"/>
  <c r="P2" i="81" s="1"/>
  <c r="Q2" i="81" s="1"/>
  <c r="R37" i="116"/>
  <c r="R36" i="116"/>
  <c r="R34" i="116"/>
  <c r="R33" i="116"/>
  <c r="AO40" i="114" l="1"/>
  <c r="M40" i="114" l="1"/>
  <c r="AG53" i="103" l="1"/>
  <c r="O40" i="114"/>
  <c r="O18" i="114"/>
  <c r="CY75" i="115"/>
  <c r="CY74" i="115"/>
  <c r="CY61" i="115"/>
  <c r="AA204" i="103"/>
  <c r="AF324" i="103" l="1"/>
  <c r="AF321" i="103"/>
  <c r="AF205" i="103"/>
  <c r="AF179" i="103"/>
  <c r="AF137" i="103"/>
  <c r="AF89" i="103"/>
  <c r="AF53" i="103"/>
  <c r="AF51" i="103"/>
  <c r="AF48" i="103"/>
  <c r="AF47" i="103"/>
  <c r="AF46" i="103"/>
  <c r="AO39" i="114"/>
  <c r="BD42" i="115"/>
  <c r="BD40" i="115"/>
  <c r="BD27" i="115"/>
  <c r="BD16" i="115"/>
  <c r="AV42" i="115"/>
  <c r="AV40" i="115"/>
  <c r="AV27" i="115"/>
  <c r="AV16" i="115"/>
  <c r="AR42" i="115"/>
  <c r="AR16" i="115"/>
  <c r="AR15" i="115"/>
  <c r="AR14" i="115"/>
  <c r="AA276" i="103"/>
  <c r="AA275" i="103"/>
  <c r="AA274" i="103"/>
  <c r="AA265" i="103"/>
  <c r="AA258" i="103"/>
  <c r="AA253" i="103"/>
  <c r="AA248" i="103"/>
  <c r="AA244" i="103"/>
  <c r="AA192" i="103"/>
  <c r="AA185" i="103"/>
  <c r="AA180" i="103"/>
  <c r="AA179" i="103"/>
  <c r="AA178" i="103"/>
  <c r="AA205" i="103" s="1"/>
  <c r="AA206" i="103" s="1"/>
  <c r="AA207" i="103" s="1"/>
  <c r="AA177" i="103"/>
  <c r="AA176" i="103"/>
  <c r="AA153" i="103"/>
  <c r="AA151" i="103"/>
  <c r="AA148" i="103"/>
  <c r="AA147" i="103"/>
  <c r="AA146" i="103"/>
  <c r="AA143" i="103"/>
  <c r="AA324" i="103"/>
  <c r="AA306" i="103"/>
  <c r="AA299" i="103"/>
  <c r="AA92" i="103"/>
  <c r="AB82" i="103" s="1"/>
  <c r="AA89" i="103"/>
  <c r="AA85" i="103"/>
  <c r="AA84" i="103" s="1"/>
  <c r="AB209" i="103"/>
  <c r="AB212" i="103"/>
  <c r="AA136" i="103"/>
  <c r="AA242" i="103"/>
  <c r="BZ265" i="103" l="1"/>
  <c r="AA243" i="103"/>
  <c r="BZ244" i="103"/>
  <c r="BZ243" i="103" s="1"/>
  <c r="AR13" i="115"/>
  <c r="M9" i="114"/>
  <c r="M8" i="114"/>
  <c r="M7" i="114"/>
  <c r="AA181" i="103"/>
  <c r="AF91" i="103"/>
  <c r="AV13" i="115"/>
  <c r="CY58" i="115"/>
  <c r="AV14" i="115"/>
  <c r="CY59" i="115"/>
  <c r="AV15" i="115"/>
  <c r="CY60" i="115"/>
  <c r="AD81" i="126"/>
  <c r="BD15" i="115"/>
  <c r="BD14" i="115"/>
  <c r="BD13" i="115"/>
  <c r="AF208" i="103"/>
  <c r="AA273" i="103"/>
  <c r="AA286" i="103" s="1"/>
  <c r="AA191" i="103"/>
  <c r="AA208" i="103"/>
  <c r="AD250" i="125" l="1"/>
  <c r="AD256" i="125" s="1"/>
  <c r="AD273" i="125"/>
  <c r="AD291" i="125"/>
  <c r="AD122" i="125"/>
  <c r="AD94" i="125"/>
  <c r="AD108" i="125"/>
  <c r="AD171" i="125"/>
  <c r="AD72" i="125"/>
  <c r="AD52" i="125"/>
  <c r="AD53" i="125" s="1"/>
  <c r="BZ273" i="103"/>
  <c r="M10" i="114"/>
  <c r="AA182" i="103"/>
  <c r="AF67" i="103"/>
  <c r="CY62" i="115"/>
  <c r="AA218" i="103"/>
  <c r="AV17" i="115"/>
  <c r="BD17" i="115"/>
  <c r="AA186" i="103"/>
  <c r="AB184" i="103"/>
  <c r="Q84" i="119"/>
  <c r="DB77" i="115" a="1"/>
  <c r="AD260" i="125" l="1"/>
  <c r="AU125" i="125"/>
  <c r="AD73" i="125" a="1"/>
  <c r="AD73" i="125" s="1"/>
  <c r="AD75" i="125" s="1"/>
  <c r="AD22" i="126"/>
  <c r="AD88" i="125"/>
  <c r="AD89" i="125"/>
  <c r="AD91" i="125"/>
  <c r="AD92" i="125"/>
  <c r="AD277" i="125"/>
  <c r="AD278" i="125"/>
  <c r="AD279" i="125"/>
  <c r="AD295" i="125"/>
  <c r="AD303" i="125" s="1"/>
  <c r="AD112" i="125"/>
  <c r="AD111" i="125"/>
  <c r="AD113" i="125"/>
  <c r="AD125" i="125"/>
  <c r="AD175" i="125"/>
  <c r="AD176" i="125"/>
  <c r="AD177" i="125"/>
  <c r="AU126" i="125" s="1"/>
  <c r="N32" i="119"/>
  <c r="N34" i="119"/>
  <c r="N33" i="119"/>
  <c r="N48" i="119"/>
  <c r="G40" i="119"/>
  <c r="DB77" i="115"/>
  <c r="DF77" i="115" s="1"/>
  <c r="G44" i="119"/>
  <c r="L44" i="119"/>
  <c r="G42" i="119"/>
  <c r="L42" i="119"/>
  <c r="L40" i="119"/>
  <c r="AU127" i="125" l="1"/>
  <c r="AU128" i="125" s="1"/>
  <c r="AD296" i="125"/>
  <c r="DW61" i="115"/>
  <c r="DW60" i="115"/>
  <c r="DW59" i="115"/>
  <c r="AY34" i="115"/>
  <c r="AY30" i="115"/>
  <c r="AY26" i="115"/>
  <c r="AY24" i="115"/>
  <c r="AY22" i="115"/>
  <c r="AU34" i="115"/>
  <c r="AU30" i="115"/>
  <c r="AU26" i="115"/>
  <c r="AU24" i="115"/>
  <c r="AU22" i="115"/>
  <c r="AQ16" i="115"/>
  <c r="AQ15" i="115"/>
  <c r="AQ14" i="115"/>
  <c r="AQ13" i="115"/>
  <c r="AW27" i="115"/>
  <c r="AS16" i="115" l="1"/>
  <c r="AW16" i="115" l="1"/>
  <c r="AW14" i="115" l="1"/>
  <c r="AW15" i="115" l="1"/>
  <c r="AS15" i="115" l="1"/>
  <c r="AS14" i="115" l="1"/>
  <c r="AW42" i="115" l="1"/>
  <c r="AW13" i="115" l="1"/>
  <c r="AW17" i="115" l="1"/>
  <c r="AS13" i="115"/>
  <c r="AW40" i="115" l="1"/>
  <c r="L43" i="115" l="1"/>
  <c r="K43" i="115"/>
  <c r="J43" i="115"/>
  <c r="AB43" i="115"/>
  <c r="X43" i="115"/>
  <c r="T43" i="115"/>
  <c r="P43" i="115"/>
  <c r="M39" i="114" l="1"/>
  <c r="O39" i="114" s="1"/>
  <c r="AE34" i="115"/>
  <c r="CB44" i="115" l="1"/>
  <c r="CF44" i="115" l="1"/>
  <c r="DA77" i="115"/>
  <c r="DE77" i="115" s="1"/>
  <c r="CJ44" i="115" l="1"/>
  <c r="CX44" i="115"/>
  <c r="AF45" i="103"/>
  <c r="AG45" i="103" l="1"/>
  <c r="DC77" i="115"/>
  <c r="K9" i="114" l="1"/>
  <c r="K7" i="114" l="1"/>
  <c r="K8" i="114" l="1"/>
  <c r="C6" i="115" l="1"/>
  <c r="CM32" i="115"/>
  <c r="CM42" i="115"/>
  <c r="CW40" i="115"/>
  <c r="AM42" i="115"/>
  <c r="BQ40" i="115"/>
  <c r="AH43" i="115"/>
  <c r="CW25" i="115"/>
  <c r="BG15" i="115"/>
  <c r="AL28" i="115"/>
  <c r="CW23" i="115"/>
  <c r="BK21" i="115"/>
  <c r="CM17" i="115"/>
  <c r="CI17" i="115"/>
  <c r="CQ42" i="115"/>
  <c r="CW17" i="115"/>
  <c r="AH44" i="115"/>
  <c r="AL25" i="115"/>
  <c r="AM25" i="115"/>
  <c r="CW15" i="115"/>
  <c r="BG16" i="115"/>
  <c r="BK27" i="115"/>
  <c r="CA44" i="115"/>
  <c r="CQ15" i="115"/>
  <c r="CI27" i="115"/>
  <c r="CM44" i="115"/>
  <c r="AM15" i="115"/>
  <c r="BG17" i="115"/>
  <c r="BQ28" i="115"/>
  <c r="BG42" i="115"/>
  <c r="CW27" i="115"/>
  <c r="CM21" i="115"/>
  <c r="CM23" i="115"/>
  <c r="BQ23" i="115"/>
  <c r="CI23" i="115"/>
  <c r="CQ28" i="115"/>
  <c r="CW13" i="115"/>
  <c r="CW21" i="115"/>
  <c r="AM16" i="115"/>
  <c r="CQ44" i="115"/>
  <c r="CI16" i="115"/>
  <c r="W43" i="115"/>
  <c r="CI13" i="115"/>
  <c r="CE44" i="115"/>
  <c r="S43" i="115"/>
  <c r="BW14" i="115"/>
  <c r="CW32" i="115"/>
  <c r="AL23" i="115"/>
  <c r="AM32" i="115"/>
  <c r="BQ21" i="115"/>
  <c r="CI21" i="115"/>
  <c r="CW16" i="115"/>
  <c r="AH28" i="115"/>
  <c r="BK28" i="115"/>
  <c r="CI42" i="115"/>
  <c r="BK25" i="115"/>
  <c r="AM13" i="115"/>
  <c r="BK44" i="115"/>
  <c r="CQ17" i="115"/>
  <c r="CQ13" i="115"/>
  <c r="CQ21" i="115"/>
  <c r="CQ32" i="115"/>
  <c r="CI40" i="115"/>
  <c r="CI15" i="115"/>
  <c r="CM40" i="115"/>
  <c r="CI44" i="115"/>
  <c r="AM44" i="115"/>
  <c r="AM28" i="115"/>
  <c r="AL40" i="115"/>
  <c r="BK15" i="115"/>
  <c r="BK43" i="115"/>
  <c r="AM17" i="115"/>
  <c r="CM25" i="115"/>
  <c r="BW44" i="115"/>
  <c r="AM40" i="115"/>
  <c r="BQ32" i="115"/>
  <c r="CM28" i="115"/>
  <c r="AM14" i="115"/>
  <c r="BK17" i="115"/>
  <c r="CW42" i="115"/>
  <c r="CM14" i="115"/>
  <c r="CW44" i="115"/>
  <c r="AL15" i="115"/>
  <c r="CQ14" i="115"/>
  <c r="AM27" i="115"/>
  <c r="CI25" i="115"/>
  <c r="BQ44" i="115"/>
  <c r="CW28" i="115"/>
  <c r="AM23" i="115"/>
  <c r="BK14" i="115"/>
  <c r="BG14" i="115"/>
  <c r="CM27" i="115"/>
  <c r="AL44" i="115"/>
  <c r="AA43" i="115"/>
  <c r="AL32" i="115"/>
  <c r="BK13" i="115"/>
  <c r="CI32" i="115"/>
  <c r="AL21" i="115"/>
  <c r="AM21" i="115"/>
  <c r="AL14" i="115"/>
  <c r="CI28" i="115"/>
  <c r="CM16" i="115"/>
  <c r="CQ40" i="115"/>
  <c r="AL13" i="115"/>
  <c r="CM15" i="115"/>
  <c r="AL42" i="115"/>
  <c r="AL27" i="115"/>
  <c r="BK42" i="115"/>
  <c r="BK23" i="115"/>
  <c r="CQ23" i="115"/>
  <c r="CM13" i="115"/>
  <c r="CW14" i="115"/>
  <c r="CQ16" i="115"/>
  <c r="BG13" i="115"/>
  <c r="AL17" i="115"/>
  <c r="BK32" i="115"/>
  <c r="CI14" i="115"/>
  <c r="BK16" i="115"/>
  <c r="CQ27" i="115"/>
  <c r="CQ25" i="115"/>
  <c r="AL16" i="115"/>
  <c r="CQ33" i="115" l="1"/>
  <c r="CM33" i="115"/>
  <c r="CM29" i="115"/>
  <c r="CQ29" i="115"/>
  <c r="CQ18" i="115"/>
  <c r="CM18" i="115"/>
  <c r="CS42" i="115"/>
  <c r="CQ34" i="115"/>
  <c r="CS44" i="115"/>
  <c r="CQ30" i="115"/>
  <c r="CQ26" i="115"/>
  <c r="CQ24" i="115"/>
  <c r="CQ22" i="115"/>
  <c r="CO44" i="115"/>
  <c r="CO42" i="115"/>
  <c r="CM26" i="115"/>
  <c r="CM34" i="115"/>
  <c r="CM24" i="115"/>
  <c r="CM30" i="115"/>
  <c r="CM22" i="115"/>
  <c r="CY44" i="115"/>
  <c r="CW26" i="115"/>
  <c r="CW30" i="115"/>
  <c r="CW22" i="115"/>
  <c r="CW34" i="115"/>
  <c r="CW24" i="115"/>
  <c r="AS137" i="119"/>
  <c r="AS125" i="119"/>
  <c r="AS131" i="119"/>
  <c r="AS129" i="119"/>
  <c r="AS135" i="119"/>
  <c r="AS128" i="119"/>
  <c r="AS139" i="119"/>
  <c r="AS127" i="119"/>
  <c r="AS133" i="119"/>
  <c r="AS126" i="119"/>
  <c r="AS141" i="119"/>
  <c r="BM43" i="115"/>
  <c r="BK30" i="115"/>
  <c r="BK22" i="115"/>
  <c r="BK26" i="115"/>
  <c r="BK34" i="115"/>
  <c r="BK24" i="115"/>
  <c r="AM22" i="115"/>
  <c r="AM30" i="115"/>
  <c r="AM26" i="115"/>
  <c r="AM34" i="115"/>
  <c r="AM24" i="115"/>
  <c r="AL30" i="115"/>
  <c r="AL24" i="115"/>
  <c r="AL22" i="115"/>
  <c r="AL26" i="115"/>
  <c r="AL34" i="115"/>
  <c r="BI42" i="115"/>
  <c r="CK44" i="115"/>
  <c r="CG44" i="115"/>
  <c r="CC44" i="115"/>
  <c r="BS44" i="115"/>
  <c r="CI22" i="115"/>
  <c r="CI26" i="115"/>
  <c r="CI34" i="115"/>
  <c r="CI24" i="115"/>
  <c r="CI30" i="115"/>
  <c r="AZ27" i="115"/>
  <c r="BA27" i="115" s="1"/>
  <c r="Y43" i="115"/>
  <c r="AJ43" i="115"/>
  <c r="AC43" i="115"/>
  <c r="U43" i="115"/>
  <c r="AS134" i="119" l="1"/>
  <c r="AS136" i="119"/>
  <c r="AS132" i="119"/>
  <c r="AS138" i="119"/>
  <c r="D11" i="120"/>
  <c r="E11" i="120" s="1"/>
  <c r="L3" i="120"/>
  <c r="M3" i="120" s="1"/>
  <c r="I3" i="120"/>
  <c r="D14" i="120"/>
  <c r="AT108" i="119" l="1"/>
  <c r="BD108" i="119" s="1"/>
  <c r="AT106" i="119"/>
  <c r="AT104" i="119"/>
  <c r="AT102" i="119"/>
  <c r="P71" i="119" l="1"/>
  <c r="P73" i="119"/>
  <c r="P75" i="119"/>
  <c r="P77" i="119"/>
  <c r="O65" i="116" l="1"/>
  <c r="BE24" i="114"/>
  <c r="BE35" i="114"/>
  <c r="BE26" i="114"/>
  <c r="BE10" i="114"/>
  <c r="BE42" i="114"/>
  <c r="BE30" i="114" l="1"/>
  <c r="CE17" i="115"/>
  <c r="BC21" i="115"/>
  <c r="CE42" i="115"/>
  <c r="CE32" i="115"/>
  <c r="BC32" i="115"/>
  <c r="CE21" i="115"/>
  <c r="CE28" i="115"/>
  <c r="CE13" i="115"/>
  <c r="CE40" i="115"/>
  <c r="CE25" i="115"/>
  <c r="CE23" i="115"/>
  <c r="CE14" i="115"/>
  <c r="CE15" i="115"/>
  <c r="CE16" i="115"/>
  <c r="CE27" i="115"/>
  <c r="CI33" i="115" l="1"/>
  <c r="CI29" i="115"/>
  <c r="CI18" i="115"/>
  <c r="CE34" i="115"/>
  <c r="CE30" i="115"/>
  <c r="CE26" i="115"/>
  <c r="CE24" i="115"/>
  <c r="CE22" i="115"/>
  <c r="AX98" i="119"/>
  <c r="AA30" i="103" l="1"/>
  <c r="BY230" i="103"/>
  <c r="BW230" i="103"/>
  <c r="BY221" i="103"/>
  <c r="BZ221" i="103" s="1"/>
  <c r="BW40" i="115"/>
  <c r="BC40" i="115"/>
  <c r="CA40" i="115"/>
  <c r="AT111" i="119" l="1"/>
  <c r="AX111" i="119" s="1"/>
  <c r="DB74" i="115"/>
  <c r="DF74" i="115" s="1"/>
  <c r="AI27" i="115" l="1"/>
  <c r="M1" i="116" l="1"/>
  <c r="M56" i="116" s="1"/>
  <c r="J50" i="116" l="1"/>
  <c r="K49" i="116"/>
  <c r="K50" i="116" s="1"/>
  <c r="L49" i="116" l="1"/>
  <c r="M49" i="116" s="1"/>
  <c r="N49" i="116" s="1"/>
  <c r="O49" i="116" s="1"/>
  <c r="M53" i="116"/>
  <c r="J52" i="116"/>
  <c r="K52" i="116" s="1"/>
  <c r="L52" i="116" s="1"/>
  <c r="M52" i="116" s="1"/>
  <c r="N52" i="116" s="1"/>
  <c r="O52" i="116" s="1"/>
  <c r="P52" i="116" s="1"/>
  <c r="Q52" i="116" s="1"/>
  <c r="R52" i="116" s="1"/>
  <c r="S52" i="116" s="1"/>
  <c r="T52" i="116" s="1"/>
  <c r="N56" i="116"/>
  <c r="N53" i="116"/>
  <c r="Q37" i="116"/>
  <c r="Q36" i="116"/>
  <c r="Q34" i="116"/>
  <c r="Q33" i="116"/>
  <c r="L1" i="116"/>
  <c r="K1" i="116"/>
  <c r="J1" i="116"/>
  <c r="O50" i="116" l="1"/>
  <c r="P49" i="116"/>
  <c r="N50" i="116"/>
  <c r="M50" i="116"/>
  <c r="L50" i="116"/>
  <c r="K56" i="116"/>
  <c r="L53" i="116"/>
  <c r="L56" i="116"/>
  <c r="J56" i="116"/>
  <c r="J53" i="116"/>
  <c r="K53" i="116"/>
  <c r="Q49" i="116" l="1"/>
  <c r="P50" i="116"/>
  <c r="Q46" i="119"/>
  <c r="Q44" i="119"/>
  <c r="Q42" i="119"/>
  <c r="Q40" i="119"/>
  <c r="Q50" i="116" l="1"/>
  <c r="R49" i="116"/>
  <c r="S49" i="116" l="1"/>
  <c r="R50" i="116"/>
  <c r="S50" i="116" l="1"/>
  <c r="S59" i="116" s="1"/>
  <c r="T49" i="116"/>
  <c r="T50" i="116" s="1"/>
  <c r="T59" i="116" s="1"/>
  <c r="AF54" i="103"/>
  <c r="AG54" i="103"/>
  <c r="FP74" i="103" l="1"/>
  <c r="F4" i="116" l="1"/>
  <c r="B24" i="116" l="1" a="1"/>
  <c r="B24" i="116" s="1"/>
  <c r="B22" i="116" a="1"/>
  <c r="B22" i="116" s="1"/>
  <c r="B4" i="116" a="1"/>
  <c r="B4" i="116" s="1"/>
  <c r="B8" i="116" a="1"/>
  <c r="B8" i="116" s="1"/>
  <c r="B6" i="116" a="1"/>
  <c r="B6" i="116" s="1"/>
  <c r="P47" i="117"/>
  <c r="P44" i="117"/>
  <c r="Z92" i="103" l="1"/>
  <c r="AA82" i="103" s="1"/>
  <c r="AX10" i="114"/>
  <c r="BA42" i="114"/>
  <c r="J13" i="115" l="1"/>
  <c r="K13" i="115"/>
  <c r="P13" i="115"/>
  <c r="T13" i="115"/>
  <c r="X13" i="115"/>
  <c r="L13" i="115"/>
  <c r="J14" i="115"/>
  <c r="K14" i="115"/>
  <c r="P14" i="115"/>
  <c r="T14" i="115"/>
  <c r="X14" i="115"/>
  <c r="AB14" i="115"/>
  <c r="L14" i="115"/>
  <c r="J15" i="115"/>
  <c r="K15" i="115"/>
  <c r="P15" i="115"/>
  <c r="T15" i="115"/>
  <c r="X15" i="115"/>
  <c r="AB15" i="115"/>
  <c r="L15" i="115"/>
  <c r="H16" i="115"/>
  <c r="J16" i="115"/>
  <c r="K16" i="115"/>
  <c r="P16" i="115"/>
  <c r="T16" i="115"/>
  <c r="X16" i="115"/>
  <c r="AB16" i="115"/>
  <c r="L16" i="115"/>
  <c r="M16" i="115"/>
  <c r="J21" i="115"/>
  <c r="K21" i="115"/>
  <c r="L21" i="115"/>
  <c r="J23" i="115"/>
  <c r="K23" i="115"/>
  <c r="L23" i="115"/>
  <c r="J25" i="115"/>
  <c r="K25" i="115"/>
  <c r="L25" i="115"/>
  <c r="H27" i="115"/>
  <c r="J27" i="115"/>
  <c r="K27" i="115"/>
  <c r="L27" i="115"/>
  <c r="M27" i="115"/>
  <c r="AE30" i="115"/>
  <c r="J32" i="115"/>
  <c r="L32" i="115"/>
  <c r="H42" i="115"/>
  <c r="P42" i="115"/>
  <c r="T42" i="115"/>
  <c r="X42" i="115"/>
  <c r="AB42" i="115"/>
  <c r="M42" i="115"/>
  <c r="C3" i="115"/>
  <c r="AH25" i="115"/>
  <c r="BW27" i="115"/>
  <c r="BW28" i="115"/>
  <c r="CA23" i="115"/>
  <c r="AA16" i="115"/>
  <c r="CA14" i="115"/>
  <c r="BQ42" i="115"/>
  <c r="CA28" i="115"/>
  <c r="AA14" i="115"/>
  <c r="AH13" i="115"/>
  <c r="AA13" i="115"/>
  <c r="CA25" i="115"/>
  <c r="BC13" i="115"/>
  <c r="W16" i="115"/>
  <c r="AH32" i="115"/>
  <c r="BC27" i="115"/>
  <c r="BQ14" i="115"/>
  <c r="AH23" i="115"/>
  <c r="S13" i="115"/>
  <c r="CA32" i="115"/>
  <c r="AA15" i="115"/>
  <c r="BC42" i="115"/>
  <c r="AH27" i="115"/>
  <c r="BW32" i="115"/>
  <c r="BW42" i="115"/>
  <c r="AH16" i="115"/>
  <c r="BC25" i="115"/>
  <c r="AA42" i="115"/>
  <c r="AH14" i="115"/>
  <c r="W42" i="115"/>
  <c r="BQ27" i="115"/>
  <c r="BC16" i="115"/>
  <c r="CA42" i="115"/>
  <c r="BW23" i="115"/>
  <c r="S42" i="115"/>
  <c r="BQ13" i="115"/>
  <c r="BW13" i="115"/>
  <c r="BW25" i="115"/>
  <c r="CA27" i="115"/>
  <c r="BQ25" i="115"/>
  <c r="AA17" i="115"/>
  <c r="BQ16" i="115"/>
  <c r="S17" i="115"/>
  <c r="BQ17" i="115"/>
  <c r="CA17" i="115"/>
  <c r="W17" i="115"/>
  <c r="BC14" i="115"/>
  <c r="AH21" i="115"/>
  <c r="S15" i="115"/>
  <c r="CA15" i="115"/>
  <c r="BC17" i="115"/>
  <c r="BW21" i="115"/>
  <c r="CA21" i="115"/>
  <c r="AH17" i="115"/>
  <c r="W14" i="115"/>
  <c r="BW15" i="115"/>
  <c r="BQ15" i="115"/>
  <c r="W13" i="115"/>
  <c r="BW17" i="115"/>
  <c r="S16" i="115"/>
  <c r="BC15" i="115"/>
  <c r="BC23" i="115"/>
  <c r="BC28" i="115"/>
  <c r="AH42" i="115"/>
  <c r="AH15" i="115"/>
  <c r="CA16" i="115"/>
  <c r="CA13" i="115"/>
  <c r="S14" i="115"/>
  <c r="BW16" i="115"/>
  <c r="W15" i="115"/>
  <c r="AE16" i="115"/>
  <c r="BW33" i="115" l="1"/>
  <c r="BW29" i="115"/>
  <c r="BW18" i="115"/>
  <c r="CA33" i="115"/>
  <c r="CE33" i="115"/>
  <c r="CA29" i="115"/>
  <c r="CE29" i="115"/>
  <c r="CE18" i="115"/>
  <c r="CA18" i="115"/>
  <c r="CW18" i="115"/>
  <c r="AU128" i="119"/>
  <c r="AT114" i="119"/>
  <c r="DB61" i="115"/>
  <c r="DB64" i="115"/>
  <c r="DB68" i="115"/>
  <c r="DB62" i="115"/>
  <c r="DF62" i="115" s="1"/>
  <c r="DB71" i="115"/>
  <c r="DB58" i="115"/>
  <c r="DF58" i="115" s="1"/>
  <c r="DB66" i="115"/>
  <c r="DB60" i="115"/>
  <c r="DF60" i="115" s="1"/>
  <c r="DB73" i="115"/>
  <c r="DB75" i="115"/>
  <c r="DF75" i="115" s="1"/>
  <c r="DB59" i="115"/>
  <c r="DF59" i="115" s="1"/>
  <c r="CA34" i="115"/>
  <c r="BW34" i="115"/>
  <c r="BQ34" i="115"/>
  <c r="BC34" i="115"/>
  <c r="AH34" i="115"/>
  <c r="AF32" i="115"/>
  <c r="AJ27" i="115"/>
  <c r="AH26" i="115"/>
  <c r="AH24" i="115"/>
  <c r="AH22" i="115"/>
  <c r="AH30" i="115"/>
  <c r="J22" i="115"/>
  <c r="J34" i="115" s="1"/>
  <c r="L26" i="115"/>
  <c r="J24" i="115"/>
  <c r="L22" i="115"/>
  <c r="L34" i="115" s="1"/>
  <c r="AF34" i="115" s="1"/>
  <c r="K26" i="115"/>
  <c r="J26" i="115"/>
  <c r="L24" i="115"/>
  <c r="K22" i="115"/>
  <c r="K24" i="115"/>
  <c r="CA30" i="115"/>
  <c r="CA24" i="115"/>
  <c r="BW30" i="115"/>
  <c r="CA26" i="115"/>
  <c r="BC22" i="115"/>
  <c r="BQ24" i="115"/>
  <c r="BQ22" i="115"/>
  <c r="BQ30" i="115"/>
  <c r="BW26" i="115"/>
  <c r="Y42" i="115"/>
  <c r="BQ26" i="115"/>
  <c r="BW24" i="115"/>
  <c r="BC24" i="115"/>
  <c r="AC16" i="115"/>
  <c r="Y15" i="115"/>
  <c r="AC14" i="115"/>
  <c r="BC30" i="115"/>
  <c r="BC26" i="115"/>
  <c r="CA22" i="115"/>
  <c r="BW22" i="115"/>
  <c r="U42" i="115"/>
  <c r="U13" i="115"/>
  <c r="Y13" i="115"/>
  <c r="U14" i="115"/>
  <c r="U15" i="115"/>
  <c r="AC42" i="115"/>
  <c r="Y16" i="115"/>
  <c r="AC15" i="115"/>
  <c r="U16" i="115"/>
  <c r="Y14" i="115"/>
  <c r="AF16" i="115"/>
  <c r="DB67" i="115" l="1"/>
  <c r="DB65" i="115"/>
  <c r="DB69" i="115"/>
  <c r="DB72" i="115"/>
  <c r="AO30" i="103" l="1"/>
  <c r="ET62" i="103" l="1"/>
  <c r="S37" i="114" s="1"/>
  <c r="S35" i="114" l="1"/>
  <c r="E35" i="114"/>
  <c r="Z204" i="103"/>
  <c r="Z192" i="103"/>
  <c r="Z185" i="103"/>
  <c r="Z180" i="103"/>
  <c r="Z179" i="103"/>
  <c r="Z178" i="103"/>
  <c r="Z177" i="103"/>
  <c r="Z176" i="103"/>
  <c r="Z205" i="103" l="1"/>
  <c r="Z208" i="103" s="1"/>
  <c r="Z183" i="103"/>
  <c r="Z181" i="103"/>
  <c r="Z206" i="103" l="1"/>
  <c r="Z207" i="103" s="1"/>
  <c r="AA184" i="103"/>
  <c r="Z186" i="103"/>
  <c r="AE324" i="103" l="1"/>
  <c r="AE321" i="103"/>
  <c r="AE205" i="103"/>
  <c r="AE179" i="103"/>
  <c r="AE137" i="103"/>
  <c r="AE89" i="103"/>
  <c r="AE53" i="103"/>
  <c r="AE51" i="103"/>
  <c r="AE48" i="103"/>
  <c r="AE47" i="103"/>
  <c r="AE46" i="103"/>
  <c r="AE44" i="103"/>
  <c r="AE208" i="103" l="1"/>
  <c r="AE49" i="103"/>
  <c r="AE91" i="103"/>
  <c r="AC81" i="126"/>
  <c r="AD82" i="126" s="1"/>
  <c r="AE45" i="103"/>
  <c r="ER13" i="103"/>
  <c r="AD41" i="126" l="1"/>
  <c r="AD42" i="126"/>
  <c r="AC291" i="125"/>
  <c r="AC250" i="125"/>
  <c r="AC256" i="125" s="1"/>
  <c r="AC273" i="125"/>
  <c r="AC171" i="125"/>
  <c r="AC122" i="125"/>
  <c r="AC94" i="125"/>
  <c r="AC108" i="125"/>
  <c r="AC72" i="125"/>
  <c r="AC52" i="125"/>
  <c r="AC53" i="125" s="1"/>
  <c r="AF49" i="103"/>
  <c r="AE67" i="103"/>
  <c r="AF68" i="103" s="1"/>
  <c r="ES13" i="103"/>
  <c r="CA13" i="103" s="1"/>
  <c r="ET13" i="103"/>
  <c r="CB13" i="103" s="1"/>
  <c r="AC260" i="125" l="1"/>
  <c r="AT125" i="125"/>
  <c r="AC73" i="125" a="1"/>
  <c r="AC73" i="125" s="1"/>
  <c r="AC75" i="125" s="1"/>
  <c r="AC22" i="126"/>
  <c r="AC88" i="125"/>
  <c r="AC89" i="125"/>
  <c r="AC91" i="125"/>
  <c r="AC92" i="125"/>
  <c r="AC278" i="125"/>
  <c r="AC279" i="125"/>
  <c r="AC277" i="125"/>
  <c r="AC176" i="125"/>
  <c r="AC175" i="125"/>
  <c r="AC177" i="125"/>
  <c r="AT126" i="125" s="1"/>
  <c r="AD172" i="125"/>
  <c r="AD274" i="125"/>
  <c r="AD251" i="125"/>
  <c r="AC125" i="125"/>
  <c r="AD123" i="125"/>
  <c r="AC111" i="125"/>
  <c r="AC112" i="125"/>
  <c r="AC113" i="125"/>
  <c r="AD109" i="125"/>
  <c r="AC295" i="125"/>
  <c r="AC303" i="125" s="1"/>
  <c r="AD292" i="125"/>
  <c r="AG49" i="103"/>
  <c r="AT127" i="125" l="1"/>
  <c r="AT128" i="125" s="1"/>
  <c r="AD74" i="125"/>
  <c r="AD15" i="125"/>
  <c r="AC296" i="125"/>
  <c r="AD297" i="125" s="1"/>
  <c r="AD257" i="125"/>
  <c r="AD114" i="125"/>
  <c r="AD178" i="125"/>
  <c r="AD280" i="125"/>
  <c r="AW45" i="114"/>
  <c r="AD16" i="125" l="1"/>
  <c r="AD126" i="125"/>
  <c r="AD120" i="125"/>
  <c r="AW10" i="114"/>
  <c r="BB10" i="114"/>
  <c r="BC10" i="114"/>
  <c r="BA24" i="114"/>
  <c r="BD10" i="114"/>
  <c r="AY24" i="114"/>
  <c r="AY10" i="114"/>
  <c r="AZ24" i="114"/>
  <c r="BC24" i="114"/>
  <c r="AZ10" i="114"/>
  <c r="BA10" i="114"/>
  <c r="BD24" i="114"/>
  <c r="AV10" i="114"/>
  <c r="AV24" i="114"/>
  <c r="AW24" i="114"/>
  <c r="AX24" i="114"/>
  <c r="BB24" i="114"/>
  <c r="AD127" i="125" l="1"/>
  <c r="AD19" i="125" s="1"/>
  <c r="BE16" i="114"/>
  <c r="X17" i="115" l="1"/>
  <c r="Y17" i="115" s="1"/>
  <c r="Q81" i="119" l="1"/>
  <c r="Q79" i="119"/>
  <c r="Q76" i="119"/>
  <c r="Q72" i="119"/>
  <c r="Q70" i="119"/>
  <c r="Q64" i="119"/>
  <c r="Q63" i="119"/>
  <c r="Q65" i="119" l="1"/>
  <c r="Q66" i="119"/>
  <c r="Q71" i="119"/>
  <c r="Q77" i="119"/>
  <c r="Q73" i="119"/>
  <c r="Q67" i="119"/>
  <c r="Q75" i="119" l="1"/>
  <c r="AD63" i="116"/>
  <c r="AB63" i="116"/>
  <c r="AA63" i="116" s="1"/>
  <c r="Z63" i="116" s="1"/>
  <c r="AY26" i="114" l="1"/>
  <c r="AX26" i="114"/>
  <c r="AW26" i="114"/>
  <c r="AV26" i="114"/>
  <c r="AZ26" i="114"/>
  <c r="BC26" i="114"/>
  <c r="BA26" i="114"/>
  <c r="BB26" i="114"/>
  <c r="BD26" i="114"/>
  <c r="V204" i="103" l="1"/>
  <c r="W204" i="103"/>
  <c r="AD205" i="103"/>
  <c r="AC205" i="103"/>
  <c r="Y204" i="103"/>
  <c r="X204" i="103"/>
  <c r="O64" i="116" l="1"/>
  <c r="AC208" i="103"/>
  <c r="AD208" i="103"/>
  <c r="N38" i="118" l="1"/>
  <c r="M38" i="118"/>
  <c r="I37" i="118"/>
  <c r="H37" i="118"/>
  <c r="G37" i="118"/>
  <c r="F37" i="118"/>
  <c r="E37" i="118"/>
  <c r="D37" i="118"/>
  <c r="C37" i="118"/>
  <c r="I36" i="118"/>
  <c r="H36" i="118"/>
  <c r="G36" i="118"/>
  <c r="F36" i="118"/>
  <c r="E36" i="118"/>
  <c r="D36" i="118"/>
  <c r="C36" i="118"/>
  <c r="I35" i="118"/>
  <c r="H35" i="118"/>
  <c r="G35" i="118"/>
  <c r="F35" i="118"/>
  <c r="E35" i="118"/>
  <c r="D35" i="118"/>
  <c r="C35" i="118"/>
  <c r="I29" i="118"/>
  <c r="H29" i="118"/>
  <c r="G29" i="118"/>
  <c r="F29" i="118"/>
  <c r="E29" i="118"/>
  <c r="D29" i="118"/>
  <c r="C29" i="118"/>
  <c r="I9" i="118"/>
  <c r="H9" i="118"/>
  <c r="G9" i="118"/>
  <c r="F9" i="118"/>
  <c r="E9" i="118"/>
  <c r="D9" i="118"/>
  <c r="C9" i="118"/>
  <c r="I8" i="118"/>
  <c r="H8" i="118"/>
  <c r="G8" i="118"/>
  <c r="F8" i="118"/>
  <c r="E8" i="118"/>
  <c r="D8" i="118"/>
  <c r="C8" i="118"/>
  <c r="I7" i="118" l="1"/>
  <c r="H7" i="118"/>
  <c r="G7" i="118"/>
  <c r="F7" i="118"/>
  <c r="E7" i="118"/>
  <c r="D7" i="118"/>
  <c r="C7" i="118"/>
  <c r="I6" i="118"/>
  <c r="H6" i="118"/>
  <c r="G6" i="118"/>
  <c r="F6" i="118"/>
  <c r="E6" i="118"/>
  <c r="D6" i="118"/>
  <c r="C6" i="118"/>
  <c r="I5" i="118"/>
  <c r="H5" i="118"/>
  <c r="G5" i="118"/>
  <c r="F5" i="118"/>
  <c r="E5" i="118"/>
  <c r="D5" i="118"/>
  <c r="C5" i="118"/>
  <c r="AV40" i="114" l="1"/>
  <c r="E59" i="117" l="1"/>
  <c r="E55" i="117"/>
  <c r="O47" i="117"/>
  <c r="N47" i="117"/>
  <c r="M47" i="117"/>
  <c r="L47" i="117"/>
  <c r="K47" i="117"/>
  <c r="J47" i="117"/>
  <c r="I47" i="117"/>
  <c r="H47" i="117"/>
  <c r="G47" i="117"/>
  <c r="F47" i="117"/>
  <c r="E47" i="117"/>
  <c r="D47" i="117"/>
  <c r="C47" i="117"/>
  <c r="J46" i="117"/>
  <c r="I46" i="117"/>
  <c r="H46" i="117"/>
  <c r="G46" i="117"/>
  <c r="F46" i="117"/>
  <c r="D46" i="117"/>
  <c r="C46" i="117"/>
  <c r="O44" i="117"/>
  <c r="N44" i="117"/>
  <c r="J43" i="117"/>
  <c r="I43" i="117"/>
  <c r="H43" i="117"/>
  <c r="G43" i="117"/>
  <c r="F43" i="117"/>
  <c r="E43" i="117"/>
  <c r="D43" i="117"/>
  <c r="C43" i="117"/>
  <c r="F37" i="117"/>
  <c r="J22" i="117"/>
  <c r="I22" i="117"/>
  <c r="H22" i="117"/>
  <c r="G22" i="117"/>
  <c r="J16" i="117"/>
  <c r="I16" i="117"/>
  <c r="H16" i="117"/>
  <c r="G16" i="117"/>
  <c r="F16" i="117"/>
  <c r="E16" i="117"/>
  <c r="D16" i="117"/>
  <c r="C16" i="117"/>
  <c r="J8" i="117"/>
  <c r="I8" i="117"/>
  <c r="H8" i="117"/>
  <c r="G8" i="117"/>
  <c r="AI16" i="115" l="1"/>
  <c r="AJ16" i="115" s="1"/>
  <c r="BD30" i="114"/>
  <c r="BD16" i="114"/>
  <c r="BC35" i="114"/>
  <c r="BA35" i="114"/>
  <c r="BC42" i="114"/>
  <c r="BD42" i="114"/>
  <c r="AZ42" i="114"/>
  <c r="BD35" i="114"/>
  <c r="AZ35" i="114"/>
  <c r="BB42" i="114"/>
  <c r="BB35" i="114"/>
  <c r="BC43" i="114" l="1"/>
  <c r="BB16" i="114"/>
  <c r="BC16" i="114"/>
  <c r="BA16" i="114"/>
  <c r="AX16" i="114"/>
  <c r="AY16" i="114"/>
  <c r="AZ16" i="114"/>
  <c r="AW16" i="114"/>
  <c r="AZ30" i="114"/>
  <c r="BB30" i="114"/>
  <c r="BC30" i="114"/>
  <c r="BA30" i="114"/>
  <c r="BU230" i="103" l="1"/>
  <c r="BW225" i="103" l="1"/>
  <c r="BW251" i="103" l="1"/>
  <c r="BW263" i="103" s="1"/>
  <c r="EP62" i="103" l="1"/>
  <c r="EO62" i="103"/>
  <c r="EN62" i="103"/>
  <c r="EL62" i="103"/>
  <c r="EK62" i="103"/>
  <c r="EJ62" i="103"/>
  <c r="EI62" i="103"/>
  <c r="EH62" i="103"/>
  <c r="EG62" i="103"/>
  <c r="EF62" i="103"/>
  <c r="EE62" i="103"/>
  <c r="ED62" i="103"/>
  <c r="EC62" i="103"/>
  <c r="EB62" i="103"/>
  <c r="EA62" i="103"/>
  <c r="DZ62" i="103"/>
  <c r="DY62" i="103"/>
  <c r="DX62" i="103"/>
  <c r="DW62" i="103"/>
  <c r="DV62" i="103"/>
  <c r="DU62" i="103"/>
  <c r="DT62" i="103"/>
  <c r="DS62" i="103"/>
  <c r="DR62" i="103"/>
  <c r="DQ62" i="103"/>
  <c r="DP62" i="103"/>
  <c r="DO62" i="103"/>
  <c r="DN62" i="103"/>
  <c r="DM62" i="103"/>
  <c r="DL62" i="103"/>
  <c r="DK62" i="103"/>
  <c r="DJ62" i="103"/>
  <c r="DI62" i="103"/>
  <c r="DH62" i="103"/>
  <c r="DG62" i="103"/>
  <c r="DF62" i="103"/>
  <c r="DE62" i="103"/>
  <c r="DD62" i="103"/>
  <c r="DC62" i="103"/>
  <c r="DB62" i="103"/>
  <c r="DA62" i="103"/>
  <c r="CZ62" i="103"/>
  <c r="R67" i="103" l="1"/>
  <c r="P67" i="103" l="1"/>
  <c r="Q67" i="103"/>
  <c r="Q68" i="103" l="1"/>
  <c r="R68" i="103"/>
  <c r="K44" i="116"/>
  <c r="J44" i="116"/>
  <c r="P37" i="116"/>
  <c r="O37" i="116"/>
  <c r="N37" i="116"/>
  <c r="M37" i="116"/>
  <c r="L37" i="116"/>
  <c r="K37" i="116"/>
  <c r="J37" i="116"/>
  <c r="P36" i="116"/>
  <c r="O36" i="116"/>
  <c r="N36" i="116"/>
  <c r="M36" i="116"/>
  <c r="L36" i="116"/>
  <c r="K36" i="116"/>
  <c r="J36" i="116"/>
  <c r="P34" i="116"/>
  <c r="O34" i="116"/>
  <c r="N34" i="116"/>
  <c r="M34" i="116"/>
  <c r="L34" i="116"/>
  <c r="K34" i="116"/>
  <c r="J34" i="116"/>
  <c r="P33" i="116"/>
  <c r="O33" i="116"/>
  <c r="N33" i="116"/>
  <c r="M33" i="116"/>
  <c r="L33" i="116"/>
  <c r="K33" i="116"/>
  <c r="J33" i="116"/>
  <c r="N32" i="116"/>
  <c r="M32" i="116"/>
  <c r="L32" i="116"/>
  <c r="K32" i="116"/>
  <c r="J32" i="116"/>
  <c r="K13" i="116"/>
  <c r="J54" i="116" s="1"/>
  <c r="J13" i="116"/>
  <c r="K4" i="116"/>
  <c r="J4" i="116"/>
  <c r="F48" i="117" l="1"/>
  <c r="E49" i="117"/>
  <c r="F49" i="117"/>
  <c r="G49" i="117"/>
  <c r="H49" i="117"/>
  <c r="I49" i="117"/>
  <c r="J49" i="117"/>
  <c r="F50" i="117"/>
  <c r="G50" i="117"/>
  <c r="H50" i="117"/>
  <c r="I50" i="117"/>
  <c r="J50" i="117"/>
  <c r="F40" i="118"/>
  <c r="F92" i="118" s="1"/>
  <c r="E40" i="118"/>
  <c r="E92" i="118" s="1"/>
  <c r="G2" i="118"/>
  <c r="G40" i="118" s="1"/>
  <c r="G92" i="118" s="1"/>
  <c r="D40" i="118"/>
  <c r="D92" i="118" s="1"/>
  <c r="C40" i="118"/>
  <c r="C92" i="118" s="1"/>
  <c r="J19" i="116"/>
  <c r="Y7" i="116"/>
  <c r="Y8" i="116" s="1"/>
  <c r="Y9" i="116" s="1"/>
  <c r="Y10" i="116" s="1"/>
  <c r="Y11" i="116" s="1"/>
  <c r="Y12" i="116" s="1"/>
  <c r="Y13" i="116" s="1"/>
  <c r="J5" i="116"/>
  <c r="J26" i="116" s="1"/>
  <c r="J29" i="116" s="1"/>
  <c r="K3" i="116"/>
  <c r="K19" i="116" s="1"/>
  <c r="J57" i="116" s="1"/>
  <c r="J59" i="116" l="1"/>
  <c r="J58" i="116"/>
  <c r="H2" i="118"/>
  <c r="H40" i="118" s="1"/>
  <c r="H92" i="118" s="1"/>
  <c r="L3" i="116"/>
  <c r="M3" i="116" s="1"/>
  <c r="K5" i="116"/>
  <c r="K26" i="116" s="1"/>
  <c r="K29" i="116" l="1"/>
  <c r="I2" i="118"/>
  <c r="J2" i="118" s="1"/>
  <c r="J40" i="118" s="1"/>
  <c r="J92" i="118" s="1"/>
  <c r="N3" i="116"/>
  <c r="I40" i="118" l="1"/>
  <c r="I92" i="118" s="1"/>
  <c r="K2" i="118"/>
  <c r="K40" i="118" s="1"/>
  <c r="K92" i="118" s="1"/>
  <c r="L2" i="118" l="1"/>
  <c r="M2" i="118" s="1"/>
  <c r="N2" i="118" s="1"/>
  <c r="P3" i="116"/>
  <c r="Q3" i="116" s="1"/>
  <c r="R3" i="116" s="1"/>
  <c r="S3" i="116" s="1"/>
  <c r="T3" i="116" s="1"/>
  <c r="N40" i="118" l="1"/>
  <c r="N92" i="118" s="1"/>
  <c r="O2" i="118"/>
  <c r="M40" i="118"/>
  <c r="M92" i="118" s="1"/>
  <c r="L40" i="118"/>
  <c r="L92" i="118" s="1"/>
  <c r="DK13" i="103"/>
  <c r="DJ13" i="103"/>
  <c r="DI13" i="103"/>
  <c r="DH13" i="103"/>
  <c r="DG13" i="103"/>
  <c r="DF13" i="103"/>
  <c r="DE13" i="103"/>
  <c r="DD13" i="103"/>
  <c r="DC13" i="103"/>
  <c r="DB13" i="103"/>
  <c r="DA13" i="103"/>
  <c r="CZ13" i="103"/>
  <c r="CY13" i="103"/>
  <c r="CX13" i="103"/>
  <c r="CW13" i="103"/>
  <c r="CV13" i="103"/>
  <c r="CU13" i="103"/>
  <c r="CT13" i="103"/>
  <c r="CS13" i="103"/>
  <c r="CR13" i="103"/>
  <c r="EQ13" i="103"/>
  <c r="EK13" i="103"/>
  <c r="EI13" i="103"/>
  <c r="EE13" i="103"/>
  <c r="DY13" i="103"/>
  <c r="DW13" i="103"/>
  <c r="DS13" i="103"/>
  <c r="DM13" i="103"/>
  <c r="BC13" i="103" l="1"/>
  <c r="BF13" i="103"/>
  <c r="BI13" i="103"/>
  <c r="O40" i="118"/>
  <c r="O92" i="118" s="1"/>
  <c r="P2" i="118"/>
  <c r="BA13" i="103"/>
  <c r="BD13" i="103"/>
  <c r="BG13" i="103"/>
  <c r="BJ13" i="103"/>
  <c r="BB13" i="103"/>
  <c r="BE13" i="103"/>
  <c r="BH13" i="103"/>
  <c r="DQ13" i="103"/>
  <c r="DT13" i="103"/>
  <c r="DU13" i="103"/>
  <c r="EF13" i="103"/>
  <c r="EG13" i="103"/>
  <c r="DP13" i="103"/>
  <c r="EL13" i="103"/>
  <c r="EM13" i="103"/>
  <c r="DN13" i="103"/>
  <c r="DV13" i="103"/>
  <c r="BP13" i="103" s="1"/>
  <c r="DO13" i="103"/>
  <c r="DZ13" i="103"/>
  <c r="EA13" i="103"/>
  <c r="EB13" i="103"/>
  <c r="EH13" i="103"/>
  <c r="BV13" i="103" s="1"/>
  <c r="EC13" i="103"/>
  <c r="DL13" i="103"/>
  <c r="BK13" i="103" s="1"/>
  <c r="DR13" i="103"/>
  <c r="BN13" i="103" s="1"/>
  <c r="DX13" i="103"/>
  <c r="BQ13" i="103" s="1"/>
  <c r="ED13" i="103"/>
  <c r="BT13" i="103" s="1"/>
  <c r="EJ13" i="103"/>
  <c r="BW13" i="103" s="1"/>
  <c r="EP13" i="103"/>
  <c r="BZ13" i="103" s="1"/>
  <c r="BM13" i="103" l="1"/>
  <c r="Q2" i="118"/>
  <c r="P40" i="118"/>
  <c r="P92" i="118" s="1"/>
  <c r="BL13" i="103"/>
  <c r="BS13" i="103"/>
  <c r="BX13" i="103"/>
  <c r="BO13" i="103"/>
  <c r="BU13" i="103"/>
  <c r="BR13" i="103"/>
  <c r="Q34" i="103"/>
  <c r="P34" i="103"/>
  <c r="O34" i="103"/>
  <c r="Q40" i="118" l="1"/>
  <c r="Q92" i="118" s="1"/>
  <c r="R2" i="118"/>
  <c r="R40" i="118" s="1"/>
  <c r="R92" i="118" s="1"/>
  <c r="BS34" i="103"/>
  <c r="BR34" i="103"/>
  <c r="BQ34" i="103"/>
  <c r="BP34" i="103"/>
  <c r="BO34" i="103"/>
  <c r="BN34" i="103"/>
  <c r="BM34" i="103"/>
  <c r="BL34" i="103"/>
  <c r="BK34" i="103"/>
  <c r="BJ34" i="103"/>
  <c r="BI34" i="103"/>
  <c r="BH34" i="103"/>
  <c r="BG34" i="103"/>
  <c r="BR30" i="103"/>
  <c r="BQ30" i="103"/>
  <c r="BP30" i="103"/>
  <c r="BO30" i="103"/>
  <c r="BN30" i="103"/>
  <c r="BM30" i="103"/>
  <c r="BL30" i="103"/>
  <c r="BK30" i="103"/>
  <c r="BJ30" i="103"/>
  <c r="BI30" i="103"/>
  <c r="BH30" i="103"/>
  <c r="BG30" i="103"/>
  <c r="BF30" i="103"/>
  <c r="BE30" i="103"/>
  <c r="BD30" i="103"/>
  <c r="BC30" i="103"/>
  <c r="BB30" i="103"/>
  <c r="BA30" i="103"/>
  <c r="BJ45" i="103"/>
  <c r="BI45" i="103"/>
  <c r="BH45" i="103"/>
  <c r="BG45" i="103"/>
  <c r="BF45" i="103"/>
  <c r="BE45" i="103"/>
  <c r="BD45" i="103"/>
  <c r="BC45" i="103"/>
  <c r="BB45" i="103"/>
  <c r="BA45" i="103"/>
  <c r="BS49" i="103"/>
  <c r="BR49" i="103"/>
  <c r="BQ49" i="103"/>
  <c r="BP49" i="103"/>
  <c r="BO49" i="103"/>
  <c r="BN49" i="103"/>
  <c r="BM49" i="103"/>
  <c r="BL49" i="103"/>
  <c r="BK49" i="103"/>
  <c r="BJ49" i="103"/>
  <c r="BI49" i="103"/>
  <c r="BH49" i="103"/>
  <c r="BG49" i="103"/>
  <c r="BR45" i="103"/>
  <c r="BQ45" i="103"/>
  <c r="BP45" i="103"/>
  <c r="BO45" i="103"/>
  <c r="BN45" i="103"/>
  <c r="BM45" i="103"/>
  <c r="BL45" i="103"/>
  <c r="BK45" i="103"/>
  <c r="O30" i="103" l="1"/>
  <c r="R30" i="103"/>
  <c r="U30" i="103"/>
  <c r="P30" i="103"/>
  <c r="S30" i="103"/>
  <c r="V30" i="103"/>
  <c r="Y30" i="103"/>
  <c r="T34" i="103"/>
  <c r="X30" i="103"/>
  <c r="S34" i="103"/>
  <c r="V34" i="103"/>
  <c r="W34" i="103"/>
  <c r="Q30" i="103"/>
  <c r="T30" i="103"/>
  <c r="W30" i="103"/>
  <c r="R34" i="103"/>
  <c r="U34" i="103"/>
  <c r="AI23" i="115" l="1"/>
  <c r="L28" i="115" l="1"/>
  <c r="AF28" i="115" s="1"/>
  <c r="AJ23" i="115"/>
  <c r="E9" i="114"/>
  <c r="G9" i="114" s="1"/>
  <c r="P17" i="115"/>
  <c r="Q17" i="115" s="1"/>
  <c r="K17" i="115"/>
  <c r="J17" i="115"/>
  <c r="Y54" i="103"/>
  <c r="X54" i="103"/>
  <c r="W54" i="103"/>
  <c r="V54" i="103"/>
  <c r="U54" i="103"/>
  <c r="T54" i="103"/>
  <c r="S54" i="103"/>
  <c r="R54" i="103"/>
  <c r="Q54" i="103"/>
  <c r="P54" i="103"/>
  <c r="O54" i="103"/>
  <c r="N54" i="103"/>
  <c r="M54" i="103"/>
  <c r="L54" i="103"/>
  <c r="K54" i="103"/>
  <c r="J54" i="103"/>
  <c r="AD53" i="103"/>
  <c r="AC53" i="103"/>
  <c r="AA53" i="103"/>
  <c r="Z53" i="103"/>
  <c r="Y53" i="103"/>
  <c r="X53" i="103"/>
  <c r="W53" i="103"/>
  <c r="V53" i="103"/>
  <c r="U53" i="103"/>
  <c r="T53" i="103"/>
  <c r="S53" i="103"/>
  <c r="R53" i="103"/>
  <c r="Q53" i="103"/>
  <c r="P53" i="103"/>
  <c r="O53" i="103"/>
  <c r="N53" i="103"/>
  <c r="M53" i="103"/>
  <c r="L53" i="103"/>
  <c r="K53" i="103"/>
  <c r="J53" i="103"/>
  <c r="Z52" i="103"/>
  <c r="Y52" i="103"/>
  <c r="X52" i="103"/>
  <c r="W52" i="103"/>
  <c r="V52" i="103"/>
  <c r="U52" i="103"/>
  <c r="T52" i="103"/>
  <c r="S52" i="103"/>
  <c r="R52" i="103"/>
  <c r="Q52" i="103"/>
  <c r="P52" i="103"/>
  <c r="O52" i="103"/>
  <c r="N52" i="103"/>
  <c r="M52" i="103"/>
  <c r="L52" i="103"/>
  <c r="K52" i="103"/>
  <c r="J52" i="103"/>
  <c r="AD51" i="103"/>
  <c r="AC51" i="103"/>
  <c r="AA51" i="103"/>
  <c r="Z51" i="103"/>
  <c r="Y51" i="103"/>
  <c r="X51" i="103"/>
  <c r="W51" i="103"/>
  <c r="V51" i="103"/>
  <c r="U51" i="103"/>
  <c r="T51" i="103"/>
  <c r="S51" i="103"/>
  <c r="R51" i="103"/>
  <c r="Q51" i="103"/>
  <c r="P51" i="103"/>
  <c r="O51" i="103"/>
  <c r="N51" i="103"/>
  <c r="M51" i="103"/>
  <c r="L51" i="103"/>
  <c r="K51" i="103"/>
  <c r="J51" i="103"/>
  <c r="AC50" i="103"/>
  <c r="AA50" i="103"/>
  <c r="Z50" i="103"/>
  <c r="Y50" i="103"/>
  <c r="X50" i="103"/>
  <c r="W50" i="103"/>
  <c r="V50" i="103"/>
  <c r="U50" i="103"/>
  <c r="T50" i="103"/>
  <c r="S50" i="103"/>
  <c r="R50" i="103"/>
  <c r="Q50" i="103"/>
  <c r="P50" i="103"/>
  <c r="O50" i="103"/>
  <c r="N50" i="103"/>
  <c r="M50" i="103"/>
  <c r="L50" i="103"/>
  <c r="K50" i="103"/>
  <c r="J50" i="103"/>
  <c r="W49" i="103"/>
  <c r="V49" i="103"/>
  <c r="U49" i="103"/>
  <c r="T49" i="103"/>
  <c r="S49" i="103"/>
  <c r="R49" i="103"/>
  <c r="Q49" i="103"/>
  <c r="P49" i="103"/>
  <c r="O49" i="103"/>
  <c r="N49" i="103"/>
  <c r="M49" i="103"/>
  <c r="L49" i="103"/>
  <c r="K49" i="103"/>
  <c r="J49" i="103"/>
  <c r="AD48" i="103"/>
  <c r="AC48" i="103"/>
  <c r="AA48" i="103"/>
  <c r="Z48" i="103"/>
  <c r="Y48" i="103"/>
  <c r="X48" i="103"/>
  <c r="W48" i="103"/>
  <c r="V48" i="103"/>
  <c r="U48" i="103"/>
  <c r="T48" i="103"/>
  <c r="S48" i="103"/>
  <c r="R48" i="103"/>
  <c r="Q48" i="103"/>
  <c r="P48" i="103"/>
  <c r="O48" i="103"/>
  <c r="N48" i="103"/>
  <c r="M48" i="103"/>
  <c r="L48" i="103"/>
  <c r="K48" i="103"/>
  <c r="J48" i="103"/>
  <c r="AD47" i="103"/>
  <c r="AC47" i="103"/>
  <c r="AA47" i="103"/>
  <c r="Z47" i="103"/>
  <c r="Y47" i="103"/>
  <c r="X47" i="103"/>
  <c r="W47" i="103"/>
  <c r="V47" i="103"/>
  <c r="U47" i="103"/>
  <c r="T47" i="103"/>
  <c r="S47" i="103"/>
  <c r="R47" i="103"/>
  <c r="Q47" i="103"/>
  <c r="P47" i="103"/>
  <c r="O47" i="103"/>
  <c r="N47" i="103"/>
  <c r="M47" i="103"/>
  <c r="L47" i="103"/>
  <c r="K47" i="103"/>
  <c r="J47" i="103"/>
  <c r="AD46" i="103"/>
  <c r="AC46" i="103"/>
  <c r="AA46" i="103"/>
  <c r="Z46" i="103"/>
  <c r="Y46" i="103"/>
  <c r="X46" i="103"/>
  <c r="W46" i="103"/>
  <c r="V46" i="103"/>
  <c r="U46" i="103"/>
  <c r="T46" i="103"/>
  <c r="S46" i="103"/>
  <c r="R46" i="103"/>
  <c r="Q46" i="103"/>
  <c r="P46" i="103"/>
  <c r="O46" i="103"/>
  <c r="N46" i="103"/>
  <c r="M46" i="103"/>
  <c r="L46" i="103"/>
  <c r="K46" i="103"/>
  <c r="J46" i="103"/>
  <c r="Z45" i="103"/>
  <c r="Y45" i="103"/>
  <c r="X45" i="103"/>
  <c r="W45" i="103"/>
  <c r="V45" i="103"/>
  <c r="U45" i="103"/>
  <c r="T45" i="103"/>
  <c r="S45" i="103"/>
  <c r="R45" i="103"/>
  <c r="Q45" i="103"/>
  <c r="P45" i="103"/>
  <c r="O45" i="103"/>
  <c r="N45" i="103"/>
  <c r="M45" i="103"/>
  <c r="L45" i="103"/>
  <c r="K45" i="103"/>
  <c r="J45" i="103"/>
  <c r="AD44" i="103"/>
  <c r="AC44" i="103"/>
  <c r="AA44" i="103"/>
  <c r="Z44" i="103"/>
  <c r="Y44" i="103"/>
  <c r="X44" i="103"/>
  <c r="W44" i="103"/>
  <c r="V44" i="103"/>
  <c r="U44" i="103"/>
  <c r="T44" i="103"/>
  <c r="S44" i="103"/>
  <c r="R44" i="103"/>
  <c r="Q44" i="103"/>
  <c r="P44" i="103"/>
  <c r="O44" i="103"/>
  <c r="N44" i="103"/>
  <c r="M44" i="103"/>
  <c r="L44" i="103"/>
  <c r="K44" i="103"/>
  <c r="J44" i="103"/>
  <c r="S9" i="114" l="1"/>
  <c r="AI9" i="114" s="1"/>
  <c r="BH15" i="115"/>
  <c r="BH16" i="115"/>
  <c r="BI16" i="115" s="1"/>
  <c r="E7" i="114"/>
  <c r="G7" i="114" s="1"/>
  <c r="BJ218" i="103"/>
  <c r="BM218" i="103"/>
  <c r="BR218" i="103"/>
  <c r="BF218" i="103"/>
  <c r="BG218" i="103"/>
  <c r="BA218" i="103"/>
  <c r="BN218" i="103"/>
  <c r="BB218" i="103"/>
  <c r="BH218" i="103"/>
  <c r="BS218" i="103"/>
  <c r="BI218" i="103"/>
  <c r="BT218" i="103"/>
  <c r="BM225" i="103"/>
  <c r="BR225" i="103"/>
  <c r="BR251" i="103" s="1"/>
  <c r="BR263" i="103" s="1"/>
  <c r="BS225" i="103"/>
  <c r="BS251" i="103" s="1"/>
  <c r="BS263" i="103" s="1"/>
  <c r="BC218" i="103"/>
  <c r="BD218" i="103"/>
  <c r="BO218" i="103"/>
  <c r="BE225" i="103"/>
  <c r="CC258" i="103"/>
  <c r="BU225" i="103"/>
  <c r="BU251" i="103" s="1"/>
  <c r="BU263" i="103" s="1"/>
  <c r="BP218" i="103"/>
  <c r="BV218" i="103"/>
  <c r="BU218" i="103"/>
  <c r="BO225" i="103"/>
  <c r="BQ218" i="103"/>
  <c r="BK218" i="103"/>
  <c r="BA225" i="103"/>
  <c r="BE218" i="103"/>
  <c r="BN225" i="103"/>
  <c r="BT225" i="103"/>
  <c r="BP225" i="103"/>
  <c r="BG225" i="103"/>
  <c r="T17" i="115" l="1"/>
  <c r="U17" i="115" s="1"/>
  <c r="S15" i="114"/>
  <c r="E15" i="114"/>
  <c r="S7" i="114"/>
  <c r="AI7" i="114" s="1"/>
  <c r="BH13" i="115"/>
  <c r="K28" i="115"/>
  <c r="K30" i="115" s="1"/>
  <c r="J28" i="115"/>
  <c r="J30" i="115" s="1"/>
  <c r="L17" i="115"/>
  <c r="AI15" i="115"/>
  <c r="AJ15" i="115" s="1"/>
  <c r="AI14" i="115"/>
  <c r="AI24" i="115" s="1"/>
  <c r="AJ24" i="115" s="1"/>
  <c r="CC248" i="103"/>
  <c r="CD248" i="103" s="1"/>
  <c r="CE248" i="103" s="1"/>
  <c r="CF248" i="103" s="1"/>
  <c r="BW218" i="103"/>
  <c r="BW226" i="103" s="1"/>
  <c r="BI225" i="103"/>
  <c r="BI226" i="103" s="1"/>
  <c r="BQ225" i="103"/>
  <c r="BQ251" i="103" s="1"/>
  <c r="BQ263" i="103" s="1"/>
  <c r="BJ225" i="103"/>
  <c r="BJ226" i="103" s="1"/>
  <c r="BL225" i="103"/>
  <c r="BL232" i="103" s="1"/>
  <c r="BL235" i="103" s="1"/>
  <c r="BH225" i="103"/>
  <c r="BH251" i="103" s="1"/>
  <c r="BH263" i="103" s="1"/>
  <c r="BK225" i="103"/>
  <c r="BK251" i="103" s="1"/>
  <c r="BK263" i="103" s="1"/>
  <c r="BD225" i="103"/>
  <c r="BD232" i="103" s="1"/>
  <c r="BC225" i="103"/>
  <c r="BC232" i="103" s="1"/>
  <c r="BF225" i="103"/>
  <c r="BF226" i="103" s="1"/>
  <c r="BB225" i="103"/>
  <c r="BB232" i="103" s="1"/>
  <c r="BV225" i="103"/>
  <c r="BV226" i="103" s="1"/>
  <c r="BR232" i="103"/>
  <c r="BR235" i="103" s="1"/>
  <c r="BR236" i="103" s="1"/>
  <c r="BR226" i="103"/>
  <c r="BR256" i="103"/>
  <c r="BU226" i="103"/>
  <c r="BU232" i="103"/>
  <c r="BN226" i="103"/>
  <c r="BN232" i="103"/>
  <c r="BN251" i="103"/>
  <c r="BN263" i="103" s="1"/>
  <c r="BM226" i="103"/>
  <c r="BM232" i="103"/>
  <c r="BM251" i="103"/>
  <c r="BM263" i="103" s="1"/>
  <c r="BO226" i="103"/>
  <c r="BO232" i="103"/>
  <c r="BO251" i="103"/>
  <c r="BO263" i="103" s="1"/>
  <c r="BG226" i="103"/>
  <c r="BG232" i="103"/>
  <c r="BG251" i="103"/>
  <c r="BG263" i="103" s="1"/>
  <c r="BA226" i="103"/>
  <c r="BA232" i="103"/>
  <c r="BA251" i="103"/>
  <c r="BA263" i="103" s="1"/>
  <c r="BS226" i="103"/>
  <c r="BS232" i="103"/>
  <c r="BE226" i="103"/>
  <c r="BE232" i="103"/>
  <c r="BE251" i="103"/>
  <c r="BE263" i="103" s="1"/>
  <c r="BP226" i="103"/>
  <c r="BP232" i="103"/>
  <c r="BP251" i="103"/>
  <c r="BP263" i="103" s="1"/>
  <c r="BT226" i="103"/>
  <c r="BT232" i="103"/>
  <c r="BT251" i="103"/>
  <c r="BT263" i="103" s="1"/>
  <c r="S13" i="114" l="1"/>
  <c r="E13" i="114"/>
  <c r="AJ14" i="115"/>
  <c r="AF17" i="115"/>
  <c r="L30" i="115"/>
  <c r="AF30" i="115" s="1"/>
  <c r="I15" i="114"/>
  <c r="I14" i="114"/>
  <c r="BQ232" i="103"/>
  <c r="BQ235" i="103" s="1"/>
  <c r="BQ236" i="103" s="1"/>
  <c r="BH226" i="103"/>
  <c r="BC226" i="103"/>
  <c r="BQ226" i="103"/>
  <c r="BV251" i="103"/>
  <c r="BV263" i="103" s="1"/>
  <c r="BH232" i="103"/>
  <c r="BH233" i="103" s="1"/>
  <c r="BK226" i="103"/>
  <c r="BK232" i="103"/>
  <c r="BK235" i="103" s="1"/>
  <c r="BK236" i="103" s="1"/>
  <c r="BF251" i="103"/>
  <c r="BF263" i="103" s="1"/>
  <c r="BB251" i="103"/>
  <c r="BB263" i="103" s="1"/>
  <c r="BI251" i="103"/>
  <c r="BD226" i="103"/>
  <c r="BL251" i="103"/>
  <c r="BL263" i="103" s="1"/>
  <c r="BI232" i="103"/>
  <c r="BI235" i="103" s="1"/>
  <c r="BI236" i="103" s="1"/>
  <c r="BC251" i="103"/>
  <c r="BD251" i="103"/>
  <c r="BB226" i="103"/>
  <c r="BJ251" i="103"/>
  <c r="BV232" i="103"/>
  <c r="BV235" i="103" s="1"/>
  <c r="BV236" i="103" s="1"/>
  <c r="BJ232" i="103"/>
  <c r="BJ233" i="103" s="1"/>
  <c r="BR233" i="103"/>
  <c r="BF232" i="103"/>
  <c r="BF235" i="103" s="1"/>
  <c r="BF236" i="103" s="1"/>
  <c r="BE233" i="103"/>
  <c r="BE235" i="103"/>
  <c r="BE236" i="103" s="1"/>
  <c r="BB235" i="103"/>
  <c r="BB236" i="103" s="1"/>
  <c r="BB233" i="103"/>
  <c r="CC265" i="103"/>
  <c r="BO235" i="103"/>
  <c r="BO236" i="103" s="1"/>
  <c r="BO233" i="103"/>
  <c r="BN235" i="103"/>
  <c r="BN236" i="103" s="1"/>
  <c r="BN233" i="103"/>
  <c r="BT256" i="103"/>
  <c r="BA268" i="103"/>
  <c r="D73" i="130" s="1"/>
  <c r="BA256" i="103"/>
  <c r="BH256" i="103"/>
  <c r="BN256" i="103"/>
  <c r="BT235" i="103"/>
  <c r="BT236" i="103" s="1"/>
  <c r="BT233" i="103"/>
  <c r="BP256" i="103"/>
  <c r="BS268" i="103"/>
  <c r="V73" i="130" s="1"/>
  <c r="BS256" i="103"/>
  <c r="BA233" i="103"/>
  <c r="BA235" i="103"/>
  <c r="BA236" i="103" s="1"/>
  <c r="BC235" i="103"/>
  <c r="BC236" i="103" s="1"/>
  <c r="BC233" i="103"/>
  <c r="BD233" i="103"/>
  <c r="BD235" i="103"/>
  <c r="BD236" i="103" s="1"/>
  <c r="BQ256" i="103"/>
  <c r="BQ268" i="103"/>
  <c r="T73" i="130" s="1"/>
  <c r="BG268" i="103"/>
  <c r="J73" i="130" s="1"/>
  <c r="BG256" i="103"/>
  <c r="BM268" i="103"/>
  <c r="P73" i="130" s="1"/>
  <c r="BM256" i="103"/>
  <c r="BU256" i="103"/>
  <c r="BO268" i="103"/>
  <c r="R73" i="130" s="1"/>
  <c r="BO256" i="103"/>
  <c r="BP233" i="103"/>
  <c r="BP235" i="103"/>
  <c r="BP236" i="103" s="1"/>
  <c r="BS233" i="103"/>
  <c r="BS235" i="103"/>
  <c r="BS236" i="103" s="1"/>
  <c r="BG233" i="103"/>
  <c r="BG235" i="103"/>
  <c r="BG236" i="103" s="1"/>
  <c r="BM233" i="103"/>
  <c r="BM235" i="103"/>
  <c r="BM236" i="103" s="1"/>
  <c r="BU235" i="103"/>
  <c r="BU236" i="103" s="1"/>
  <c r="BU233" i="103"/>
  <c r="BE256" i="103"/>
  <c r="BE268" i="103"/>
  <c r="H73" i="130" s="1"/>
  <c r="BK256" i="103"/>
  <c r="BK268" i="103"/>
  <c r="N73" i="130" s="1"/>
  <c r="BC256" i="103" l="1"/>
  <c r="BC263" i="103"/>
  <c r="BC268" i="103" s="1"/>
  <c r="F73" i="130" s="1"/>
  <c r="BI256" i="103"/>
  <c r="BI263" i="103"/>
  <c r="BI268" i="103" s="1"/>
  <c r="L73" i="130" s="1"/>
  <c r="BD256" i="103"/>
  <c r="BD263" i="103"/>
  <c r="BJ256" i="103"/>
  <c r="BJ263" i="103"/>
  <c r="BI15" i="115"/>
  <c r="BQ233" i="103"/>
  <c r="BU268" i="103"/>
  <c r="X73" i="130" s="1"/>
  <c r="BF256" i="103"/>
  <c r="BK233" i="103"/>
  <c r="BV256" i="103"/>
  <c r="BH235" i="103"/>
  <c r="BH236" i="103" s="1"/>
  <c r="BV233" i="103"/>
  <c r="BB256" i="103"/>
  <c r="BL256" i="103"/>
  <c r="BI233" i="103"/>
  <c r="BJ235" i="103"/>
  <c r="BJ236" i="103" s="1"/>
  <c r="BF233" i="103"/>
  <c r="Z338" i="103" l="1"/>
  <c r="AD324" i="103"/>
  <c r="AC324" i="103"/>
  <c r="Z324" i="103"/>
  <c r="AD321" i="103"/>
  <c r="AC321" i="103"/>
  <c r="Z244" i="103"/>
  <c r="AD137" i="103"/>
  <c r="AC137" i="103"/>
  <c r="AD89" i="103"/>
  <c r="AC89" i="103"/>
  <c r="Z89" i="103"/>
  <c r="AA338" i="103" l="1"/>
  <c r="J29" i="118"/>
  <c r="J271" i="103"/>
  <c r="P271" i="103"/>
  <c r="L44" i="116"/>
  <c r="Z153" i="103"/>
  <c r="Z242" i="103"/>
  <c r="Z243" i="103"/>
  <c r="AC91" i="103"/>
  <c r="Z148" i="103"/>
  <c r="AD91" i="103"/>
  <c r="L35" i="116"/>
  <c r="Z258" i="103"/>
  <c r="Z151" i="103"/>
  <c r="Z248" i="103"/>
  <c r="Z275" i="103"/>
  <c r="AC223" i="103"/>
  <c r="AD223" i="103" s="1"/>
  <c r="AE223" i="103" s="1"/>
  <c r="AF223" i="103" s="1"/>
  <c r="AG223" i="103" s="1"/>
  <c r="AH223" i="103" s="1"/>
  <c r="Y192" i="103"/>
  <c r="X192" i="103"/>
  <c r="W192" i="103"/>
  <c r="V192" i="103"/>
  <c r="U192" i="103"/>
  <c r="Y185" i="103"/>
  <c r="X185" i="103"/>
  <c r="W185" i="103"/>
  <c r="V185" i="103"/>
  <c r="U185" i="103"/>
  <c r="T185" i="103"/>
  <c r="S185" i="103"/>
  <c r="R185" i="103"/>
  <c r="Q185" i="103"/>
  <c r="P185" i="103"/>
  <c r="O185" i="103"/>
  <c r="N185" i="103"/>
  <c r="M185" i="103"/>
  <c r="L185" i="103"/>
  <c r="K185" i="103"/>
  <c r="J185" i="103"/>
  <c r="Y180" i="103"/>
  <c r="X180" i="103"/>
  <c r="W180" i="103"/>
  <c r="V180" i="103"/>
  <c r="U180" i="103"/>
  <c r="T180" i="103"/>
  <c r="S180" i="103"/>
  <c r="R180" i="103"/>
  <c r="Q180" i="103"/>
  <c r="P180" i="103"/>
  <c r="O180" i="103"/>
  <c r="N180" i="103"/>
  <c r="M180" i="103"/>
  <c r="L180" i="103"/>
  <c r="K180" i="103"/>
  <c r="J180" i="103"/>
  <c r="AD179" i="103"/>
  <c r="AC179" i="103"/>
  <c r="Y179" i="103"/>
  <c r="X179" i="103"/>
  <c r="V179" i="103"/>
  <c r="U179" i="103"/>
  <c r="T179" i="103"/>
  <c r="S179" i="103"/>
  <c r="R179" i="103"/>
  <c r="Q179" i="103"/>
  <c r="P179" i="103"/>
  <c r="O179" i="103"/>
  <c r="N179" i="103"/>
  <c r="M179" i="103"/>
  <c r="L179" i="103"/>
  <c r="K179" i="103"/>
  <c r="J179" i="103"/>
  <c r="Y178" i="103"/>
  <c r="X178" i="103"/>
  <c r="W178" i="103"/>
  <c r="V178" i="103"/>
  <c r="U178" i="103"/>
  <c r="T178" i="103"/>
  <c r="S178" i="103"/>
  <c r="R178" i="103"/>
  <c r="Q178" i="103"/>
  <c r="P178" i="103"/>
  <c r="O178" i="103"/>
  <c r="N178" i="103"/>
  <c r="M178" i="103"/>
  <c r="L178" i="103"/>
  <c r="K178" i="103"/>
  <c r="J178" i="103"/>
  <c r="Y177" i="103"/>
  <c r="X177" i="103"/>
  <c r="W177" i="103"/>
  <c r="V177" i="103"/>
  <c r="U177" i="103"/>
  <c r="T177" i="103"/>
  <c r="S177" i="103"/>
  <c r="R177" i="103"/>
  <c r="Q177" i="103"/>
  <c r="P177" i="103"/>
  <c r="O177" i="103"/>
  <c r="N177" i="103"/>
  <c r="M177" i="103"/>
  <c r="L177" i="103"/>
  <c r="K177" i="103"/>
  <c r="J177" i="103"/>
  <c r="Y176" i="103"/>
  <c r="X176" i="103"/>
  <c r="W176" i="103"/>
  <c r="V176" i="103"/>
  <c r="U176" i="103"/>
  <c r="T176" i="103"/>
  <c r="P176" i="103"/>
  <c r="O176" i="103"/>
  <c r="N176" i="103"/>
  <c r="M176" i="103"/>
  <c r="L176" i="103"/>
  <c r="K176" i="103"/>
  <c r="M181" i="103"/>
  <c r="L181" i="103"/>
  <c r="K181" i="103"/>
  <c r="J181" i="103"/>
  <c r="H25" i="115"/>
  <c r="H23" i="115"/>
  <c r="H15" i="115"/>
  <c r="H14" i="115"/>
  <c r="L42" i="116" l="1"/>
  <c r="K39" i="117"/>
  <c r="X205" i="103"/>
  <c r="X208" i="103" s="1"/>
  <c r="Y205" i="103"/>
  <c r="Y206" i="103" s="1"/>
  <c r="Y207" i="103" s="1"/>
  <c r="AB338" i="103"/>
  <c r="AC338" i="103" s="1"/>
  <c r="AD338" i="103" s="1"/>
  <c r="AE338" i="103" s="1"/>
  <c r="AF338" i="103" s="1"/>
  <c r="AG338" i="103" s="1"/>
  <c r="AH338" i="103" s="1"/>
  <c r="H21" i="115"/>
  <c r="H26" i="115"/>
  <c r="H24" i="115"/>
  <c r="K8" i="117"/>
  <c r="K22" i="117"/>
  <c r="K29" i="118"/>
  <c r="J20" i="117"/>
  <c r="J21" i="117"/>
  <c r="J6" i="117"/>
  <c r="J7" i="117"/>
  <c r="J19" i="117"/>
  <c r="Z138" i="103"/>
  <c r="K37" i="117"/>
  <c r="H6" i="117"/>
  <c r="S225" i="103"/>
  <c r="D19" i="117"/>
  <c r="I21" i="117"/>
  <c r="G20" i="117"/>
  <c r="U225" i="103"/>
  <c r="F19" i="117"/>
  <c r="I7" i="117"/>
  <c r="I19" i="117"/>
  <c r="H21" i="117"/>
  <c r="G7" i="117"/>
  <c r="G19" i="117"/>
  <c r="R225" i="103"/>
  <c r="C19" i="117"/>
  <c r="I6" i="117"/>
  <c r="T225" i="103"/>
  <c r="E19" i="117"/>
  <c r="H20" i="117"/>
  <c r="I20" i="117"/>
  <c r="H7" i="117"/>
  <c r="H19" i="117"/>
  <c r="G21" i="117"/>
  <c r="M44" i="116"/>
  <c r="N308" i="103"/>
  <c r="I27" i="117"/>
  <c r="AA138" i="103"/>
  <c r="J33" i="117"/>
  <c r="J34" i="117"/>
  <c r="G28" i="117"/>
  <c r="J32" i="117"/>
  <c r="J183" i="103"/>
  <c r="H27" i="117"/>
  <c r="J28" i="117"/>
  <c r="D32" i="117"/>
  <c r="M182" i="103"/>
  <c r="F32" i="117"/>
  <c r="I33" i="117"/>
  <c r="N218" i="103"/>
  <c r="N216" i="103" s="1"/>
  <c r="P308" i="103"/>
  <c r="P218" i="103"/>
  <c r="P216" i="103" s="1"/>
  <c r="H32" i="117"/>
  <c r="J27" i="117"/>
  <c r="G32" i="117"/>
  <c r="J308" i="103"/>
  <c r="J218" i="103"/>
  <c r="J216" i="103" s="1"/>
  <c r="K308" i="103"/>
  <c r="K218" i="103"/>
  <c r="K216" i="103" s="1"/>
  <c r="I32" i="117"/>
  <c r="H34" i="117"/>
  <c r="H28" i="117"/>
  <c r="I34" i="117"/>
  <c r="I28" i="117"/>
  <c r="K182" i="103"/>
  <c r="J182" i="103"/>
  <c r="H33" i="117"/>
  <c r="L182" i="103"/>
  <c r="O308" i="103"/>
  <c r="O218" i="103"/>
  <c r="O216" i="103" s="1"/>
  <c r="L308" i="103"/>
  <c r="L218" i="103"/>
  <c r="L216" i="103" s="1"/>
  <c r="M308" i="103"/>
  <c r="M218" i="103"/>
  <c r="M216" i="103" s="1"/>
  <c r="E32" i="117"/>
  <c r="C32" i="117"/>
  <c r="M183" i="103"/>
  <c r="S183" i="103"/>
  <c r="Y183" i="103"/>
  <c r="V183" i="103"/>
  <c r="M186" i="103"/>
  <c r="P181" i="103"/>
  <c r="M42" i="116"/>
  <c r="Z276" i="103"/>
  <c r="N181" i="103"/>
  <c r="T181" i="103"/>
  <c r="O181" i="103"/>
  <c r="L39" i="117"/>
  <c r="M35" i="116"/>
  <c r="K183" i="103"/>
  <c r="K195" i="103" s="1"/>
  <c r="Q183" i="103"/>
  <c r="W183" i="103"/>
  <c r="N183" i="103"/>
  <c r="T183" i="103"/>
  <c r="K46" i="117"/>
  <c r="R183" i="103"/>
  <c r="O183" i="103"/>
  <c r="U183" i="103"/>
  <c r="P183" i="103"/>
  <c r="L183" i="103"/>
  <c r="L195" i="103" s="1"/>
  <c r="X183" i="103"/>
  <c r="L43" i="116" l="1"/>
  <c r="X206" i="103"/>
  <c r="X207" i="103" s="1"/>
  <c r="Y208" i="103"/>
  <c r="L46" i="117"/>
  <c r="AA325" i="103"/>
  <c r="H28" i="115"/>
  <c r="E5" i="117"/>
  <c r="H13" i="115"/>
  <c r="H22" i="115" s="1"/>
  <c r="C5" i="117"/>
  <c r="BE16" i="115"/>
  <c r="L8" i="117"/>
  <c r="L22" i="117"/>
  <c r="F35" i="117"/>
  <c r="E35" i="117"/>
  <c r="L29" i="118"/>
  <c r="I5" i="117"/>
  <c r="G23" i="117"/>
  <c r="I23" i="117"/>
  <c r="H23" i="117"/>
  <c r="J5" i="117"/>
  <c r="G5" i="117"/>
  <c r="I14" i="117"/>
  <c r="F23" i="117"/>
  <c r="D23" i="117"/>
  <c r="I13" i="117"/>
  <c r="H14" i="117"/>
  <c r="E23" i="117"/>
  <c r="J13" i="117"/>
  <c r="D5" i="117"/>
  <c r="F5" i="117"/>
  <c r="M37" i="117"/>
  <c r="AY22" i="114"/>
  <c r="AY23" i="114" s="1"/>
  <c r="J23" i="117"/>
  <c r="H5" i="117"/>
  <c r="D35" i="117"/>
  <c r="L37" i="117"/>
  <c r="C23" i="117"/>
  <c r="J14" i="117"/>
  <c r="AV30" i="114"/>
  <c r="AW30" i="114"/>
  <c r="AC277" i="103"/>
  <c r="N44" i="116"/>
  <c r="W225" i="103"/>
  <c r="C35" i="117"/>
  <c r="Q225" i="103"/>
  <c r="N195" i="103"/>
  <c r="N196" i="103" s="1"/>
  <c r="K201" i="103"/>
  <c r="K196" i="103"/>
  <c r="K198" i="103"/>
  <c r="K199" i="103"/>
  <c r="L197" i="103"/>
  <c r="L198" i="103"/>
  <c r="P195" i="103"/>
  <c r="P196" i="103" s="1"/>
  <c r="O182" i="103"/>
  <c r="T195" i="103"/>
  <c r="T200" i="103" s="1"/>
  <c r="O195" i="103"/>
  <c r="O200" i="103" s="1"/>
  <c r="M195" i="103"/>
  <c r="M200" i="103" s="1"/>
  <c r="L199" i="103"/>
  <c r="L201" i="103"/>
  <c r="L200" i="103"/>
  <c r="N182" i="103"/>
  <c r="K197" i="103"/>
  <c r="L196" i="103"/>
  <c r="K200" i="103"/>
  <c r="P182" i="103"/>
  <c r="E9" i="117"/>
  <c r="E12" i="117"/>
  <c r="N35" i="116"/>
  <c r="G35" i="117"/>
  <c r="V225" i="103"/>
  <c r="AC246" i="103"/>
  <c r="N42" i="116"/>
  <c r="M43" i="116"/>
  <c r="X225" i="103"/>
  <c r="I35" i="117"/>
  <c r="M39" i="117"/>
  <c r="F12" i="117"/>
  <c r="F9" i="117"/>
  <c r="Z325" i="103"/>
  <c r="H35" i="117"/>
  <c r="D9" i="117"/>
  <c r="D12" i="117"/>
  <c r="M46" i="117"/>
  <c r="C9" i="117"/>
  <c r="C12" i="117"/>
  <c r="Y225" i="103"/>
  <c r="J35" i="117"/>
  <c r="P186" i="103"/>
  <c r="N186" i="103"/>
  <c r="P353" i="103"/>
  <c r="P352" i="103" s="1"/>
  <c r="P357" i="103"/>
  <c r="Q358" i="103"/>
  <c r="R358" i="103" s="1"/>
  <c r="S358" i="103" s="1"/>
  <c r="T358" i="103" s="1"/>
  <c r="U358" i="103" s="1"/>
  <c r="V358" i="103" s="1"/>
  <c r="W358" i="103" s="1"/>
  <c r="X358" i="103" s="1"/>
  <c r="Y358" i="103" s="1"/>
  <c r="Z358" i="103" s="1"/>
  <c r="O349" i="103"/>
  <c r="O318" i="103" s="1"/>
  <c r="O340" i="103" s="1"/>
  <c r="N349" i="103"/>
  <c r="N318" i="103" s="1"/>
  <c r="N340" i="103" s="1"/>
  <c r="M349" i="103"/>
  <c r="M318" i="103" s="1"/>
  <c r="L349" i="103"/>
  <c r="L318" i="103" s="1"/>
  <c r="L340" i="103" s="1"/>
  <c r="K349" i="103"/>
  <c r="K318" i="103" s="1"/>
  <c r="K340" i="103" s="1"/>
  <c r="J349" i="103"/>
  <c r="J318" i="103" s="1"/>
  <c r="J340" i="103" s="1"/>
  <c r="Y333" i="103"/>
  <c r="X333" i="103"/>
  <c r="W333" i="103"/>
  <c r="V333" i="103"/>
  <c r="U333" i="103"/>
  <c r="T333" i="103"/>
  <c r="S333" i="103"/>
  <c r="R333" i="103"/>
  <c r="Q333" i="103"/>
  <c r="P333" i="103"/>
  <c r="O333" i="103"/>
  <c r="N333" i="103"/>
  <c r="M333" i="103"/>
  <c r="L333" i="103"/>
  <c r="K333" i="103"/>
  <c r="J333" i="103"/>
  <c r="Y325" i="103"/>
  <c r="X325" i="103"/>
  <c r="W325" i="103"/>
  <c r="V325" i="103"/>
  <c r="U325" i="103"/>
  <c r="S325" i="103"/>
  <c r="R325" i="103"/>
  <c r="Q325" i="103"/>
  <c r="P325" i="103"/>
  <c r="O325" i="103"/>
  <c r="N325" i="103"/>
  <c r="M325" i="103"/>
  <c r="L325" i="103"/>
  <c r="K325" i="103"/>
  <c r="J325" i="103"/>
  <c r="Y324" i="103"/>
  <c r="X324" i="103"/>
  <c r="W324" i="103"/>
  <c r="V324" i="103"/>
  <c r="U324" i="103"/>
  <c r="T324" i="103"/>
  <c r="S324" i="103"/>
  <c r="R324" i="103"/>
  <c r="Q324" i="103"/>
  <c r="P324" i="103"/>
  <c r="O324" i="103"/>
  <c r="N324" i="103"/>
  <c r="M324" i="103"/>
  <c r="L324" i="103"/>
  <c r="K324" i="103"/>
  <c r="J324" i="103"/>
  <c r="Y317" i="103"/>
  <c r="Y339" i="103" s="1"/>
  <c r="X317" i="103"/>
  <c r="X339" i="103" s="1"/>
  <c r="W317" i="103"/>
  <c r="W339" i="103" s="1"/>
  <c r="V317" i="103"/>
  <c r="V339" i="103" s="1"/>
  <c r="U317" i="103"/>
  <c r="U339" i="103" s="1"/>
  <c r="T317" i="103"/>
  <c r="T339" i="103" s="1"/>
  <c r="S317" i="103"/>
  <c r="S339" i="103" s="1"/>
  <c r="R317" i="103"/>
  <c r="R339" i="103" s="1"/>
  <c r="Q317" i="103"/>
  <c r="Q339" i="103" s="1"/>
  <c r="P317" i="103"/>
  <c r="P339" i="103" s="1"/>
  <c r="O317" i="103"/>
  <c r="O339" i="103" s="1"/>
  <c r="N317" i="103"/>
  <c r="N339" i="103" s="1"/>
  <c r="M317" i="103"/>
  <c r="M339" i="103" s="1"/>
  <c r="L317" i="103"/>
  <c r="L339" i="103" s="1"/>
  <c r="K317" i="103"/>
  <c r="K339" i="103" s="1"/>
  <c r="J317" i="103"/>
  <c r="J339" i="103" s="1"/>
  <c r="Y306" i="103"/>
  <c r="X306" i="103"/>
  <c r="W306" i="103"/>
  <c r="V306" i="103"/>
  <c r="U306" i="103"/>
  <c r="T306" i="103"/>
  <c r="S306" i="103"/>
  <c r="R306" i="103"/>
  <c r="Q306" i="103"/>
  <c r="P306" i="103"/>
  <c r="O306" i="103"/>
  <c r="N306" i="103"/>
  <c r="M306" i="103"/>
  <c r="L306" i="103"/>
  <c r="K306" i="103"/>
  <c r="J306" i="103"/>
  <c r="Y305" i="103"/>
  <c r="Y298" i="103" s="1"/>
  <c r="X305" i="103"/>
  <c r="X298" i="103" s="1"/>
  <c r="W305" i="103"/>
  <c r="W298" i="103" s="1"/>
  <c r="W289" i="103" s="1"/>
  <c r="W288" i="103" s="1"/>
  <c r="V305" i="103"/>
  <c r="V298" i="103" s="1"/>
  <c r="V289" i="103" s="1"/>
  <c r="V288" i="103" s="1"/>
  <c r="U305" i="103"/>
  <c r="U298" i="103" s="1"/>
  <c r="U289" i="103" s="1"/>
  <c r="U288" i="103" s="1"/>
  <c r="T305" i="103"/>
  <c r="T298" i="103" s="1"/>
  <c r="T289" i="103" s="1"/>
  <c r="T288" i="103" s="1"/>
  <c r="S305" i="103"/>
  <c r="S298" i="103" s="1"/>
  <c r="S289" i="103" s="1"/>
  <c r="S288" i="103" s="1"/>
  <c r="R305" i="103"/>
  <c r="R298" i="103" s="1"/>
  <c r="R289" i="103" s="1"/>
  <c r="R288" i="103" s="1"/>
  <c r="Q305" i="103"/>
  <c r="Q298" i="103" s="1"/>
  <c r="Q289" i="103" s="1"/>
  <c r="Q288" i="103" s="1"/>
  <c r="P305" i="103"/>
  <c r="P298" i="103" s="1"/>
  <c r="P289" i="103" s="1"/>
  <c r="P288" i="103" s="1"/>
  <c r="O305" i="103"/>
  <c r="O298" i="103" s="1"/>
  <c r="O289" i="103" s="1"/>
  <c r="O288" i="103" s="1"/>
  <c r="N305" i="103"/>
  <c r="N298" i="103" s="1"/>
  <c r="N289" i="103" s="1"/>
  <c r="N288" i="103" s="1"/>
  <c r="M305" i="103"/>
  <c r="M298" i="103" s="1"/>
  <c r="M289" i="103" s="1"/>
  <c r="M288" i="103" s="1"/>
  <c r="L305" i="103"/>
  <c r="L298" i="103" s="1"/>
  <c r="L289" i="103" s="1"/>
  <c r="L288" i="103" s="1"/>
  <c r="K305" i="103"/>
  <c r="K298" i="103" s="1"/>
  <c r="K289" i="103" s="1"/>
  <c r="K288" i="103" s="1"/>
  <c r="J305" i="103"/>
  <c r="J298" i="103" s="1"/>
  <c r="J289" i="103" s="1"/>
  <c r="J288" i="103" s="1"/>
  <c r="Y299" i="103"/>
  <c r="X299" i="103"/>
  <c r="W299" i="103"/>
  <c r="V299" i="103"/>
  <c r="U299" i="103"/>
  <c r="T299" i="103"/>
  <c r="S299" i="103"/>
  <c r="R299" i="103"/>
  <c r="Q299" i="103"/>
  <c r="P299" i="103"/>
  <c r="O299" i="103"/>
  <c r="N299" i="103"/>
  <c r="M299" i="103"/>
  <c r="L299" i="103"/>
  <c r="K299" i="103"/>
  <c r="J299" i="103"/>
  <c r="K35" i="116"/>
  <c r="J35" i="116"/>
  <c r="T277" i="103"/>
  <c r="X289" i="103" l="1"/>
  <c r="X288" i="103" s="1"/>
  <c r="Y289" i="103"/>
  <c r="Y288" i="103" s="1"/>
  <c r="U277" i="103"/>
  <c r="BR16" i="115"/>
  <c r="AZ16" i="115"/>
  <c r="BA16" i="115" s="1"/>
  <c r="AA358" i="103"/>
  <c r="H17" i="115"/>
  <c r="H30" i="115" s="1"/>
  <c r="C26" i="117"/>
  <c r="I26" i="117"/>
  <c r="G26" i="117"/>
  <c r="D26" i="117"/>
  <c r="J26" i="117"/>
  <c r="H26" i="117"/>
  <c r="E26" i="117"/>
  <c r="F26" i="117"/>
  <c r="BE27" i="115"/>
  <c r="BL16" i="115"/>
  <c r="BM16" i="115" s="1"/>
  <c r="AD246" i="103"/>
  <c r="M22" i="117"/>
  <c r="AC148" i="103"/>
  <c r="I9" i="117"/>
  <c r="H12" i="117"/>
  <c r="J12" i="117"/>
  <c r="G12" i="117"/>
  <c r="J9" i="117"/>
  <c r="M8" i="117"/>
  <c r="I12" i="117"/>
  <c r="H9" i="117"/>
  <c r="AX8" i="114"/>
  <c r="N198" i="103"/>
  <c r="AX22" i="114"/>
  <c r="AX23" i="114" s="1"/>
  <c r="AW22" i="114"/>
  <c r="AW23" i="114" s="1"/>
  <c r="AV22" i="114"/>
  <c r="AV23" i="114" s="1"/>
  <c r="K9" i="116"/>
  <c r="J9" i="116"/>
  <c r="AD277" i="103"/>
  <c r="O44" i="116"/>
  <c r="AC153" i="103"/>
  <c r="N200" i="103"/>
  <c r="T182" i="103"/>
  <c r="P199" i="103"/>
  <c r="P198" i="103"/>
  <c r="J29" i="117"/>
  <c r="P197" i="103"/>
  <c r="P200" i="103"/>
  <c r="N201" i="103"/>
  <c r="P201" i="103"/>
  <c r="N197" i="103"/>
  <c r="N199" i="103"/>
  <c r="T199" i="103"/>
  <c r="T197" i="103"/>
  <c r="T196" i="103"/>
  <c r="T201" i="103"/>
  <c r="T198" i="103"/>
  <c r="M196" i="103"/>
  <c r="M199" i="103"/>
  <c r="M201" i="103"/>
  <c r="M197" i="103"/>
  <c r="M198" i="103"/>
  <c r="O198" i="103"/>
  <c r="O201" i="103"/>
  <c r="O196" i="103"/>
  <c r="O197" i="103"/>
  <c r="O199" i="103"/>
  <c r="Q357" i="103"/>
  <c r="R357" i="103" s="1"/>
  <c r="S357" i="103" s="1"/>
  <c r="T357" i="103" s="1"/>
  <c r="U357" i="103" s="1"/>
  <c r="V357" i="103" s="1"/>
  <c r="W357" i="103" s="1"/>
  <c r="X357" i="103" s="1"/>
  <c r="Y357" i="103" s="1"/>
  <c r="Z357" i="103" s="1"/>
  <c r="R308" i="103"/>
  <c r="C15" i="117"/>
  <c r="R218" i="103"/>
  <c r="R216" i="103" s="1"/>
  <c r="C29" i="117"/>
  <c r="AC275" i="103"/>
  <c r="AC151" i="103"/>
  <c r="AC248" i="103"/>
  <c r="I29" i="117"/>
  <c r="Q353" i="103"/>
  <c r="R353" i="103" s="1"/>
  <c r="S353" i="103" s="1"/>
  <c r="T353" i="103" s="1"/>
  <c r="U353" i="103" s="1"/>
  <c r="V353" i="103" s="1"/>
  <c r="W353" i="103" s="1"/>
  <c r="X353" i="103" s="1"/>
  <c r="Y353" i="103" s="1"/>
  <c r="Z353" i="103" s="1"/>
  <c r="W308" i="103"/>
  <c r="W218" i="103"/>
  <c r="W216" i="103" s="1"/>
  <c r="H29" i="117"/>
  <c r="X308" i="103"/>
  <c r="X218" i="103"/>
  <c r="X216" i="103" s="1"/>
  <c r="U308" i="103"/>
  <c r="U218" i="103"/>
  <c r="F15" i="117"/>
  <c r="F29" i="117"/>
  <c r="O35" i="116"/>
  <c r="Y308" i="103"/>
  <c r="Y218" i="103"/>
  <c r="Y216" i="103" s="1"/>
  <c r="Q308" i="103"/>
  <c r="Q218" i="103"/>
  <c r="Q216" i="103" s="1"/>
  <c r="S308" i="103"/>
  <c r="S218" i="103"/>
  <c r="D15" i="117"/>
  <c r="D29" i="117"/>
  <c r="N43" i="116"/>
  <c r="AA212" i="103"/>
  <c r="T308" i="103"/>
  <c r="E15" i="117"/>
  <c r="T218" i="103"/>
  <c r="E29" i="117"/>
  <c r="M340" i="103"/>
  <c r="P349" i="103"/>
  <c r="P318" i="103" s="1"/>
  <c r="P340" i="103" s="1"/>
  <c r="Q220" i="103"/>
  <c r="Y276" i="103"/>
  <c r="X276" i="103"/>
  <c r="W276" i="103"/>
  <c r="V276" i="103"/>
  <c r="U276" i="103"/>
  <c r="T276" i="103"/>
  <c r="S276" i="103"/>
  <c r="R276" i="103"/>
  <c r="P276" i="103"/>
  <c r="O276" i="103"/>
  <c r="N276" i="103"/>
  <c r="M276" i="103"/>
  <c r="L276" i="103"/>
  <c r="K276" i="103"/>
  <c r="J276" i="103"/>
  <c r="Y275" i="103"/>
  <c r="X275" i="103"/>
  <c r="W275" i="103"/>
  <c r="V275" i="103"/>
  <c r="U275" i="103"/>
  <c r="T275" i="103"/>
  <c r="S275" i="103"/>
  <c r="R275" i="103"/>
  <c r="Q275" i="103"/>
  <c r="P275" i="103"/>
  <c r="O275" i="103"/>
  <c r="N275" i="103"/>
  <c r="M275" i="103"/>
  <c r="L275" i="103"/>
  <c r="J275" i="103"/>
  <c r="Y274" i="103"/>
  <c r="X274" i="103"/>
  <c r="W274" i="103"/>
  <c r="V274" i="103"/>
  <c r="U274" i="103"/>
  <c r="T274" i="103"/>
  <c r="S274" i="103"/>
  <c r="R274" i="103"/>
  <c r="Q274" i="103"/>
  <c r="P274" i="103"/>
  <c r="O274" i="103"/>
  <c r="N274" i="103"/>
  <c r="M274" i="103"/>
  <c r="L274" i="103"/>
  <c r="K274" i="103"/>
  <c r="J274" i="103"/>
  <c r="Y265" i="103"/>
  <c r="X265" i="103"/>
  <c r="W265" i="103"/>
  <c r="V265" i="103"/>
  <c r="U265" i="103"/>
  <c r="T265" i="103"/>
  <c r="S265" i="103"/>
  <c r="R265" i="103"/>
  <c r="Q265" i="103"/>
  <c r="P265" i="103"/>
  <c r="O265" i="103"/>
  <c r="N265" i="103"/>
  <c r="M265" i="103"/>
  <c r="L265" i="103"/>
  <c r="K265" i="103"/>
  <c r="J265" i="103"/>
  <c r="Y258" i="103"/>
  <c r="X258" i="103"/>
  <c r="W258" i="103"/>
  <c r="V258" i="103"/>
  <c r="U258" i="103"/>
  <c r="T258" i="103"/>
  <c r="S258" i="103"/>
  <c r="R258" i="103"/>
  <c r="Q258" i="103"/>
  <c r="P258" i="103"/>
  <c r="O258" i="103"/>
  <c r="N258" i="103"/>
  <c r="M258" i="103"/>
  <c r="L258" i="103"/>
  <c r="K258" i="103"/>
  <c r="J258" i="103"/>
  <c r="Y253" i="103"/>
  <c r="X253" i="103"/>
  <c r="W253" i="103"/>
  <c r="V253" i="103"/>
  <c r="U253" i="103"/>
  <c r="T253" i="103"/>
  <c r="S253" i="103"/>
  <c r="R253" i="103"/>
  <c r="Q253" i="103"/>
  <c r="P253" i="103"/>
  <c r="O253" i="103"/>
  <c r="N253" i="103"/>
  <c r="M253" i="103"/>
  <c r="L253" i="103"/>
  <c r="K253" i="103"/>
  <c r="J253" i="103"/>
  <c r="Y248" i="103"/>
  <c r="X248" i="103"/>
  <c r="W248" i="103"/>
  <c r="V248" i="103"/>
  <c r="U248" i="103"/>
  <c r="T248" i="103"/>
  <c r="S248" i="103"/>
  <c r="R248" i="103"/>
  <c r="Q248" i="103"/>
  <c r="P248" i="103"/>
  <c r="O248" i="103"/>
  <c r="N248" i="103"/>
  <c r="M248" i="103"/>
  <c r="L248" i="103"/>
  <c r="K248" i="103"/>
  <c r="J248" i="103"/>
  <c r="V246" i="103"/>
  <c r="U246" i="103"/>
  <c r="Y244" i="103"/>
  <c r="X244" i="103"/>
  <c r="W244" i="103"/>
  <c r="V244" i="103"/>
  <c r="U244" i="103"/>
  <c r="T244" i="103"/>
  <c r="S244" i="103"/>
  <c r="R244" i="103"/>
  <c r="V240" i="103"/>
  <c r="U240" i="103"/>
  <c r="R229" i="103"/>
  <c r="N229" i="103"/>
  <c r="R228" i="103"/>
  <c r="Q228" i="103"/>
  <c r="P228" i="103"/>
  <c r="O228" i="103"/>
  <c r="N228" i="103"/>
  <c r="M228" i="103"/>
  <c r="L228" i="103"/>
  <c r="K228" i="103"/>
  <c r="J228" i="103"/>
  <c r="R224" i="103"/>
  <c r="Y222" i="103"/>
  <c r="X222" i="103"/>
  <c r="Y221" i="103"/>
  <c r="X221" i="103"/>
  <c r="P221" i="103"/>
  <c r="O221" i="103"/>
  <c r="N221" i="103"/>
  <c r="M221" i="103"/>
  <c r="L221" i="103"/>
  <c r="K221" i="103"/>
  <c r="K31" i="116" l="1"/>
  <c r="K30" i="116" s="1"/>
  <c r="J31" i="116"/>
  <c r="J30" i="116" s="1"/>
  <c r="J41" i="116"/>
  <c r="J42" i="116"/>
  <c r="J43" i="116"/>
  <c r="K42" i="116"/>
  <c r="O42" i="116"/>
  <c r="K41" i="116"/>
  <c r="K43" i="116"/>
  <c r="H39" i="117"/>
  <c r="C39" i="117"/>
  <c r="Y243" i="103"/>
  <c r="J39" i="117"/>
  <c r="E39" i="117"/>
  <c r="W243" i="103"/>
  <c r="I39" i="117"/>
  <c r="F39" i="117"/>
  <c r="N39" i="117"/>
  <c r="X243" i="103"/>
  <c r="D39" i="117"/>
  <c r="G39" i="117"/>
  <c r="T259" i="103"/>
  <c r="AF153" i="103"/>
  <c r="BL27" i="115"/>
  <c r="BM27" i="115" s="1"/>
  <c r="AB358" i="103"/>
  <c r="AC358" i="103" s="1"/>
  <c r="AD358" i="103" s="1"/>
  <c r="AE358" i="103" s="1"/>
  <c r="AF358" i="103" s="1"/>
  <c r="AG358" i="103" s="1"/>
  <c r="AH358" i="103" s="1"/>
  <c r="DA61" i="115"/>
  <c r="DC61" i="115" s="1"/>
  <c r="BS16" i="115"/>
  <c r="AE246" i="103"/>
  <c r="AA353" i="103"/>
  <c r="AB353" i="103" s="1"/>
  <c r="AA357" i="103"/>
  <c r="AE153" i="103"/>
  <c r="P44" i="116"/>
  <c r="AE277" i="103"/>
  <c r="AE275" i="103"/>
  <c r="AE151" i="103"/>
  <c r="AE248" i="103"/>
  <c r="AD148" i="103"/>
  <c r="Z143" i="103"/>
  <c r="J15" i="117"/>
  <c r="I15" i="117"/>
  <c r="AW8" i="114"/>
  <c r="AX14" i="114" s="1"/>
  <c r="AY8" i="114"/>
  <c r="AY14" i="114" s="1"/>
  <c r="AX9" i="114"/>
  <c r="AX28" i="114"/>
  <c r="AD153" i="103"/>
  <c r="AD151" i="103"/>
  <c r="AD275" i="103"/>
  <c r="N230" i="103"/>
  <c r="R230" i="103"/>
  <c r="BL218" i="103"/>
  <c r="P35" i="116"/>
  <c r="Q352" i="103"/>
  <c r="R352" i="103" s="1"/>
  <c r="S352" i="103" s="1"/>
  <c r="T352" i="103" s="1"/>
  <c r="U352" i="103" s="1"/>
  <c r="V352" i="103" s="1"/>
  <c r="W352" i="103" s="1"/>
  <c r="X352" i="103" s="1"/>
  <c r="Y352" i="103" s="1"/>
  <c r="Z352" i="103" s="1"/>
  <c r="V243" i="103"/>
  <c r="M273" i="103"/>
  <c r="M286" i="103" s="1"/>
  <c r="S273" i="103"/>
  <c r="S286" i="103" s="1"/>
  <c r="Y273" i="103"/>
  <c r="Y286" i="103" s="1"/>
  <c r="P273" i="103"/>
  <c r="V273" i="103"/>
  <c r="V286" i="103" s="1"/>
  <c r="W273" i="103"/>
  <c r="W286" i="103" s="1"/>
  <c r="N273" i="103"/>
  <c r="N286" i="103" s="1"/>
  <c r="T273" i="103"/>
  <c r="T286" i="103" s="1"/>
  <c r="O273" i="103"/>
  <c r="O286" i="103" s="1"/>
  <c r="U273" i="103"/>
  <c r="U286" i="103" s="1"/>
  <c r="AC222" i="103"/>
  <c r="AD222" i="103" s="1"/>
  <c r="AE222" i="103" s="1"/>
  <c r="AF222" i="103" s="1"/>
  <c r="AG222" i="103" s="1"/>
  <c r="AH222" i="103" s="1"/>
  <c r="L273" i="103"/>
  <c r="L286" i="103" s="1"/>
  <c r="R273" i="103"/>
  <c r="R286" i="103" s="1"/>
  <c r="X273" i="103"/>
  <c r="X286" i="103" s="1"/>
  <c r="J273" i="103"/>
  <c r="J286" i="103" s="1"/>
  <c r="AC276" i="103"/>
  <c r="AD248" i="103"/>
  <c r="AC176" i="103"/>
  <c r="E46" i="117" l="1"/>
  <c r="Q42" i="116"/>
  <c r="P42" i="116"/>
  <c r="O43" i="116"/>
  <c r="T325" i="103"/>
  <c r="J37" i="117"/>
  <c r="G37" i="117"/>
  <c r="P39" i="117"/>
  <c r="I37" i="117"/>
  <c r="H37" i="117"/>
  <c r="O39" i="117"/>
  <c r="AA31" i="124"/>
  <c r="AF246" i="103"/>
  <c r="AG246" i="103"/>
  <c r="BV273" i="103"/>
  <c r="AB357" i="103"/>
  <c r="AC357" i="103" s="1"/>
  <c r="AD357" i="103" s="1"/>
  <c r="AE357" i="103" s="1"/>
  <c r="AF357" i="103" s="1"/>
  <c r="AG357" i="103" s="1"/>
  <c r="AH357" i="103" s="1"/>
  <c r="AF248" i="103"/>
  <c r="AF275" i="103"/>
  <c r="AF151" i="103"/>
  <c r="Q35" i="116"/>
  <c r="AE148" i="103"/>
  <c r="Q44" i="116"/>
  <c r="AF277" i="103"/>
  <c r="AA352" i="103"/>
  <c r="AA349" i="103" s="1"/>
  <c r="AA318" i="103" s="1"/>
  <c r="AA340" i="103" s="1"/>
  <c r="AC353" i="103"/>
  <c r="AD353" i="103" s="1"/>
  <c r="AE353" i="103" s="1"/>
  <c r="AF353" i="103" s="1"/>
  <c r="AG353" i="103" s="1"/>
  <c r="AH353" i="103" s="1"/>
  <c r="AE276" i="103"/>
  <c r="J296" i="103"/>
  <c r="J45" i="116"/>
  <c r="J7" i="116" s="1"/>
  <c r="L296" i="103"/>
  <c r="U296" i="103"/>
  <c r="N296" i="103"/>
  <c r="V296" i="103"/>
  <c r="S296" i="103"/>
  <c r="M296" i="103"/>
  <c r="AY28" i="114"/>
  <c r="AY9" i="114"/>
  <c r="AW9" i="114"/>
  <c r="AW28" i="114"/>
  <c r="AX30" i="114"/>
  <c r="AX29" i="114"/>
  <c r="Y296" i="103"/>
  <c r="K45" i="116"/>
  <c r="Q349" i="103"/>
  <c r="Q318" i="103" s="1"/>
  <c r="Q340" i="103" s="1"/>
  <c r="W296" i="103"/>
  <c r="Z349" i="103"/>
  <c r="Z318" i="103" s="1"/>
  <c r="Z340" i="103" s="1"/>
  <c r="S349" i="103"/>
  <c r="S318" i="103" s="1"/>
  <c r="S340" i="103" s="1"/>
  <c r="R349" i="103"/>
  <c r="R318" i="103" s="1"/>
  <c r="R340" i="103" s="1"/>
  <c r="BL233" i="103"/>
  <c r="BL226" i="103"/>
  <c r="BL236" i="103"/>
  <c r="X296" i="103"/>
  <c r="AD276" i="103"/>
  <c r="AD176" i="103"/>
  <c r="T349" i="103"/>
  <c r="T318" i="103" s="1"/>
  <c r="AA32" i="124" l="1"/>
  <c r="M61" i="118"/>
  <c r="P43" i="116"/>
  <c r="Q43" i="116"/>
  <c r="R42" i="116"/>
  <c r="Q39" i="117"/>
  <c r="AE176" i="103"/>
  <c r="AG153" i="103"/>
  <c r="AG248" i="103"/>
  <c r="R44" i="116"/>
  <c r="AG277" i="103"/>
  <c r="AG151" i="103"/>
  <c r="AG275" i="103"/>
  <c r="D13" i="116"/>
  <c r="AB352" i="103"/>
  <c r="AB349" i="103" s="1"/>
  <c r="AB318" i="103" s="1"/>
  <c r="AB340" i="103" s="1"/>
  <c r="R35" i="116"/>
  <c r="AF148" i="103"/>
  <c r="AF276" i="103"/>
  <c r="J27" i="116"/>
  <c r="AW29" i="114"/>
  <c r="AY15" i="114"/>
  <c r="AY29" i="114"/>
  <c r="AX15" i="114"/>
  <c r="AY30" i="114"/>
  <c r="K7" i="116"/>
  <c r="K27" i="116"/>
  <c r="K38" i="116" s="1"/>
  <c r="U349" i="103"/>
  <c r="U318" i="103" s="1"/>
  <c r="T340" i="103"/>
  <c r="J38" i="116" l="1"/>
  <c r="J6" i="116" s="1"/>
  <c r="AA4" i="123"/>
  <c r="AA128" i="123" s="1"/>
  <c r="AA127" i="123" s="1"/>
  <c r="M62" i="118"/>
  <c r="R43" i="116"/>
  <c r="S42" i="116"/>
  <c r="AF176" i="103"/>
  <c r="AD31" i="124" s="1"/>
  <c r="S44" i="116"/>
  <c r="AH277" i="103"/>
  <c r="AB31" i="124"/>
  <c r="N61" i="118" s="1"/>
  <c r="AC31" i="124"/>
  <c r="AG148" i="103"/>
  <c r="S35" i="116"/>
  <c r="AG276" i="103"/>
  <c r="AC352" i="103"/>
  <c r="AC349" i="103" s="1"/>
  <c r="AC318" i="103" s="1"/>
  <c r="AC340" i="103" s="1"/>
  <c r="K6" i="116"/>
  <c r="U340" i="103"/>
  <c r="V349" i="103"/>
  <c r="V318" i="103" s="1"/>
  <c r="J157" i="103"/>
  <c r="K157" i="103" s="1"/>
  <c r="L157" i="103" s="1"/>
  <c r="M157" i="103" s="1"/>
  <c r="N157" i="103" s="1"/>
  <c r="O157" i="103" s="1"/>
  <c r="P157" i="103" s="1"/>
  <c r="Q157" i="103" s="1"/>
  <c r="R157" i="103" s="1"/>
  <c r="S157" i="103" s="1"/>
  <c r="T157" i="103" s="1"/>
  <c r="U157" i="103" s="1"/>
  <c r="V157" i="103" s="1"/>
  <c r="W157" i="103" s="1"/>
  <c r="X157" i="103" s="1"/>
  <c r="Y157" i="103" s="1"/>
  <c r="Z157" i="103" s="1"/>
  <c r="AA157" i="103" s="1"/>
  <c r="AB157" i="103" s="1"/>
  <c r="Y153" i="103"/>
  <c r="X153" i="103"/>
  <c r="W153" i="103"/>
  <c r="V153" i="103"/>
  <c r="U153" i="103"/>
  <c r="T153" i="103"/>
  <c r="S153" i="103"/>
  <c r="R153" i="103"/>
  <c r="Q153" i="103"/>
  <c r="P153" i="103"/>
  <c r="O153" i="103"/>
  <c r="N153" i="103"/>
  <c r="M153" i="103"/>
  <c r="L153" i="103"/>
  <c r="K153" i="103"/>
  <c r="J153" i="103"/>
  <c r="Y151" i="103"/>
  <c r="X151" i="103"/>
  <c r="W151" i="103"/>
  <c r="V151" i="103"/>
  <c r="U151" i="103"/>
  <c r="T151" i="103"/>
  <c r="S151" i="103"/>
  <c r="R151" i="103"/>
  <c r="Q151" i="103"/>
  <c r="P151" i="103"/>
  <c r="O151" i="103"/>
  <c r="N151" i="103"/>
  <c r="M151" i="103"/>
  <c r="L151" i="103"/>
  <c r="J151" i="103"/>
  <c r="S150" i="103"/>
  <c r="R150" i="103"/>
  <c r="P150" i="103"/>
  <c r="O150" i="103"/>
  <c r="N150" i="103"/>
  <c r="M150" i="103"/>
  <c r="J150" i="103"/>
  <c r="Y148" i="103"/>
  <c r="X148" i="103"/>
  <c r="W148" i="103"/>
  <c r="U148" i="103"/>
  <c r="T148" i="103"/>
  <c r="Y147" i="103"/>
  <c r="X147" i="103"/>
  <c r="W147" i="103"/>
  <c r="V147" i="103"/>
  <c r="U147" i="103"/>
  <c r="T147" i="103"/>
  <c r="S147" i="103"/>
  <c r="R147" i="103"/>
  <c r="Q147" i="103"/>
  <c r="P147" i="103"/>
  <c r="O147" i="103"/>
  <c r="N147" i="103"/>
  <c r="M147" i="103"/>
  <c r="L147" i="103"/>
  <c r="K147" i="103"/>
  <c r="J147" i="103"/>
  <c r="Y146" i="103"/>
  <c r="X146" i="103"/>
  <c r="W146" i="103"/>
  <c r="V146" i="103"/>
  <c r="U146" i="103"/>
  <c r="T146" i="103"/>
  <c r="S146" i="103"/>
  <c r="R146" i="103"/>
  <c r="Q146" i="103"/>
  <c r="P146" i="103"/>
  <c r="O146" i="103"/>
  <c r="N146" i="103"/>
  <c r="M146" i="103"/>
  <c r="L146" i="103"/>
  <c r="K146" i="103"/>
  <c r="J146" i="103"/>
  <c r="O144" i="103"/>
  <c r="N144" i="103"/>
  <c r="M144" i="103"/>
  <c r="L144" i="103"/>
  <c r="K144" i="103"/>
  <c r="J144" i="103"/>
  <c r="Y143" i="103"/>
  <c r="X143" i="103"/>
  <c r="W143" i="103"/>
  <c r="V143" i="103"/>
  <c r="U143" i="103"/>
  <c r="T143" i="103"/>
  <c r="S143" i="103"/>
  <c r="R143" i="103"/>
  <c r="Q143" i="103"/>
  <c r="P143" i="103"/>
  <c r="O143" i="103"/>
  <c r="N143" i="103"/>
  <c r="M143" i="103"/>
  <c r="L143" i="103"/>
  <c r="K143" i="103"/>
  <c r="J143" i="103"/>
  <c r="Y138" i="103"/>
  <c r="X138" i="103"/>
  <c r="W138" i="103"/>
  <c r="V138" i="103"/>
  <c r="U138" i="103"/>
  <c r="T136" i="103"/>
  <c r="S136" i="103"/>
  <c r="R136" i="103"/>
  <c r="Q136" i="103"/>
  <c r="P136" i="103"/>
  <c r="O136" i="103"/>
  <c r="N136" i="103"/>
  <c r="M136" i="103"/>
  <c r="L136" i="103"/>
  <c r="K136" i="103"/>
  <c r="J136" i="103"/>
  <c r="S135" i="103"/>
  <c r="R135" i="103"/>
  <c r="Q135" i="103"/>
  <c r="P135" i="103"/>
  <c r="J135" i="103"/>
  <c r="Y144" i="103"/>
  <c r="X144" i="103"/>
  <c r="W144" i="103"/>
  <c r="V144" i="103"/>
  <c r="R144" i="103"/>
  <c r="Q144" i="103"/>
  <c r="P144" i="103"/>
  <c r="Y191" i="103"/>
  <c r="X191" i="103"/>
  <c r="W191" i="103"/>
  <c r="V191" i="103"/>
  <c r="T191" i="103"/>
  <c r="S191" i="103"/>
  <c r="R191" i="103"/>
  <c r="P191" i="103"/>
  <c r="N191" i="103"/>
  <c r="M191" i="103"/>
  <c r="L191" i="103"/>
  <c r="J191" i="103"/>
  <c r="Y92" i="103"/>
  <c r="Z82" i="103" s="1"/>
  <c r="X92" i="103"/>
  <c r="Y82" i="103" s="1"/>
  <c r="W92" i="103"/>
  <c r="V92" i="103"/>
  <c r="W82" i="103" s="1"/>
  <c r="U92" i="103"/>
  <c r="V82" i="103" s="1"/>
  <c r="T92" i="103"/>
  <c r="U82" i="103" s="1"/>
  <c r="S92" i="103"/>
  <c r="T82" i="103" s="1"/>
  <c r="R92" i="103"/>
  <c r="S82" i="103" s="1"/>
  <c r="M92" i="103"/>
  <c r="N91" i="103"/>
  <c r="Y89" i="103"/>
  <c r="X89" i="103"/>
  <c r="W89" i="103"/>
  <c r="V89" i="103"/>
  <c r="U89" i="103"/>
  <c r="T89" i="103"/>
  <c r="S89" i="103"/>
  <c r="R89" i="103"/>
  <c r="Q89" i="103"/>
  <c r="Y85" i="103"/>
  <c r="Y84" i="103" s="1"/>
  <c r="X85" i="103"/>
  <c r="X84" i="103" s="1"/>
  <c r="W85" i="103"/>
  <c r="W84" i="103" s="1"/>
  <c r="V85" i="103"/>
  <c r="V84" i="103" s="1"/>
  <c r="U85" i="103"/>
  <c r="U84" i="103" s="1"/>
  <c r="S85" i="103"/>
  <c r="S84" i="103" s="1"/>
  <c r="Q85" i="103"/>
  <c r="Q84" i="103" s="1"/>
  <c r="P85" i="103"/>
  <c r="P86" i="103" s="1"/>
  <c r="Z212" i="103"/>
  <c r="S246" i="103"/>
  <c r="R246" i="103"/>
  <c r="Q246" i="103"/>
  <c r="N246" i="103"/>
  <c r="M246" i="103"/>
  <c r="K246" i="103"/>
  <c r="L246" i="103"/>
  <c r="T246" i="103"/>
  <c r="P246" i="103"/>
  <c r="O246" i="103"/>
  <c r="P244" i="103"/>
  <c r="O244" i="103"/>
  <c r="N244" i="103"/>
  <c r="M244" i="103"/>
  <c r="L244" i="103"/>
  <c r="K244" i="103"/>
  <c r="J244" i="103"/>
  <c r="J21" i="116" l="1"/>
  <c r="J24" i="116"/>
  <c r="J20" i="116"/>
  <c r="M93" i="118"/>
  <c r="AC32" i="124"/>
  <c r="O62" i="118" s="1"/>
  <c r="O61" i="118"/>
  <c r="AD32" i="124"/>
  <c r="P62" i="118" s="1"/>
  <c r="P61" i="118"/>
  <c r="T44" i="116"/>
  <c r="S43" i="116"/>
  <c r="T243" i="103"/>
  <c r="R243" i="103"/>
  <c r="S243" i="103"/>
  <c r="AG176" i="103"/>
  <c r="Q244" i="103"/>
  <c r="AB32" i="124"/>
  <c r="K24" i="116"/>
  <c r="K21" i="116"/>
  <c r="AD352" i="103"/>
  <c r="AD349" i="103" s="1"/>
  <c r="AD318" i="103" s="1"/>
  <c r="AD340" i="103" s="1"/>
  <c r="K20" i="116"/>
  <c r="N243" i="103"/>
  <c r="M243" i="103"/>
  <c r="R341" i="103"/>
  <c r="L243" i="103"/>
  <c r="O341" i="103"/>
  <c r="U341" i="103"/>
  <c r="M341" i="103"/>
  <c r="L341" i="103"/>
  <c r="O243" i="103"/>
  <c r="K341" i="103"/>
  <c r="Q341" i="103"/>
  <c r="W341" i="103"/>
  <c r="P341" i="103"/>
  <c r="U191" i="103"/>
  <c r="P243" i="103"/>
  <c r="O191" i="103"/>
  <c r="K243" i="103"/>
  <c r="S341" i="103"/>
  <c r="V340" i="103"/>
  <c r="W349" i="103"/>
  <c r="W318" i="103" s="1"/>
  <c r="Y209" i="103"/>
  <c r="S144" i="103"/>
  <c r="T144" i="103"/>
  <c r="U144" i="103"/>
  <c r="T341" i="103"/>
  <c r="Q86" i="103"/>
  <c r="O23" i="124" s="1"/>
  <c r="X212" i="103"/>
  <c r="J246" i="103"/>
  <c r="V341" i="103"/>
  <c r="X82" i="103"/>
  <c r="N341" i="103"/>
  <c r="AB4" i="123" l="1"/>
  <c r="AB128" i="123" s="1"/>
  <c r="AB127" i="123" s="1"/>
  <c r="N62" i="118"/>
  <c r="D37" i="117"/>
  <c r="S138" i="103"/>
  <c r="E37" i="117"/>
  <c r="AH176" i="103"/>
  <c r="T138" i="103"/>
  <c r="C37" i="117"/>
  <c r="R138" i="103"/>
  <c r="O138" i="103"/>
  <c r="P138" i="103"/>
  <c r="Q243" i="103"/>
  <c r="M138" i="103"/>
  <c r="K138" i="103"/>
  <c r="L138" i="103"/>
  <c r="J243" i="103"/>
  <c r="N138" i="103"/>
  <c r="AE31" i="124"/>
  <c r="AE352" i="103"/>
  <c r="AE349" i="103" s="1"/>
  <c r="AE318" i="103" s="1"/>
  <c r="AE340" i="103" s="1"/>
  <c r="AF31" i="124"/>
  <c r="Y212" i="103"/>
  <c r="X341" i="103"/>
  <c r="X209" i="103"/>
  <c r="J341" i="103"/>
  <c r="Y341" i="103"/>
  <c r="X349" i="103"/>
  <c r="X318" i="103" s="1"/>
  <c r="W340" i="103"/>
  <c r="AF32" i="124" l="1"/>
  <c r="R62" i="118" s="1"/>
  <c r="R61" i="118"/>
  <c r="AC4" i="123"/>
  <c r="AC128" i="123" s="1"/>
  <c r="AC127" i="123" s="1"/>
  <c r="N93" i="118"/>
  <c r="AE32" i="124"/>
  <c r="Q62" i="118" s="1"/>
  <c r="Q61" i="118"/>
  <c r="Q138" i="103"/>
  <c r="J138" i="103"/>
  <c r="AF352" i="103"/>
  <c r="AG352" i="103" s="1"/>
  <c r="Z184" i="103"/>
  <c r="X184" i="103"/>
  <c r="X340" i="103"/>
  <c r="Y349" i="103"/>
  <c r="Y318" i="103" s="1"/>
  <c r="O93" i="118" l="1"/>
  <c r="AD4" i="123"/>
  <c r="AD128" i="123" s="1"/>
  <c r="AD127" i="123" s="1"/>
  <c r="AF349" i="103"/>
  <c r="AF318" i="103" s="1"/>
  <c r="AF340" i="103" s="1"/>
  <c r="AG349" i="103"/>
  <c r="AG318" i="103" s="1"/>
  <c r="AG340" i="103" s="1"/>
  <c r="AH352" i="103"/>
  <c r="AH349" i="103" s="1"/>
  <c r="AH318" i="103" s="1"/>
  <c r="AH340" i="103" s="1"/>
  <c r="Y184" i="103"/>
  <c r="Y340" i="103"/>
  <c r="P93" i="118" l="1"/>
  <c r="AE4" i="123"/>
  <c r="AE128" i="123" s="1"/>
  <c r="AE127" i="123" s="1"/>
  <c r="R85" i="103"/>
  <c r="R84" i="103" s="1"/>
  <c r="AF4" i="123" l="1"/>
  <c r="AF128" i="123" s="1"/>
  <c r="AF127" i="123" s="1"/>
  <c r="Q93" i="118"/>
  <c r="AC212" i="103"/>
  <c r="AC213" i="103" s="1"/>
  <c r="H59" i="117"/>
  <c r="J59" i="117"/>
  <c r="I59" i="117"/>
  <c r="F55" i="117"/>
  <c r="G55" i="117"/>
  <c r="F59" i="117"/>
  <c r="H55" i="117"/>
  <c r="G59" i="117"/>
  <c r="I55" i="117"/>
  <c r="J55" i="117"/>
  <c r="J242" i="103"/>
  <c r="L186" i="103"/>
  <c r="U150" i="103"/>
  <c r="U156" i="103" s="1"/>
  <c r="K242" i="103"/>
  <c r="R242" i="103"/>
  <c r="X242" i="103"/>
  <c r="W136" i="103"/>
  <c r="R176" i="103"/>
  <c r="Q190" i="103"/>
  <c r="Q276" i="103"/>
  <c r="K275" i="103"/>
  <c r="V150" i="103"/>
  <c r="L242" i="103"/>
  <c r="S242" i="103"/>
  <c r="Y242" i="103"/>
  <c r="X136" i="103"/>
  <c r="S176" i="103"/>
  <c r="R190" i="103"/>
  <c r="W150" i="103"/>
  <c r="W156" i="103" s="1"/>
  <c r="W242" i="103"/>
  <c r="V136" i="103"/>
  <c r="S190" i="103"/>
  <c r="X150" i="103"/>
  <c r="X156" i="103" s="1"/>
  <c r="Q242" i="103"/>
  <c r="Q176" i="103"/>
  <c r="M242" i="103"/>
  <c r="N242" i="103"/>
  <c r="U242" i="103"/>
  <c r="P242" i="103"/>
  <c r="Y150" i="103"/>
  <c r="Y156" i="103" s="1"/>
  <c r="T242" i="103"/>
  <c r="Y136" i="103"/>
  <c r="O242" i="103"/>
  <c r="V242" i="103"/>
  <c r="U136" i="103"/>
  <c r="K186" i="103"/>
  <c r="L150" i="103"/>
  <c r="L229" i="103"/>
  <c r="L230" i="103" s="1"/>
  <c r="V181" i="103"/>
  <c r="P190" i="103"/>
  <c r="M229" i="103"/>
  <c r="M230" i="103" s="1"/>
  <c r="O135" i="103"/>
  <c r="W181" i="103"/>
  <c r="O186" i="103"/>
  <c r="O229" i="103"/>
  <c r="O230" i="103" s="1"/>
  <c r="Q181" i="103"/>
  <c r="X181" i="103"/>
  <c r="W179" i="103"/>
  <c r="P229" i="103"/>
  <c r="P230" i="103" s="1"/>
  <c r="R181" i="103"/>
  <c r="Y181" i="103"/>
  <c r="J229" i="103"/>
  <c r="J230" i="103" s="1"/>
  <c r="Q229" i="103"/>
  <c r="Q230" i="103" s="1"/>
  <c r="S181" i="103"/>
  <c r="J176" i="103"/>
  <c r="K229" i="103"/>
  <c r="K230" i="103" s="1"/>
  <c r="S229" i="103"/>
  <c r="U181" i="103"/>
  <c r="J190" i="103"/>
  <c r="T85" i="103"/>
  <c r="T84" i="103" s="1"/>
  <c r="K135" i="103"/>
  <c r="K191" i="103"/>
  <c r="K151" i="103"/>
  <c r="N135" i="103"/>
  <c r="R148" i="103"/>
  <c r="R156" i="103" s="1"/>
  <c r="Q191" i="103"/>
  <c r="K150" i="103"/>
  <c r="L135" i="103"/>
  <c r="M148" i="103"/>
  <c r="M156" i="103" s="1"/>
  <c r="S148" i="103"/>
  <c r="S156" i="103" s="1"/>
  <c r="O148" i="103"/>
  <c r="O156" i="103" s="1"/>
  <c r="P148" i="103"/>
  <c r="P156" i="103" s="1"/>
  <c r="M135" i="103"/>
  <c r="J148" i="103"/>
  <c r="J156" i="103" s="1"/>
  <c r="N148" i="103"/>
  <c r="N156" i="103" s="1"/>
  <c r="V148" i="103"/>
  <c r="R93" i="118" l="1"/>
  <c r="K273" i="103"/>
  <c r="K286" i="103" s="1"/>
  <c r="Q273" i="103"/>
  <c r="AG212" i="103"/>
  <c r="AG213" i="103" s="1"/>
  <c r="AF212" i="103"/>
  <c r="AF213" i="103" s="1"/>
  <c r="AE212" i="103"/>
  <c r="AE213" i="103" s="1"/>
  <c r="AD212" i="103"/>
  <c r="AD213" i="103" s="1"/>
  <c r="C61" i="117"/>
  <c r="D61" i="117"/>
  <c r="L271" i="103"/>
  <c r="K271" i="103"/>
  <c r="O271" i="103"/>
  <c r="N271" i="103"/>
  <c r="K296" i="103"/>
  <c r="T184" i="103"/>
  <c r="V156" i="103"/>
  <c r="V160" i="103" s="1"/>
  <c r="N220" i="103"/>
  <c r="N250" i="103" s="1"/>
  <c r="Q148" i="103"/>
  <c r="P83" i="103"/>
  <c r="Y160" i="103"/>
  <c r="M220" i="103"/>
  <c r="M250" i="103" s="1"/>
  <c r="P220" i="103"/>
  <c r="P250" i="103" s="1"/>
  <c r="O220" i="103"/>
  <c r="O250" i="103" s="1"/>
  <c r="K220" i="103"/>
  <c r="K225" i="103" s="1"/>
  <c r="X160" i="103"/>
  <c r="Y186" i="103"/>
  <c r="X186" i="103"/>
  <c r="T186" i="103"/>
  <c r="L220" i="103"/>
  <c r="L250" i="103" s="1"/>
  <c r="T150" i="103"/>
  <c r="T156" i="103" s="1"/>
  <c r="U160" i="103" s="1"/>
  <c r="J220" i="103"/>
  <c r="J225" i="103" s="1"/>
  <c r="V186" i="103"/>
  <c r="Q150" i="103"/>
  <c r="S195" i="103"/>
  <c r="S200" i="103" s="1"/>
  <c r="M271" i="103"/>
  <c r="R271" i="103"/>
  <c r="Q271" i="103"/>
  <c r="S271" i="103"/>
  <c r="J195" i="103"/>
  <c r="V195" i="103"/>
  <c r="V199" i="103" s="1"/>
  <c r="R195" i="103"/>
  <c r="R199" i="103" s="1"/>
  <c r="W195" i="103"/>
  <c r="U195" i="103"/>
  <c r="Y195" i="103"/>
  <c r="Y199" i="103" s="1"/>
  <c r="Q195" i="103"/>
  <c r="Q199" i="103" s="1"/>
  <c r="X195" i="103"/>
  <c r="U182" i="103"/>
  <c r="S182" i="103"/>
  <c r="R182" i="103"/>
  <c r="X182" i="103"/>
  <c r="W182" i="103"/>
  <c r="J186" i="103"/>
  <c r="Q182" i="103"/>
  <c r="S186" i="103"/>
  <c r="R186" i="103"/>
  <c r="U186" i="103"/>
  <c r="O190" i="103"/>
  <c r="W186" i="103"/>
  <c r="Y182" i="103"/>
  <c r="R296" i="103"/>
  <c r="K190" i="103"/>
  <c r="Q186" i="103"/>
  <c r="M190" i="103"/>
  <c r="N190" i="103"/>
  <c r="S228" i="103"/>
  <c r="S230" i="103" s="1"/>
  <c r="L190" i="103"/>
  <c r="U184" i="103"/>
  <c r="O160" i="103"/>
  <c r="L148" i="103"/>
  <c r="L156" i="103" s="1"/>
  <c r="J160" i="103"/>
  <c r="K148" i="103"/>
  <c r="K156" i="103" s="1"/>
  <c r="K160" i="103" s="1"/>
  <c r="S160" i="103"/>
  <c r="P160" i="103"/>
  <c r="N160" i="103"/>
  <c r="M254" i="103" l="1"/>
  <c r="P262" i="103"/>
  <c r="K226" i="103"/>
  <c r="J163" i="103"/>
  <c r="W160" i="103"/>
  <c r="M225" i="103"/>
  <c r="Q156" i="103"/>
  <c r="Q160" i="103" s="1"/>
  <c r="P254" i="103"/>
  <c r="N225" i="103"/>
  <c r="K251" i="103"/>
  <c r="M262" i="103"/>
  <c r="K232" i="103"/>
  <c r="J250" i="103"/>
  <c r="P184" i="103"/>
  <c r="P175" i="103" s="1"/>
  <c r="L225" i="103"/>
  <c r="N184" i="103"/>
  <c r="N175" i="103" s="1"/>
  <c r="O225" i="103"/>
  <c r="K250" i="103"/>
  <c r="P225" i="103"/>
  <c r="S199" i="103"/>
  <c r="S197" i="103"/>
  <c r="S196" i="103"/>
  <c r="O184" i="103"/>
  <c r="O175" i="103" s="1"/>
  <c r="S198" i="103"/>
  <c r="S201" i="103"/>
  <c r="T229" i="103"/>
  <c r="T160" i="103"/>
  <c r="V198" i="103"/>
  <c r="V196" i="103"/>
  <c r="V197" i="103"/>
  <c r="V201" i="103"/>
  <c r="V200" i="103"/>
  <c r="J197" i="103"/>
  <c r="J199" i="103"/>
  <c r="J201" i="103"/>
  <c r="J198" i="103"/>
  <c r="J200" i="103"/>
  <c r="U196" i="103"/>
  <c r="U201" i="103"/>
  <c r="U198" i="103"/>
  <c r="U197" i="103"/>
  <c r="U200" i="103"/>
  <c r="X197" i="103"/>
  <c r="X196" i="103"/>
  <c r="X201" i="103"/>
  <c r="X198" i="103"/>
  <c r="X200" i="103"/>
  <c r="U199" i="103"/>
  <c r="X199" i="103"/>
  <c r="W196" i="103"/>
  <c r="W198" i="103"/>
  <c r="W201" i="103"/>
  <c r="W197" i="103"/>
  <c r="W200" i="103"/>
  <c r="Q197" i="103"/>
  <c r="Q198" i="103"/>
  <c r="Q201" i="103"/>
  <c r="Q200" i="103"/>
  <c r="Q196" i="103"/>
  <c r="W199" i="103"/>
  <c r="Y198" i="103"/>
  <c r="Y201" i="103"/>
  <c r="Y197" i="103"/>
  <c r="Y196" i="103"/>
  <c r="Y200" i="103"/>
  <c r="R198" i="103"/>
  <c r="R201" i="103"/>
  <c r="R197" i="103"/>
  <c r="R200" i="103"/>
  <c r="R196" i="103"/>
  <c r="J196" i="103"/>
  <c r="S83" i="103"/>
  <c r="S91" i="103" s="1"/>
  <c r="L254" i="103"/>
  <c r="L262" i="103"/>
  <c r="O262" i="103"/>
  <c r="O254" i="103"/>
  <c r="J226" i="103"/>
  <c r="J251" i="103"/>
  <c r="J232" i="103"/>
  <c r="N262" i="103"/>
  <c r="N254" i="103"/>
  <c r="S184" i="103"/>
  <c r="S175" i="103" s="1"/>
  <c r="J184" i="103"/>
  <c r="J175" i="103" s="1"/>
  <c r="R184" i="103"/>
  <c r="R175" i="103" s="1"/>
  <c r="V184" i="103"/>
  <c r="W184" i="103"/>
  <c r="M160" i="103"/>
  <c r="L160" i="103"/>
  <c r="O267" i="103" l="1"/>
  <c r="P267" i="103"/>
  <c r="M267" i="103"/>
  <c r="N267" i="103"/>
  <c r="L267" i="103"/>
  <c r="J262" i="103"/>
  <c r="R96" i="123"/>
  <c r="M251" i="103"/>
  <c r="P226" i="103"/>
  <c r="Q184" i="103"/>
  <c r="Q175" i="103" s="1"/>
  <c r="D41" i="118"/>
  <c r="U83" i="103"/>
  <c r="U91" i="103" s="1"/>
  <c r="K256" i="103"/>
  <c r="K163" i="103"/>
  <c r="K59" i="117"/>
  <c r="V83" i="103"/>
  <c r="V91" i="103" s="1"/>
  <c r="E56" i="117"/>
  <c r="K336" i="103"/>
  <c r="K345" i="103" s="1"/>
  <c r="K346" i="103" s="1"/>
  <c r="M226" i="103"/>
  <c r="R160" i="103"/>
  <c r="Y83" i="103"/>
  <c r="Y91" i="103" s="1"/>
  <c r="R83" i="103"/>
  <c r="K311" i="103"/>
  <c r="K320" i="103" s="1"/>
  <c r="M163" i="103"/>
  <c r="M232" i="103"/>
  <c r="O83" i="103"/>
  <c r="K263" i="103"/>
  <c r="Z83" i="103"/>
  <c r="N83" i="103"/>
  <c r="N92" i="103" s="1"/>
  <c r="O82" i="103" s="1"/>
  <c r="N163" i="103"/>
  <c r="N226" i="103"/>
  <c r="N251" i="103"/>
  <c r="N232" i="103"/>
  <c r="Q83" i="103"/>
  <c r="K184" i="103"/>
  <c r="K175" i="103" s="1"/>
  <c r="L184" i="103"/>
  <c r="L175" i="103" s="1"/>
  <c r="J254" i="103"/>
  <c r="K235" i="103"/>
  <c r="K233" i="103"/>
  <c r="L251" i="103"/>
  <c r="L226" i="103"/>
  <c r="P163" i="103"/>
  <c r="O232" i="103"/>
  <c r="O251" i="103"/>
  <c r="T228" i="103"/>
  <c r="T230" i="103" s="1"/>
  <c r="O226" i="103"/>
  <c r="L232" i="103"/>
  <c r="O163" i="103"/>
  <c r="P232" i="103"/>
  <c r="K262" i="103"/>
  <c r="K254" i="103"/>
  <c r="P251" i="103"/>
  <c r="T83" i="103"/>
  <c r="T91" i="103" s="1"/>
  <c r="C41" i="118"/>
  <c r="R189" i="103"/>
  <c r="S189" i="103"/>
  <c r="P189" i="103"/>
  <c r="O189" i="103"/>
  <c r="J189" i="103"/>
  <c r="N189" i="103"/>
  <c r="J336" i="103"/>
  <c r="J345" i="103" s="1"/>
  <c r="J346" i="103" s="1"/>
  <c r="J233" i="103"/>
  <c r="J235" i="103"/>
  <c r="J263" i="103"/>
  <c r="J311" i="103"/>
  <c r="J320" i="103" s="1"/>
  <c r="J256" i="103"/>
  <c r="O296" i="103"/>
  <c r="M184" i="103"/>
  <c r="M175" i="103" s="1"/>
  <c r="L163" i="103"/>
  <c r="K321" i="103" l="1"/>
  <c r="K323" i="103" s="1"/>
  <c r="K332" i="103" s="1"/>
  <c r="K331" i="103" s="1"/>
  <c r="K322" i="103" s="1"/>
  <c r="K267" i="103"/>
  <c r="M263" i="103"/>
  <c r="M268" i="103" s="1"/>
  <c r="J267" i="103"/>
  <c r="M311" i="103"/>
  <c r="M320" i="103" s="1"/>
  <c r="M256" i="103"/>
  <c r="M321" i="103" s="1"/>
  <c r="R98" i="123"/>
  <c r="R99" i="123"/>
  <c r="X83" i="103"/>
  <c r="X91" i="103" s="1"/>
  <c r="W83" i="103"/>
  <c r="W91" i="103" s="1"/>
  <c r="E41" i="118"/>
  <c r="K137" i="103"/>
  <c r="K140" i="103" s="1"/>
  <c r="K162" i="103" s="1"/>
  <c r="O263" i="103"/>
  <c r="L263" i="103"/>
  <c r="K236" i="103"/>
  <c r="K161" i="103" s="1"/>
  <c r="N256" i="103"/>
  <c r="J236" i="103"/>
  <c r="J161" i="103" s="1"/>
  <c r="L336" i="103"/>
  <c r="L345" i="103" s="1"/>
  <c r="L346" i="103" s="1"/>
  <c r="O336" i="103"/>
  <c r="O345" i="103" s="1"/>
  <c r="O346" i="103" s="1"/>
  <c r="N235" i="103"/>
  <c r="M336" i="103"/>
  <c r="M345" i="103" s="1"/>
  <c r="M346" i="103" s="1"/>
  <c r="M233" i="103"/>
  <c r="N311" i="103"/>
  <c r="N320" i="103" s="1"/>
  <c r="U229" i="103"/>
  <c r="M235" i="103"/>
  <c r="P296" i="103"/>
  <c r="K268" i="103"/>
  <c r="O92" i="103"/>
  <c r="P82" i="103" s="1"/>
  <c r="P92" i="103" s="1"/>
  <c r="Q82" i="103" s="1"/>
  <c r="Q92" i="103" s="1"/>
  <c r="R82" i="103" s="1"/>
  <c r="R91" i="103" s="1"/>
  <c r="N263" i="103"/>
  <c r="L233" i="103"/>
  <c r="L235" i="103"/>
  <c r="N233" i="103"/>
  <c r="O256" i="103"/>
  <c r="O311" i="103"/>
  <c r="O320" i="103" s="1"/>
  <c r="O235" i="103"/>
  <c r="N336" i="103"/>
  <c r="N345" i="103" s="1"/>
  <c r="N346" i="103" s="1"/>
  <c r="L311" i="103"/>
  <c r="L320" i="103" s="1"/>
  <c r="O233" i="103"/>
  <c r="L256" i="103"/>
  <c r="J268" i="103"/>
  <c r="P311" i="103"/>
  <c r="P320" i="103" s="1"/>
  <c r="P263" i="103"/>
  <c r="P256" i="103"/>
  <c r="P336" i="103"/>
  <c r="P345" i="103" s="1"/>
  <c r="P346" i="103" s="1"/>
  <c r="P233" i="103"/>
  <c r="P235" i="103"/>
  <c r="Q189" i="103"/>
  <c r="K189" i="103"/>
  <c r="L189" i="103"/>
  <c r="M189" i="103"/>
  <c r="J321" i="103"/>
  <c r="J323" i="103" s="1"/>
  <c r="J137" i="103"/>
  <c r="J140" i="103" s="1"/>
  <c r="M323" i="103" l="1"/>
  <c r="M332" i="103" s="1"/>
  <c r="M331" i="103" s="1"/>
  <c r="M322" i="103" s="1"/>
  <c r="M137" i="103"/>
  <c r="M140" i="103" s="1"/>
  <c r="M134" i="103" s="1"/>
  <c r="L137" i="103"/>
  <c r="L140" i="103" s="1"/>
  <c r="L162" i="103" s="1"/>
  <c r="O137" i="103"/>
  <c r="O140" i="103" s="1"/>
  <c r="O162" i="103" s="1"/>
  <c r="N321" i="103"/>
  <c r="N323" i="103" s="1"/>
  <c r="N332" i="103" s="1"/>
  <c r="N331" i="103" s="1"/>
  <c r="N322" i="103" s="1"/>
  <c r="M312" i="103"/>
  <c r="M313" i="103" s="1"/>
  <c r="T296" i="103"/>
  <c r="T175" i="103"/>
  <c r="T135" i="103"/>
  <c r="T271" i="103"/>
  <c r="E58" i="117"/>
  <c r="K158" i="103"/>
  <c r="K134" i="103"/>
  <c r="Q296" i="103"/>
  <c r="L268" i="103"/>
  <c r="N137" i="103"/>
  <c r="N140" i="103" s="1"/>
  <c r="N134" i="103" s="1"/>
  <c r="O268" i="103"/>
  <c r="U228" i="103"/>
  <c r="U230" i="103" s="1"/>
  <c r="P236" i="103"/>
  <c r="P161" i="103" s="1"/>
  <c r="O236" i="103"/>
  <c r="O161" i="103" s="1"/>
  <c r="M236" i="103"/>
  <c r="M161" i="103" s="1"/>
  <c r="L236" i="103"/>
  <c r="L161" i="103" s="1"/>
  <c r="N236" i="103"/>
  <c r="N161" i="103" s="1"/>
  <c r="F58" i="117"/>
  <c r="F56" i="117"/>
  <c r="K326" i="103"/>
  <c r="K327" i="103" s="1"/>
  <c r="J312" i="103"/>
  <c r="J313" i="103" s="1"/>
  <c r="L321" i="103"/>
  <c r="L323" i="103" s="1"/>
  <c r="L332" i="103" s="1"/>
  <c r="L331" i="103" s="1"/>
  <c r="L322" i="103" s="1"/>
  <c r="N268" i="103"/>
  <c r="K312" i="103"/>
  <c r="K313" i="103" s="1"/>
  <c r="O321" i="103"/>
  <c r="O323" i="103" s="1"/>
  <c r="U135" i="103"/>
  <c r="U175" i="103"/>
  <c r="P321" i="103"/>
  <c r="P323" i="103" s="1"/>
  <c r="P137" i="103"/>
  <c r="P140" i="103" s="1"/>
  <c r="P268" i="103"/>
  <c r="J332" i="103"/>
  <c r="J331" i="103" s="1"/>
  <c r="J322" i="103" s="1"/>
  <c r="J326" i="103"/>
  <c r="J327" i="103" s="1"/>
  <c r="Z144" i="103"/>
  <c r="J162" i="103"/>
  <c r="J134" i="103"/>
  <c r="M326" i="103" l="1"/>
  <c r="M329" i="103" s="1"/>
  <c r="L134" i="103"/>
  <c r="L158" i="103"/>
  <c r="M158" i="103"/>
  <c r="O134" i="103"/>
  <c r="M162" i="103"/>
  <c r="P158" i="103"/>
  <c r="S96" i="123"/>
  <c r="L312" i="103"/>
  <c r="L313" i="103" s="1"/>
  <c r="BD268" i="103"/>
  <c r="G73" i="130" s="1"/>
  <c r="BB268" i="103"/>
  <c r="E73" i="130" s="1"/>
  <c r="E61" i="117"/>
  <c r="T190" i="103"/>
  <c r="T189" i="103" s="1"/>
  <c r="N162" i="103"/>
  <c r="N158" i="103"/>
  <c r="V229" i="103"/>
  <c r="O312" i="103"/>
  <c r="O313" i="103" s="1"/>
  <c r="O158" i="103"/>
  <c r="F61" i="117"/>
  <c r="N326" i="103"/>
  <c r="N327" i="103" s="1"/>
  <c r="J328" i="103"/>
  <c r="K329" i="103"/>
  <c r="O332" i="103"/>
  <c r="O331" i="103" s="1"/>
  <c r="O322" i="103" s="1"/>
  <c r="O326" i="103"/>
  <c r="N312" i="103"/>
  <c r="N313" i="103" s="1"/>
  <c r="K328" i="103"/>
  <c r="U190" i="103"/>
  <c r="U189" i="103" s="1"/>
  <c r="L326" i="103"/>
  <c r="L327" i="103" s="1"/>
  <c r="U271" i="103"/>
  <c r="P312" i="103"/>
  <c r="P313" i="103" s="1"/>
  <c r="P162" i="103"/>
  <c r="P134" i="103"/>
  <c r="P332" i="103"/>
  <c r="P331" i="103" s="1"/>
  <c r="P322" i="103" s="1"/>
  <c r="P326" i="103"/>
  <c r="P327" i="103" s="1"/>
  <c r="J329" i="103"/>
  <c r="M327" i="103" l="1"/>
  <c r="M328" i="103" s="1"/>
  <c r="S98" i="123"/>
  <c r="S99" i="123"/>
  <c r="L328" i="103"/>
  <c r="N329" i="103"/>
  <c r="G56" i="117"/>
  <c r="V228" i="103"/>
  <c r="V230" i="103" s="1"/>
  <c r="P328" i="103"/>
  <c r="O329" i="103"/>
  <c r="O327" i="103"/>
  <c r="O328" i="103" s="1"/>
  <c r="L329" i="103"/>
  <c r="N328" i="103"/>
  <c r="P329" i="103"/>
  <c r="T96" i="123" l="1"/>
  <c r="G58" i="117"/>
  <c r="V175" i="103"/>
  <c r="V135" i="103"/>
  <c r="W229" i="103"/>
  <c r="V271" i="103"/>
  <c r="G61" i="117"/>
  <c r="G62" i="117" s="1"/>
  <c r="AV33" i="114"/>
  <c r="AV34" i="114" s="1"/>
  <c r="AV35" i="114" s="1"/>
  <c r="AV37" i="114" s="1"/>
  <c r="T98" i="123" l="1"/>
  <c r="T99" i="123"/>
  <c r="V190" i="103"/>
  <c r="H56" i="117"/>
  <c r="W228" i="103"/>
  <c r="W230" i="103" s="1"/>
  <c r="U96" i="123" l="1"/>
  <c r="H58" i="117"/>
  <c r="W135" i="103"/>
  <c r="W175" i="103"/>
  <c r="X229" i="103"/>
  <c r="U98" i="123" l="1"/>
  <c r="U99" i="123"/>
  <c r="W190" i="103"/>
  <c r="W189" i="103" s="1"/>
  <c r="H61" i="117"/>
  <c r="H62" i="117" s="1"/>
  <c r="I56" i="117"/>
  <c r="W271" i="103"/>
  <c r="X228" i="103"/>
  <c r="X230" i="103" s="1"/>
  <c r="V96" i="123" l="1"/>
  <c r="AW33" i="114"/>
  <c r="AW34" i="114" s="1"/>
  <c r="AW35" i="114" s="1"/>
  <c r="AW37" i="114" s="1"/>
  <c r="I58" i="117"/>
  <c r="Y229" i="103"/>
  <c r="X175" i="103"/>
  <c r="X135" i="103"/>
  <c r="V99" i="123" l="1"/>
  <c r="V98" i="123"/>
  <c r="I61" i="117"/>
  <c r="I62" i="117" s="1"/>
  <c r="J56" i="117"/>
  <c r="X271" i="103"/>
  <c r="Y228" i="103"/>
  <c r="Y230" i="103" s="1"/>
  <c r="X190" i="103"/>
  <c r="X189" i="103" s="1"/>
  <c r="J15" i="116" l="1"/>
  <c r="J18" i="116" s="1"/>
  <c r="W96" i="123"/>
  <c r="J58" i="117"/>
  <c r="AX33" i="114"/>
  <c r="AX34" i="114" s="1"/>
  <c r="AX35" i="114" s="1"/>
  <c r="AX37" i="114" s="1"/>
  <c r="Y175" i="103"/>
  <c r="Y135" i="103"/>
  <c r="W98" i="123" l="1"/>
  <c r="W99" i="123"/>
  <c r="X96" i="123"/>
  <c r="AA229" i="103"/>
  <c r="H32" i="115"/>
  <c r="H34" i="115" s="1"/>
  <c r="J61" i="117"/>
  <c r="J62" i="117" s="1"/>
  <c r="Y190" i="103"/>
  <c r="Y189" i="103" s="1"/>
  <c r="Y271" i="103"/>
  <c r="X98" i="123" l="1"/>
  <c r="X99" i="123"/>
  <c r="K15" i="116"/>
  <c r="K18" i="116" s="1"/>
  <c r="BV271" i="103"/>
  <c r="K32" i="115" s="1"/>
  <c r="K34" i="115" s="1"/>
  <c r="AB229" i="103"/>
  <c r="AA228" i="103"/>
  <c r="AA230" i="103" s="1"/>
  <c r="BZ230" i="103" s="1"/>
  <c r="AY33" i="114"/>
  <c r="AY34" i="114" s="1"/>
  <c r="AY35" i="114" s="1"/>
  <c r="AY37" i="114" s="1"/>
  <c r="Y96" i="123" l="1"/>
  <c r="Z96" i="123"/>
  <c r="Z24" i="126"/>
  <c r="AB228" i="103"/>
  <c r="AB230" i="103" s="1"/>
  <c r="CB230" i="103" s="1"/>
  <c r="G6" i="117"/>
  <c r="G27" i="117"/>
  <c r="Z98" i="123" l="1"/>
  <c r="Z99" i="123"/>
  <c r="Y98" i="123"/>
  <c r="Y99" i="123"/>
  <c r="AB175" i="103"/>
  <c r="AB135" i="103"/>
  <c r="AB190" i="103"/>
  <c r="AB271" i="103"/>
  <c r="H13" i="117"/>
  <c r="G9" i="117"/>
  <c r="V308" i="103"/>
  <c r="V218" i="103"/>
  <c r="V216" i="103" s="1"/>
  <c r="G29" i="117"/>
  <c r="V182" i="103"/>
  <c r="V189" i="103" s="1"/>
  <c r="X49" i="103"/>
  <c r="Y49" i="103"/>
  <c r="CB271" i="103" l="1"/>
  <c r="AP109" i="119"/>
  <c r="H15" i="117"/>
  <c r="G15" i="117"/>
  <c r="AV8" i="114"/>
  <c r="AV28" i="114" s="1"/>
  <c r="AD50" i="103" l="1"/>
  <c r="AV9" i="114"/>
  <c r="AV29" i="114" s="1"/>
  <c r="AW14" i="114"/>
  <c r="AF50" i="103" l="1"/>
  <c r="AE50" i="103"/>
  <c r="AW15" i="114"/>
  <c r="AG50" i="103" l="1"/>
  <c r="AD49" i="103" l="1"/>
  <c r="AC49" i="103"/>
  <c r="AA49" i="103"/>
  <c r="Z49" i="103"/>
  <c r="X55" i="103" l="1"/>
  <c r="W55" i="103"/>
  <c r="V55" i="103"/>
  <c r="U55" i="103"/>
  <c r="T55" i="103"/>
  <c r="S55" i="103"/>
  <c r="R55" i="103"/>
  <c r="Q55" i="103"/>
  <c r="P55" i="103"/>
  <c r="O55" i="103"/>
  <c r="N55" i="103"/>
  <c r="M55" i="103"/>
  <c r="L55" i="103"/>
  <c r="K55" i="103"/>
  <c r="J55" i="103"/>
  <c r="Z54" i="103" l="1"/>
  <c r="Z55" i="103"/>
  <c r="Y55" i="103"/>
  <c r="AA54" i="103" l="1"/>
  <c r="AA52" i="103" l="1"/>
  <c r="AB52" i="103"/>
  <c r="AV41" i="114" l="1"/>
  <c r="AV42" i="114"/>
  <c r="AW40" i="114"/>
  <c r="AC54" i="103"/>
  <c r="H43" i="115"/>
  <c r="J58" i="81"/>
  <c r="J37" i="81"/>
  <c r="J36" i="81"/>
  <c r="J35" i="81"/>
  <c r="J34" i="81"/>
  <c r="J33" i="81"/>
  <c r="J32" i="81"/>
  <c r="J31" i="81"/>
  <c r="J30" i="81"/>
  <c r="J29" i="81"/>
  <c r="J28" i="81"/>
  <c r="J27" i="81"/>
  <c r="J25" i="81"/>
  <c r="J24" i="81"/>
  <c r="J22" i="81"/>
  <c r="J21" i="81"/>
  <c r="J20" i="81"/>
  <c r="J18" i="81"/>
  <c r="J17" i="81"/>
  <c r="J15" i="81"/>
  <c r="J14" i="81"/>
  <c r="J13" i="81"/>
  <c r="J4" i="81"/>
  <c r="J3" i="81"/>
  <c r="Q78" i="103" l="1"/>
  <c r="S78" i="103"/>
  <c r="T76" i="103"/>
  <c r="T77" i="103"/>
  <c r="T78" i="103"/>
  <c r="AD54" i="103"/>
  <c r="AE54" i="103"/>
  <c r="AW41" i="114"/>
  <c r="AW42" i="114"/>
  <c r="P77" i="103"/>
  <c r="P78" i="103"/>
  <c r="P76" i="103"/>
  <c r="AC52" i="103"/>
  <c r="T63" i="103" l="1"/>
  <c r="Q76" i="103"/>
  <c r="Q77" i="103"/>
  <c r="R78" i="103"/>
  <c r="Q63" i="103"/>
  <c r="S76" i="103"/>
  <c r="S77" i="103"/>
  <c r="AF52" i="103"/>
  <c r="AF55" i="103"/>
  <c r="AE52" i="103"/>
  <c r="AE55" i="103"/>
  <c r="AD52" i="103"/>
  <c r="J49" i="81"/>
  <c r="J45" i="81"/>
  <c r="J44" i="81"/>
  <c r="J7" i="81"/>
  <c r="AC13" i="81"/>
  <c r="AG52" i="103" l="1"/>
  <c r="AG55" i="103"/>
  <c r="S63" i="103"/>
  <c r="R76" i="103"/>
  <c r="R77" i="103"/>
  <c r="R63" i="103"/>
  <c r="J48" i="81"/>
  <c r="J40" i="81"/>
  <c r="J42" i="81"/>
  <c r="J41" i="81"/>
  <c r="J47" i="81"/>
  <c r="J39" i="81"/>
  <c r="J46" i="81"/>
  <c r="J38" i="81"/>
  <c r="J50" i="81"/>
  <c r="J43" i="81"/>
  <c r="J51" i="81" l="1"/>
  <c r="J52" i="81"/>
  <c r="CX43" i="115" l="1"/>
  <c r="CJ43" i="115" l="1"/>
  <c r="S55" i="117" l="1"/>
  <c r="S59" i="117" l="1"/>
  <c r="J60" i="117"/>
  <c r="AB81" i="126" l="1"/>
  <c r="AC82" i="126" s="1"/>
  <c r="AC41" i="126" l="1"/>
  <c r="AD46" i="126" s="1"/>
  <c r="AC42" i="126"/>
  <c r="AB273" i="125"/>
  <c r="AB250" i="125"/>
  <c r="AB256" i="125" s="1"/>
  <c r="AB291" i="125"/>
  <c r="AB122" i="125"/>
  <c r="AB171" i="125"/>
  <c r="AB108" i="125"/>
  <c r="AB72" i="125"/>
  <c r="AB52" i="125"/>
  <c r="AB53" i="125" s="1"/>
  <c r="AB94" i="125"/>
  <c r="AE81" i="126"/>
  <c r="AD67" i="103"/>
  <c r="AE68" i="103" s="1"/>
  <c r="AB260" i="125" l="1"/>
  <c r="AS125" i="125"/>
  <c r="AB73" i="125" a="1"/>
  <c r="AB73" i="125" s="1"/>
  <c r="AB75" i="125" s="1"/>
  <c r="AB22" i="126"/>
  <c r="AB88" i="125"/>
  <c r="AB89" i="125"/>
  <c r="AB91" i="125"/>
  <c r="AB92" i="125"/>
  <c r="AB278" i="125"/>
  <c r="AB277" i="125"/>
  <c r="AB279" i="125"/>
  <c r="AD47" i="126"/>
  <c r="AE82" i="126"/>
  <c r="AE41" i="126" s="1"/>
  <c r="AI13" i="103"/>
  <c r="AJ13" i="103" s="1"/>
  <c r="AK13" i="103" s="1"/>
  <c r="AL13" i="103" s="1"/>
  <c r="AM13" i="103" s="1"/>
  <c r="AF81" i="126"/>
  <c r="AF82" i="126" s="1"/>
  <c r="AE273" i="125"/>
  <c r="AE291" i="125"/>
  <c r="AE250" i="125"/>
  <c r="AE256" i="125" s="1"/>
  <c r="AE171" i="125"/>
  <c r="AE108" i="125"/>
  <c r="AE72" i="125"/>
  <c r="AE122" i="125"/>
  <c r="AE94" i="125"/>
  <c r="AE52" i="125"/>
  <c r="AE53" i="125" s="1"/>
  <c r="AB125" i="125"/>
  <c r="AC123" i="125"/>
  <c r="AB176" i="125"/>
  <c r="AB175" i="125"/>
  <c r="AB177" i="125"/>
  <c r="AS126" i="125" s="1"/>
  <c r="AC172" i="125"/>
  <c r="AB295" i="125"/>
  <c r="AB303" i="125" s="1"/>
  <c r="AC292" i="125"/>
  <c r="AC251" i="125"/>
  <c r="AB111" i="125"/>
  <c r="AB112" i="125"/>
  <c r="AB113" i="125"/>
  <c r="AC109" i="125"/>
  <c r="AC274" i="125"/>
  <c r="AG67" i="103"/>
  <c r="AG68" i="103" s="1"/>
  <c r="AS127" i="125" l="1"/>
  <c r="AS128" i="125" s="1"/>
  <c r="AE260" i="125"/>
  <c r="AV125" i="125"/>
  <c r="AC15" i="125"/>
  <c r="AC74" i="125"/>
  <c r="AE73" i="125" a="1"/>
  <c r="AE73" i="125" s="1"/>
  <c r="AE75" i="125" s="1"/>
  <c r="AE22" i="126"/>
  <c r="AE88" i="125"/>
  <c r="AE89" i="125"/>
  <c r="AE91" i="125"/>
  <c r="AE92" i="125"/>
  <c r="AB296" i="125"/>
  <c r="AC16" i="125" s="1"/>
  <c r="AE277" i="125"/>
  <c r="AE278" i="125"/>
  <c r="AE279" i="125"/>
  <c r="AF42" i="126"/>
  <c r="AF41" i="126"/>
  <c r="AE42" i="126"/>
  <c r="AE46" i="126"/>
  <c r="AC257" i="125"/>
  <c r="AH67" i="103"/>
  <c r="AH68" i="103" s="1"/>
  <c r="AF273" i="125"/>
  <c r="AF72" i="125"/>
  <c r="AF94" i="125"/>
  <c r="AF52" i="125"/>
  <c r="AF53" i="125" s="1"/>
  <c r="AF250" i="125"/>
  <c r="AF256" i="125" s="1"/>
  <c r="AF291" i="125"/>
  <c r="AF295" i="125" s="1"/>
  <c r="AF303" i="125" s="1"/>
  <c r="AF171" i="125"/>
  <c r="AF122" i="125"/>
  <c r="AF125" i="125" s="1"/>
  <c r="AF108" i="125"/>
  <c r="AF109" i="125" s="1"/>
  <c r="AE109" i="125"/>
  <c r="AE112" i="125"/>
  <c r="AE111" i="125"/>
  <c r="AE113" i="125"/>
  <c r="AC114" i="125"/>
  <c r="AC178" i="125"/>
  <c r="AE172" i="125"/>
  <c r="AE176" i="125"/>
  <c r="AE175" i="125"/>
  <c r="AE177" i="125"/>
  <c r="AV126" i="125" s="1"/>
  <c r="AE251" i="125"/>
  <c r="AE257" i="125"/>
  <c r="AC280" i="125"/>
  <c r="AE292" i="125"/>
  <c r="AE295" i="125"/>
  <c r="AE303" i="125" s="1"/>
  <c r="AE123" i="125"/>
  <c r="AE125" i="125"/>
  <c r="AE274" i="125"/>
  <c r="AE47" i="126" l="1"/>
  <c r="AE5" i="126"/>
  <c r="AV127" i="125"/>
  <c r="AV128" i="125" s="1"/>
  <c r="AF260" i="125"/>
  <c r="AW125" i="125"/>
  <c r="AE15" i="125"/>
  <c r="AE74" i="125"/>
  <c r="AF73" i="125" a="1"/>
  <c r="AF73" i="125" s="1"/>
  <c r="AF75" i="125" s="1"/>
  <c r="AF22" i="126"/>
  <c r="AC297" i="125"/>
  <c r="AF88" i="125"/>
  <c r="AF89" i="125"/>
  <c r="AF91" i="125"/>
  <c r="AF92" i="125"/>
  <c r="AE296" i="125"/>
  <c r="AE16" i="125" s="1"/>
  <c r="AF296" i="125"/>
  <c r="AF274" i="125"/>
  <c r="AF277" i="125"/>
  <c r="AF279" i="125"/>
  <c r="AF280" i="125" s="1"/>
  <c r="AF278" i="125"/>
  <c r="AF46" i="126"/>
  <c r="AF47" i="126"/>
  <c r="AF251" i="125"/>
  <c r="AF172" i="125"/>
  <c r="AF123" i="125"/>
  <c r="AF292" i="125"/>
  <c r="AF111" i="125"/>
  <c r="AH70" i="103" s="1"/>
  <c r="AF112" i="125"/>
  <c r="AH71" i="103" s="1"/>
  <c r="AF113" i="125"/>
  <c r="AH72" i="103" s="1"/>
  <c r="AF176" i="125"/>
  <c r="AF175" i="125"/>
  <c r="AF177" i="125"/>
  <c r="AF257" i="125"/>
  <c r="AE280" i="125"/>
  <c r="AE178" i="125"/>
  <c r="AC126" i="125"/>
  <c r="AC120" i="125"/>
  <c r="AE114" i="125"/>
  <c r="AF178" i="125" l="1"/>
  <c r="AW126" i="125"/>
  <c r="AW127" i="125" s="1"/>
  <c r="AW128" i="125" s="1"/>
  <c r="AF15" i="125"/>
  <c r="AF74" i="125"/>
  <c r="AE297" i="125"/>
  <c r="AF297" i="125"/>
  <c r="AF16" i="125"/>
  <c r="AF114" i="125"/>
  <c r="AF126" i="125"/>
  <c r="AE126" i="125"/>
  <c r="AE120" i="125"/>
  <c r="AC127" i="125"/>
  <c r="AC19" i="125" s="1"/>
  <c r="H49" i="81"/>
  <c r="AF120" i="125" l="1"/>
  <c r="AE127" i="125"/>
  <c r="AE19" i="125" s="1"/>
  <c r="I4" i="81"/>
  <c r="AF127" i="125" l="1"/>
  <c r="AF19" i="125" s="1"/>
  <c r="H3" i="81"/>
  <c r="I3" i="81"/>
  <c r="H4" i="81"/>
  <c r="H7" i="81"/>
  <c r="I7" i="81"/>
  <c r="H13" i="81"/>
  <c r="I13" i="81"/>
  <c r="H14" i="81"/>
  <c r="I14" i="81"/>
  <c r="I15" i="81"/>
  <c r="H17" i="81"/>
  <c r="I17" i="81"/>
  <c r="H18" i="81"/>
  <c r="I18" i="81"/>
  <c r="H20" i="81"/>
  <c r="I20" i="81"/>
  <c r="H21" i="81"/>
  <c r="I21" i="81"/>
  <c r="H22" i="81"/>
  <c r="I22" i="81"/>
  <c r="H24" i="81"/>
  <c r="I24" i="81"/>
  <c r="H25" i="81"/>
  <c r="I25" i="81"/>
  <c r="H27" i="81"/>
  <c r="I27" i="81"/>
  <c r="H28" i="81"/>
  <c r="I28" i="81"/>
  <c r="H29" i="81"/>
  <c r="I29" i="81"/>
  <c r="H30" i="81"/>
  <c r="I30" i="81"/>
  <c r="H31" i="81"/>
  <c r="I31" i="81"/>
  <c r="H32" i="81"/>
  <c r="I32" i="81"/>
  <c r="H33" i="81"/>
  <c r="I33" i="81"/>
  <c r="H34" i="81"/>
  <c r="I34" i="81"/>
  <c r="H35" i="81"/>
  <c r="I35" i="81"/>
  <c r="H36" i="81"/>
  <c r="I36" i="81"/>
  <c r="H37" i="81"/>
  <c r="I37" i="81"/>
  <c r="H44" i="81"/>
  <c r="I44" i="81"/>
  <c r="H45" i="81"/>
  <c r="I45" i="81"/>
  <c r="I49" i="81"/>
  <c r="AB13" i="81"/>
  <c r="AA13" i="81"/>
  <c r="AH141" i="103" l="1"/>
  <c r="H48" i="81"/>
  <c r="H50" i="81"/>
  <c r="I39" i="81"/>
  <c r="H38" i="81"/>
  <c r="I47" i="81"/>
  <c r="H46" i="81"/>
  <c r="I38" i="81"/>
  <c r="I41" i="81"/>
  <c r="H47" i="81"/>
  <c r="H43" i="81"/>
  <c r="H41" i="81"/>
  <c r="H39" i="81"/>
  <c r="I43" i="81"/>
  <c r="I50" i="81"/>
  <c r="I48" i="81"/>
  <c r="I46" i="81"/>
  <c r="I42" i="81"/>
  <c r="I40" i="81"/>
  <c r="H42" i="81"/>
  <c r="H40" i="81"/>
  <c r="H52" i="81" l="1"/>
  <c r="H51" i="81"/>
  <c r="I51" i="81"/>
  <c r="I52" i="81"/>
  <c r="AA81" i="126" l="1"/>
  <c r="AB82" i="126" s="1"/>
  <c r="AA273" i="125"/>
  <c r="AA291" i="125"/>
  <c r="AA122" i="125"/>
  <c r="AA94" i="125"/>
  <c r="AA53" i="125"/>
  <c r="AA171" i="125"/>
  <c r="AA108" i="125"/>
  <c r="AA112" i="125" s="1"/>
  <c r="AA250" i="125"/>
  <c r="AA256" i="125" s="1"/>
  <c r="AA72" i="125"/>
  <c r="AC67" i="103"/>
  <c r="AC68" i="103" s="1"/>
  <c r="AA260" i="125" l="1"/>
  <c r="AR125" i="125"/>
  <c r="AA82" i="126"/>
  <c r="AA41" i="126" s="1"/>
  <c r="AA278" i="125"/>
  <c r="AA279" i="125"/>
  <c r="AA280" i="125" s="1"/>
  <c r="AA277" i="125"/>
  <c r="AA274" i="125"/>
  <c r="AA22" i="126"/>
  <c r="AA88" i="125"/>
  <c r="AA89" i="125"/>
  <c r="AA91" i="125"/>
  <c r="AA92" i="125"/>
  <c r="AB41" i="126"/>
  <c r="AB4" i="126" s="1"/>
  <c r="AB42" i="126"/>
  <c r="AA20" i="124"/>
  <c r="M53" i="118" s="1"/>
  <c r="AA172" i="125"/>
  <c r="AA176" i="125"/>
  <c r="AA175" i="125"/>
  <c r="AA177" i="125"/>
  <c r="AR126" i="125" s="1"/>
  <c r="AB172" i="125"/>
  <c r="AA123" i="125"/>
  <c r="AA125" i="125"/>
  <c r="AB123" i="125"/>
  <c r="AA251" i="125"/>
  <c r="AB251" i="125"/>
  <c r="AA292" i="125"/>
  <c r="AA295" i="125"/>
  <c r="AA303" i="125" s="1"/>
  <c r="AB292" i="125"/>
  <c r="AA109" i="125"/>
  <c r="AA111" i="125"/>
  <c r="AA113" i="125"/>
  <c r="AB109" i="125"/>
  <c r="AB274" i="125"/>
  <c r="AD68" i="103"/>
  <c r="AR127" i="125" l="1"/>
  <c r="AR128" i="125" s="1"/>
  <c r="AA42" i="126"/>
  <c r="AA47" i="126" s="1"/>
  <c r="AA46" i="126"/>
  <c r="AA4" i="126"/>
  <c r="AA296" i="125"/>
  <c r="AA16" i="125" s="1"/>
  <c r="AA5" i="125" s="1"/>
  <c r="AC47" i="126"/>
  <c r="AC46" i="126"/>
  <c r="AB46" i="126"/>
  <c r="AA257" i="125"/>
  <c r="AB257" i="125"/>
  <c r="AB20" i="124"/>
  <c r="N53" i="118" s="1"/>
  <c r="AA114" i="125"/>
  <c r="AB114" i="125"/>
  <c r="AA178" i="125"/>
  <c r="AB178" i="125"/>
  <c r="AB280" i="125"/>
  <c r="S7" i="117"/>
  <c r="AB47" i="126" l="1"/>
  <c r="AB297" i="125"/>
  <c r="AB16" i="125"/>
  <c r="AA297" i="125"/>
  <c r="AC20" i="124"/>
  <c r="O53" i="118" s="1"/>
  <c r="AA126" i="125"/>
  <c r="AA120" i="125"/>
  <c r="AB126" i="125"/>
  <c r="AB120" i="125"/>
  <c r="AB5" i="125" l="1"/>
  <c r="AC5" i="125" s="1"/>
  <c r="AD20" i="124"/>
  <c r="P53" i="118" s="1"/>
  <c r="AB127" i="125"/>
  <c r="AB19" i="125" s="1"/>
  <c r="AA67" i="103"/>
  <c r="AB68" i="103" s="1"/>
  <c r="Y273" i="125"/>
  <c r="Y291" i="125"/>
  <c r="Y171" i="125"/>
  <c r="Y108" i="125"/>
  <c r="Y94" i="125"/>
  <c r="Y250" i="125"/>
  <c r="Y256" i="125" s="1"/>
  <c r="Y72" i="125"/>
  <c r="Y70" i="125" s="1" a="1"/>
  <c r="Y70" i="125" s="1"/>
  <c r="AA73" i="125" s="1" a="1"/>
  <c r="AA73" i="125" s="1"/>
  <c r="AA75" i="125" s="1"/>
  <c r="AA15" i="125" s="1"/>
  <c r="Y122" i="125"/>
  <c r="Y52" i="125"/>
  <c r="Y53" i="125" s="1"/>
  <c r="AA127" i="125"/>
  <c r="AA19" i="125" s="1"/>
  <c r="S21" i="117"/>
  <c r="AA4" i="125" l="1"/>
  <c r="AA6" i="125" s="1"/>
  <c r="AB311" i="125" s="1"/>
  <c r="AA74" i="125"/>
  <c r="AB74" i="125"/>
  <c r="AB15" i="125"/>
  <c r="Y73" i="125" a="1"/>
  <c r="Y73" i="125" s="1"/>
  <c r="Y22" i="126"/>
  <c r="Y88" i="125"/>
  <c r="Y89" i="125"/>
  <c r="Y91" i="125"/>
  <c r="Y92" i="125"/>
  <c r="AF20" i="124"/>
  <c r="R53" i="118" s="1"/>
  <c r="AE20" i="124"/>
  <c r="Q53" i="118" s="1"/>
  <c r="Z251" i="125"/>
  <c r="Y279" i="125"/>
  <c r="Y277" i="125"/>
  <c r="Y278" i="125"/>
  <c r="Z274" i="125"/>
  <c r="Z8" i="125"/>
  <c r="Y112" i="125"/>
  <c r="Y111" i="125"/>
  <c r="Y113" i="125"/>
  <c r="Z109" i="125"/>
  <c r="Y175" i="125"/>
  <c r="Y176" i="125"/>
  <c r="Y177" i="125"/>
  <c r="Z172" i="125"/>
  <c r="AD5" i="125"/>
  <c r="Y125" i="125"/>
  <c r="Z123" i="125"/>
  <c r="Y295" i="125"/>
  <c r="Y303" i="125" s="1"/>
  <c r="Z292" i="125"/>
  <c r="F60" i="117"/>
  <c r="AB4" i="125" l="1"/>
  <c r="AC4" i="125" s="1"/>
  <c r="Y296" i="125"/>
  <c r="Z297" i="125" s="1"/>
  <c r="Z257" i="125"/>
  <c r="AA5" i="126"/>
  <c r="AA11" i="125"/>
  <c r="AE5" i="125"/>
  <c r="AF5" i="125" s="1"/>
  <c r="Z178" i="125"/>
  <c r="Z280" i="125"/>
  <c r="Z114" i="125"/>
  <c r="AA7" i="125"/>
  <c r="AA12" i="122" s="1"/>
  <c r="AA5" i="122" s="1"/>
  <c r="DQ6" i="131" s="1"/>
  <c r="AA8" i="125"/>
  <c r="AA12" i="125"/>
  <c r="L48" i="117"/>
  <c r="DQ19" i="131" l="1"/>
  <c r="DM6" i="131"/>
  <c r="AB6" i="125"/>
  <c r="AC311" i="125" s="1"/>
  <c r="AB5" i="126"/>
  <c r="AA43" i="126"/>
  <c r="AG6" i="130"/>
  <c r="AG19" i="130" s="1"/>
  <c r="DB6" i="130"/>
  <c r="DB19" i="130" s="1"/>
  <c r="AA313" i="125"/>
  <c r="AA308" i="125"/>
  <c r="AA306" i="125" s="1"/>
  <c r="AD4" i="125"/>
  <c r="AC6" i="125"/>
  <c r="Z126" i="125"/>
  <c r="Z120" i="125"/>
  <c r="M48" i="117"/>
  <c r="AB11" i="125" l="1"/>
  <c r="DK19" i="131"/>
  <c r="DL6" i="131"/>
  <c r="DM19" i="131"/>
  <c r="AB12" i="125"/>
  <c r="AB8" i="125"/>
  <c r="AB7" i="125"/>
  <c r="AB12" i="122" s="1"/>
  <c r="AB5" i="122" s="1"/>
  <c r="AB20" i="125"/>
  <c r="AD311" i="125"/>
  <c r="AC20" i="125"/>
  <c r="AC5" i="126"/>
  <c r="AA44" i="126"/>
  <c r="AC4" i="126"/>
  <c r="AB43" i="126"/>
  <c r="AC11" i="125"/>
  <c r="AB313" i="125"/>
  <c r="AB308" i="125"/>
  <c r="AB306" i="125" s="1"/>
  <c r="AC8" i="125"/>
  <c r="AC7" i="125"/>
  <c r="AC12" i="122" s="1"/>
  <c r="AC12" i="125"/>
  <c r="Z127" i="125"/>
  <c r="AD6" i="125"/>
  <c r="AE4" i="125"/>
  <c r="AI6" i="130" l="1"/>
  <c r="AI19" i="130" s="1"/>
  <c r="DY6" i="131"/>
  <c r="DN6" i="131"/>
  <c r="DL19" i="131"/>
  <c r="AC5" i="122"/>
  <c r="DF6" i="130"/>
  <c r="DF19" i="130" s="1"/>
  <c r="AF4" i="125"/>
  <c r="AE311" i="125"/>
  <c r="AD20" i="125"/>
  <c r="AB44" i="126"/>
  <c r="AD5" i="126"/>
  <c r="AD4" i="126"/>
  <c r="AC43" i="126"/>
  <c r="AD11" i="125"/>
  <c r="AC308" i="125"/>
  <c r="AC306" i="125" s="1"/>
  <c r="AC313" i="125"/>
  <c r="AE6" i="125"/>
  <c r="AD8" i="125"/>
  <c r="AD7" i="125"/>
  <c r="AD12" i="122" s="1"/>
  <c r="AD12" i="125"/>
  <c r="K48" i="117"/>
  <c r="DY19" i="131" l="1"/>
  <c r="DT6" i="131"/>
  <c r="DX6" i="131"/>
  <c r="DW6" i="131"/>
  <c r="DV6" i="131"/>
  <c r="DV19" i="131" s="1"/>
  <c r="DR6" i="131"/>
  <c r="DR19" i="131" s="1"/>
  <c r="DS6" i="131"/>
  <c r="DS19" i="131" s="1"/>
  <c r="DU6" i="131"/>
  <c r="DU19" i="131" s="1"/>
  <c r="DN19" i="131"/>
  <c r="DO6" i="131"/>
  <c r="AD5" i="122"/>
  <c r="AG5" i="122" s="1"/>
  <c r="AF6" i="125"/>
  <c r="AF11" i="125" s="1"/>
  <c r="AF311" i="125"/>
  <c r="AE20" i="125"/>
  <c r="AC44" i="126"/>
  <c r="AE4" i="126"/>
  <c r="AD43" i="126"/>
  <c r="AA20" i="125"/>
  <c r="AA26" i="122" s="1"/>
  <c r="AA19" i="122" s="1"/>
  <c r="DQ33" i="131" s="1"/>
  <c r="AD308" i="125"/>
  <c r="AD306" i="125" s="1"/>
  <c r="AD313" i="125"/>
  <c r="AE7" i="125"/>
  <c r="AE12" i="122" s="1"/>
  <c r="AE8" i="125"/>
  <c r="AE12" i="125"/>
  <c r="AE11" i="125"/>
  <c r="S19" i="117"/>
  <c r="I48" i="117"/>
  <c r="S5" i="117"/>
  <c r="AK143" i="5"/>
  <c r="Z13" i="81"/>
  <c r="F58" i="81"/>
  <c r="G58" i="81"/>
  <c r="G31" i="81"/>
  <c r="F31" i="81"/>
  <c r="G30" i="81"/>
  <c r="F30" i="81"/>
  <c r="G29" i="81"/>
  <c r="F29" i="81"/>
  <c r="G28" i="81"/>
  <c r="F28" i="81"/>
  <c r="G27" i="81"/>
  <c r="F27" i="81"/>
  <c r="G25" i="81"/>
  <c r="F25" i="81"/>
  <c r="G24" i="81"/>
  <c r="F24" i="81"/>
  <c r="G22" i="81"/>
  <c r="F22" i="81"/>
  <c r="G21" i="81"/>
  <c r="F21" i="81"/>
  <c r="G20" i="81"/>
  <c r="F20" i="81"/>
  <c r="G18" i="81"/>
  <c r="F18" i="81"/>
  <c r="G17" i="81"/>
  <c r="F17" i="81"/>
  <c r="G14" i="81"/>
  <c r="F14" i="81"/>
  <c r="G13" i="81"/>
  <c r="F13" i="81"/>
  <c r="G37" i="81"/>
  <c r="F37" i="81"/>
  <c r="G36" i="81"/>
  <c r="F36" i="81"/>
  <c r="G35" i="81"/>
  <c r="F35" i="81"/>
  <c r="G34" i="81"/>
  <c r="F34" i="81"/>
  <c r="G33" i="81"/>
  <c r="F33" i="81"/>
  <c r="G32" i="81"/>
  <c r="F32" i="81"/>
  <c r="G4" i="81"/>
  <c r="F4" i="81"/>
  <c r="G3" i="81"/>
  <c r="F3" i="81"/>
  <c r="G15" i="81"/>
  <c r="F15" i="81"/>
  <c r="Y13" i="81"/>
  <c r="X13" i="81"/>
  <c r="F7" i="81"/>
  <c r="F49" i="81"/>
  <c r="G49" i="81"/>
  <c r="G45" i="81"/>
  <c r="F45" i="81"/>
  <c r="F44" i="81"/>
  <c r="G44" i="81"/>
  <c r="G7" i="81"/>
  <c r="AN149" i="5"/>
  <c r="AN148" i="5"/>
  <c r="AM148" i="5"/>
  <c r="AL148" i="5"/>
  <c r="AK148" i="5"/>
  <c r="AN144" i="5"/>
  <c r="AM144" i="5"/>
  <c r="AL144" i="5"/>
  <c r="AK144" i="5"/>
  <c r="AN111" i="5"/>
  <c r="AM111" i="5"/>
  <c r="AL111" i="5"/>
  <c r="AK111" i="5"/>
  <c r="AN67" i="5"/>
  <c r="AM67" i="5"/>
  <c r="AL67" i="5"/>
  <c r="AK67" i="5"/>
  <c r="F3" i="56"/>
  <c r="F2" i="56"/>
  <c r="P119" i="5"/>
  <c r="V119" i="5"/>
  <c r="AB119" i="5"/>
  <c r="AF119" i="5"/>
  <c r="S119" i="5"/>
  <c r="Y119" i="5"/>
  <c r="AE119" i="5"/>
  <c r="E50" i="117"/>
  <c r="AK101" i="5"/>
  <c r="AK106" i="5"/>
  <c r="AL101" i="5"/>
  <c r="AL106" i="5"/>
  <c r="AK115" i="5"/>
  <c r="AG119" i="5"/>
  <c r="AH119" i="5"/>
  <c r="AI119" i="5"/>
  <c r="AJ119" i="5"/>
  <c r="AK75" i="5"/>
  <c r="DW19" i="131" l="1"/>
  <c r="DT19" i="131"/>
  <c r="DQ59" i="131"/>
  <c r="DQ46" i="131"/>
  <c r="AG34" i="130"/>
  <c r="AG47" i="130" s="1"/>
  <c r="DO19" i="131"/>
  <c r="DP6" i="131"/>
  <c r="AE5" i="122"/>
  <c r="AF12" i="125"/>
  <c r="AF7" i="125"/>
  <c r="AF12" i="122" s="1"/>
  <c r="AF8" i="125"/>
  <c r="AF20" i="125"/>
  <c r="AD44" i="126"/>
  <c r="AF5" i="126"/>
  <c r="AF4" i="126"/>
  <c r="AE43" i="126"/>
  <c r="AA32" i="122"/>
  <c r="AF308" i="125"/>
  <c r="AF306" i="125" s="1"/>
  <c r="AF313" i="125"/>
  <c r="AE313" i="125"/>
  <c r="AE308" i="125"/>
  <c r="AE306" i="125" s="1"/>
  <c r="AB26" i="122"/>
  <c r="AB19" i="122" s="1"/>
  <c r="AM143" i="5"/>
  <c r="F39" i="81"/>
  <c r="F41" i="81"/>
  <c r="F43" i="81"/>
  <c r="F47" i="81"/>
  <c r="F50" i="81"/>
  <c r="G39" i="81"/>
  <c r="G41" i="81"/>
  <c r="G43" i="81"/>
  <c r="G47" i="81"/>
  <c r="G50" i="81"/>
  <c r="F38" i="81"/>
  <c r="F40" i="81"/>
  <c r="F42" i="81"/>
  <c r="F46" i="81"/>
  <c r="F48" i="81"/>
  <c r="G38" i="81"/>
  <c r="G40" i="81"/>
  <c r="G42" i="81"/>
  <c r="G46" i="81"/>
  <c r="G48" i="81"/>
  <c r="AL115" i="5"/>
  <c r="E48" i="117"/>
  <c r="J48" i="117"/>
  <c r="AM101" i="5"/>
  <c r="AL63" i="5"/>
  <c r="AL137" i="5" s="1"/>
  <c r="AM63" i="5"/>
  <c r="AM137" i="5" s="1"/>
  <c r="H48" i="117"/>
  <c r="G48" i="117"/>
  <c r="AM106" i="5"/>
  <c r="AK63" i="5"/>
  <c r="AK137" i="5" s="1"/>
  <c r="AK77" i="5"/>
  <c r="AM149" i="5"/>
  <c r="AL149" i="5"/>
  <c r="AL143" i="5"/>
  <c r="AN143" i="5"/>
  <c r="AK57" i="5"/>
  <c r="CN13" i="115" l="1"/>
  <c r="CO13" i="115" s="1"/>
  <c r="AB32" i="122"/>
  <c r="DY33" i="131"/>
  <c r="DP19" i="131"/>
  <c r="DX19" i="131"/>
  <c r="AG60" i="130"/>
  <c r="AF5" i="122"/>
  <c r="CR13" i="115" s="1"/>
  <c r="CS13" i="115" s="1"/>
  <c r="AE44" i="126"/>
  <c r="AF43" i="126"/>
  <c r="AI34" i="130"/>
  <c r="AI60" i="130" s="1"/>
  <c r="AC26" i="122"/>
  <c r="AC19" i="122" s="1"/>
  <c r="AC32" i="122" s="1"/>
  <c r="AK58" i="5"/>
  <c r="S9" i="117"/>
  <c r="E60" i="117"/>
  <c r="AL57" i="5"/>
  <c r="AN57" i="5"/>
  <c r="AN101" i="5"/>
  <c r="AN106" i="5"/>
  <c r="G52" i="81"/>
  <c r="G51" i="81"/>
  <c r="F51" i="81"/>
  <c r="F52" i="81"/>
  <c r="AM57" i="5"/>
  <c r="AM115" i="5"/>
  <c r="AK149" i="5"/>
  <c r="AK76" i="5"/>
  <c r="DY59" i="131" l="1"/>
  <c r="DY46" i="131"/>
  <c r="DT33" i="131"/>
  <c r="DL46" i="131"/>
  <c r="DP33" i="131"/>
  <c r="AI47" i="130"/>
  <c r="AF44" i="126"/>
  <c r="AD26" i="122"/>
  <c r="AD19" i="122" s="1"/>
  <c r="AD32" i="122" s="1"/>
  <c r="AL58" i="5"/>
  <c r="AN63" i="5"/>
  <c r="AN137" i="5" s="1"/>
  <c r="AN115" i="5"/>
  <c r="DT59" i="131" l="1"/>
  <c r="DT46" i="131"/>
  <c r="DX33" i="131"/>
  <c r="DX46" i="131" s="1"/>
  <c r="DP59" i="131"/>
  <c r="DP46" i="131"/>
  <c r="AF26" i="122"/>
  <c r="AF19" i="122" s="1"/>
  <c r="AE26" i="122"/>
  <c r="AE19" i="122" s="1"/>
  <c r="T67" i="103"/>
  <c r="S67" i="103"/>
  <c r="S68" i="103" s="1"/>
  <c r="AM58" i="5"/>
  <c r="K50" i="117"/>
  <c r="CR21" i="115" l="1"/>
  <c r="AG19" i="122"/>
  <c r="CN21" i="115"/>
  <c r="CN22" i="115" s="1"/>
  <c r="CO22" i="115" s="1"/>
  <c r="DX59" i="131"/>
  <c r="AF32" i="122"/>
  <c r="AE32" i="122"/>
  <c r="T68" i="103"/>
  <c r="L50" i="117"/>
  <c r="AN58" i="5"/>
  <c r="CO21" i="115" l="1"/>
  <c r="CR22" i="115"/>
  <c r="CS22" i="115" s="1"/>
  <c r="CS21" i="115"/>
  <c r="T52" i="125"/>
  <c r="T53" i="125" s="1"/>
  <c r="T108" i="125"/>
  <c r="T171" i="125"/>
  <c r="T291" i="125"/>
  <c r="T122" i="125"/>
  <c r="T273" i="125"/>
  <c r="T94" i="125"/>
  <c r="T250" i="125"/>
  <c r="M50" i="117"/>
  <c r="V67" i="103"/>
  <c r="T175" i="125" l="1"/>
  <c r="T176" i="125"/>
  <c r="T177" i="125"/>
  <c r="T111" i="125"/>
  <c r="T112" i="125"/>
  <c r="T113" i="125"/>
  <c r="T279" i="125"/>
  <c r="T278" i="125"/>
  <c r="T277" i="125"/>
  <c r="V94" i="125"/>
  <c r="V250" i="125"/>
  <c r="V251" i="125" s="1"/>
  <c r="V52" i="125"/>
  <c r="V53" i="125" s="1"/>
  <c r="V108" i="125"/>
  <c r="V171" i="125"/>
  <c r="V291" i="125"/>
  <c r="V122" i="125"/>
  <c r="V273" i="125"/>
  <c r="T125" i="125"/>
  <c r="T126" i="125"/>
  <c r="T127" i="125"/>
  <c r="T295" i="125"/>
  <c r="T296" i="125" s="1"/>
  <c r="X67" i="103"/>
  <c r="V292" i="125" l="1"/>
  <c r="V295" i="125"/>
  <c r="V296" i="125" s="1"/>
  <c r="V297" i="125" s="1"/>
  <c r="V172" i="125"/>
  <c r="V176" i="125"/>
  <c r="V175" i="125"/>
  <c r="V177" i="125"/>
  <c r="V178" i="125" s="1"/>
  <c r="V111" i="125"/>
  <c r="V113" i="125"/>
  <c r="V114" i="125" s="1"/>
  <c r="V112" i="125"/>
  <c r="V109" i="125"/>
  <c r="V8" i="125"/>
  <c r="V279" i="125"/>
  <c r="V280" i="125" s="1"/>
  <c r="V274" i="125"/>
  <c r="V278" i="125"/>
  <c r="V277" i="125"/>
  <c r="V123" i="125"/>
  <c r="V126" i="125"/>
  <c r="V125" i="125"/>
  <c r="V127" i="125"/>
  <c r="W67" i="103"/>
  <c r="W68" i="103" s="1"/>
  <c r="V24" i="126"/>
  <c r="X250" i="125" l="1"/>
  <c r="X256" i="125" s="1"/>
  <c r="X273" i="125"/>
  <c r="X291" i="125"/>
  <c r="X122" i="125"/>
  <c r="X94" i="125"/>
  <c r="X171" i="125"/>
  <c r="X72" i="125"/>
  <c r="X70" i="125" s="1" a="1"/>
  <c r="X70" i="125" s="1"/>
  <c r="X108" i="125"/>
  <c r="X52" i="125"/>
  <c r="X53" i="125" s="1"/>
  <c r="W291" i="125"/>
  <c r="W250" i="125"/>
  <c r="W171" i="125"/>
  <c r="W273" i="125"/>
  <c r="W122" i="125"/>
  <c r="W94" i="125"/>
  <c r="W108" i="125"/>
  <c r="W72" i="125"/>
  <c r="W70" i="125" s="1" a="1"/>
  <c r="W70" i="125" s="1"/>
  <c r="W52" i="125"/>
  <c r="W53" i="125" s="1"/>
  <c r="X68" i="103"/>
  <c r="Y67" i="103"/>
  <c r="Y68" i="103" s="1"/>
  <c r="Z67" i="103"/>
  <c r="AA68" i="103" s="1"/>
  <c r="W73" i="125" l="1" a="1"/>
  <c r="W73" i="125" s="1"/>
  <c r="W22" i="126"/>
  <c r="W24" i="126" s="1"/>
  <c r="X73" i="125" a="1"/>
  <c r="X73" i="125" s="1"/>
  <c r="X22" i="126"/>
  <c r="X24" i="126" s="1"/>
  <c r="X88" i="125"/>
  <c r="X89" i="125"/>
  <c r="X91" i="125"/>
  <c r="X92" i="125"/>
  <c r="W88" i="125"/>
  <c r="W89" i="125"/>
  <c r="W91" i="125"/>
  <c r="W92" i="125"/>
  <c r="W123" i="125"/>
  <c r="W125" i="125"/>
  <c r="W126" i="125"/>
  <c r="W127" i="125"/>
  <c r="X274" i="125"/>
  <c r="X279" i="125"/>
  <c r="X278" i="125"/>
  <c r="X277" i="125"/>
  <c r="Y274" i="125"/>
  <c r="X123" i="125"/>
  <c r="X125" i="125"/>
  <c r="Y123" i="125"/>
  <c r="X292" i="125"/>
  <c r="X295" i="125"/>
  <c r="X303" i="125" s="1"/>
  <c r="Y292" i="125"/>
  <c r="W172" i="125"/>
  <c r="W176" i="125"/>
  <c r="W175" i="125"/>
  <c r="W177" i="125"/>
  <c r="Y24" i="126"/>
  <c r="W251" i="125"/>
  <c r="X251" i="125"/>
  <c r="Y257" i="125"/>
  <c r="Y251" i="125"/>
  <c r="W274" i="125"/>
  <c r="W279" i="125"/>
  <c r="W280" i="125" s="1"/>
  <c r="W278" i="125"/>
  <c r="W277" i="125"/>
  <c r="X109" i="125"/>
  <c r="X111" i="125"/>
  <c r="X112" i="125"/>
  <c r="X113" i="125"/>
  <c r="Y109" i="125"/>
  <c r="W109" i="125"/>
  <c r="W111" i="125"/>
  <c r="W112" i="125"/>
  <c r="W113" i="125"/>
  <c r="W114" i="125" s="1"/>
  <c r="W292" i="125"/>
  <c r="W295" i="125"/>
  <c r="W303" i="125" s="1"/>
  <c r="X172" i="125"/>
  <c r="X175" i="125"/>
  <c r="X176" i="125"/>
  <c r="X177" i="125"/>
  <c r="Y172" i="125"/>
  <c r="W8" i="125"/>
  <c r="X8" i="125"/>
  <c r="Y8" i="125"/>
  <c r="Z68" i="103"/>
  <c r="W296" i="125" l="1"/>
  <c r="W297" i="125" s="1"/>
  <c r="X296" i="125"/>
  <c r="V46" i="126"/>
  <c r="V47" i="126"/>
  <c r="Z46" i="126"/>
  <c r="Z47" i="126"/>
  <c r="W74" i="125"/>
  <c r="X178" i="125"/>
  <c r="Y178" i="125"/>
  <c r="V101" i="126"/>
  <c r="X280" i="125"/>
  <c r="Y280" i="125"/>
  <c r="X114" i="125"/>
  <c r="Y114" i="125"/>
  <c r="V102" i="126"/>
  <c r="S56" i="117"/>
  <c r="X297" i="125" l="1"/>
  <c r="Y297" i="125"/>
  <c r="W46" i="126"/>
  <c r="X47" i="126"/>
  <c r="Y47" i="126"/>
  <c r="W47" i="126"/>
  <c r="X46" i="126"/>
  <c r="Y46" i="126"/>
  <c r="U99" i="126"/>
  <c r="V44" i="126"/>
  <c r="X126" i="125"/>
  <c r="X120" i="125"/>
  <c r="Z44" i="126"/>
  <c r="Y126" i="125"/>
  <c r="Y120" i="125"/>
  <c r="AX40" i="114"/>
  <c r="AX42" i="114" s="1"/>
  <c r="AX45" i="114" s="1"/>
  <c r="X44" i="126" l="1"/>
  <c r="V99" i="126"/>
  <c r="Y44" i="126"/>
  <c r="W44" i="126"/>
  <c r="X127" i="125"/>
  <c r="Y127" i="125"/>
  <c r="AX41" i="114"/>
  <c r="AX44" i="114"/>
  <c r="W99" i="126" l="1"/>
  <c r="W101" i="126" l="1"/>
  <c r="O5" i="127"/>
  <c r="U67" i="103"/>
  <c r="U68" i="103" s="1"/>
  <c r="S24" i="126"/>
  <c r="T24" i="126"/>
  <c r="T280" i="125" l="1"/>
  <c r="T274" i="125"/>
  <c r="T292" i="125"/>
  <c r="T251" i="125"/>
  <c r="T8" i="125"/>
  <c r="W102" i="126"/>
  <c r="P5" i="127"/>
  <c r="V68" i="103"/>
  <c r="T297" i="125" l="1"/>
  <c r="L30" i="127"/>
  <c r="Q5" i="127"/>
  <c r="R5" i="127" s="1"/>
  <c r="X99" i="126"/>
  <c r="X110" i="126"/>
  <c r="X109" i="126" s="1"/>
  <c r="AK47" i="5"/>
  <c r="AK33" i="5"/>
  <c r="AK43" i="5"/>
  <c r="X101" i="126" l="1"/>
  <c r="S5" i="127"/>
  <c r="T5" i="127" s="1"/>
  <c r="J30" i="127"/>
  <c r="Y110" i="126"/>
  <c r="Y109" i="126" s="1"/>
  <c r="Y99" i="126"/>
  <c r="M30" i="127"/>
  <c r="Y101" i="126"/>
  <c r="AK92" i="5"/>
  <c r="X102" i="126" l="1"/>
  <c r="O4" i="127"/>
  <c r="N30" i="127"/>
  <c r="Z99" i="126"/>
  <c r="Z110" i="126"/>
  <c r="Z109" i="126" s="1"/>
  <c r="AK31" i="5"/>
  <c r="AK138" i="5"/>
  <c r="Y102" i="126" l="1"/>
  <c r="Z101" i="126"/>
  <c r="O6" i="127"/>
  <c r="O11" i="127" s="1"/>
  <c r="O12" i="127" s="1"/>
  <c r="P4" i="127"/>
  <c r="H30" i="127"/>
  <c r="AA110" i="126"/>
  <c r="AA99" i="126"/>
  <c r="I30" i="127"/>
  <c r="AK100" i="5"/>
  <c r="AK95" i="5"/>
  <c r="AK53" i="5"/>
  <c r="AK105" i="5"/>
  <c r="AK52" i="5"/>
  <c r="AK97" i="5"/>
  <c r="AK32" i="5"/>
  <c r="AK91" i="5"/>
  <c r="AK142" i="5"/>
  <c r="O43" i="127" l="1"/>
  <c r="O27" i="127" s="1"/>
  <c r="AA111" i="126"/>
  <c r="AA109" i="126" s="1"/>
  <c r="O7" i="127"/>
  <c r="AA14" i="122" s="1"/>
  <c r="AA7" i="122" s="1"/>
  <c r="DQ11" i="131" s="1"/>
  <c r="Z102" i="126"/>
  <c r="AA10" i="126"/>
  <c r="O23" i="127"/>
  <c r="O24" i="127" s="1"/>
  <c r="O22" i="127"/>
  <c r="P6" i="127"/>
  <c r="P22" i="127" s="1"/>
  <c r="DB11" i="130"/>
  <c r="DB24" i="130" s="1"/>
  <c r="AB110" i="126"/>
  <c r="AB99" i="126"/>
  <c r="Q4" i="127"/>
  <c r="AK96" i="5"/>
  <c r="AK139" i="5"/>
  <c r="AK146" i="5"/>
  <c r="AK145" i="5" s="1"/>
  <c r="AK108" i="5"/>
  <c r="AK112" i="5" s="1"/>
  <c r="O40" i="127" l="1"/>
  <c r="O37" i="127" s="1"/>
  <c r="O38" i="127" s="1"/>
  <c r="AG11" i="130"/>
  <c r="AG24" i="130" s="1"/>
  <c r="P23" i="127"/>
  <c r="P24" i="127" s="1"/>
  <c r="P7" i="127"/>
  <c r="AB14" i="122" s="1"/>
  <c r="AB7" i="122" s="1"/>
  <c r="AA11" i="126"/>
  <c r="AA6" i="126" s="1"/>
  <c r="P43" i="127"/>
  <c r="P40" i="127" s="1"/>
  <c r="P37" i="127" s="1"/>
  <c r="P38" i="127" s="1"/>
  <c r="P11" i="127"/>
  <c r="P12" i="127" s="1"/>
  <c r="AB111" i="126"/>
  <c r="AB109" i="126" s="1"/>
  <c r="DF11" i="130"/>
  <c r="DF24" i="130" s="1"/>
  <c r="AC110" i="126"/>
  <c r="AC99" i="126"/>
  <c r="AA17" i="126"/>
  <c r="Q6" i="127"/>
  <c r="Q22" i="127" s="1"/>
  <c r="R4" i="127"/>
  <c r="O30" i="127"/>
  <c r="AB11" i="126"/>
  <c r="AB10" i="126"/>
  <c r="AK98" i="5"/>
  <c r="AK99" i="5" s="1"/>
  <c r="AK25" i="5"/>
  <c r="AK51" i="5" s="1"/>
  <c r="AI11" i="130" l="1"/>
  <c r="AI24" i="130" s="1"/>
  <c r="DY11" i="131"/>
  <c r="DQ24" i="131"/>
  <c r="DM11" i="131"/>
  <c r="AA18" i="126"/>
  <c r="AB18" i="126"/>
  <c r="P27" i="127"/>
  <c r="P30" i="127" s="1"/>
  <c r="Q11" i="127"/>
  <c r="Q12" i="127" s="1"/>
  <c r="S4" i="127"/>
  <c r="AC11" i="126"/>
  <c r="O19" i="127"/>
  <c r="AD110" i="126"/>
  <c r="AD99" i="126"/>
  <c r="AC10" i="126"/>
  <c r="AC111" i="126"/>
  <c r="AC109" i="126" s="1"/>
  <c r="Q23" i="127"/>
  <c r="Q24" i="127" s="1"/>
  <c r="Q43" i="127"/>
  <c r="Q7" i="127"/>
  <c r="AC14" i="122" s="1"/>
  <c r="AC7" i="122" s="1"/>
  <c r="AB17" i="126"/>
  <c r="AA7" i="126"/>
  <c r="AA36" i="126"/>
  <c r="AA181" i="122" s="1"/>
  <c r="R6" i="127"/>
  <c r="AK24" i="5"/>
  <c r="AK73" i="5"/>
  <c r="AK74" i="5"/>
  <c r="AK54" i="5"/>
  <c r="AK61" i="5" s="1"/>
  <c r="AK46" i="5"/>
  <c r="DY24" i="131" l="1"/>
  <c r="DR11" i="131"/>
  <c r="DR24" i="131" s="1"/>
  <c r="DS11" i="131"/>
  <c r="DS24" i="131" s="1"/>
  <c r="DU11" i="131"/>
  <c r="DU24" i="131" s="1"/>
  <c r="DV11" i="131"/>
  <c r="DW11" i="131"/>
  <c r="DT11" i="131"/>
  <c r="DX11" i="131"/>
  <c r="DL11" i="131"/>
  <c r="DK24" i="131"/>
  <c r="DM24" i="131"/>
  <c r="AA13" i="122"/>
  <c r="AA6" i="122" s="1"/>
  <c r="DQ10" i="131" s="1"/>
  <c r="AA19" i="126"/>
  <c r="AA20" i="126" s="1"/>
  <c r="AB6" i="126"/>
  <c r="AC6" i="126"/>
  <c r="R22" i="127"/>
  <c r="R11" i="127"/>
  <c r="R12" i="127" s="1"/>
  <c r="DB10" i="130"/>
  <c r="AE99" i="126"/>
  <c r="AE110" i="126"/>
  <c r="T4" i="127"/>
  <c r="AF99" i="126"/>
  <c r="AF110" i="126"/>
  <c r="AA33" i="126"/>
  <c r="AA31" i="126" s="1"/>
  <c r="AA21" i="126"/>
  <c r="S6" i="127"/>
  <c r="Q27" i="127"/>
  <c r="Q30" i="127" s="1"/>
  <c r="Q40" i="127"/>
  <c r="Q37" i="127" s="1"/>
  <c r="Q38" i="127" s="1"/>
  <c r="AC17" i="126"/>
  <c r="O20" i="127"/>
  <c r="AA28" i="122" s="1"/>
  <c r="AA21" i="122" s="1"/>
  <c r="P19" i="127"/>
  <c r="AD111" i="126"/>
  <c r="AD109" i="126" s="1"/>
  <c r="R23" i="127"/>
  <c r="R24" i="127" s="1"/>
  <c r="R43" i="127"/>
  <c r="R7" i="127"/>
  <c r="AD14" i="122" s="1"/>
  <c r="AD7" i="122" s="1"/>
  <c r="AD10" i="126"/>
  <c r="AK49" i="5"/>
  <c r="AK50" i="5"/>
  <c r="DQ38" i="131" l="1"/>
  <c r="DQ64" i="131" s="1"/>
  <c r="AA34" i="122"/>
  <c r="DT24" i="131"/>
  <c r="AG10" i="130"/>
  <c r="AG23" i="130" s="1"/>
  <c r="DL24" i="131"/>
  <c r="DN11" i="131"/>
  <c r="DV24" i="131" s="1"/>
  <c r="AA9" i="122"/>
  <c r="DQ16" i="131" s="1"/>
  <c r="DQ29" i="131" s="1"/>
  <c r="AB7" i="126"/>
  <c r="AB36" i="126"/>
  <c r="AC18" i="126"/>
  <c r="AG39" i="130"/>
  <c r="AG52" i="130" s="1"/>
  <c r="S22" i="127"/>
  <c r="S11" i="127"/>
  <c r="S12" i="127" s="1"/>
  <c r="T6" i="127"/>
  <c r="T11" i="127" s="1"/>
  <c r="T12" i="127" s="1"/>
  <c r="DF10" i="130"/>
  <c r="DF16" i="130" s="1"/>
  <c r="DB23" i="130"/>
  <c r="DB16" i="130"/>
  <c r="DB29" i="130" s="1"/>
  <c r="AF10" i="126"/>
  <c r="AD17" i="126"/>
  <c r="S23" i="127"/>
  <c r="S24" i="127" s="1"/>
  <c r="S43" i="127"/>
  <c r="AE111" i="126"/>
  <c r="AE109" i="126" s="1"/>
  <c r="S7" i="127"/>
  <c r="AE14" i="122" s="1"/>
  <c r="AE7" i="122" s="1"/>
  <c r="AE10" i="126"/>
  <c r="R27" i="127"/>
  <c r="R30" i="127" s="1"/>
  <c r="R40" i="127"/>
  <c r="R37" i="127" s="1"/>
  <c r="R38" i="127" s="1"/>
  <c r="AA24" i="126"/>
  <c r="AC36" i="126"/>
  <c r="AC181" i="122" s="1"/>
  <c r="AC7" i="126"/>
  <c r="AC13" i="122" s="1"/>
  <c r="AD11" i="126"/>
  <c r="AD6" i="126" s="1"/>
  <c r="P20" i="127"/>
  <c r="AB28" i="122" s="1"/>
  <c r="AB21" i="122" s="1"/>
  <c r="Q19" i="127"/>
  <c r="AK147" i="5"/>
  <c r="CN15" i="115" l="1"/>
  <c r="CO15" i="115" s="1"/>
  <c r="DQ51" i="131"/>
  <c r="AI39" i="130"/>
  <c r="AI52" i="130" s="1"/>
  <c r="DY38" i="131"/>
  <c r="DQ23" i="131"/>
  <c r="DM10" i="131"/>
  <c r="DL51" i="131"/>
  <c r="DN24" i="131"/>
  <c r="DO11" i="131"/>
  <c r="DW24" i="131" s="1"/>
  <c r="AA183" i="122"/>
  <c r="AA115" i="123"/>
  <c r="AA124" i="123"/>
  <c r="AA117" i="123"/>
  <c r="AB21" i="126"/>
  <c r="AB181" i="122"/>
  <c r="AB33" i="126"/>
  <c r="AB31" i="126" s="1"/>
  <c r="AC19" i="126"/>
  <c r="AC20" i="126" s="1"/>
  <c r="AB13" i="122"/>
  <c r="AB6" i="122" s="1"/>
  <c r="AB19" i="126"/>
  <c r="AB20" i="126" s="1"/>
  <c r="AG65" i="130"/>
  <c r="AB34" i="122"/>
  <c r="AF111" i="126"/>
  <c r="AF109" i="126" s="1"/>
  <c r="T22" i="127"/>
  <c r="T43" i="127"/>
  <c r="T27" i="127" s="1"/>
  <c r="T23" i="127"/>
  <c r="T24" i="127" s="1"/>
  <c r="T7" i="127"/>
  <c r="AF14" i="122" s="1"/>
  <c r="AF7" i="122" s="1"/>
  <c r="CR15" i="115" s="1"/>
  <c r="CS15" i="115" s="1"/>
  <c r="DF23" i="130"/>
  <c r="DF29" i="130"/>
  <c r="AF17" i="126"/>
  <c r="AF11" i="126"/>
  <c r="AC21" i="126"/>
  <c r="AC33" i="126"/>
  <c r="AC31" i="126" s="1"/>
  <c r="AA14" i="126"/>
  <c r="S27" i="127"/>
  <c r="S30" i="127" s="1"/>
  <c r="S40" i="127"/>
  <c r="S37" i="127" s="1"/>
  <c r="S38" i="127" s="1"/>
  <c r="R19" i="127"/>
  <c r="Q20" i="127"/>
  <c r="AC28" i="122" s="1"/>
  <c r="AC21" i="122" s="1"/>
  <c r="AC34" i="122" s="1"/>
  <c r="AE11" i="126"/>
  <c r="AE18" i="126" s="1"/>
  <c r="AE17" i="126"/>
  <c r="AD36" i="126"/>
  <c r="AD181" i="122" s="1"/>
  <c r="AD7" i="126"/>
  <c r="AD18" i="126"/>
  <c r="AK141" i="5"/>
  <c r="AK114" i="5"/>
  <c r="AK116" i="5" s="1"/>
  <c r="AI65" i="130" l="1"/>
  <c r="AI10" i="130"/>
  <c r="AI23" i="130" s="1"/>
  <c r="DY10" i="131"/>
  <c r="DY51" i="131"/>
  <c r="DY64" i="131"/>
  <c r="DT38" i="131"/>
  <c r="DX38" i="131" s="1"/>
  <c r="DX51" i="131" s="1"/>
  <c r="DP38" i="131"/>
  <c r="AA119" i="123"/>
  <c r="DM16" i="131"/>
  <c r="DM23" i="131"/>
  <c r="DK23" i="131"/>
  <c r="DL10" i="131"/>
  <c r="DL16" i="131" s="1"/>
  <c r="DL29" i="131" s="1"/>
  <c r="DO24" i="131"/>
  <c r="DP11" i="131"/>
  <c r="AC24" i="126"/>
  <c r="AB24" i="126"/>
  <c r="AB14" i="126" s="1"/>
  <c r="AD13" i="122"/>
  <c r="AD19" i="126"/>
  <c r="AD20" i="126" s="1"/>
  <c r="AC6" i="122"/>
  <c r="T30" i="127"/>
  <c r="T40" i="127"/>
  <c r="T37" i="127" s="1"/>
  <c r="T38" i="127" s="1"/>
  <c r="AD33" i="126"/>
  <c r="AD31" i="126" s="1"/>
  <c r="AD21" i="126"/>
  <c r="AA15" i="126"/>
  <c r="AA27" i="122" s="1"/>
  <c r="AA20" i="122" s="1"/>
  <c r="DQ37" i="131" s="1"/>
  <c r="AE6" i="126"/>
  <c r="S19" i="127"/>
  <c r="R20" i="127"/>
  <c r="AD28" i="122" s="1"/>
  <c r="AD21" i="122" s="1"/>
  <c r="AD34" i="122" s="1"/>
  <c r="AK90" i="5"/>
  <c r="AK153" i="5" s="1"/>
  <c r="AK23" i="5"/>
  <c r="AK118" i="5" s="1"/>
  <c r="AK34" i="5"/>
  <c r="AK117" i="5"/>
  <c r="DY23" i="131" l="1"/>
  <c r="DW10" i="131"/>
  <c r="DS10" i="131"/>
  <c r="DS23" i="131" s="1"/>
  <c r="DU10" i="131"/>
  <c r="DU23" i="131" s="1"/>
  <c r="DT10" i="131"/>
  <c r="DT23" i="131" s="1"/>
  <c r="DX10" i="131"/>
  <c r="DR10" i="131"/>
  <c r="DR23" i="131" s="1"/>
  <c r="DV10" i="131"/>
  <c r="DQ50" i="131"/>
  <c r="DQ63" i="131"/>
  <c r="DT64" i="131"/>
  <c r="DT51" i="131"/>
  <c r="DM29" i="131"/>
  <c r="DP24" i="131"/>
  <c r="DX24" i="131"/>
  <c r="DX64" i="131"/>
  <c r="DP64" i="131"/>
  <c r="AG38" i="130"/>
  <c r="AG64" i="130" s="1"/>
  <c r="DN10" i="131"/>
  <c r="DL23" i="131"/>
  <c r="DP51" i="131"/>
  <c r="AD24" i="126"/>
  <c r="AD6" i="122"/>
  <c r="AA33" i="122"/>
  <c r="AH44" i="130"/>
  <c r="AF18" i="126"/>
  <c r="AF6" i="126"/>
  <c r="AG6" i="126" s="1"/>
  <c r="T19" i="127"/>
  <c r="AB15" i="126"/>
  <c r="AB27" i="122" s="1"/>
  <c r="AB20" i="122" s="1"/>
  <c r="AC14" i="126"/>
  <c r="AE7" i="126"/>
  <c r="AE36" i="126"/>
  <c r="AE181" i="122" s="1"/>
  <c r="S20" i="127"/>
  <c r="AE28" i="122" s="1"/>
  <c r="AE21" i="122" s="1"/>
  <c r="AK94" i="5"/>
  <c r="AK29" i="5"/>
  <c r="AK121" i="5"/>
  <c r="DV23" i="131" l="1"/>
  <c r="AG51" i="130"/>
  <c r="AI38" i="130"/>
  <c r="AI51" i="130" s="1"/>
  <c r="DY37" i="131"/>
  <c r="DN16" i="131"/>
  <c r="DN23" i="131"/>
  <c r="DO10" i="131"/>
  <c r="DW23" i="131" s="1"/>
  <c r="DP37" i="131"/>
  <c r="AE34" i="122"/>
  <c r="CN25" i="115"/>
  <c r="AE13" i="122"/>
  <c r="AE6" i="122" s="1"/>
  <c r="AE19" i="126"/>
  <c r="AE20" i="126" s="1"/>
  <c r="AB33" i="122"/>
  <c r="T20" i="127"/>
  <c r="AF28" i="122" s="1"/>
  <c r="AF21" i="122" s="1"/>
  <c r="CR25" i="115" s="1"/>
  <c r="CR26" i="115" s="1"/>
  <c r="CS26" i="115" s="1"/>
  <c r="AF7" i="126"/>
  <c r="AF36" i="126"/>
  <c r="AF181" i="122" s="1"/>
  <c r="AC15" i="126"/>
  <c r="AC27" i="122" s="1"/>
  <c r="AC20" i="122" s="1"/>
  <c r="AC33" i="122" s="1"/>
  <c r="AD14" i="126"/>
  <c r="AE21" i="126"/>
  <c r="AE33" i="126"/>
  <c r="AE31" i="126" s="1"/>
  <c r="AK93" i="5"/>
  <c r="AK104" i="5"/>
  <c r="CS25" i="115" l="1"/>
  <c r="CN14" i="115"/>
  <c r="CO14" i="115" s="1"/>
  <c r="DY50" i="131"/>
  <c r="DY63" i="131"/>
  <c r="DT37" i="131"/>
  <c r="AI64" i="130"/>
  <c r="DN29" i="131"/>
  <c r="DP63" i="131"/>
  <c r="DL50" i="131"/>
  <c r="DO23" i="131"/>
  <c r="DO16" i="131"/>
  <c r="DP10" i="131"/>
  <c r="DX23" i="131" s="1"/>
  <c r="CN26" i="115"/>
  <c r="CO26" i="115" s="1"/>
  <c r="CO25" i="115"/>
  <c r="AF13" i="122"/>
  <c r="AF6" i="122" s="1"/>
  <c r="CR14" i="115" s="1"/>
  <c r="CS14" i="115" s="1"/>
  <c r="AF19" i="126"/>
  <c r="AF20" i="126" s="1"/>
  <c r="AE24" i="126"/>
  <c r="AE14" i="126" s="1"/>
  <c r="AF34" i="122"/>
  <c r="AF33" i="126"/>
  <c r="AF31" i="126" s="1"/>
  <c r="AF21" i="126"/>
  <c r="AF164" i="122"/>
  <c r="AD15" i="126"/>
  <c r="AD27" i="122" s="1"/>
  <c r="AD20" i="122" s="1"/>
  <c r="AD33" i="122" s="1"/>
  <c r="AK103" i="5"/>
  <c r="AK119" i="5"/>
  <c r="DT63" i="131" l="1"/>
  <c r="DT50" i="131"/>
  <c r="DT43" i="131"/>
  <c r="DX37" i="131"/>
  <c r="DO29" i="131"/>
  <c r="DP23" i="131"/>
  <c r="DP16" i="131"/>
  <c r="DP50" i="131"/>
  <c r="AF24" i="126"/>
  <c r="AF14" i="126" s="1"/>
  <c r="AE15" i="126"/>
  <c r="AE27" i="122" s="1"/>
  <c r="AE20" i="122" s="1"/>
  <c r="AK62" i="5"/>
  <c r="AK64" i="5" s="1"/>
  <c r="AK66" i="5" s="1"/>
  <c r="AK30" i="5"/>
  <c r="AK136" i="5" s="1"/>
  <c r="AK140" i="5" s="1"/>
  <c r="DX50" i="131" l="1"/>
  <c r="DX63" i="131"/>
  <c r="DP29" i="131"/>
  <c r="AF15" i="126"/>
  <c r="AF27" i="122" s="1"/>
  <c r="AF20" i="122" s="1"/>
  <c r="AG14" i="126"/>
  <c r="AE33" i="122"/>
  <c r="CN23" i="115"/>
  <c r="AK70" i="5"/>
  <c r="AK68" i="5"/>
  <c r="AK69" i="5"/>
  <c r="AF33" i="122" l="1"/>
  <c r="CR23" i="115"/>
  <c r="CN24" i="115"/>
  <c r="CO24" i="115" s="1"/>
  <c r="CO23" i="115"/>
  <c r="AK26" i="5"/>
  <c r="AK87" i="5"/>
  <c r="AK71" i="5"/>
  <c r="AK72" i="5"/>
  <c r="CR24" i="115" l="1"/>
  <c r="CS24" i="115" s="1"/>
  <c r="CS23" i="115"/>
  <c r="AK151" i="5"/>
  <c r="AK152" i="5" l="1"/>
  <c r="AK150" i="5"/>
  <c r="AL77" i="5" l="1"/>
  <c r="AL75" i="5"/>
  <c r="AL76" i="5" l="1"/>
  <c r="AM77" i="5"/>
  <c r="AM75" i="5"/>
  <c r="AN77" i="5" l="1"/>
  <c r="AN75" i="5"/>
  <c r="AM76" i="5"/>
  <c r="AN76" i="5" l="1"/>
  <c r="AL74" i="5" l="1"/>
  <c r="AL73" i="5"/>
  <c r="AL24" i="5"/>
  <c r="AL147" i="5" l="1"/>
  <c r="AM73" i="5"/>
  <c r="AM74" i="5"/>
  <c r="AM24" i="5"/>
  <c r="AL151" i="5" l="1"/>
  <c r="AL150" i="5" s="1"/>
  <c r="AM147" i="5" l="1"/>
  <c r="AN147" i="5"/>
  <c r="AM151" i="5" l="1"/>
  <c r="AM150" i="5" s="1"/>
  <c r="AN151" i="5"/>
  <c r="AN150" i="5" s="1"/>
  <c r="AL95" i="5" l="1"/>
  <c r="AN24" i="5" l="1"/>
  <c r="AN74" i="5"/>
  <c r="AN73" i="5"/>
  <c r="AL47" i="5" l="1"/>
  <c r="S20" i="117" l="1"/>
  <c r="AL31" i="5" l="1"/>
  <c r="AL92" i="5"/>
  <c r="AL32" i="5" l="1"/>
  <c r="AL138" i="5"/>
  <c r="AL62" i="5"/>
  <c r="AL87" i="5" l="1"/>
  <c r="AL30" i="5"/>
  <c r="AL136" i="5" s="1"/>
  <c r="AL91" i="5"/>
  <c r="AL52" i="5"/>
  <c r="AL142" i="5"/>
  <c r="AL53" i="5"/>
  <c r="AL97" i="5"/>
  <c r="AL96" i="5" s="1"/>
  <c r="AL105" i="5"/>
  <c r="AL139" i="5" l="1"/>
  <c r="AL100" i="5"/>
  <c r="AL108" i="5"/>
  <c r="AL146" i="5"/>
  <c r="AL145" i="5" s="1"/>
  <c r="AL26" i="5"/>
  <c r="AL98" i="5" l="1"/>
  <c r="AL99" i="5" s="1"/>
  <c r="AL25" i="5"/>
  <c r="AL51" i="5" s="1"/>
  <c r="AL112" i="5" l="1"/>
  <c r="AL54" i="5"/>
  <c r="AL61" i="5" s="1"/>
  <c r="AL64" i="5" s="1"/>
  <c r="AL66" i="5" s="1"/>
  <c r="AL70" i="5" l="1"/>
  <c r="AL69" i="5"/>
  <c r="AL68" i="5"/>
  <c r="AL71" i="5" l="1"/>
  <c r="AL72" i="5"/>
  <c r="AL141" i="5" l="1"/>
  <c r="AL140" i="5" s="1"/>
  <c r="AL114" i="5" l="1"/>
  <c r="AL116" i="5" s="1"/>
  <c r="AL34" i="5" l="1"/>
  <c r="AL23" i="5"/>
  <c r="AL118" i="5" s="1"/>
  <c r="AL117" i="5"/>
  <c r="AL90" i="5" l="1"/>
  <c r="AL153" i="5" s="1"/>
  <c r="AL152" i="5" s="1"/>
  <c r="AL94" i="5" l="1"/>
  <c r="AL29" i="5"/>
  <c r="AL121" i="5"/>
  <c r="AL104" i="5" l="1"/>
  <c r="AL93" i="5"/>
  <c r="AL103" i="5" l="1"/>
  <c r="AL119" i="5"/>
  <c r="S6" i="117" l="1"/>
  <c r="S27" i="117"/>
  <c r="G60" i="117" l="1"/>
  <c r="AL33" i="5" l="1"/>
  <c r="AL43" i="5"/>
  <c r="AL46" i="5" s="1"/>
  <c r="AL49" i="5" l="1"/>
  <c r="AL50" i="5"/>
  <c r="H60" i="117" l="1"/>
  <c r="AM47" i="5" l="1"/>
  <c r="AM33" i="5" l="1"/>
  <c r="AM43" i="5"/>
  <c r="AM92" i="5" l="1"/>
  <c r="AM138" i="5" l="1"/>
  <c r="AM53" i="5" l="1"/>
  <c r="AM31" i="5"/>
  <c r="AM91" i="5"/>
  <c r="AM95" i="5"/>
  <c r="AM97" i="5"/>
  <c r="AM52" i="5"/>
  <c r="AM142" i="5"/>
  <c r="AM105" i="5"/>
  <c r="AM139" i="5" l="1"/>
  <c r="AM96" i="5"/>
  <c r="AM32" i="5"/>
  <c r="AM146" i="5"/>
  <c r="AM145" i="5" s="1"/>
  <c r="AM100" i="5"/>
  <c r="AM108" i="5"/>
  <c r="AM112" i="5" s="1"/>
  <c r="AM62" i="5" l="1"/>
  <c r="AM25" i="5"/>
  <c r="AM51" i="5" s="1"/>
  <c r="AM98" i="5"/>
  <c r="AM99" i="5" s="1"/>
  <c r="AM87" i="5" l="1"/>
  <c r="AM30" i="5"/>
  <c r="AM136" i="5" s="1"/>
  <c r="AM46" i="5"/>
  <c r="AM54" i="5"/>
  <c r="AM61" i="5" s="1"/>
  <c r="AM64" i="5" s="1"/>
  <c r="AM66" i="5" s="1"/>
  <c r="AM26" i="5" l="1"/>
  <c r="AM70" i="5"/>
  <c r="AM69" i="5"/>
  <c r="AM68" i="5"/>
  <c r="AM50" i="5"/>
  <c r="AM49" i="5"/>
  <c r="AM71" i="5" l="1"/>
  <c r="AM72" i="5"/>
  <c r="AM141" i="5" l="1"/>
  <c r="AM140" i="5" s="1"/>
  <c r="AM114" i="5" l="1"/>
  <c r="AM116" i="5" s="1"/>
  <c r="AM23" i="5" l="1"/>
  <c r="AM118" i="5" s="1"/>
  <c r="AM34" i="5"/>
  <c r="AM117" i="5"/>
  <c r="AM90" i="5" l="1"/>
  <c r="AM153" i="5" s="1"/>
  <c r="AM152" i="5" s="1"/>
  <c r="AM121" i="5" l="1"/>
  <c r="AM29" i="5"/>
  <c r="AM94" i="5"/>
  <c r="AM93" i="5" l="1"/>
  <c r="AM104" i="5"/>
  <c r="AM103" i="5" l="1"/>
  <c r="AM119" i="5"/>
  <c r="S28" i="117" l="1"/>
  <c r="I60" i="117" l="1"/>
  <c r="AN47" i="5"/>
  <c r="AN33" i="5" l="1"/>
  <c r="AN43" i="5"/>
  <c r="AN95" i="5" l="1"/>
  <c r="AN91" i="5"/>
  <c r="AN92" i="5"/>
  <c r="AN138" i="5"/>
  <c r="AN97" i="5"/>
  <c r="AN52" i="5" l="1"/>
  <c r="AN142" i="5"/>
  <c r="AN53" i="5"/>
  <c r="AN105" i="5"/>
  <c r="AN96" i="5"/>
  <c r="AN139" i="5" l="1"/>
  <c r="AN100" i="5"/>
  <c r="AN146" i="5"/>
  <c r="AN145" i="5" s="1"/>
  <c r="AN108" i="5"/>
  <c r="AN112" i="5" s="1"/>
  <c r="AN98" i="5"/>
  <c r="AN99" i="5" l="1"/>
  <c r="AN31" i="5" l="1"/>
  <c r="AN32" i="5" l="1"/>
  <c r="AN25" i="5" l="1"/>
  <c r="AN51" i="5" s="1"/>
  <c r="AN30" i="5"/>
  <c r="AN136" i="5" s="1"/>
  <c r="AN62" i="5"/>
  <c r="AN87" i="5" l="1"/>
  <c r="AN46" i="5"/>
  <c r="AN54" i="5"/>
  <c r="AN61" i="5" s="1"/>
  <c r="AN64" i="5" s="1"/>
  <c r="AN66" i="5" s="1"/>
  <c r="AN26" i="5"/>
  <c r="AN70" i="5" l="1"/>
  <c r="AN68" i="5"/>
  <c r="AN69" i="5"/>
  <c r="AN49" i="5"/>
  <c r="AN50" i="5"/>
  <c r="AN71" i="5" l="1"/>
  <c r="AN72" i="5"/>
  <c r="AN114" i="5" l="1"/>
  <c r="AN116" i="5" s="1"/>
  <c r="AN141" i="5" l="1"/>
  <c r="AN140" i="5" s="1"/>
  <c r="AN23" i="5"/>
  <c r="AN118" i="5" s="1"/>
  <c r="AN117" i="5"/>
  <c r="AN34" i="5"/>
  <c r="AN90" i="5" l="1"/>
  <c r="AN153" i="5" s="1"/>
  <c r="AN152" i="5" s="1"/>
  <c r="AN94" i="5" l="1"/>
  <c r="AN29" i="5" l="1"/>
  <c r="AN121" i="5"/>
  <c r="AN93" i="5"/>
  <c r="AN104" i="5"/>
  <c r="AN103" i="5" l="1"/>
  <c r="AN119" i="5"/>
  <c r="S26" i="117" l="1"/>
  <c r="S23" i="117" l="1"/>
  <c r="S29" i="117" l="1"/>
  <c r="S61" i="117" l="1"/>
  <c r="S58" i="117"/>
  <c r="M14" i="115" l="1"/>
  <c r="K6" i="117"/>
  <c r="AX96" i="119" l="1"/>
  <c r="K13" i="117"/>
  <c r="M23" i="115" l="1"/>
  <c r="M24" i="115" s="1"/>
  <c r="K20" i="117"/>
  <c r="K33" i="117"/>
  <c r="K27" i="117" l="1"/>
  <c r="L6" i="117"/>
  <c r="BE14" i="115"/>
  <c r="U8" i="114"/>
  <c r="M14" i="114" l="1"/>
  <c r="AZ14" i="115"/>
  <c r="BA14" i="115" s="1"/>
  <c r="L13" i="117"/>
  <c r="M6" i="117"/>
  <c r="U14" i="114"/>
  <c r="T8" i="114" l="1"/>
  <c r="T14" i="114"/>
  <c r="BL14" i="115"/>
  <c r="BM14" i="115" s="1"/>
  <c r="M13" i="117"/>
  <c r="M22" i="114" l="1"/>
  <c r="M28" i="114" s="1"/>
  <c r="CY66" i="115"/>
  <c r="CY67" i="115" s="1"/>
  <c r="DF67" i="115" s="1"/>
  <c r="AV23" i="115"/>
  <c r="BD23" i="115"/>
  <c r="L33" i="117"/>
  <c r="L20" i="117"/>
  <c r="DF66" i="115" l="1"/>
  <c r="AW23" i="115"/>
  <c r="AV24" i="115"/>
  <c r="AW24" i="115" s="1"/>
  <c r="L27" i="117"/>
  <c r="BE23" i="115"/>
  <c r="BD24" i="115"/>
  <c r="BE24" i="115" s="1"/>
  <c r="M15" i="115" l="1"/>
  <c r="AX97" i="119"/>
  <c r="K7" i="117"/>
  <c r="K14" i="117" l="1"/>
  <c r="M25" i="115" l="1"/>
  <c r="M26" i="115" s="1"/>
  <c r="K34" i="117"/>
  <c r="K21" i="117"/>
  <c r="L7" i="117"/>
  <c r="M15" i="114" l="1"/>
  <c r="BE15" i="115"/>
  <c r="K28" i="117"/>
  <c r="L14" i="117"/>
  <c r="M23" i="114" l="1"/>
  <c r="M29" i="114" s="1"/>
  <c r="CY68" i="115"/>
  <c r="DF68" i="115" s="1"/>
  <c r="BD25" i="115"/>
  <c r="BE25" i="115" s="1"/>
  <c r="AV25" i="115"/>
  <c r="L34" i="117"/>
  <c r="L21" i="117"/>
  <c r="CX15" i="115" l="1"/>
  <c r="CY15" i="115" s="1"/>
  <c r="Y9" i="114"/>
  <c r="Q7" i="117"/>
  <c r="CJ15" i="115"/>
  <c r="CK15" i="115" s="1"/>
  <c r="CY69" i="115"/>
  <c r="DF69" i="115" s="1"/>
  <c r="AV26" i="115"/>
  <c r="AW26" i="115" s="1"/>
  <c r="AW25" i="115"/>
  <c r="L28" i="117"/>
  <c r="BD26" i="115"/>
  <c r="BE26" i="115" s="1"/>
  <c r="W163" i="103" l="1"/>
  <c r="W226" i="103"/>
  <c r="V163" i="103"/>
  <c r="V226" i="103"/>
  <c r="Q226" i="103"/>
  <c r="Q163" i="103"/>
  <c r="U226" i="103"/>
  <c r="U163" i="103"/>
  <c r="Y226" i="103"/>
  <c r="Y163" i="103"/>
  <c r="T163" i="103"/>
  <c r="T226" i="103"/>
  <c r="X163" i="103"/>
  <c r="X226" i="103"/>
  <c r="S163" i="103"/>
  <c r="S226" i="103"/>
  <c r="V232" i="103"/>
  <c r="Q250" i="103"/>
  <c r="R226" i="103"/>
  <c r="R163" i="103"/>
  <c r="X251" i="103"/>
  <c r="R232" i="103"/>
  <c r="X232" i="103"/>
  <c r="S232" i="103"/>
  <c r="X220" i="103"/>
  <c r="X250" i="103" s="1"/>
  <c r="Y232" i="103"/>
  <c r="Q232" i="103"/>
  <c r="R220" i="103"/>
  <c r="R250" i="103" s="1"/>
  <c r="R251" i="103"/>
  <c r="T251" i="103"/>
  <c r="U251" i="103"/>
  <c r="W251" i="103"/>
  <c r="Q251" i="103"/>
  <c r="S220" i="103"/>
  <c r="S250" i="103" s="1"/>
  <c r="S251" i="103"/>
  <c r="V220" i="103"/>
  <c r="V250" i="103" s="1"/>
  <c r="V251" i="103"/>
  <c r="W232" i="103"/>
  <c r="Y251" i="103"/>
  <c r="Y220" i="103"/>
  <c r="Y250" i="103" s="1"/>
  <c r="U220" i="103"/>
  <c r="U250" i="103" s="1"/>
  <c r="U232" i="103"/>
  <c r="W220" i="103"/>
  <c r="W250" i="103" s="1"/>
  <c r="T220" i="103"/>
  <c r="T250" i="103" s="1"/>
  <c r="T232" i="103"/>
  <c r="Y254" i="103" l="1"/>
  <c r="Q254" i="103"/>
  <c r="U254" i="103"/>
  <c r="E41" i="117"/>
  <c r="D41" i="117"/>
  <c r="I41" i="117"/>
  <c r="G41" i="117"/>
  <c r="F41" i="117"/>
  <c r="R263" i="103"/>
  <c r="C41" i="117"/>
  <c r="Y263" i="103"/>
  <c r="J41" i="117"/>
  <c r="W263" i="103"/>
  <c r="H41" i="117"/>
  <c r="T336" i="103"/>
  <c r="T345" i="103" s="1"/>
  <c r="T346" i="103" s="1"/>
  <c r="K23" i="116"/>
  <c r="S235" i="103"/>
  <c r="J22" i="116"/>
  <c r="R235" i="103"/>
  <c r="T235" i="103"/>
  <c r="X262" i="103"/>
  <c r="X254" i="103"/>
  <c r="W254" i="103"/>
  <c r="W262" i="103"/>
  <c r="V263" i="103"/>
  <c r="V256" i="103"/>
  <c r="V311" i="103"/>
  <c r="V320" i="103" s="1"/>
  <c r="Q256" i="103"/>
  <c r="Q311" i="103"/>
  <c r="Q320" i="103" s="1"/>
  <c r="U256" i="103"/>
  <c r="U311" i="103"/>
  <c r="U320" i="103" s="1"/>
  <c r="Y233" i="103"/>
  <c r="Y336" i="103"/>
  <c r="Y345" i="103" s="1"/>
  <c r="Y346" i="103" s="1"/>
  <c r="X233" i="103"/>
  <c r="X336" i="103"/>
  <c r="X345" i="103" s="1"/>
  <c r="X346" i="103" s="1"/>
  <c r="T263" i="103"/>
  <c r="T256" i="103"/>
  <c r="T311" i="103"/>
  <c r="T320" i="103" s="1"/>
  <c r="R233" i="103"/>
  <c r="R336" i="103"/>
  <c r="R345" i="103" s="1"/>
  <c r="R346" i="103" s="1"/>
  <c r="V235" i="103"/>
  <c r="V336" i="103"/>
  <c r="V345" i="103" s="1"/>
  <c r="V346" i="103" s="1"/>
  <c r="U233" i="103"/>
  <c r="U336" i="103"/>
  <c r="U345" i="103" s="1"/>
  <c r="U346" i="103" s="1"/>
  <c r="Y256" i="103"/>
  <c r="Y311" i="103"/>
  <c r="Y320" i="103" s="1"/>
  <c r="T233" i="103"/>
  <c r="W256" i="103"/>
  <c r="W311" i="103"/>
  <c r="W320" i="103" s="1"/>
  <c r="S263" i="103"/>
  <c r="S256" i="103"/>
  <c r="S311" i="103"/>
  <c r="S320" i="103" s="1"/>
  <c r="R311" i="103"/>
  <c r="R320" i="103" s="1"/>
  <c r="R256" i="103"/>
  <c r="W233" i="103"/>
  <c r="W336" i="103"/>
  <c r="W345" i="103" s="1"/>
  <c r="W346" i="103" s="1"/>
  <c r="Q263" i="103"/>
  <c r="U263" i="103"/>
  <c r="Q235" i="103"/>
  <c r="Q336" i="103"/>
  <c r="Q345" i="103" s="1"/>
  <c r="Q346" i="103" s="1"/>
  <c r="S233" i="103"/>
  <c r="S336" i="103"/>
  <c r="S345" i="103" s="1"/>
  <c r="S346" i="103" s="1"/>
  <c r="X263" i="103"/>
  <c r="X311" i="103"/>
  <c r="X320" i="103" s="1"/>
  <c r="X256" i="103"/>
  <c r="V254" i="103"/>
  <c r="V262" i="103"/>
  <c r="S254" i="103"/>
  <c r="S262" i="103"/>
  <c r="R262" i="103"/>
  <c r="R254" i="103"/>
  <c r="T254" i="103"/>
  <c r="T262" i="103"/>
  <c r="Q233" i="103"/>
  <c r="U235" i="103"/>
  <c r="W235" i="103"/>
  <c r="U262" i="103"/>
  <c r="X235" i="103"/>
  <c r="Q262" i="103"/>
  <c r="V233" i="103"/>
  <c r="Y262" i="103"/>
  <c r="Y235" i="103"/>
  <c r="Q267" i="103" l="1"/>
  <c r="V267" i="103"/>
  <c r="G52" i="117"/>
  <c r="G57" i="117" s="1"/>
  <c r="H52" i="117"/>
  <c r="H57" i="117" s="1"/>
  <c r="C44" i="117"/>
  <c r="E52" i="117"/>
  <c r="E62" i="117" s="1"/>
  <c r="W267" i="103"/>
  <c r="Y267" i="103"/>
  <c r="D52" i="117"/>
  <c r="D62" i="117" s="1"/>
  <c r="T267" i="103"/>
  <c r="U267" i="103"/>
  <c r="J52" i="117"/>
  <c r="I52" i="117"/>
  <c r="I57" i="117" s="1"/>
  <c r="R267" i="103"/>
  <c r="F52" i="117"/>
  <c r="F57" i="117" s="1"/>
  <c r="S267" i="103"/>
  <c r="X267" i="103"/>
  <c r="C52" i="117"/>
  <c r="C62" i="117" s="1"/>
  <c r="S236" i="103"/>
  <c r="S161" i="103" s="1"/>
  <c r="Y268" i="103"/>
  <c r="R268" i="103"/>
  <c r="E44" i="117"/>
  <c r="D44" i="117"/>
  <c r="J44" i="117"/>
  <c r="H44" i="117"/>
  <c r="F44" i="117"/>
  <c r="G44" i="117"/>
  <c r="I44" i="117"/>
  <c r="R236" i="103"/>
  <c r="R161" i="103" s="1"/>
  <c r="T236" i="103"/>
  <c r="T161" i="103" s="1"/>
  <c r="Q236" i="103"/>
  <c r="Q161" i="103" s="1"/>
  <c r="V236" i="103"/>
  <c r="V161" i="103" s="1"/>
  <c r="W268" i="103"/>
  <c r="J23" i="116"/>
  <c r="K22" i="116"/>
  <c r="T268" i="103"/>
  <c r="X268" i="103"/>
  <c r="Q268" i="103"/>
  <c r="V268" i="103"/>
  <c r="U268" i="103"/>
  <c r="S268" i="103"/>
  <c r="X321" i="103"/>
  <c r="X323" i="103" s="1"/>
  <c r="X332" i="103" s="1"/>
  <c r="X331" i="103" s="1"/>
  <c r="X322" i="103" s="1"/>
  <c r="X137" i="103"/>
  <c r="X210" i="103" s="1"/>
  <c r="R321" i="103"/>
  <c r="R323" i="103" s="1"/>
  <c r="R137" i="103"/>
  <c r="R140" i="103" s="1"/>
  <c r="W321" i="103"/>
  <c r="W323" i="103" s="1"/>
  <c r="W332" i="103" s="1"/>
  <c r="W331" i="103" s="1"/>
  <c r="W322" i="103" s="1"/>
  <c r="W137" i="103"/>
  <c r="Q321" i="103"/>
  <c r="Q323" i="103" s="1"/>
  <c r="Q137" i="103"/>
  <c r="Q140" i="103" s="1"/>
  <c r="T321" i="103"/>
  <c r="T323" i="103" s="1"/>
  <c r="T332" i="103" s="1"/>
  <c r="T331" i="103" s="1"/>
  <c r="T322" i="103" s="1"/>
  <c r="T137" i="103"/>
  <c r="T140" i="103" s="1"/>
  <c r="V321" i="103"/>
  <c r="V323" i="103" s="1"/>
  <c r="V332" i="103" s="1"/>
  <c r="V331" i="103" s="1"/>
  <c r="V322" i="103" s="1"/>
  <c r="V137" i="103"/>
  <c r="S321" i="103"/>
  <c r="S323" i="103" s="1"/>
  <c r="S137" i="103"/>
  <c r="S140" i="103" s="1"/>
  <c r="U321" i="103"/>
  <c r="U323" i="103" s="1"/>
  <c r="U137" i="103"/>
  <c r="Y321" i="103"/>
  <c r="Y323" i="103" s="1"/>
  <c r="Y137" i="103"/>
  <c r="X236" i="103"/>
  <c r="X161" i="103" s="1"/>
  <c r="Y236" i="103"/>
  <c r="Y161" i="103" s="1"/>
  <c r="W236" i="103"/>
  <c r="W161" i="103" s="1"/>
  <c r="U236" i="103"/>
  <c r="U161" i="103" s="1"/>
  <c r="S52" i="117" l="1"/>
  <c r="E57" i="117"/>
  <c r="J57" i="117"/>
  <c r="F62" i="117"/>
  <c r="F38" i="118"/>
  <c r="I38" i="118"/>
  <c r="E38" i="118"/>
  <c r="D38" i="118"/>
  <c r="C38" i="118"/>
  <c r="BT268" i="103"/>
  <c r="W73" i="130" s="1"/>
  <c r="H38" i="118"/>
  <c r="BR268" i="103"/>
  <c r="U73" i="130" s="1"/>
  <c r="G38" i="118"/>
  <c r="BJ268" i="103"/>
  <c r="M73" i="130" s="1"/>
  <c r="BN268" i="103"/>
  <c r="Q73" i="130" s="1"/>
  <c r="BP268" i="103"/>
  <c r="S73" i="130" s="1"/>
  <c r="BF268" i="103"/>
  <c r="I73" i="130" s="1"/>
  <c r="BL268" i="103"/>
  <c r="O73" i="130" s="1"/>
  <c r="C53" i="117"/>
  <c r="BH268" i="103"/>
  <c r="K73" i="130" s="1"/>
  <c r="BV268" i="103"/>
  <c r="Y73" i="130" s="1"/>
  <c r="K17" i="116"/>
  <c r="Y312" i="103"/>
  <c r="Y313" i="103" s="1"/>
  <c r="Y269" i="103"/>
  <c r="J53" i="117"/>
  <c r="R312" i="103"/>
  <c r="R313" i="103" s="1"/>
  <c r="Y213" i="103"/>
  <c r="Y210" i="103"/>
  <c r="X213" i="103"/>
  <c r="I53" i="117"/>
  <c r="W312" i="103"/>
  <c r="W313" i="103" s="1"/>
  <c r="D53" i="117"/>
  <c r="G53" i="117"/>
  <c r="H53" i="117"/>
  <c r="F53" i="117"/>
  <c r="W269" i="103"/>
  <c r="E53" i="117"/>
  <c r="J17" i="116"/>
  <c r="T312" i="103"/>
  <c r="T313" i="103" s="1"/>
  <c r="V269" i="103"/>
  <c r="V312" i="103"/>
  <c r="V313" i="103" s="1"/>
  <c r="X269" i="103"/>
  <c r="Q312" i="103"/>
  <c r="Q313" i="103" s="1"/>
  <c r="U312" i="103"/>
  <c r="U313" i="103" s="1"/>
  <c r="S312" i="103"/>
  <c r="S313" i="103" s="1"/>
  <c r="X312" i="103"/>
  <c r="X313" i="103" s="1"/>
  <c r="W326" i="103"/>
  <c r="U332" i="103"/>
  <c r="U331" i="103" s="1"/>
  <c r="U322" i="103" s="1"/>
  <c r="U326" i="103"/>
  <c r="Q332" i="103"/>
  <c r="Q331" i="103" s="1"/>
  <c r="Q322" i="103" s="1"/>
  <c r="Q326" i="103"/>
  <c r="Q327" i="103" s="1"/>
  <c r="Y332" i="103"/>
  <c r="Y331" i="103" s="1"/>
  <c r="Y322" i="103" s="1"/>
  <c r="Y326" i="103"/>
  <c r="R332" i="103"/>
  <c r="R331" i="103" s="1"/>
  <c r="R322" i="103" s="1"/>
  <c r="R326" i="103"/>
  <c r="S332" i="103"/>
  <c r="S331" i="103" s="1"/>
  <c r="S322" i="103" s="1"/>
  <c r="S326" i="103"/>
  <c r="S134" i="103"/>
  <c r="S158" i="103"/>
  <c r="S162" i="103"/>
  <c r="Q158" i="103"/>
  <c r="Q134" i="103"/>
  <c r="Q162" i="103"/>
  <c r="R158" i="103"/>
  <c r="R134" i="103"/>
  <c r="R162" i="103"/>
  <c r="T326" i="103"/>
  <c r="X326" i="103"/>
  <c r="V326" i="103"/>
  <c r="T134" i="103"/>
  <c r="T158" i="103"/>
  <c r="T162" i="103"/>
  <c r="S57" i="117" l="1"/>
  <c r="S53" i="117"/>
  <c r="W329" i="103"/>
  <c r="Q328" i="103"/>
  <c r="W327" i="103"/>
  <c r="W328" i="103" s="1"/>
  <c r="Y327" i="103"/>
  <c r="Y328" i="103" s="1"/>
  <c r="Y329" i="103"/>
  <c r="Q329" i="103"/>
  <c r="X327" i="103"/>
  <c r="X328" i="103" s="1"/>
  <c r="X329" i="103"/>
  <c r="R327" i="103"/>
  <c r="R328" i="103" s="1"/>
  <c r="R329" i="103"/>
  <c r="U327" i="103"/>
  <c r="U328" i="103" s="1"/>
  <c r="U329" i="103"/>
  <c r="S327" i="103"/>
  <c r="S328" i="103" s="1"/>
  <c r="S329" i="103"/>
  <c r="V327" i="103"/>
  <c r="V328" i="103" s="1"/>
  <c r="V329" i="103"/>
  <c r="T327" i="103"/>
  <c r="T328" i="103" s="1"/>
  <c r="T329" i="103"/>
  <c r="AY40" i="114" l="1"/>
  <c r="AY42" i="114" s="1"/>
  <c r="AY45" i="114" s="1"/>
  <c r="AZ45" i="114" s="1"/>
  <c r="BA45" i="114" s="1"/>
  <c r="BB45" i="114" s="1"/>
  <c r="BC45" i="114" s="1"/>
  <c r="BD45" i="114" s="1"/>
  <c r="BE45" i="114" s="1"/>
  <c r="AY41" i="114" l="1"/>
  <c r="AY44" i="114"/>
  <c r="BW232" i="103" l="1"/>
  <c r="BW235" i="103" l="1"/>
  <c r="BW236" i="103" s="1"/>
  <c r="BW233" i="103"/>
  <c r="AI13" i="115" l="1"/>
  <c r="AJ13" i="115" l="1"/>
  <c r="I13" i="114"/>
  <c r="AI17" i="115" l="1"/>
  <c r="AJ17" i="115" s="1"/>
  <c r="I10" i="114"/>
  <c r="BY218" i="103"/>
  <c r="I16" i="114"/>
  <c r="CA218" i="103"/>
  <c r="BW256" i="103" l="1"/>
  <c r="BW268" i="103"/>
  <c r="Z73" i="130" s="1"/>
  <c r="M43" i="115" l="1"/>
  <c r="CF43" i="115" l="1"/>
  <c r="AZ40" i="114" l="1"/>
  <c r="EM62" i="103" l="1"/>
  <c r="AB13" i="115" l="1"/>
  <c r="AC13" i="115" s="1"/>
  <c r="AX95" i="119"/>
  <c r="M13" i="115"/>
  <c r="K5" i="117"/>
  <c r="K16" i="117"/>
  <c r="M21" i="115" l="1"/>
  <c r="M22" i="115" s="1"/>
  <c r="M17" i="115"/>
  <c r="AX99" i="119"/>
  <c r="Z182" i="103"/>
  <c r="K9" i="117"/>
  <c r="K60" i="117" s="1"/>
  <c r="Z218" i="103"/>
  <c r="Z216" i="103" s="1"/>
  <c r="L9" i="116"/>
  <c r="K12" i="117"/>
  <c r="K32" i="117"/>
  <c r="K19" i="117"/>
  <c r="K26" i="117" l="1"/>
  <c r="M28" i="115"/>
  <c r="M30" i="115" s="1"/>
  <c r="Z225" i="103"/>
  <c r="K35" i="117"/>
  <c r="K23" i="117"/>
  <c r="BX218" i="103"/>
  <c r="K15" i="117"/>
  <c r="J5" i="118"/>
  <c r="J7" i="118"/>
  <c r="J6" i="118"/>
  <c r="Z220" i="103" l="1"/>
  <c r="BX220" i="103" s="1"/>
  <c r="BX225" i="103"/>
  <c r="BX226" i="103" s="1"/>
  <c r="K29" i="117"/>
  <c r="Z228" i="103"/>
  <c r="Z306" i="103"/>
  <c r="Z317" i="103"/>
  <c r="Z339" i="103" s="1"/>
  <c r="J8" i="118"/>
  <c r="Z229" i="103"/>
  <c r="K56" i="117"/>
  <c r="Z226" i="103"/>
  <c r="Z251" i="103"/>
  <c r="Z256" i="103" l="1"/>
  <c r="BX251" i="103"/>
  <c r="BX263" i="103" s="1"/>
  <c r="Z232" i="103"/>
  <c r="Z235" i="103" s="1"/>
  <c r="Z308" i="103"/>
  <c r="Z305" i="103"/>
  <c r="K41" i="117"/>
  <c r="Z311" i="103"/>
  <c r="Z320" i="103" s="1"/>
  <c r="Z250" i="103"/>
  <c r="Z230" i="103"/>
  <c r="Z147" i="103"/>
  <c r="Z321" i="103" l="1"/>
  <c r="Z323" i="103" s="1"/>
  <c r="Z332" i="103" s="1"/>
  <c r="K44" i="117"/>
  <c r="Z137" i="103"/>
  <c r="Z213" i="103" s="1"/>
  <c r="BX256" i="103"/>
  <c r="BX230" i="103"/>
  <c r="BX232" i="103" s="1"/>
  <c r="Z233" i="103"/>
  <c r="Z336" i="103"/>
  <c r="K55" i="117"/>
  <c r="Z163" i="103"/>
  <c r="Z136" i="103"/>
  <c r="Z263" i="103"/>
  <c r="K43" i="117"/>
  <c r="K49" i="117" s="1"/>
  <c r="Z333" i="103"/>
  <c r="Z236" i="103"/>
  <c r="Z161" i="103" s="1"/>
  <c r="Z146" i="103"/>
  <c r="Z299" i="103"/>
  <c r="Z150" i="103"/>
  <c r="BX235" i="103" l="1"/>
  <c r="BX236" i="103" s="1"/>
  <c r="BX233" i="103"/>
  <c r="Z156" i="103"/>
  <c r="Z160" i="103" s="1"/>
  <c r="K52" i="117"/>
  <c r="J9" i="118"/>
  <c r="Z326" i="103"/>
  <c r="Z331" i="103"/>
  <c r="Z322" i="103" s="1"/>
  <c r="Z298" i="103" l="1"/>
  <c r="Z289" i="103" s="1"/>
  <c r="Z288" i="103" s="1"/>
  <c r="L31" i="116" l="1"/>
  <c r="L30" i="116" s="1"/>
  <c r="Z253" i="103" l="1"/>
  <c r="AA83" i="103" l="1"/>
  <c r="Z254" i="103"/>
  <c r="Z262" i="103"/>
  <c r="Z175" i="103" l="1"/>
  <c r="Z135" i="103"/>
  <c r="K58" i="117"/>
  <c r="K57" i="117" s="1"/>
  <c r="AD45" i="103"/>
  <c r="AD55" i="103"/>
  <c r="M32" i="115" l="1"/>
  <c r="M34" i="115" s="1"/>
  <c r="Z271" i="103"/>
  <c r="K61" i="117"/>
  <c r="K62" i="117" s="1"/>
  <c r="BX271" i="103" l="1"/>
  <c r="AX109" i="119"/>
  <c r="AB55" i="103" l="1"/>
  <c r="AA45" i="103" l="1"/>
  <c r="AA55" i="103"/>
  <c r="AX116" i="119" l="1"/>
  <c r="AO45" i="103"/>
  <c r="BY225" i="103" l="1"/>
  <c r="BY226" i="103" l="1"/>
  <c r="BY251" i="103"/>
  <c r="BY263" i="103" s="1"/>
  <c r="BY268" i="103" l="1"/>
  <c r="AB73" i="130" s="1"/>
  <c r="BY256" i="103"/>
  <c r="BY232" i="103" l="1"/>
  <c r="BY233" i="103" s="1"/>
  <c r="BY235" i="103" l="1"/>
  <c r="BY236" i="103" s="1"/>
  <c r="L55" i="116" l="1"/>
  <c r="J35" i="118"/>
  <c r="L4" i="116"/>
  <c r="Z85" i="103"/>
  <c r="Z265" i="103"/>
  <c r="BX265" i="103" l="1"/>
  <c r="J36" i="118"/>
  <c r="L5" i="116"/>
  <c r="L26" i="116" s="1"/>
  <c r="L15" i="116"/>
  <c r="L18" i="116" s="1"/>
  <c r="Z190" i="103"/>
  <c r="Z189" i="103" s="1"/>
  <c r="M4" i="116"/>
  <c r="K35" i="118"/>
  <c r="Z195" i="103"/>
  <c r="Z197" i="103" s="1"/>
  <c r="Z84" i="103"/>
  <c r="Z327" i="103"/>
  <c r="Z268" i="103"/>
  <c r="Z267" i="103"/>
  <c r="L29" i="116" l="1"/>
  <c r="J38" i="118"/>
  <c r="BX268" i="103"/>
  <c r="AA73" i="130" s="1"/>
  <c r="K36" i="118"/>
  <c r="M5" i="116"/>
  <c r="M26" i="116" s="1"/>
  <c r="K53" i="117"/>
  <c r="L17" i="116"/>
  <c r="Z312" i="103"/>
  <c r="Z313" i="103" s="1"/>
  <c r="Z329" i="103" s="1"/>
  <c r="Z269" i="103"/>
  <c r="Z201" i="103"/>
  <c r="Z199" i="103"/>
  <c r="Z198" i="103"/>
  <c r="Z196" i="103"/>
  <c r="Z200" i="103"/>
  <c r="M29" i="116" l="1"/>
  <c r="Z274" i="103"/>
  <c r="Z328" i="103"/>
  <c r="L13" i="116"/>
  <c r="J37" i="118"/>
  <c r="L19" i="116" l="1"/>
  <c r="K54" i="116"/>
  <c r="Z273" i="103"/>
  <c r="Z286" i="103" s="1"/>
  <c r="L41" i="116"/>
  <c r="BX273" i="103" l="1"/>
  <c r="K57" i="116"/>
  <c r="Z191" i="103"/>
  <c r="Z296" i="103"/>
  <c r="L45" i="116"/>
  <c r="K58" i="116" l="1"/>
  <c r="K59" i="116"/>
  <c r="Z209" i="103"/>
  <c r="Z210" i="103" s="1"/>
  <c r="Z341" i="103"/>
  <c r="Z345" i="103" s="1"/>
  <c r="Z346" i="103" s="1"/>
  <c r="L27" i="116"/>
  <c r="L38" i="116" s="1"/>
  <c r="L7" i="116"/>
  <c r="L23" i="116" l="1"/>
  <c r="L6" i="116"/>
  <c r="L21" i="116" s="1"/>
  <c r="L24" i="116" l="1"/>
  <c r="L20" i="116"/>
  <c r="L22" i="116"/>
  <c r="AB17" i="115" l="1"/>
  <c r="AC17" i="115" s="1"/>
  <c r="AZ22" i="114" l="1"/>
  <c r="AZ23" i="114"/>
  <c r="AZ44" i="114" l="1"/>
  <c r="AZ41" i="114"/>
  <c r="AZ8" i="114" l="1"/>
  <c r="AZ9" i="114"/>
  <c r="AZ15" i="114" l="1"/>
  <c r="AZ29" i="114"/>
  <c r="AZ14" i="114"/>
  <c r="AZ28" i="114"/>
  <c r="AZ33" i="114" l="1"/>
  <c r="AZ34" i="114"/>
  <c r="Z91" i="103" l="1"/>
  <c r="X9" i="114" l="1"/>
  <c r="BR15" i="115"/>
  <c r="U9" i="114"/>
  <c r="V9" i="114" l="1"/>
  <c r="BL15" i="115"/>
  <c r="BM15" i="115" s="1"/>
  <c r="T9" i="114"/>
  <c r="CB15" i="115"/>
  <c r="CC15" i="115" s="1"/>
  <c r="W9" i="114"/>
  <c r="CF15" i="115"/>
  <c r="CG15" i="115" s="1"/>
  <c r="Y15" i="114"/>
  <c r="AZ15" i="115"/>
  <c r="BA15" i="115" s="1"/>
  <c r="BX15" i="115"/>
  <c r="BY15" i="115" s="1"/>
  <c r="P7" i="117"/>
  <c r="O7" i="117"/>
  <c r="T7" i="117" s="1"/>
  <c r="M7" i="117"/>
  <c r="X15" i="114"/>
  <c r="T15" i="114"/>
  <c r="W15" i="114"/>
  <c r="N7" i="117"/>
  <c r="U15" i="114"/>
  <c r="V15" i="114"/>
  <c r="Q14" i="117" l="1"/>
  <c r="BS15" i="115"/>
  <c r="DA60" i="115"/>
  <c r="P14" i="117"/>
  <c r="O14" i="117"/>
  <c r="N14" i="117"/>
  <c r="M14" i="117"/>
  <c r="DE60" i="115" l="1"/>
  <c r="DC60" i="115"/>
  <c r="BR25" i="115" l="1"/>
  <c r="V23" i="114"/>
  <c r="V29" i="114" s="1"/>
  <c r="BX25" i="115"/>
  <c r="BY25" i="115" s="1"/>
  <c r="N28" i="117"/>
  <c r="N21" i="117"/>
  <c r="BS25" i="115" l="1"/>
  <c r="N34" i="117"/>
  <c r="BR26" i="115"/>
  <c r="DA69" i="115" s="1"/>
  <c r="M21" i="117"/>
  <c r="AZ25" i="115"/>
  <c r="U23" i="114"/>
  <c r="M34" i="117"/>
  <c r="M28" i="117"/>
  <c r="DA68" i="115"/>
  <c r="DC68" i="115" s="1"/>
  <c r="BC23" i="114"/>
  <c r="BX26" i="115"/>
  <c r="BY26" i="115" s="1"/>
  <c r="BC22" i="114"/>
  <c r="BS26" i="115" l="1"/>
  <c r="W23" i="114"/>
  <c r="BD23" i="114" s="1"/>
  <c r="DE68" i="115"/>
  <c r="U29" i="114"/>
  <c r="BB23" i="114"/>
  <c r="BB22" i="114"/>
  <c r="AZ26" i="115"/>
  <c r="BA26" i="115" s="1"/>
  <c r="BA25" i="115"/>
  <c r="DE69" i="115"/>
  <c r="DC69" i="115"/>
  <c r="O28" i="117"/>
  <c r="T28" i="117" s="1"/>
  <c r="CB25" i="115"/>
  <c r="O21" i="117"/>
  <c r="T21" i="117" s="1"/>
  <c r="O34" i="117"/>
  <c r="CX25" i="115" l="1"/>
  <c r="CB26" i="115"/>
  <c r="CC26" i="115" s="1"/>
  <c r="CF25" i="115"/>
  <c r="CF26" i="115" s="1"/>
  <c r="CG26" i="115" s="1"/>
  <c r="X23" i="114"/>
  <c r="P28" i="117"/>
  <c r="P34" i="117"/>
  <c r="P21" i="117"/>
  <c r="CC25" i="115"/>
  <c r="W29" i="114"/>
  <c r="BD22" i="114"/>
  <c r="CX26" i="115" l="1"/>
  <c r="CY26" i="115" s="1"/>
  <c r="CY25" i="115"/>
  <c r="BE23" i="114"/>
  <c r="BE22" i="114"/>
  <c r="Y23" i="114"/>
  <c r="CG25" i="115"/>
  <c r="X29" i="114"/>
  <c r="Q21" i="117"/>
  <c r="CJ25" i="115"/>
  <c r="Q28" i="117"/>
  <c r="Q34" i="117"/>
  <c r="Y29" i="114" l="1"/>
  <c r="CJ26" i="115"/>
  <c r="CK26" i="115" s="1"/>
  <c r="CK25" i="115"/>
  <c r="O66" i="116"/>
  <c r="M55" i="116"/>
  <c r="AC206" i="103"/>
  <c r="AC207" i="103" s="1"/>
  <c r="L35" i="118"/>
  <c r="N4" i="116"/>
  <c r="AE206" i="103" l="1"/>
  <c r="AF206" i="103"/>
  <c r="AD206" i="103"/>
  <c r="L36" i="118"/>
  <c r="N5" i="116"/>
  <c r="N26" i="116" s="1"/>
  <c r="N29" i="116" s="1"/>
  <c r="O4" i="116" l="1"/>
  <c r="O5" i="116" s="1"/>
  <c r="O26" i="116" s="1"/>
  <c r="AC85" i="103"/>
  <c r="M35" i="118"/>
  <c r="AD207" i="103"/>
  <c r="AC265" i="103"/>
  <c r="N55" i="116"/>
  <c r="AA43" i="124"/>
  <c r="AA117" i="122"/>
  <c r="B12" i="128" l="1"/>
  <c r="M73" i="118"/>
  <c r="AA50" i="123"/>
  <c r="AA49" i="124"/>
  <c r="M36" i="118"/>
  <c r="CD265" i="103"/>
  <c r="CE265" i="103" s="1"/>
  <c r="N35" i="118"/>
  <c r="AE207" i="103"/>
  <c r="AE85" i="103" s="1"/>
  <c r="P4" i="116"/>
  <c r="P5" i="116" s="1"/>
  <c r="P26" i="116" s="1"/>
  <c r="O55" i="116"/>
  <c r="AD85" i="103"/>
  <c r="AD265" i="103"/>
  <c r="AB117" i="122"/>
  <c r="D19" i="116"/>
  <c r="M139" i="118" l="1"/>
  <c r="AA48" i="124"/>
  <c r="M76" i="118"/>
  <c r="M75" i="118" s="1"/>
  <c r="C12" i="128"/>
  <c r="D44" i="133" s="1"/>
  <c r="CF265" i="103"/>
  <c r="O35" i="118"/>
  <c r="P55" i="116"/>
  <c r="AF207" i="103"/>
  <c r="AE265" i="103"/>
  <c r="Q4" i="116"/>
  <c r="Q5" i="116" s="1"/>
  <c r="Q26" i="116" s="1"/>
  <c r="N36" i="118"/>
  <c r="AC117" i="122"/>
  <c r="D12" i="128" l="1"/>
  <c r="AF85" i="103"/>
  <c r="AF265" i="103"/>
  <c r="R4" i="116"/>
  <c r="R5" i="116" s="1"/>
  <c r="R26" i="116" s="1"/>
  <c r="AG207" i="103"/>
  <c r="Q55" i="116"/>
  <c r="AD117" i="122"/>
  <c r="O36" i="118"/>
  <c r="P35" i="118"/>
  <c r="E12" i="128" l="1"/>
  <c r="C33" i="129" s="1"/>
  <c r="AH207" i="103"/>
  <c r="R55" i="116"/>
  <c r="AG265" i="103"/>
  <c r="S4" i="116"/>
  <c r="S5" i="116" s="1"/>
  <c r="S26" i="116" s="1"/>
  <c r="AG85" i="103"/>
  <c r="Q35" i="118"/>
  <c r="P36" i="118"/>
  <c r="AE117" i="122"/>
  <c r="F12" i="128" l="1"/>
  <c r="AF117" i="122"/>
  <c r="R36" i="118" s="1"/>
  <c r="S55" i="116"/>
  <c r="AH85" i="103"/>
  <c r="AH265" i="103"/>
  <c r="T4" i="116"/>
  <c r="T5" i="116" s="1"/>
  <c r="T26" i="116" s="1"/>
  <c r="Q36" i="118"/>
  <c r="G12" i="128" l="1"/>
  <c r="AI25" i="115"/>
  <c r="AJ25" i="115" s="1"/>
  <c r="AI26" i="115" l="1"/>
  <c r="AJ26" i="115" s="1"/>
  <c r="T23" i="114" l="1"/>
  <c r="T29" i="114" s="1"/>
  <c r="BL25" i="115"/>
  <c r="BL26" i="115" s="1"/>
  <c r="BM26" i="115" s="1"/>
  <c r="BM25" i="115" l="1"/>
  <c r="AN40" i="114"/>
  <c r="AN39" i="114" l="1"/>
  <c r="AM39" i="114" l="1"/>
  <c r="AL39" i="114"/>
  <c r="AK39" i="114"/>
  <c r="AM40" i="114" l="1"/>
  <c r="AL40" i="114"/>
  <c r="AK40" i="114"/>
  <c r="T66" i="119" l="1"/>
  <c r="U66" i="119"/>
  <c r="T81" i="119" l="1"/>
  <c r="U81" i="119"/>
  <c r="E8" i="114" l="1"/>
  <c r="G8" i="114" s="1"/>
  <c r="S8" i="114" l="1"/>
  <c r="AI8" i="114" s="1"/>
  <c r="BH14" i="115"/>
  <c r="BI14" i="115" s="1"/>
  <c r="S14" i="114" l="1"/>
  <c r="E14" i="114"/>
  <c r="BH17" i="115"/>
  <c r="E10" i="114"/>
  <c r="S10" i="114"/>
  <c r="S16" i="114" l="1"/>
  <c r="E16" i="114"/>
  <c r="BR43" i="115" l="1"/>
  <c r="BX43" i="115" l="1"/>
  <c r="AZ43" i="115"/>
  <c r="AV43" i="115"/>
  <c r="BD43" i="115"/>
  <c r="CB43" i="115"/>
  <c r="BE42" i="115" l="1"/>
  <c r="EQ62" i="103" l="1"/>
  <c r="L16" i="117" l="1"/>
  <c r="BE13" i="115"/>
  <c r="L5" i="117"/>
  <c r="M13" i="114" l="1"/>
  <c r="AA308" i="103"/>
  <c r="L12" i="117"/>
  <c r="L9" i="117"/>
  <c r="AA216" i="103"/>
  <c r="BE17" i="115"/>
  <c r="M9" i="116"/>
  <c r="M16" i="114" l="1"/>
  <c r="K6" i="118"/>
  <c r="K7" i="118"/>
  <c r="K5" i="118"/>
  <c r="BZ218" i="103"/>
  <c r="L15" i="117"/>
  <c r="AX101" i="119" l="1"/>
  <c r="M21" i="114"/>
  <c r="M27" i="114" s="1"/>
  <c r="CY64" i="115"/>
  <c r="DF64" i="115" s="1"/>
  <c r="BD21" i="115"/>
  <c r="AV21" i="115"/>
  <c r="AR17" i="115"/>
  <c r="L59" i="117"/>
  <c r="L60" i="117" s="1"/>
  <c r="AA305" i="103"/>
  <c r="AA298" i="103" s="1"/>
  <c r="AA289" i="103" s="1"/>
  <c r="AA288" i="103" s="1"/>
  <c r="K8" i="118"/>
  <c r="L32" i="117"/>
  <c r="L19" i="117"/>
  <c r="L56" i="117"/>
  <c r="M24" i="114" l="1"/>
  <c r="AX102" i="119"/>
  <c r="CY65" i="115"/>
  <c r="DF65" i="115" s="1"/>
  <c r="CY71" i="115"/>
  <c r="CY72" i="115" s="1"/>
  <c r="DF72" i="115" s="1"/>
  <c r="AW21" i="115"/>
  <c r="AV22" i="115"/>
  <c r="AW22" i="115" s="1"/>
  <c r="AV28" i="115"/>
  <c r="AA225" i="103"/>
  <c r="L26" i="117"/>
  <c r="AA144" i="103"/>
  <c r="BD28" i="115"/>
  <c r="BD22" i="115"/>
  <c r="BE22" i="115" s="1"/>
  <c r="BE21" i="115"/>
  <c r="L23" i="117"/>
  <c r="L35" i="117"/>
  <c r="BZ225" i="103" l="1"/>
  <c r="M30" i="114"/>
  <c r="DF71" i="115"/>
  <c r="AV30" i="115"/>
  <c r="AW30" i="115" s="1"/>
  <c r="AW28" i="115"/>
  <c r="AA226" i="103"/>
  <c r="AA251" i="103"/>
  <c r="AA232" i="103"/>
  <c r="AA336" i="103" s="1"/>
  <c r="L29" i="117"/>
  <c r="BE28" i="115"/>
  <c r="BD30" i="115"/>
  <c r="BE30" i="115" s="1"/>
  <c r="AA220" i="103"/>
  <c r="AA311" i="103" l="1"/>
  <c r="AA250" i="103"/>
  <c r="BZ220" i="103"/>
  <c r="AA233" i="103"/>
  <c r="AA235" i="103"/>
  <c r="AA236" i="103" s="1"/>
  <c r="AA256" i="103"/>
  <c r="AA263" i="103"/>
  <c r="L41" i="117"/>
  <c r="AA262" i="103" l="1"/>
  <c r="AA268" i="103"/>
  <c r="AA254" i="103"/>
  <c r="AA321" i="103"/>
  <c r="AA137" i="103"/>
  <c r="L44" i="117"/>
  <c r="AA333" i="103"/>
  <c r="AA161" i="103"/>
  <c r="L43" i="117"/>
  <c r="L49" i="117" s="1"/>
  <c r="BZ268" i="103" l="1"/>
  <c r="AC73" i="130" s="1"/>
  <c r="AA269" i="103"/>
  <c r="AA267" i="103"/>
  <c r="AA213" i="103"/>
  <c r="L52" i="117"/>
  <c r="M31" i="116"/>
  <c r="M30" i="116" s="1"/>
  <c r="K9" i="118"/>
  <c r="M42" i="114" l="1"/>
  <c r="K38" i="118"/>
  <c r="AA312" i="103"/>
  <c r="L53" i="117"/>
  <c r="M17" i="116"/>
  <c r="AA313" i="103" l="1"/>
  <c r="BE40" i="115"/>
  <c r="K37" i="118"/>
  <c r="M13" i="116"/>
  <c r="AB83" i="103" l="1"/>
  <c r="AB91" i="103" s="1"/>
  <c r="M19" i="116"/>
  <c r="L54" i="116"/>
  <c r="L57" i="116" s="1"/>
  <c r="AA135" i="103" l="1"/>
  <c r="AA190" i="103"/>
  <c r="L58" i="116"/>
  <c r="L59" i="116"/>
  <c r="BD32" i="115" l="1"/>
  <c r="CY73" i="115"/>
  <c r="DF73" i="115" s="1"/>
  <c r="AV32" i="115"/>
  <c r="AA271" i="103"/>
  <c r="M32" i="114" l="1"/>
  <c r="M33" i="114" s="1"/>
  <c r="BZ271" i="103"/>
  <c r="AW32" i="115"/>
  <c r="AV34" i="115"/>
  <c r="AW34" i="115" s="1"/>
  <c r="X141" i="103" l="1"/>
  <c r="X140" i="103" s="1"/>
  <c r="X162" i="103" s="1"/>
  <c r="W141" i="103"/>
  <c r="W140" i="103" s="1"/>
  <c r="X158" i="103" l="1"/>
  <c r="X134" i="103"/>
  <c r="Y141" i="103"/>
  <c r="Y140" i="103" s="1"/>
  <c r="W134" i="103"/>
  <c r="W162" i="103"/>
  <c r="V141" i="103"/>
  <c r="V140" i="103" s="1"/>
  <c r="Y134" i="103" l="1"/>
  <c r="Y158" i="103"/>
  <c r="Y162" i="103"/>
  <c r="U141" i="103"/>
  <c r="U140" i="103" s="1"/>
  <c r="V158" i="103" s="1"/>
  <c r="V134" i="103"/>
  <c r="V162" i="103"/>
  <c r="W158" i="103"/>
  <c r="Z141" i="103" l="1"/>
  <c r="Z140" i="103" s="1"/>
  <c r="AA150" i="103"/>
  <c r="AA156" i="103" s="1"/>
  <c r="L55" i="117"/>
  <c r="U162" i="103"/>
  <c r="U134" i="103"/>
  <c r="U158" i="103"/>
  <c r="AA160" i="103" l="1"/>
  <c r="AA77" i="103"/>
  <c r="AA78" i="103"/>
  <c r="U37" i="114"/>
  <c r="AA76" i="103"/>
  <c r="Z162" i="103"/>
  <c r="Z134" i="103"/>
  <c r="Z158" i="103"/>
  <c r="L58" i="117"/>
  <c r="L57" i="117" s="1"/>
  <c r="Z78" i="103" l="1"/>
  <c r="AA141" i="103"/>
  <c r="AA140" i="103" s="1"/>
  <c r="L61" i="117"/>
  <c r="L62" i="117" s="1"/>
  <c r="AB76" i="103" l="1"/>
  <c r="AB78" i="103"/>
  <c r="AB63" i="103"/>
  <c r="AB77" i="103"/>
  <c r="V37" i="114"/>
  <c r="U36" i="114"/>
  <c r="W37" i="114"/>
  <c r="Z77" i="103"/>
  <c r="Z76" i="103"/>
  <c r="AA63" i="103"/>
  <c r="M37" i="114" s="1"/>
  <c r="O37" i="114" s="1"/>
  <c r="Z63" i="103"/>
  <c r="AA162" i="103"/>
  <c r="AA158" i="103"/>
  <c r="AA134" i="103"/>
  <c r="AB141" i="103"/>
  <c r="M15" i="116"/>
  <c r="M18" i="116" s="1"/>
  <c r="BE32" i="115"/>
  <c r="BD34" i="115"/>
  <c r="BE34" i="115" s="1"/>
  <c r="V36" i="114" l="1"/>
  <c r="Y77" i="103"/>
  <c r="Y76" i="103"/>
  <c r="X37" i="114"/>
  <c r="X78" i="103"/>
  <c r="Y78" i="103"/>
  <c r="U35" i="114"/>
  <c r="AZ42" i="115"/>
  <c r="BA42" i="115" s="1"/>
  <c r="AA163" i="103"/>
  <c r="W36" i="114" l="1"/>
  <c r="Y63" i="103"/>
  <c r="W78" i="103"/>
  <c r="X77" i="103"/>
  <c r="X76" i="103"/>
  <c r="BB41" i="114"/>
  <c r="BB40" i="114"/>
  <c r="M41" i="116"/>
  <c r="Y37" i="114" l="1"/>
  <c r="X36" i="114"/>
  <c r="AB60" i="103"/>
  <c r="X63" i="103"/>
  <c r="W76" i="103"/>
  <c r="W77" i="103"/>
  <c r="V78" i="103"/>
  <c r="AA209" i="103"/>
  <c r="AA210" i="103" s="1"/>
  <c r="AA341" i="103"/>
  <c r="AA296" i="103"/>
  <c r="M45" i="116"/>
  <c r="AG77" i="103" l="1"/>
  <c r="AB71" i="103"/>
  <c r="AB59" i="103"/>
  <c r="Y36" i="114"/>
  <c r="V71" i="103"/>
  <c r="V60" i="103"/>
  <c r="W63" i="103"/>
  <c r="V77" i="103"/>
  <c r="V76" i="103"/>
  <c r="M27" i="116"/>
  <c r="M38" i="116" s="1"/>
  <c r="M7" i="116"/>
  <c r="AG76" i="103" l="1"/>
  <c r="AG78" i="103"/>
  <c r="AB70" i="103"/>
  <c r="U76" i="103"/>
  <c r="U77" i="103"/>
  <c r="U63" i="103"/>
  <c r="U78" i="103"/>
  <c r="V63" i="103"/>
  <c r="W71" i="103"/>
  <c r="W60" i="103"/>
  <c r="W65" i="103" s="1"/>
  <c r="V70" i="103"/>
  <c r="V59" i="103"/>
  <c r="U71" i="103"/>
  <c r="AC209" i="103"/>
  <c r="AC210" i="103" s="1"/>
  <c r="M23" i="116"/>
  <c r="M6" i="116"/>
  <c r="M21" i="116" s="1"/>
  <c r="CX42" i="115" l="1"/>
  <c r="AG63" i="103"/>
  <c r="AB72" i="103"/>
  <c r="AB61" i="103"/>
  <c r="AP113" i="119" s="1"/>
  <c r="V61" i="103"/>
  <c r="T71" i="103"/>
  <c r="U70" i="103"/>
  <c r="X71" i="103"/>
  <c r="X60" i="103"/>
  <c r="X65" i="103" s="1"/>
  <c r="W70" i="103"/>
  <c r="W59" i="103"/>
  <c r="W64" i="103" s="1"/>
  <c r="AD209" i="103"/>
  <c r="AD210" i="103" s="1"/>
  <c r="M22" i="116"/>
  <c r="M20" i="116"/>
  <c r="M24" i="116"/>
  <c r="V72" i="103" l="1"/>
  <c r="U61" i="103"/>
  <c r="V62" i="103" s="1"/>
  <c r="T61" i="103"/>
  <c r="DS61" i="103"/>
  <c r="DQ61" i="103"/>
  <c r="U72" i="103"/>
  <c r="W72" i="103"/>
  <c r="W61" i="103"/>
  <c r="W62" i="103" s="1"/>
  <c r="DP61" i="103"/>
  <c r="S71" i="103"/>
  <c r="T70" i="103"/>
  <c r="X70" i="103"/>
  <c r="X59" i="103"/>
  <c r="X64" i="103" s="1"/>
  <c r="Y71" i="103"/>
  <c r="Y60" i="103"/>
  <c r="Y65" i="103" s="1"/>
  <c r="AE209" i="103"/>
  <c r="AE210" i="103" s="1"/>
  <c r="W73" i="103" l="1"/>
  <c r="V73" i="103"/>
  <c r="BM61" i="103"/>
  <c r="AF209" i="103"/>
  <c r="AF210" i="103" s="1"/>
  <c r="AG209" i="103"/>
  <c r="AG210" i="103" s="1"/>
  <c r="U62" i="103"/>
  <c r="DM61" i="103"/>
  <c r="DR61" i="103"/>
  <c r="BN61" i="103" s="1"/>
  <c r="X61" i="103"/>
  <c r="X62" i="103" s="1"/>
  <c r="DL61" i="103"/>
  <c r="DT61" i="103"/>
  <c r="Z60" i="103"/>
  <c r="Z65" i="103" s="1"/>
  <c r="Z71" i="103"/>
  <c r="S70" i="103"/>
  <c r="Y70" i="103"/>
  <c r="Y59" i="103"/>
  <c r="Y64" i="103" s="1"/>
  <c r="R71" i="103"/>
  <c r="AA91" i="103"/>
  <c r="T72" i="103" l="1"/>
  <c r="U73" i="103" s="1"/>
  <c r="BK61" i="103"/>
  <c r="BM62" i="103" s="1"/>
  <c r="DN61" i="103"/>
  <c r="DV61" i="103"/>
  <c r="R61" i="103"/>
  <c r="S61" i="103"/>
  <c r="T62" i="103" s="1"/>
  <c r="DU61" i="103"/>
  <c r="BO61" i="103" s="1"/>
  <c r="DO61" i="103"/>
  <c r="X72" i="103"/>
  <c r="X73" i="103" s="1"/>
  <c r="Y72" i="103"/>
  <c r="Y61" i="103"/>
  <c r="Y62" i="103" s="1"/>
  <c r="DX61" i="103"/>
  <c r="DH61" i="103"/>
  <c r="S72" i="103"/>
  <c r="Z59" i="103"/>
  <c r="Z64" i="103" s="1"/>
  <c r="Z70" i="103"/>
  <c r="R70" i="103"/>
  <c r="Q71" i="103"/>
  <c r="AA60" i="103"/>
  <c r="AA71" i="103"/>
  <c r="AC82" i="103"/>
  <c r="T73" i="103" l="1"/>
  <c r="AA65" i="103"/>
  <c r="AB65" i="103"/>
  <c r="R72" i="103"/>
  <c r="S73" i="103" s="1"/>
  <c r="BL61" i="103"/>
  <c r="BN62" i="103" s="1"/>
  <c r="DI61" i="103"/>
  <c r="BI61" i="103" s="1"/>
  <c r="BK62" i="103" s="1"/>
  <c r="BO62" i="103"/>
  <c r="DY61" i="103"/>
  <c r="BQ61" i="103" s="1"/>
  <c r="EC61" i="103"/>
  <c r="DJ61" i="103"/>
  <c r="DW61" i="103"/>
  <c r="BP61" i="103" s="1"/>
  <c r="DZ61" i="103"/>
  <c r="Y73" i="103"/>
  <c r="Z61" i="103"/>
  <c r="Z62" i="103" s="1"/>
  <c r="DD61" i="103"/>
  <c r="EB61" i="103"/>
  <c r="S62" i="103"/>
  <c r="Q70" i="103"/>
  <c r="P71" i="103"/>
  <c r="AA59" i="103"/>
  <c r="AA70" i="103"/>
  <c r="Q61" i="103" l="1"/>
  <c r="R62" i="103" s="1"/>
  <c r="AA64" i="103"/>
  <c r="AB64" i="103"/>
  <c r="BS61" i="103"/>
  <c r="BS62" i="103" s="1"/>
  <c r="BP62" i="103"/>
  <c r="BQ62" i="103"/>
  <c r="DF61" i="103"/>
  <c r="DK61" i="103"/>
  <c r="EA61" i="103"/>
  <c r="BR61" i="103" s="1"/>
  <c r="DE61" i="103"/>
  <c r="BG61" i="103" s="1"/>
  <c r="ED61" i="103"/>
  <c r="Z72" i="103"/>
  <c r="Z73" i="103" s="1"/>
  <c r="P61" i="103"/>
  <c r="CZ61" i="103"/>
  <c r="Q72" i="103"/>
  <c r="DA61" i="103"/>
  <c r="CW61" i="103"/>
  <c r="EF61" i="103"/>
  <c r="AA61" i="103"/>
  <c r="AB62" i="103" s="1"/>
  <c r="AP114" i="119" s="1"/>
  <c r="P70" i="103"/>
  <c r="Q62" i="103" l="1"/>
  <c r="CX61" i="103"/>
  <c r="DB61" i="103"/>
  <c r="EE61" i="103"/>
  <c r="BT61" i="103" s="1"/>
  <c r="BT62" i="103" s="1"/>
  <c r="BE61" i="103"/>
  <c r="BG62" i="103" s="1"/>
  <c r="BR62" i="103"/>
  <c r="BI62" i="103"/>
  <c r="EG61" i="103"/>
  <c r="BU61" i="103" s="1"/>
  <c r="BU62" i="103" s="1"/>
  <c r="BJ61" i="103"/>
  <c r="BL62" i="103" s="1"/>
  <c r="EH61" i="103"/>
  <c r="DG61" i="103"/>
  <c r="DC61" i="103"/>
  <c r="BF61" i="103" s="1"/>
  <c r="EK61" i="103"/>
  <c r="R73" i="103"/>
  <c r="O61" i="103"/>
  <c r="P62" i="103" s="1"/>
  <c r="EJ61" i="103"/>
  <c r="CV61" i="103"/>
  <c r="BC61" i="103" s="1"/>
  <c r="P72" i="103"/>
  <c r="Q73" i="103" s="1"/>
  <c r="AA72" i="103"/>
  <c r="AA62" i="103"/>
  <c r="AG60" i="103" l="1"/>
  <c r="AH65" i="103" s="1"/>
  <c r="AG71" i="103"/>
  <c r="CY61" i="103"/>
  <c r="BD61" i="103" s="1"/>
  <c r="BF62" i="103" s="1"/>
  <c r="AA73" i="103"/>
  <c r="AB73" i="103"/>
  <c r="L42" i="115"/>
  <c r="J42" i="115"/>
  <c r="BW61" i="103"/>
  <c r="BW62" i="103" s="1"/>
  <c r="K42" i="115"/>
  <c r="BH61" i="103"/>
  <c r="BJ62" i="103" s="1"/>
  <c r="EL61" i="103"/>
  <c r="EI61" i="103"/>
  <c r="BV61" i="103" s="1"/>
  <c r="BE62" i="103"/>
  <c r="EN61" i="103"/>
  <c r="EO61" i="103"/>
  <c r="N61" i="103"/>
  <c r="O62" i="103" s="1"/>
  <c r="AX114" i="119"/>
  <c r="M35" i="114"/>
  <c r="AT113" i="119"/>
  <c r="BF113" i="119"/>
  <c r="AH19" i="119" s="1"/>
  <c r="EP61" i="103" l="1"/>
  <c r="BH62" i="103"/>
  <c r="BY61" i="103"/>
  <c r="BY62" i="103" s="1"/>
  <c r="EX61" i="103"/>
  <c r="BV62" i="103"/>
  <c r="EM61" i="103"/>
  <c r="BX61" i="103" s="1"/>
  <c r="ET61" i="103"/>
  <c r="AG59" i="103" l="1"/>
  <c r="AH64" i="103" s="1"/>
  <c r="AG70" i="103"/>
  <c r="EX62" i="103"/>
  <c r="FB61" i="103"/>
  <c r="BX62" i="103"/>
  <c r="EQ61" i="103"/>
  <c r="BZ61" i="103" s="1"/>
  <c r="M16" i="117"/>
  <c r="U18" i="114"/>
  <c r="AG61" i="103" l="1"/>
  <c r="AH62" i="103" s="1"/>
  <c r="FB62" i="103"/>
  <c r="BZ62" i="103"/>
  <c r="AG72" i="103" l="1"/>
  <c r="AH73" i="103" s="1"/>
  <c r="L5" i="118"/>
  <c r="L6" i="118"/>
  <c r="L7" i="118"/>
  <c r="L8" i="118" l="1"/>
  <c r="AB150" i="103" l="1"/>
  <c r="AB156" i="103" s="1"/>
  <c r="AB160" i="103" s="1"/>
  <c r="M55" i="117" l="1"/>
  <c r="BZ251" i="103"/>
  <c r="BZ263" i="103" s="1"/>
  <c r="BZ232" i="103"/>
  <c r="BZ226" i="103"/>
  <c r="AB298" i="103" l="1"/>
  <c r="AB289" i="103" s="1"/>
  <c r="AB288" i="103" s="1"/>
  <c r="BZ256" i="103"/>
  <c r="BZ233" i="103"/>
  <c r="BZ235" i="103"/>
  <c r="BZ236" i="103" s="1"/>
  <c r="AB296" i="103" l="1"/>
  <c r="AB341" i="103"/>
  <c r="M43" i="117"/>
  <c r="M49" i="117" s="1"/>
  <c r="N31" i="116" l="1"/>
  <c r="N30" i="116" s="1"/>
  <c r="L9" i="118"/>
  <c r="AZ40" i="115" l="1"/>
  <c r="BA40" i="115" s="1"/>
  <c r="AC83" i="103"/>
  <c r="L37" i="118"/>
  <c r="N13" i="116"/>
  <c r="M54" i="116" l="1"/>
  <c r="M57" i="116" s="1"/>
  <c r="N19" i="116"/>
  <c r="AC177" i="103" l="1"/>
  <c r="AC84" i="103"/>
  <c r="AC92" i="103" s="1"/>
  <c r="M59" i="116"/>
  <c r="M58" i="116"/>
  <c r="AD82" i="103" l="1"/>
  <c r="AA317" i="103" l="1"/>
  <c r="AA320" i="103" s="1"/>
  <c r="AA323" i="103" s="1"/>
  <c r="AA332" i="103" s="1"/>
  <c r="AA331" i="103" s="1"/>
  <c r="AA322" i="103" s="1"/>
  <c r="AA183" i="103"/>
  <c r="AA195" i="103" l="1"/>
  <c r="AA200" i="103" s="1"/>
  <c r="AA339" i="103"/>
  <c r="AA345" i="103" s="1"/>
  <c r="AA346" i="103" s="1"/>
  <c r="AA175" i="103"/>
  <c r="AA189" i="103" s="1"/>
  <c r="AA326" i="103"/>
  <c r="AA327" i="103" s="1"/>
  <c r="AA328" i="103" s="1"/>
  <c r="AA329" i="103" l="1"/>
  <c r="AA199" i="103"/>
  <c r="AA198" i="103"/>
  <c r="AA197" i="103"/>
  <c r="AA201" i="103"/>
  <c r="AA196" i="103"/>
  <c r="M56" i="117" l="1"/>
  <c r="M58" i="117" l="1"/>
  <c r="M59" i="117" l="1"/>
  <c r="U32" i="114" l="1"/>
  <c r="AI32" i="115"/>
  <c r="AJ32" i="115" s="1"/>
  <c r="AZ32" i="115"/>
  <c r="M61" i="117"/>
  <c r="BB34" i="114" l="1"/>
  <c r="BB33" i="114"/>
  <c r="BA32" i="115"/>
  <c r="N15" i="116"/>
  <c r="N18" i="116" s="1"/>
  <c r="BL32" i="115" l="1"/>
  <c r="BM32" i="115" s="1"/>
  <c r="T32" i="114"/>
  <c r="N41" i="116" l="1"/>
  <c r="N45" i="116" l="1"/>
  <c r="N27" i="116" l="1"/>
  <c r="N38" i="116" s="1"/>
  <c r="N7" i="116"/>
  <c r="N6" i="116" l="1"/>
  <c r="ER62" i="103" l="1"/>
  <c r="ER61" i="103" l="1"/>
  <c r="AI21" i="115" l="1"/>
  <c r="AI22" i="115" l="1"/>
  <c r="AJ22" i="115" s="1"/>
  <c r="AJ21" i="115"/>
  <c r="CA225" i="103" l="1"/>
  <c r="CA251" i="103" s="1"/>
  <c r="I24" i="114"/>
  <c r="I30" i="114" s="1"/>
  <c r="AI28" i="115"/>
  <c r="AJ28" i="115" s="1"/>
  <c r="CA226" i="103" l="1"/>
  <c r="I33" i="114"/>
  <c r="AI34" i="115"/>
  <c r="AJ34" i="115" s="1"/>
  <c r="AI30" i="115"/>
  <c r="AJ30" i="115" s="1"/>
  <c r="CA256" i="103"/>
  <c r="CA263" i="103"/>
  <c r="CA268" i="103" s="1"/>
  <c r="AD73" i="130" s="1"/>
  <c r="CA232" i="103"/>
  <c r="CA233" i="103" l="1"/>
  <c r="CA235" i="103"/>
  <c r="CA236" i="103" s="1"/>
  <c r="BI13" i="115" l="1"/>
  <c r="BI17" i="115" l="1"/>
  <c r="DX70" i="115" l="1"/>
  <c r="O7" i="114" l="1"/>
  <c r="O8" i="114"/>
  <c r="O9" i="114"/>
  <c r="U64" i="119" l="1"/>
  <c r="T64" i="119"/>
  <c r="T63" i="119"/>
  <c r="U63" i="119"/>
  <c r="U65" i="119"/>
  <c r="T65" i="119"/>
  <c r="T67" i="119" l="1"/>
  <c r="U67" i="119"/>
  <c r="O10" i="114"/>
  <c r="BA8" i="114"/>
  <c r="BA9" i="114"/>
  <c r="BA14" i="114" l="1"/>
  <c r="BA15" i="114"/>
  <c r="H4" i="120" l="1"/>
  <c r="G35" i="114"/>
  <c r="AI35" i="114"/>
  <c r="U20" i="119" l="1"/>
  <c r="D10" i="120"/>
  <c r="E10" i="120" s="1"/>
  <c r="H3" i="120"/>
  <c r="H46" i="119" l="1"/>
  <c r="G46" i="119"/>
  <c r="G15" i="114"/>
  <c r="AI15" i="114"/>
  <c r="G13" i="114" l="1"/>
  <c r="AI13" i="114"/>
  <c r="K15" i="114"/>
  <c r="K14" i="114"/>
  <c r="H75" i="119" l="1"/>
  <c r="H73" i="119"/>
  <c r="H71" i="119"/>
  <c r="H77" i="119" l="1"/>
  <c r="DX61" i="115"/>
  <c r="AU98" i="119" l="1"/>
  <c r="AW98" i="119"/>
  <c r="AV98" i="119"/>
  <c r="T79" i="119" l="1"/>
  <c r="U79" i="119"/>
  <c r="BA33" i="114"/>
  <c r="O32" i="114"/>
  <c r="BA34" i="114"/>
  <c r="M35" i="119" l="1"/>
  <c r="T35" i="119" s="1"/>
  <c r="P35" i="119"/>
  <c r="U35" i="119" s="1"/>
  <c r="M85" i="119"/>
  <c r="Q35" i="119" l="1"/>
  <c r="H85" i="119"/>
  <c r="S85" i="119"/>
  <c r="I85" i="119"/>
  <c r="N85" i="119" s="1"/>
  <c r="E21" i="119" l="1"/>
  <c r="G21" i="119"/>
  <c r="F21" i="119"/>
  <c r="G52" i="119"/>
  <c r="J21" i="119" l="1"/>
  <c r="H52" i="119" l="1"/>
  <c r="S52" i="119"/>
  <c r="I52" i="119"/>
  <c r="H21" i="119"/>
  <c r="S21" i="119"/>
  <c r="I21" i="119"/>
  <c r="P19" i="119" l="1"/>
  <c r="P21" i="119" s="1"/>
  <c r="U21" i="119" s="1"/>
  <c r="K21" i="119"/>
  <c r="AK8" i="114" l="1"/>
  <c r="DX59" i="115"/>
  <c r="O14" i="114"/>
  <c r="AK14" i="114"/>
  <c r="AU96" i="119" l="1"/>
  <c r="AV96" i="119"/>
  <c r="AW96" i="119"/>
  <c r="AJ8" i="114"/>
  <c r="AJ14" i="114"/>
  <c r="AV126" i="119" l="1"/>
  <c r="AW126" i="119"/>
  <c r="AU126" i="119"/>
  <c r="U33" i="119"/>
  <c r="T33" i="119"/>
  <c r="AD28" i="114" l="1"/>
  <c r="AX133" i="119"/>
  <c r="U72" i="119"/>
  <c r="T72" i="119"/>
  <c r="N28" i="114"/>
  <c r="O28" i="114" s="1"/>
  <c r="O22" i="114"/>
  <c r="AX134" i="119" l="1"/>
  <c r="T73" i="119"/>
  <c r="U73" i="119"/>
  <c r="AC28" i="114"/>
  <c r="AU103" i="119"/>
  <c r="AV103" i="119"/>
  <c r="N42" i="119"/>
  <c r="N41" i="119"/>
  <c r="AU104" i="119"/>
  <c r="AV104" i="119"/>
  <c r="DX66" i="115"/>
  <c r="DN67" i="115"/>
  <c r="DX67" i="115" s="1"/>
  <c r="AE28" i="114" l="1"/>
  <c r="AF28" i="114" l="1"/>
  <c r="AG28" i="114" l="1"/>
  <c r="AB28" i="114"/>
  <c r="U41" i="119"/>
  <c r="T41" i="119"/>
  <c r="AV133" i="119"/>
  <c r="AU133" i="119"/>
  <c r="AW133" i="119"/>
  <c r="U42" i="119" l="1"/>
  <c r="T42" i="119"/>
  <c r="AW134" i="119"/>
  <c r="AV134" i="119"/>
  <c r="AU134" i="119"/>
  <c r="O15" i="114" l="1"/>
  <c r="AO9" i="114" l="1"/>
  <c r="N29" i="114" l="1"/>
  <c r="O29" i="114" s="1"/>
  <c r="BA22" i="114"/>
  <c r="BA28" i="114" s="1"/>
  <c r="BA23" i="114"/>
  <c r="BA29" i="114" s="1"/>
  <c r="AX135" i="119"/>
  <c r="U74" i="119"/>
  <c r="T74" i="119"/>
  <c r="T75" i="119" l="1"/>
  <c r="U75" i="119"/>
  <c r="N43" i="119"/>
  <c r="N44" i="119"/>
  <c r="K13" i="114" l="1"/>
  <c r="K10" i="114" l="1"/>
  <c r="K16" i="114"/>
  <c r="BF129" i="119" l="1"/>
  <c r="AT129" i="119"/>
  <c r="BD129" i="119" l="1"/>
  <c r="BA129" i="119"/>
  <c r="P85" i="119" l="1"/>
  <c r="Q85" i="119" l="1"/>
  <c r="AU116" i="119" l="1"/>
  <c r="AV116" i="119"/>
  <c r="AW116" i="119"/>
  <c r="AN9" i="114" l="1"/>
  <c r="AL9" i="114"/>
  <c r="DX60" i="115" l="1"/>
  <c r="AK9" i="114"/>
  <c r="AM9" i="114"/>
  <c r="AJ9" i="114"/>
  <c r="AO15" i="114"/>
  <c r="AN15" i="114"/>
  <c r="AJ15" i="114"/>
  <c r="AM15" i="114"/>
  <c r="AK15" i="114"/>
  <c r="AL15" i="114"/>
  <c r="AW127" i="119" l="1"/>
  <c r="AU127" i="119"/>
  <c r="AV127" i="119"/>
  <c r="AU97" i="119"/>
  <c r="AV97" i="119"/>
  <c r="AW97" i="119"/>
  <c r="U34" i="119"/>
  <c r="T34" i="119"/>
  <c r="AC29" i="114" l="1"/>
  <c r="AK29" i="114" s="1"/>
  <c r="AK23" i="114"/>
  <c r="DN69" i="115"/>
  <c r="DX69" i="115" s="1"/>
  <c r="DX68" i="115"/>
  <c r="AU106" i="119"/>
  <c r="AV106" i="119"/>
  <c r="AU105" i="119"/>
  <c r="AV105" i="119"/>
  <c r="AD29" i="114" l="1"/>
  <c r="AL29" i="114" s="1"/>
  <c r="AL23" i="114"/>
  <c r="AE29" i="114" l="1"/>
  <c r="AM29" i="114" s="1"/>
  <c r="AM23" i="114"/>
  <c r="AF29" i="114" l="1"/>
  <c r="AN29" i="114" s="1"/>
  <c r="AN23" i="114"/>
  <c r="AG29" i="114"/>
  <c r="AO29" i="114" s="1"/>
  <c r="AO23" i="114"/>
  <c r="AQ17" i="115" l="1"/>
  <c r="AS17" i="115" s="1"/>
  <c r="AX136" i="119" l="1"/>
  <c r="U43" i="119" l="1"/>
  <c r="T43" i="119"/>
  <c r="AJ23" i="114"/>
  <c r="AB29" i="114"/>
  <c r="AJ29" i="114" s="1"/>
  <c r="AV135" i="119"/>
  <c r="AU135" i="119"/>
  <c r="AW135" i="119"/>
  <c r="AW136" i="119" l="1"/>
  <c r="AV136" i="119"/>
  <c r="AU136" i="119"/>
  <c r="U44" i="119"/>
  <c r="T44" i="119"/>
  <c r="G14" i="114" l="1"/>
  <c r="AI14" i="114"/>
  <c r="DW62" i="115"/>
  <c r="G10" i="114"/>
  <c r="AI10" i="114"/>
  <c r="G16" i="114" l="1"/>
  <c r="AI16" i="114"/>
  <c r="T84" i="119" l="1"/>
  <c r="U84" i="119"/>
  <c r="AK35" i="114" l="1"/>
  <c r="U85" i="119" l="1"/>
  <c r="T85" i="119"/>
  <c r="BA41" i="114" l="1"/>
  <c r="O35" i="114"/>
  <c r="BA40" i="114"/>
  <c r="BA44" i="114" s="1"/>
  <c r="BB44" i="114" s="1"/>
  <c r="P52" i="119" l="1"/>
  <c r="AV114" i="119"/>
  <c r="AW114" i="119"/>
  <c r="AU114" i="119"/>
  <c r="O13" i="114" l="1"/>
  <c r="Q52" i="119"/>
  <c r="N52" i="119"/>
  <c r="DX58" i="115"/>
  <c r="AK18" i="114"/>
  <c r="N36" i="119" l="1"/>
  <c r="AX129" i="119"/>
  <c r="O16" i="114"/>
  <c r="DX62" i="115"/>
  <c r="AU95" i="119"/>
  <c r="AW95" i="119"/>
  <c r="AV95" i="119"/>
  <c r="BC99" i="119" l="1"/>
  <c r="AU99" i="119"/>
  <c r="AW99" i="119"/>
  <c r="AV99" i="119"/>
  <c r="T70" i="119" l="1"/>
  <c r="U70" i="119"/>
  <c r="O21" i="114"/>
  <c r="N27" i="114"/>
  <c r="O27" i="114" s="1"/>
  <c r="AX131" i="119"/>
  <c r="T76" i="119" l="1"/>
  <c r="U76" i="119"/>
  <c r="N40" i="119"/>
  <c r="N39" i="119"/>
  <c r="O24" i="114"/>
  <c r="N30" i="114"/>
  <c r="O30" i="114" s="1"/>
  <c r="N33" i="114"/>
  <c r="O33" i="114" s="1"/>
  <c r="T71" i="119"/>
  <c r="U71" i="119"/>
  <c r="T77" i="119" l="1"/>
  <c r="U77" i="119"/>
  <c r="O42" i="114" l="1"/>
  <c r="N46" i="119" l="1"/>
  <c r="N45" i="119"/>
  <c r="AX132" i="119"/>
  <c r="DN65" i="115" l="1"/>
  <c r="DX65" i="115" s="1"/>
  <c r="DX64" i="115"/>
  <c r="AU101" i="119"/>
  <c r="AV101" i="119"/>
  <c r="AW101" i="119"/>
  <c r="AV102" i="119"/>
  <c r="AW102" i="119"/>
  <c r="AU102" i="119"/>
  <c r="AC27" i="114"/>
  <c r="BC107" i="119" l="1"/>
  <c r="AU107" i="119"/>
  <c r="AV107" i="119"/>
  <c r="BC108" i="119"/>
  <c r="AU108" i="119"/>
  <c r="AV108" i="119"/>
  <c r="AE27" i="114"/>
  <c r="AC30" i="114"/>
  <c r="AD27" i="114"/>
  <c r="DX71" i="115"/>
  <c r="DN72" i="115"/>
  <c r="DX72" i="115" s="1"/>
  <c r="AG27" i="114" l="1"/>
  <c r="AF27" i="114"/>
  <c r="AD30" i="114"/>
  <c r="AE30" i="114"/>
  <c r="AF30" i="114" l="1"/>
  <c r="AG30" i="114"/>
  <c r="AU111" i="119" l="1"/>
  <c r="AV111" i="119"/>
  <c r="AW111" i="119"/>
  <c r="AC33" i="114" l="1"/>
  <c r="AK32" i="114"/>
  <c r="DX73" i="115"/>
  <c r="BC109" i="119" l="1"/>
  <c r="AU109" i="119"/>
  <c r="AV109" i="119"/>
  <c r="AW109" i="119"/>
  <c r="AE33" i="114" l="1"/>
  <c r="AJ32" i="114"/>
  <c r="U48" i="119"/>
  <c r="T48" i="119"/>
  <c r="AV139" i="119"/>
  <c r="BC139" i="119"/>
  <c r="AW139" i="119"/>
  <c r="AU139" i="119"/>
  <c r="AF33" i="114" l="1"/>
  <c r="AG33" i="114" l="1"/>
  <c r="AT141" i="119" l="1"/>
  <c r="AX141" i="119" s="1"/>
  <c r="L52" i="119"/>
  <c r="BJ139" i="119"/>
  <c r="BF141" i="119" s="1"/>
  <c r="G4" i="120" l="1"/>
  <c r="BA141" i="119"/>
  <c r="BD141" i="119"/>
  <c r="U52" i="119"/>
  <c r="T52" i="119"/>
  <c r="D9" i="120" l="1"/>
  <c r="E9" i="120" s="1"/>
  <c r="D12" i="120" s="1"/>
  <c r="G3" i="120"/>
  <c r="J3" i="120" s="1"/>
  <c r="J4" i="120" s="1"/>
  <c r="D19" i="120" l="1"/>
  <c r="U51" i="119"/>
  <c r="AW141" i="119"/>
  <c r="AU141" i="119"/>
  <c r="AV141" i="119"/>
  <c r="BC141" i="119"/>
  <c r="U39" i="119"/>
  <c r="T39" i="119"/>
  <c r="BF137" i="119"/>
  <c r="AT137" i="119"/>
  <c r="AV131" i="119"/>
  <c r="AW131" i="119"/>
  <c r="AU131" i="119"/>
  <c r="J33" i="114"/>
  <c r="K33" i="114" s="1"/>
  <c r="J30" i="114"/>
  <c r="K30" i="114" s="1"/>
  <c r="K24" i="114"/>
  <c r="AV137" i="119" l="1"/>
  <c r="AW137" i="119"/>
  <c r="AU137" i="119"/>
  <c r="AB33" i="114"/>
  <c r="U45" i="119"/>
  <c r="T45" i="119"/>
  <c r="AT138" i="119"/>
  <c r="AX138" i="119" s="1"/>
  <c r="AX137" i="119"/>
  <c r="BF138" i="119"/>
  <c r="BD137" i="119"/>
  <c r="BC137" i="119"/>
  <c r="BA137" i="119"/>
  <c r="BD138" i="119" l="1"/>
  <c r="BA138" i="119"/>
  <c r="T32" i="119" l="1"/>
  <c r="U32" i="119"/>
  <c r="AB27" i="114"/>
  <c r="AW125" i="119"/>
  <c r="AV125" i="119"/>
  <c r="AU125" i="119"/>
  <c r="AV132" i="119" l="1"/>
  <c r="AW132" i="119"/>
  <c r="AU132" i="119"/>
  <c r="AB30" i="114"/>
  <c r="U40" i="119"/>
  <c r="T40" i="119"/>
  <c r="U36" i="119"/>
  <c r="T36" i="119"/>
  <c r="AV129" i="119"/>
  <c r="AW129" i="119"/>
  <c r="AU129" i="119"/>
  <c r="BC129" i="119"/>
  <c r="AW138" i="119" l="1"/>
  <c r="AU138" i="119"/>
  <c r="AV138" i="119"/>
  <c r="BC138" i="119"/>
  <c r="U46" i="119"/>
  <c r="T46" i="119"/>
  <c r="AD33" i="114" l="1"/>
  <c r="BX44" i="115" l="1"/>
  <c r="BY44" i="115" s="1"/>
  <c r="AC45" i="103"/>
  <c r="AC55" i="103"/>
  <c r="AG141" i="103" l="1"/>
  <c r="AD141" i="103" l="1"/>
  <c r="CY42" i="115"/>
  <c r="AD76" i="103"/>
  <c r="AD78" i="103"/>
  <c r="AC78" i="103"/>
  <c r="AC76" i="103"/>
  <c r="AD77" i="103"/>
  <c r="AC77" i="103"/>
  <c r="AE76" i="103" l="1"/>
  <c r="AE78" i="103"/>
  <c r="AE77" i="103"/>
  <c r="AF77" i="103"/>
  <c r="AC63" i="103"/>
  <c r="BR42" i="115"/>
  <c r="AD63" i="103"/>
  <c r="DA75" i="115" l="1"/>
  <c r="BS42" i="115"/>
  <c r="AC141" i="103"/>
  <c r="BX42" i="115"/>
  <c r="BY42" i="115" s="1"/>
  <c r="V35" i="114"/>
  <c r="AF76" i="103"/>
  <c r="AF78" i="103"/>
  <c r="AE63" i="103"/>
  <c r="W35" i="114"/>
  <c r="CB42" i="115"/>
  <c r="CC42" i="115" s="1"/>
  <c r="DE75" i="115" l="1"/>
  <c r="DC75" i="115"/>
  <c r="AE141" i="103"/>
  <c r="AC61" i="103"/>
  <c r="BD40" i="114"/>
  <c r="BD41" i="114"/>
  <c r="AM35" i="114"/>
  <c r="AC71" i="103"/>
  <c r="AC60" i="103"/>
  <c r="AC65" i="103" s="1"/>
  <c r="X35" i="114"/>
  <c r="CF42" i="115"/>
  <c r="CG42" i="115" s="1"/>
  <c r="AC70" i="103"/>
  <c r="AC59" i="103"/>
  <c r="AC64" i="103" s="1"/>
  <c r="AL35" i="114"/>
  <c r="BC40" i="114"/>
  <c r="BC44" i="114" s="1"/>
  <c r="BC41" i="114"/>
  <c r="AF63" i="103"/>
  <c r="AF141" i="103" l="1"/>
  <c r="BE40" i="114"/>
  <c r="BE41" i="114"/>
  <c r="AN35" i="114"/>
  <c r="AD59" i="103"/>
  <c r="AD64" i="103" s="1"/>
  <c r="AD70" i="103"/>
  <c r="Y35" i="114"/>
  <c r="AO35" i="114" s="1"/>
  <c r="CJ42" i="115"/>
  <c r="CK42" i="115" s="1"/>
  <c r="AD71" i="103"/>
  <c r="AD60" i="103"/>
  <c r="AD65" i="103" s="1"/>
  <c r="AC72" i="103"/>
  <c r="AC73" i="103" s="1"/>
  <c r="AO62" i="103"/>
  <c r="AO61" i="103"/>
  <c r="AC62" i="103"/>
  <c r="AD61" i="103"/>
  <c r="AD62" i="103" s="1"/>
  <c r="BD44" i="114"/>
  <c r="BE44" i="114" l="1"/>
  <c r="AE59" i="103"/>
  <c r="AE64" i="103" s="1"/>
  <c r="AE70" i="103"/>
  <c r="AE61" i="103"/>
  <c r="AE62" i="103" s="1"/>
  <c r="AE71" i="103"/>
  <c r="AE60" i="103"/>
  <c r="AE65" i="103" s="1"/>
  <c r="AD72" i="103"/>
  <c r="AD73" i="103" s="1"/>
  <c r="AE72" i="103" l="1"/>
  <c r="AE73" i="103" s="1"/>
  <c r="AF61" i="103"/>
  <c r="AF60" i="103"/>
  <c r="AF71" i="103"/>
  <c r="AF59" i="103"/>
  <c r="AF70" i="103"/>
  <c r="AF64" i="103" l="1"/>
  <c r="AG64" i="103"/>
  <c r="AF65" i="103"/>
  <c r="AG65" i="103"/>
  <c r="AF62" i="103"/>
  <c r="AG62" i="103"/>
  <c r="AF72" i="103"/>
  <c r="AF73" i="103" l="1"/>
  <c r="AG73" i="103"/>
  <c r="AC144" i="103" l="1"/>
  <c r="AD144" i="103" l="1"/>
  <c r="AF144" i="103" l="1"/>
  <c r="AE144" i="103"/>
  <c r="AG144" i="103" l="1"/>
  <c r="AH144" i="103"/>
  <c r="N20" i="119"/>
  <c r="T20" i="119"/>
  <c r="Q20" i="119"/>
  <c r="Q21" i="119" l="1"/>
  <c r="T21" i="119"/>
  <c r="N21" i="119"/>
  <c r="W19" i="119"/>
  <c r="W17" i="119"/>
  <c r="AA19" i="119" l="1"/>
  <c r="Z19" i="119"/>
  <c r="Z17" i="119"/>
  <c r="AA17" i="119"/>
  <c r="W14" i="119"/>
  <c r="U16" i="119"/>
  <c r="Q23" i="119"/>
  <c r="U15" i="119"/>
  <c r="U17" i="119"/>
  <c r="U14" i="119"/>
  <c r="L21" i="119"/>
  <c r="Z14" i="119" l="1"/>
  <c r="AA14" i="119"/>
  <c r="Z21" i="119"/>
  <c r="Z20" i="119"/>
  <c r="AA21" i="119"/>
  <c r="AA20" i="119"/>
  <c r="T15" i="119"/>
  <c r="N15" i="119"/>
  <c r="Q15" i="119"/>
  <c r="T14" i="119"/>
  <c r="Q14" i="119"/>
  <c r="Q16" i="119"/>
  <c r="T16" i="119"/>
  <c r="N16" i="119"/>
  <c r="T17" i="119"/>
  <c r="N17" i="119"/>
  <c r="Q17" i="119"/>
  <c r="Q51" i="119" l="1"/>
  <c r="N51" i="119"/>
  <c r="T51" i="119"/>
  <c r="AZ13" i="115" l="1"/>
  <c r="BA13" i="115" s="1"/>
  <c r="M5" i="117"/>
  <c r="U7" i="114"/>
  <c r="AK7" i="114" s="1"/>
  <c r="BR13" i="115"/>
  <c r="N16" i="117" l="1"/>
  <c r="BX13" i="115"/>
  <c r="BY13" i="115" s="1"/>
  <c r="N5" i="117"/>
  <c r="V7" i="114"/>
  <c r="AL7" i="114" s="1"/>
  <c r="BS13" i="115"/>
  <c r="DA58" i="115"/>
  <c r="T7" i="114"/>
  <c r="AJ7" i="114" s="1"/>
  <c r="T13" i="114"/>
  <c r="AJ13" i="114" s="1"/>
  <c r="BL13" i="115"/>
  <c r="BM13" i="115" s="1"/>
  <c r="M12" i="117"/>
  <c r="U13" i="114"/>
  <c r="AK13" i="114" s="1"/>
  <c r="CB13" i="115"/>
  <c r="CC13" i="115" s="1"/>
  <c r="O5" i="117"/>
  <c r="T5" i="117" s="1"/>
  <c r="W7" i="114"/>
  <c r="AM7" i="114" s="1"/>
  <c r="AB308" i="103"/>
  <c r="U10" i="114"/>
  <c r="AZ17" i="115"/>
  <c r="BA17" i="115" s="1"/>
  <c r="BR17" i="115"/>
  <c r="N9" i="116"/>
  <c r="N20" i="116" s="1"/>
  <c r="M9" i="117"/>
  <c r="M60" i="117" s="1"/>
  <c r="AB182" i="103"/>
  <c r="AB189" i="103" s="1"/>
  <c r="AB218" i="103"/>
  <c r="AB216" i="103" s="1"/>
  <c r="CX13" i="115" l="1"/>
  <c r="CY13" i="115" s="1"/>
  <c r="V18" i="114"/>
  <c r="AL18" i="114" s="1"/>
  <c r="BB9" i="114"/>
  <c r="AK10" i="114"/>
  <c r="BB8" i="114"/>
  <c r="DE58" i="115"/>
  <c r="DC58" i="115"/>
  <c r="T16" i="114"/>
  <c r="AJ16" i="114" s="1"/>
  <c r="CB218" i="103"/>
  <c r="T10" i="114"/>
  <c r="AJ10" i="114" s="1"/>
  <c r="BL17" i="115"/>
  <c r="BM17" i="115" s="1"/>
  <c r="N12" i="117"/>
  <c r="V13" i="114"/>
  <c r="AL13" i="114" s="1"/>
  <c r="W13" i="114"/>
  <c r="AM13" i="114" s="1"/>
  <c r="O12" i="117"/>
  <c r="U16" i="114"/>
  <c r="AK16" i="114" s="1"/>
  <c r="M15" i="117"/>
  <c r="BS17" i="115"/>
  <c r="DA62" i="115"/>
  <c r="CF13" i="115"/>
  <c r="CG13" i="115" s="1"/>
  <c r="P5" i="117"/>
  <c r="X7" i="114"/>
  <c r="AN7" i="114" s="1"/>
  <c r="BB28" i="114" l="1"/>
  <c r="BB14" i="114"/>
  <c r="BB15" i="114"/>
  <c r="BB29" i="114"/>
  <c r="CJ13" i="115"/>
  <c r="CK13" i="115" s="1"/>
  <c r="Q5" i="117"/>
  <c r="Y7" i="114"/>
  <c r="AO7" i="114" s="1"/>
  <c r="X13" i="114"/>
  <c r="AN13" i="114" s="1"/>
  <c r="P12" i="117"/>
  <c r="DC62" i="115"/>
  <c r="DE62" i="115"/>
  <c r="M32" i="117" l="1"/>
  <c r="AZ21" i="115"/>
  <c r="M19" i="117"/>
  <c r="U21" i="114"/>
  <c r="M26" i="117"/>
  <c r="Q12" i="117"/>
  <c r="Y13" i="114"/>
  <c r="AO13" i="114" s="1"/>
  <c r="BR21" i="115"/>
  <c r="BL21" i="115"/>
  <c r="T21" i="114"/>
  <c r="AK21" i="114" l="1"/>
  <c r="U27" i="114"/>
  <c r="AK27" i="114" s="1"/>
  <c r="V21" i="114"/>
  <c r="N19" i="117"/>
  <c r="N26" i="117"/>
  <c r="BX21" i="115"/>
  <c r="N32" i="117"/>
  <c r="AZ22" i="115"/>
  <c r="BA22" i="115" s="1"/>
  <c r="BA21" i="115"/>
  <c r="T27" i="114"/>
  <c r="AJ27" i="114" s="1"/>
  <c r="AJ21" i="114"/>
  <c r="BM21" i="115"/>
  <c r="BL22" i="115"/>
  <c r="BM22" i="115" s="1"/>
  <c r="DA64" i="115"/>
  <c r="BS21" i="115"/>
  <c r="BR22" i="115"/>
  <c r="V27" i="114" l="1"/>
  <c r="AL27" i="114" s="1"/>
  <c r="AL21" i="114"/>
  <c r="O26" i="117"/>
  <c r="T26" i="117" s="1"/>
  <c r="W21" i="114"/>
  <c r="CB21" i="115"/>
  <c r="O19" i="117"/>
  <c r="T19" i="117" s="1"/>
  <c r="O32" i="117"/>
  <c r="DA65" i="115"/>
  <c r="BS22" i="115"/>
  <c r="BY21" i="115"/>
  <c r="BX22" i="115"/>
  <c r="BY22" i="115" s="1"/>
  <c r="DC64" i="115"/>
  <c r="DE64" i="115"/>
  <c r="CX21" i="115" l="1"/>
  <c r="P32" i="117"/>
  <c r="X21" i="114"/>
  <c r="P19" i="117"/>
  <c r="CF21" i="115"/>
  <c r="P26" i="117"/>
  <c r="DC65" i="115"/>
  <c r="DE65" i="115"/>
  <c r="CC21" i="115"/>
  <c r="CB22" i="115"/>
  <c r="CC22" i="115" s="1"/>
  <c r="W27" i="114"/>
  <c r="AM27" i="114" s="1"/>
  <c r="AM21" i="114"/>
  <c r="CX22" i="115" l="1"/>
  <c r="CY22" i="115" s="1"/>
  <c r="CY21" i="115"/>
  <c r="CG21" i="115"/>
  <c r="CF22" i="115"/>
  <c r="CG22" i="115" s="1"/>
  <c r="X27" i="114"/>
  <c r="AN27" i="114" s="1"/>
  <c r="AN21" i="114"/>
  <c r="CJ21" i="115"/>
  <c r="Y21" i="114"/>
  <c r="Q32" i="117"/>
  <c r="Q26" i="117"/>
  <c r="Q19" i="117"/>
  <c r="CK21" i="115" l="1"/>
  <c r="CJ22" i="115"/>
  <c r="CK22" i="115" s="1"/>
  <c r="AO21" i="114"/>
  <c r="Y27" i="114"/>
  <c r="AO27" i="114" s="1"/>
  <c r="CE225" i="103" l="1"/>
  <c r="BR14" i="115" l="1"/>
  <c r="AA164" i="122"/>
  <c r="DA59" i="115" l="1"/>
  <c r="BS14" i="115"/>
  <c r="N6" i="117"/>
  <c r="BX14" i="115"/>
  <c r="BY14" i="115" s="1"/>
  <c r="V8" i="114"/>
  <c r="AL8" i="114" s="1"/>
  <c r="W8" i="114" l="1"/>
  <c r="AM8" i="114" s="1"/>
  <c r="AC164" i="122"/>
  <c r="DE59" i="115"/>
  <c r="DC59" i="115"/>
  <c r="W14" i="114"/>
  <c r="AM14" i="114" s="1"/>
  <c r="CB14" i="115"/>
  <c r="CC14" i="115" s="1"/>
  <c r="O6" i="117"/>
  <c r="T6" i="117" s="1"/>
  <c r="AB164" i="122"/>
  <c r="N13" i="117"/>
  <c r="V14" i="114"/>
  <c r="AL14" i="114" s="1"/>
  <c r="P6" i="117"/>
  <c r="CF14" i="115"/>
  <c r="CG14" i="115" s="1"/>
  <c r="X8" i="114"/>
  <c r="AN8" i="114" s="1"/>
  <c r="O13" i="117" l="1"/>
  <c r="X18" i="114"/>
  <c r="AN18" i="114" s="1"/>
  <c r="AP104" i="119"/>
  <c r="AX103" i="119"/>
  <c r="AW103" i="119"/>
  <c r="O16" i="117"/>
  <c r="W18" i="114"/>
  <c r="AM18" i="114" s="1"/>
  <c r="P13" i="117"/>
  <c r="X14" i="114"/>
  <c r="AN14" i="114" s="1"/>
  <c r="M20" i="117"/>
  <c r="AZ23" i="115"/>
  <c r="M27" i="117"/>
  <c r="U22" i="114"/>
  <c r="M33" i="117"/>
  <c r="Y18" i="114" l="1"/>
  <c r="AO18" i="114" s="1"/>
  <c r="Q16" i="117"/>
  <c r="BR23" i="115"/>
  <c r="DA66" i="115" s="1"/>
  <c r="P16" i="117"/>
  <c r="T22" i="114"/>
  <c r="T28" i="114" s="1"/>
  <c r="AJ28" i="114" s="1"/>
  <c r="AX104" i="119"/>
  <c r="AW104" i="119"/>
  <c r="BL23" i="115"/>
  <c r="BL24" i="115" s="1"/>
  <c r="BM24" i="115" s="1"/>
  <c r="AP106" i="119"/>
  <c r="AX105" i="119"/>
  <c r="AW105" i="119"/>
  <c r="U24" i="114"/>
  <c r="AZ28" i="115"/>
  <c r="M23" i="117"/>
  <c r="M62" i="117" s="1"/>
  <c r="M29" i="117"/>
  <c r="M35" i="117"/>
  <c r="AB225" i="103"/>
  <c r="N20" i="117"/>
  <c r="BX23" i="115"/>
  <c r="V22" i="114"/>
  <c r="N33" i="117"/>
  <c r="N27" i="117"/>
  <c r="CJ14" i="115"/>
  <c r="CK14" i="115" s="1"/>
  <c r="Q6" i="117"/>
  <c r="Y8" i="114"/>
  <c r="AO8" i="114" s="1"/>
  <c r="AK22" i="114"/>
  <c r="U28" i="114"/>
  <c r="AK28" i="114" s="1"/>
  <c r="AD164" i="122"/>
  <c r="BA23" i="115"/>
  <c r="AZ24" i="115"/>
  <c r="BA24" i="115" s="1"/>
  <c r="CB225" i="103" l="1"/>
  <c r="CB226" i="103" s="1"/>
  <c r="CX14" i="115"/>
  <c r="CY14" i="115" s="1"/>
  <c r="BS23" i="115"/>
  <c r="BR24" i="115"/>
  <c r="DA67" i="115" s="1"/>
  <c r="AE164" i="122"/>
  <c r="T24" i="114"/>
  <c r="T30" i="114" s="1"/>
  <c r="AJ30" i="114" s="1"/>
  <c r="BL28" i="115"/>
  <c r="BL30" i="115" s="1"/>
  <c r="BM30" i="115" s="1"/>
  <c r="BM23" i="115"/>
  <c r="AJ22" i="114"/>
  <c r="AP108" i="119"/>
  <c r="AX107" i="119"/>
  <c r="AW107" i="119"/>
  <c r="AX106" i="119"/>
  <c r="AW106" i="119"/>
  <c r="AB226" i="103"/>
  <c r="AB163" i="103"/>
  <c r="AB220" i="103"/>
  <c r="AB232" i="103"/>
  <c r="AB251" i="103"/>
  <c r="BA28" i="115"/>
  <c r="AZ34" i="115"/>
  <c r="BA34" i="115" s="1"/>
  <c r="AZ30" i="115"/>
  <c r="BA30" i="115" s="1"/>
  <c r="DE66" i="115"/>
  <c r="DC66" i="115"/>
  <c r="CB23" i="115"/>
  <c r="O20" i="117"/>
  <c r="T20" i="117" s="1"/>
  <c r="O33" i="117"/>
  <c r="W22" i="114"/>
  <c r="O27" i="117"/>
  <c r="T27" i="117" s="1"/>
  <c r="AK24" i="114"/>
  <c r="U33" i="114"/>
  <c r="AK33" i="114" s="1"/>
  <c r="U30" i="114"/>
  <c r="AK30" i="114" s="1"/>
  <c r="V28" i="114"/>
  <c r="AL28" i="114" s="1"/>
  <c r="AL22" i="114"/>
  <c r="Q13" i="117"/>
  <c r="Y14" i="114"/>
  <c r="AO14" i="114" s="1"/>
  <c r="BX24" i="115"/>
  <c r="BY24" i="115" s="1"/>
  <c r="BY23" i="115"/>
  <c r="CB251" i="103" l="1"/>
  <c r="CB256" i="103" s="1"/>
  <c r="CC256" i="103" s="1"/>
  <c r="CB232" i="103"/>
  <c r="CB233" i="103" s="1"/>
  <c r="N24" i="116"/>
  <c r="N21" i="116"/>
  <c r="BS24" i="115"/>
  <c r="T33" i="114"/>
  <c r="AJ33" i="114" s="1"/>
  <c r="AJ24" i="114"/>
  <c r="BL34" i="115"/>
  <c r="BM34" i="115" s="1"/>
  <c r="BM28" i="115"/>
  <c r="AX108" i="119"/>
  <c r="AW108" i="119"/>
  <c r="AB250" i="103"/>
  <c r="CB220" i="103"/>
  <c r="CB24" i="115"/>
  <c r="CC24" i="115" s="1"/>
  <c r="CC23" i="115"/>
  <c r="M41" i="117"/>
  <c r="AB263" i="103"/>
  <c r="AB311" i="103"/>
  <c r="AB320" i="103" s="1"/>
  <c r="AB256" i="103"/>
  <c r="DE67" i="115"/>
  <c r="DC67" i="115"/>
  <c r="P20" i="117"/>
  <c r="CF23" i="115"/>
  <c r="X22" i="114"/>
  <c r="P27" i="117"/>
  <c r="P33" i="117"/>
  <c r="W28" i="114"/>
  <c r="AM28" i="114" s="1"/>
  <c r="AM22" i="114"/>
  <c r="AB233" i="103"/>
  <c r="AB235" i="103"/>
  <c r="AB336" i="103"/>
  <c r="AB345" i="103" s="1"/>
  <c r="AB346" i="103" s="1"/>
  <c r="AB262" i="103" l="1"/>
  <c r="CB263" i="103"/>
  <c r="CB235" i="103"/>
  <c r="CB236" i="103" s="1"/>
  <c r="AB254" i="103"/>
  <c r="M52" i="117"/>
  <c r="M57" i="117" s="1"/>
  <c r="AB268" i="103"/>
  <c r="Q20" i="117"/>
  <c r="CJ23" i="115"/>
  <c r="Y22" i="114"/>
  <c r="Q33" i="117"/>
  <c r="Q27" i="117"/>
  <c r="X28" i="114"/>
  <c r="AN28" i="114" s="1"/>
  <c r="AN22" i="114"/>
  <c r="CG23" i="115"/>
  <c r="CF24" i="115"/>
  <c r="CG24" i="115" s="1"/>
  <c r="M44" i="117"/>
  <c r="AB321" i="103"/>
  <c r="AB323" i="103" s="1"/>
  <c r="AB332" i="103" s="1"/>
  <c r="AB331" i="103" s="1"/>
  <c r="AB322" i="103" s="1"/>
  <c r="AB137" i="103"/>
  <c r="AB236" i="103"/>
  <c r="AB161" i="103" s="1"/>
  <c r="N22" i="116"/>
  <c r="N23" i="116"/>
  <c r="AB267" i="103" l="1"/>
  <c r="L38" i="118"/>
  <c r="CX23" i="115"/>
  <c r="M53" i="117"/>
  <c r="N17" i="116"/>
  <c r="CB268" i="103"/>
  <c r="AE73" i="130" s="1"/>
  <c r="AB269" i="103"/>
  <c r="AB312" i="103"/>
  <c r="AB313" i="103" s="1"/>
  <c r="Y28" i="114"/>
  <c r="AO28" i="114" s="1"/>
  <c r="AO22" i="114"/>
  <c r="CK23" i="115"/>
  <c r="CJ24" i="115"/>
  <c r="CK24" i="115" s="1"/>
  <c r="AB326" i="103"/>
  <c r="AB327" i="103" s="1"/>
  <c r="AB140" i="103"/>
  <c r="AB213" i="103"/>
  <c r="AB210" i="103"/>
  <c r="CX24" i="115" l="1"/>
  <c r="CY24" i="115" s="1"/>
  <c r="CY23" i="115"/>
  <c r="AB328" i="103"/>
  <c r="AB329" i="103"/>
  <c r="AB162" i="103"/>
  <c r="AB134" i="103"/>
  <c r="AB158" i="103"/>
  <c r="U42" i="114"/>
  <c r="AK42" i="114" s="1"/>
  <c r="V42" i="114" l="1"/>
  <c r="AL42" i="114" s="1"/>
  <c r="W42" i="114" l="1"/>
  <c r="AM42" i="114" s="1"/>
  <c r="X42" i="114" l="1"/>
  <c r="AN42" i="114" s="1"/>
  <c r="Y42" i="114" l="1"/>
  <c r="AO42" i="114" s="1"/>
  <c r="ES62" i="103" l="1"/>
  <c r="ES61" i="103" l="1"/>
  <c r="CA61" i="103" s="1"/>
  <c r="CA62" i="103" s="1"/>
  <c r="AI42" i="115"/>
  <c r="AJ42" i="115" s="1"/>
  <c r="I35" i="114" l="1"/>
  <c r="K35" i="114" s="1"/>
  <c r="EW61" i="103"/>
  <c r="EW62" i="103"/>
  <c r="BL42" i="115"/>
  <c r="BM42" i="115" s="1"/>
  <c r="EU61" i="103"/>
  <c r="CB61" i="103" s="1"/>
  <c r="CB62" i="103" s="1"/>
  <c r="T35" i="114" s="1"/>
  <c r="AJ35" i="114" s="1"/>
  <c r="EU62" i="103"/>
  <c r="EX65" i="103" l="1"/>
  <c r="FB65" i="103"/>
  <c r="FA61" i="103"/>
  <c r="FA62" i="103"/>
  <c r="FA64" i="103"/>
  <c r="EW64" i="103"/>
  <c r="EU65" i="103" l="1"/>
  <c r="FB64" i="103"/>
  <c r="EX64" i="103"/>
  <c r="FA65" i="103"/>
  <c r="EW65" i="103"/>
  <c r="EU64" i="103"/>
  <c r="BX30" i="103" l="1"/>
  <c r="Z30" i="103" s="1"/>
  <c r="EV62" i="103"/>
  <c r="EV65" i="103"/>
  <c r="EV61" i="103"/>
  <c r="CC61" i="103" s="1"/>
  <c r="CC62" i="103" s="1"/>
  <c r="EV64" i="103"/>
  <c r="EZ61" i="103" l="1"/>
  <c r="CE61" i="103" s="1"/>
  <c r="CE62" i="103" s="1"/>
  <c r="EY65" i="103"/>
  <c r="EY64" i="103"/>
  <c r="EZ62" i="103" l="1"/>
  <c r="FC64" i="103"/>
  <c r="EY61" i="103"/>
  <c r="CD61" i="103" s="1"/>
  <c r="CD62" i="103" s="1"/>
  <c r="EY62" i="103"/>
  <c r="EZ65" i="103"/>
  <c r="FC65" i="103"/>
  <c r="FC61" i="103" l="1"/>
  <c r="CF61" i="103" s="1"/>
  <c r="CF62" i="103" s="1"/>
  <c r="FC62" i="103"/>
  <c r="EZ64" i="103"/>
  <c r="AF44" i="130"/>
  <c r="AH70" i="130" s="1"/>
  <c r="AF16" i="130"/>
  <c r="AF29" i="130" s="1"/>
  <c r="AH16" i="130"/>
  <c r="CE218" i="103" s="1"/>
  <c r="CE226" i="103" s="1"/>
  <c r="N8" i="117"/>
  <c r="BX16" i="115"/>
  <c r="BY16" i="115" s="1"/>
  <c r="AF13" i="130"/>
  <c r="CZ13" i="130" s="1" a="1"/>
  <c r="CZ13" i="130" s="1"/>
  <c r="DA13" i="130" s="1"/>
  <c r="DB13" i="130" s="1"/>
  <c r="DC13" i="130" s="1"/>
  <c r="O9" i="116"/>
  <c r="BX17" i="115"/>
  <c r="N9" i="117"/>
  <c r="AC218" i="103"/>
  <c r="AC216" i="103" s="1"/>
  <c r="V10" i="114"/>
  <c r="BC8" i="114" s="1"/>
  <c r="BC28" i="114" s="1"/>
  <c r="AA22" i="122"/>
  <c r="DQ40" i="131" s="1"/>
  <c r="DQ66" i="131" s="1"/>
  <c r="AA41" i="122"/>
  <c r="M4" i="118" s="1"/>
  <c r="AA16" i="122"/>
  <c r="AA39" i="122"/>
  <c r="AB8" i="122"/>
  <c r="DY13" i="131" s="1"/>
  <c r="BY17" i="115" l="1"/>
  <c r="BX18" i="115"/>
  <c r="DY26" i="131"/>
  <c r="DR13" i="131"/>
  <c r="DR26" i="131" s="1"/>
  <c r="DW13" i="131"/>
  <c r="DW26" i="131" s="1"/>
  <c r="DV13" i="131"/>
  <c r="DV26" i="131" s="1"/>
  <c r="DS13" i="131"/>
  <c r="DS26" i="131" s="1"/>
  <c r="DT13" i="131"/>
  <c r="DT26" i="131" s="1"/>
  <c r="DX13" i="131"/>
  <c r="DX26" i="131" s="1"/>
  <c r="DU13" i="131"/>
  <c r="DU26" i="131" s="1"/>
  <c r="AA23" i="122"/>
  <c r="AC181" i="103"/>
  <c r="AA166" i="122"/>
  <c r="AA175" i="122" s="1"/>
  <c r="AA165" i="122"/>
  <c r="AA170" i="122"/>
  <c r="AA171" i="122"/>
  <c r="AA173" i="122"/>
  <c r="M3" i="118"/>
  <c r="AB9" i="122"/>
  <c r="AB15" i="122"/>
  <c r="AA49" i="122"/>
  <c r="AA18" i="123" s="1"/>
  <c r="AA62" i="123"/>
  <c r="CZ16" i="130" a="1"/>
  <c r="CZ16" i="130" s="1"/>
  <c r="CZ29" i="130" s="1"/>
  <c r="DD16" i="130" a="1"/>
  <c r="DD16" i="130" s="1"/>
  <c r="B2" i="128"/>
  <c r="AA20" i="123"/>
  <c r="CC218" i="103"/>
  <c r="CC222" i="103" s="1"/>
  <c r="CE222" i="103" s="1"/>
  <c r="CF222" i="103" s="1"/>
  <c r="AH29" i="130"/>
  <c r="AG16" i="130"/>
  <c r="CD218" i="103" s="1"/>
  <c r="AH57" i="130"/>
  <c r="AG13" i="130"/>
  <c r="AF57" i="130"/>
  <c r="AF70" i="130"/>
  <c r="CC225" i="103"/>
  <c r="N15" i="117"/>
  <c r="V16" i="114"/>
  <c r="AL16" i="114" s="1"/>
  <c r="CB16" i="115"/>
  <c r="CC16" i="115" s="1"/>
  <c r="O8" i="117"/>
  <c r="AA27" i="124"/>
  <c r="AA62" i="122"/>
  <c r="M14" i="118" s="1"/>
  <c r="AA58" i="122"/>
  <c r="M12" i="118" s="1"/>
  <c r="AA53" i="122"/>
  <c r="M10" i="118" s="1"/>
  <c r="AA45" i="122"/>
  <c r="AA42" i="122"/>
  <c r="AA47" i="122"/>
  <c r="M7" i="118" s="1"/>
  <c r="AA60" i="122"/>
  <c r="M13" i="118" s="1"/>
  <c r="AA55" i="122"/>
  <c r="AA43" i="122"/>
  <c r="AA5" i="124"/>
  <c r="AA28" i="124"/>
  <c r="AA132" i="123" s="1"/>
  <c r="AA7" i="124"/>
  <c r="AC8" i="122"/>
  <c r="AC15" i="122" s="1"/>
  <c r="AA95" i="122"/>
  <c r="N22" i="117"/>
  <c r="BX27" i="115"/>
  <c r="BY27" i="115" s="1"/>
  <c r="AF41" i="130"/>
  <c r="AG41" i="130" s="1"/>
  <c r="BR27" i="115"/>
  <c r="BS27" i="115" s="1"/>
  <c r="BC9" i="114"/>
  <c r="AL10" i="114"/>
  <c r="BC14" i="114"/>
  <c r="DQ43" i="131" l="1"/>
  <c r="DQ56" i="131" s="1"/>
  <c r="O11" i="116"/>
  <c r="N23" i="117"/>
  <c r="AA57" i="122"/>
  <c r="AA191" i="122"/>
  <c r="AA133" i="123"/>
  <c r="AA190" i="122"/>
  <c r="BR28" i="115"/>
  <c r="BR30" i="115" s="1"/>
  <c r="AA29" i="122"/>
  <c r="N29" i="117" s="1"/>
  <c r="V24" i="114"/>
  <c r="V30" i="114" s="1"/>
  <c r="AL30" i="114" s="1"/>
  <c r="AA35" i="122"/>
  <c r="N35" i="117" s="1"/>
  <c r="AI16" i="130"/>
  <c r="AI29" i="130" s="1"/>
  <c r="DY16" i="131"/>
  <c r="AG44" i="130"/>
  <c r="AG70" i="130" s="1"/>
  <c r="AC225" i="103"/>
  <c r="AC226" i="103" s="1"/>
  <c r="BX28" i="115"/>
  <c r="M43" i="118"/>
  <c r="AA130" i="123"/>
  <c r="AB115" i="123"/>
  <c r="AB124" i="123"/>
  <c r="AB117" i="123"/>
  <c r="DL43" i="131"/>
  <c r="DL72" i="131" s="1"/>
  <c r="AB183" i="122"/>
  <c r="AB166" i="122" s="1"/>
  <c r="AA167" i="122"/>
  <c r="AA176" i="122" s="1"/>
  <c r="AA182" i="122"/>
  <c r="AA185" i="122" s="1"/>
  <c r="AC183" i="103" s="1"/>
  <c r="AA169" i="122"/>
  <c r="M59" i="118"/>
  <c r="M42" i="118"/>
  <c r="M6" i="118"/>
  <c r="M109" i="118"/>
  <c r="M11" i="118"/>
  <c r="AB22" i="122"/>
  <c r="AA59" i="123"/>
  <c r="M107" i="118"/>
  <c r="CB17" i="115"/>
  <c r="AB39" i="122"/>
  <c r="P9" i="116"/>
  <c r="O9" i="117"/>
  <c r="T9" i="117" s="1"/>
  <c r="AD218" i="103"/>
  <c r="AD216" i="103" s="1"/>
  <c r="AB16" i="122"/>
  <c r="W16" i="114" s="1"/>
  <c r="AM16" i="114" s="1"/>
  <c r="AB41" i="122"/>
  <c r="N4" i="118" s="1"/>
  <c r="W10" i="114"/>
  <c r="AM10" i="114" s="1"/>
  <c r="M8" i="118"/>
  <c r="AA40" i="123"/>
  <c r="AC157" i="103"/>
  <c r="AC317" i="103"/>
  <c r="AC339" i="103" s="1"/>
  <c r="AA60" i="123"/>
  <c r="AA80" i="123" s="1"/>
  <c r="AA18" i="124"/>
  <c r="AA83" i="123"/>
  <c r="AA82" i="123"/>
  <c r="DD29" i="130"/>
  <c r="AG29" i="130"/>
  <c r="CD222" i="103"/>
  <c r="CC226" i="103"/>
  <c r="M5" i="118"/>
  <c r="AA51" i="122"/>
  <c r="AA69" i="124"/>
  <c r="N59" i="117"/>
  <c r="N60" i="117" s="1"/>
  <c r="AC180" i="103"/>
  <c r="AA35" i="124"/>
  <c r="AC229" i="103"/>
  <c r="N56" i="117"/>
  <c r="AA6" i="123"/>
  <c r="M29" i="118"/>
  <c r="AC258" i="103"/>
  <c r="AA15" i="124"/>
  <c r="M49" i="118" s="1"/>
  <c r="AA53" i="123"/>
  <c r="BC15" i="114"/>
  <c r="BC29" i="114"/>
  <c r="AH13" i="130"/>
  <c r="CF16" i="115"/>
  <c r="CG16" i="115" s="1"/>
  <c r="P8" i="117"/>
  <c r="AC9" i="122"/>
  <c r="AD8" i="122"/>
  <c r="CR16" i="115" s="1"/>
  <c r="CS16" i="115" s="1"/>
  <c r="AC228" i="103"/>
  <c r="AA5" i="123"/>
  <c r="DQ69" i="131" l="1"/>
  <c r="BX30" i="115"/>
  <c r="BY30" i="115" s="1"/>
  <c r="BX29" i="115"/>
  <c r="CC17" i="115"/>
  <c r="CB18" i="115"/>
  <c r="AA192" i="122"/>
  <c r="DQ71" i="131" s="1"/>
  <c r="DP71" i="131" s="1"/>
  <c r="CF218" i="103"/>
  <c r="DA71" i="115"/>
  <c r="DC71" i="115" s="1"/>
  <c r="BS28" i="115"/>
  <c r="AC220" i="103"/>
  <c r="AL24" i="114"/>
  <c r="CD225" i="103"/>
  <c r="CD226" i="103" s="1"/>
  <c r="AG57" i="130"/>
  <c r="BY28" i="115"/>
  <c r="DL69" i="131"/>
  <c r="DT69" i="131"/>
  <c r="DY29" i="131"/>
  <c r="DT16" i="131"/>
  <c r="DS16" i="131"/>
  <c r="DS29" i="131" s="1"/>
  <c r="DX16" i="131"/>
  <c r="DW16" i="131"/>
  <c r="DW29" i="131" s="1"/>
  <c r="DV16" i="131"/>
  <c r="DV29" i="131" s="1"/>
  <c r="DU16" i="131"/>
  <c r="DU29" i="131" s="1"/>
  <c r="DR16" i="131"/>
  <c r="DR29" i="131" s="1"/>
  <c r="CB27" i="115"/>
  <c r="CC27" i="115" s="1"/>
  <c r="DY40" i="131"/>
  <c r="DL56" i="131"/>
  <c r="AB175" i="122"/>
  <c r="DP40" i="131"/>
  <c r="AB119" i="123"/>
  <c r="AA134" i="123"/>
  <c r="AA131" i="123"/>
  <c r="AC183" i="122"/>
  <c r="AC166" i="122" s="1"/>
  <c r="AC117" i="123"/>
  <c r="AC124" i="123"/>
  <c r="AC115" i="123"/>
  <c r="AB62" i="123"/>
  <c r="AB82" i="123" s="1"/>
  <c r="AB170" i="122"/>
  <c r="AB171" i="122"/>
  <c r="AB165" i="122"/>
  <c r="AB173" i="122"/>
  <c r="AA168" i="122"/>
  <c r="AA177" i="122"/>
  <c r="O22" i="117"/>
  <c r="AB23" i="122"/>
  <c r="AD181" i="103"/>
  <c r="M142" i="118"/>
  <c r="M51" i="118"/>
  <c r="M65" i="118"/>
  <c r="M64" i="118" s="1"/>
  <c r="N3" i="118"/>
  <c r="AA64" i="122"/>
  <c r="M94" i="118"/>
  <c r="AA106" i="123"/>
  <c r="M95" i="118"/>
  <c r="AA107" i="123"/>
  <c r="AB47" i="122"/>
  <c r="N7" i="118" s="1"/>
  <c r="AA66" i="123"/>
  <c r="AA81" i="123" s="1"/>
  <c r="AA19" i="124" s="1"/>
  <c r="M52" i="118" s="1"/>
  <c r="M129" i="118"/>
  <c r="AB20" i="123"/>
  <c r="C2" i="128"/>
  <c r="C3" i="128" s="1"/>
  <c r="O15" i="117"/>
  <c r="AB95" i="122"/>
  <c r="AB7" i="124"/>
  <c r="AB43" i="122"/>
  <c r="AB62" i="122"/>
  <c r="N14" i="118" s="1"/>
  <c r="AB53" i="122"/>
  <c r="N10" i="118" s="1"/>
  <c r="BD9" i="114"/>
  <c r="BD29" i="114" s="1"/>
  <c r="AB58" i="122"/>
  <c r="N12" i="118" s="1"/>
  <c r="BD8" i="114"/>
  <c r="BD14" i="114" s="1"/>
  <c r="AB49" i="122"/>
  <c r="N8" i="118" s="1"/>
  <c r="AB45" i="122"/>
  <c r="AB42" i="122"/>
  <c r="AB5" i="124"/>
  <c r="AB60" i="122"/>
  <c r="N13" i="118" s="1"/>
  <c r="AB28" i="124"/>
  <c r="AB27" i="124"/>
  <c r="AB55" i="122"/>
  <c r="CN16" i="115"/>
  <c r="CO16" i="115" s="1"/>
  <c r="AD15" i="122"/>
  <c r="AA47" i="123"/>
  <c r="AA64" i="123"/>
  <c r="AB83" i="123"/>
  <c r="AC306" i="103"/>
  <c r="AC307" i="103" s="1"/>
  <c r="AC305" i="103" s="1"/>
  <c r="AC230" i="103"/>
  <c r="CC230" i="103" s="1"/>
  <c r="CC232" i="103" s="1"/>
  <c r="AA14" i="123"/>
  <c r="P9" i="117"/>
  <c r="Q9" i="116"/>
  <c r="AC16" i="122"/>
  <c r="AE218" i="103"/>
  <c r="AE216" i="103" s="1"/>
  <c r="CF17" i="115"/>
  <c r="X10" i="114"/>
  <c r="AC39" i="122"/>
  <c r="AC41" i="122"/>
  <c r="O4" i="118" s="1"/>
  <c r="AA52" i="122"/>
  <c r="M9" i="118"/>
  <c r="AC195" i="103"/>
  <c r="AC199" i="103" s="1"/>
  <c r="AC182" i="103"/>
  <c r="AA34" i="124"/>
  <c r="AC186" i="103"/>
  <c r="DA72" i="115"/>
  <c r="BS30" i="115"/>
  <c r="DE71" i="115"/>
  <c r="AC232" i="103"/>
  <c r="AC147" i="103"/>
  <c r="DD13" i="130" a="1"/>
  <c r="DD13" i="130" s="1"/>
  <c r="DE13" i="130" s="1"/>
  <c r="DF13" i="130" s="1"/>
  <c r="AI13" i="130"/>
  <c r="AC22" i="122"/>
  <c r="AD157" i="103"/>
  <c r="Q8" i="117"/>
  <c r="CJ16" i="115"/>
  <c r="CK16" i="115" s="1"/>
  <c r="CX16" i="115"/>
  <c r="CY16" i="115" s="1"/>
  <c r="AE8" i="122"/>
  <c r="AE15" i="122" s="1"/>
  <c r="AD9" i="122"/>
  <c r="CD258" i="103"/>
  <c r="CE258" i="103" s="1"/>
  <c r="AC259" i="103"/>
  <c r="AC143" i="103"/>
  <c r="CG17" i="115" l="1"/>
  <c r="CF18" i="115"/>
  <c r="AA22" i="124"/>
  <c r="AB29" i="122"/>
  <c r="O29" i="117" s="1"/>
  <c r="T29" i="117" s="1"/>
  <c r="P11" i="116"/>
  <c r="DQ72" i="131"/>
  <c r="AB57" i="122"/>
  <c r="AB191" i="122"/>
  <c r="AB190" i="122"/>
  <c r="W24" i="114"/>
  <c r="AM24" i="114" s="1"/>
  <c r="AD225" i="103"/>
  <c r="AD220" i="103" s="1"/>
  <c r="DY66" i="131"/>
  <c r="DX40" i="131"/>
  <c r="DX66" i="131" s="1"/>
  <c r="DX29" i="131"/>
  <c r="O23" i="117"/>
  <c r="T23" i="117" s="1"/>
  <c r="DY43" i="131"/>
  <c r="DT29" i="131"/>
  <c r="DT56" i="131"/>
  <c r="AI44" i="130"/>
  <c r="AI57" i="130" s="1"/>
  <c r="DP43" i="131"/>
  <c r="DP66" i="131"/>
  <c r="AA70" i="122"/>
  <c r="M15" i="118"/>
  <c r="AA73" i="122"/>
  <c r="M19" i="118" s="1"/>
  <c r="AB35" i="122"/>
  <c r="O35" i="117" s="1"/>
  <c r="CB28" i="115"/>
  <c r="AB169" i="122"/>
  <c r="AB177" i="122" s="1"/>
  <c r="AB133" i="123"/>
  <c r="AC119" i="123"/>
  <c r="AD183" i="122"/>
  <c r="AD166" i="122" s="1"/>
  <c r="AD124" i="123"/>
  <c r="AD115" i="123"/>
  <c r="AD117" i="123"/>
  <c r="AB132" i="123"/>
  <c r="AD143" i="103" s="1"/>
  <c r="AD228" i="103"/>
  <c r="AB130" i="123"/>
  <c r="AC175" i="122"/>
  <c r="AB167" i="122"/>
  <c r="AB176" i="122" s="1"/>
  <c r="AB182" i="122"/>
  <c r="AB185" i="122" s="1"/>
  <c r="AD183" i="103" s="1"/>
  <c r="AA65" i="122"/>
  <c r="AC165" i="122"/>
  <c r="AC171" i="122"/>
  <c r="AC170" i="122"/>
  <c r="AC173" i="122"/>
  <c r="AD317" i="103"/>
  <c r="AD339" i="103" s="1"/>
  <c r="AA72" i="123"/>
  <c r="AA71" i="123"/>
  <c r="AA73" i="123" s="1"/>
  <c r="AA74" i="123" s="1"/>
  <c r="AC184" i="103" s="1"/>
  <c r="M103" i="118"/>
  <c r="M102" i="118" s="1"/>
  <c r="N11" i="118"/>
  <c r="N6" i="118"/>
  <c r="N5" i="118"/>
  <c r="AB15" i="124"/>
  <c r="N49" i="118" s="1"/>
  <c r="M136" i="118"/>
  <c r="M135" i="118" s="1"/>
  <c r="AA109" i="123"/>
  <c r="AB53" i="123"/>
  <c r="AD258" i="103"/>
  <c r="CF258" i="103" s="1"/>
  <c r="N29" i="118"/>
  <c r="AB69" i="124"/>
  <c r="C10" i="133" s="1"/>
  <c r="N59" i="118"/>
  <c r="AB60" i="123"/>
  <c r="AB80" i="123" s="1"/>
  <c r="N109" i="118"/>
  <c r="O56" i="117"/>
  <c r="T56" i="117" s="1"/>
  <c r="N42" i="118"/>
  <c r="N43" i="118"/>
  <c r="AB5" i="123"/>
  <c r="AD180" i="103"/>
  <c r="AD182" i="103" s="1"/>
  <c r="AB18" i="123"/>
  <c r="BD15" i="114"/>
  <c r="AB35" i="124"/>
  <c r="AB40" i="123"/>
  <c r="AB6" i="123"/>
  <c r="O59" i="117"/>
  <c r="T59" i="117" s="1"/>
  <c r="BD28" i="114"/>
  <c r="AD229" i="103"/>
  <c r="AB51" i="122"/>
  <c r="AC20" i="123"/>
  <c r="O3" i="118"/>
  <c r="AC62" i="123"/>
  <c r="AC308" i="103"/>
  <c r="AD306" i="103"/>
  <c r="AD307" i="103" s="1"/>
  <c r="AD308" i="103" s="1"/>
  <c r="AC136" i="103"/>
  <c r="N55" i="117"/>
  <c r="AC200" i="103"/>
  <c r="Q9" i="117"/>
  <c r="AF218" i="103"/>
  <c r="AF216" i="103" s="1"/>
  <c r="R9" i="116"/>
  <c r="CJ17" i="115"/>
  <c r="CJ18" i="115" s="1"/>
  <c r="Y10" i="114"/>
  <c r="AO10" i="114" s="1"/>
  <c r="AD16" i="122"/>
  <c r="AD39" i="122"/>
  <c r="AD41" i="122"/>
  <c r="P4" i="118" s="1"/>
  <c r="AC299" i="103"/>
  <c r="AC146" i="103"/>
  <c r="AE9" i="122"/>
  <c r="AF8" i="122"/>
  <c r="AF15" i="122" s="1"/>
  <c r="AC336" i="103"/>
  <c r="AC235" i="103"/>
  <c r="AC233" i="103"/>
  <c r="CC233" i="103"/>
  <c r="CC235" i="103"/>
  <c r="CC236" i="103" s="1"/>
  <c r="DE72" i="115"/>
  <c r="DC72" i="115"/>
  <c r="AC55" i="122"/>
  <c r="AC27" i="124"/>
  <c r="AC45" i="122"/>
  <c r="AC58" i="122"/>
  <c r="O12" i="118" s="1"/>
  <c r="AC42" i="122"/>
  <c r="AC7" i="124"/>
  <c r="AC60" i="122"/>
  <c r="O13" i="118" s="1"/>
  <c r="AC43" i="122"/>
  <c r="AC62" i="122"/>
  <c r="O14" i="118" s="1"/>
  <c r="AC47" i="122"/>
  <c r="O7" i="118" s="1"/>
  <c r="AC53" i="122"/>
  <c r="O10" i="118" s="1"/>
  <c r="AC5" i="124"/>
  <c r="AC49" i="122"/>
  <c r="AC28" i="124"/>
  <c r="CF27" i="115"/>
  <c r="CG27" i="115" s="1"/>
  <c r="P22" i="117"/>
  <c r="AH41" i="130"/>
  <c r="AI41" i="130" s="1"/>
  <c r="AD22" i="122"/>
  <c r="AC23" i="122"/>
  <c r="Q11" i="116" s="1"/>
  <c r="CD230" i="103"/>
  <c r="CD232" i="103" s="1"/>
  <c r="AE181" i="103"/>
  <c r="X16" i="114"/>
  <c r="AN16" i="114" s="1"/>
  <c r="P15" i="117"/>
  <c r="AC150" i="103"/>
  <c r="AC95" i="122"/>
  <c r="D2" i="128"/>
  <c r="D3" i="128" s="1"/>
  <c r="AC325" i="103"/>
  <c r="N46" i="117"/>
  <c r="N50" i="117" s="1"/>
  <c r="AN10" i="114"/>
  <c r="BE9" i="114"/>
  <c r="BE8" i="114"/>
  <c r="AC198" i="103"/>
  <c r="AC197" i="103"/>
  <c r="AC196" i="103"/>
  <c r="AC201" i="103"/>
  <c r="AD147" i="103"/>
  <c r="CB30" i="115" l="1"/>
  <c r="CC30" i="115" s="1"/>
  <c r="CB29" i="115"/>
  <c r="AA71" i="122"/>
  <c r="AC57" i="122"/>
  <c r="CF225" i="103"/>
  <c r="CF226" i="103" s="1"/>
  <c r="AD226" i="103"/>
  <c r="W30" i="114"/>
  <c r="AM30" i="114" s="1"/>
  <c r="AB192" i="122"/>
  <c r="AC190" i="122"/>
  <c r="AC191" i="122"/>
  <c r="DP72" i="131"/>
  <c r="M17" i="118"/>
  <c r="AA189" i="122"/>
  <c r="AA193" i="122" s="1"/>
  <c r="O10" i="116" s="1"/>
  <c r="AI70" i="130"/>
  <c r="AA74" i="122"/>
  <c r="DX43" i="131"/>
  <c r="DX56" i="131" s="1"/>
  <c r="DY69" i="131"/>
  <c r="DY56" i="131"/>
  <c r="AA102" i="123"/>
  <c r="DP56" i="131"/>
  <c r="DP69" i="131"/>
  <c r="CC28" i="115"/>
  <c r="AB168" i="122"/>
  <c r="AC169" i="122"/>
  <c r="AC177" i="122" s="1"/>
  <c r="AE124" i="123"/>
  <c r="AE115" i="123"/>
  <c r="AE117" i="123"/>
  <c r="AB134" i="123"/>
  <c r="AC132" i="123"/>
  <c r="O43" i="118"/>
  <c r="AC133" i="123"/>
  <c r="AD232" i="103"/>
  <c r="AD336" i="103" s="1"/>
  <c r="AC130" i="123"/>
  <c r="AB131" i="123"/>
  <c r="AD119" i="123"/>
  <c r="AD175" i="122"/>
  <c r="AC167" i="122"/>
  <c r="AC176" i="122" s="1"/>
  <c r="AC182" i="122"/>
  <c r="AC185" i="122" s="1"/>
  <c r="AE183" i="103" s="1"/>
  <c r="CN17" i="115"/>
  <c r="AE183" i="122"/>
  <c r="AE166" i="122" s="1"/>
  <c r="AD170" i="122"/>
  <c r="AD165" i="122"/>
  <c r="AD171" i="122"/>
  <c r="AD173" i="122"/>
  <c r="N65" i="118"/>
  <c r="N64" i="118" s="1"/>
  <c r="N142" i="118"/>
  <c r="O6" i="118"/>
  <c r="O11" i="118"/>
  <c r="O42" i="118"/>
  <c r="O59" i="118"/>
  <c r="N9" i="118"/>
  <c r="O5" i="118"/>
  <c r="AC53" i="123"/>
  <c r="AB34" i="124"/>
  <c r="O60" i="117"/>
  <c r="N95" i="118"/>
  <c r="AB107" i="123"/>
  <c r="AD259" i="103"/>
  <c r="AD325" i="103" s="1"/>
  <c r="N94" i="118"/>
  <c r="AB106" i="123"/>
  <c r="AB59" i="123"/>
  <c r="AB64" i="123" s="1"/>
  <c r="N107" i="118"/>
  <c r="AB66" i="123"/>
  <c r="AB71" i="123" s="1"/>
  <c r="N129" i="118"/>
  <c r="AC60" i="123"/>
  <c r="AC80" i="123" s="1"/>
  <c r="O109" i="118"/>
  <c r="AD186" i="103"/>
  <c r="AB18" i="124"/>
  <c r="AB14" i="123"/>
  <c r="AB52" i="122"/>
  <c r="AB64" i="122"/>
  <c r="AD230" i="103"/>
  <c r="CE230" i="103" s="1"/>
  <c r="CE232" i="103" s="1"/>
  <c r="AB47" i="123"/>
  <c r="AD20" i="123"/>
  <c r="P3" i="118"/>
  <c r="AD62" i="123"/>
  <c r="AD305" i="103"/>
  <c r="AC83" i="123"/>
  <c r="AC82" i="123"/>
  <c r="AC40" i="123"/>
  <c r="AC18" i="123"/>
  <c r="AC156" i="103"/>
  <c r="AC160" i="103" s="1"/>
  <c r="AD45" i="122"/>
  <c r="AD42" i="122"/>
  <c r="AD58" i="122"/>
  <c r="P12" i="118" s="1"/>
  <c r="AD62" i="122"/>
  <c r="P14" i="118" s="1"/>
  <c r="AD60" i="122"/>
  <c r="P13" i="118" s="1"/>
  <c r="AD55" i="122"/>
  <c r="AD53" i="122"/>
  <c r="P10" i="118" s="1"/>
  <c r="AD47" i="122"/>
  <c r="P7" i="118" s="1"/>
  <c r="AD5" i="124"/>
  <c r="AD43" i="122"/>
  <c r="AD27" i="124"/>
  <c r="AD7" i="124"/>
  <c r="AD28" i="124"/>
  <c r="AD49" i="122"/>
  <c r="CD233" i="103"/>
  <c r="CD235" i="103"/>
  <c r="CD236" i="103" s="1"/>
  <c r="AD95" i="122"/>
  <c r="E2" i="128"/>
  <c r="E3" i="128" s="1"/>
  <c r="AE228" i="103"/>
  <c r="CK17" i="115"/>
  <c r="P56" i="117"/>
  <c r="AE229" i="103"/>
  <c r="AC236" i="103"/>
  <c r="AC161" i="103" s="1"/>
  <c r="AC303" i="103"/>
  <c r="AC301" i="103"/>
  <c r="AC300" i="103"/>
  <c r="AC302" i="103"/>
  <c r="AF181" i="103"/>
  <c r="AD146" i="103"/>
  <c r="AD299" i="103"/>
  <c r="BE14" i="114"/>
  <c r="BE28" i="114"/>
  <c r="P23" i="117"/>
  <c r="AC35" i="122"/>
  <c r="P35" i="117" s="1"/>
  <c r="X24" i="114"/>
  <c r="CF28" i="115"/>
  <c r="CF29" i="115" s="1"/>
  <c r="AC29" i="122"/>
  <c r="P29" i="117" s="1"/>
  <c r="AC51" i="122"/>
  <c r="AE225" i="103"/>
  <c r="P59" i="117"/>
  <c r="P60" i="117" s="1"/>
  <c r="AC69" i="124"/>
  <c r="D10" i="133" s="1"/>
  <c r="AE180" i="103"/>
  <c r="AE182" i="103" s="1"/>
  <c r="AC35" i="124"/>
  <c r="BE29" i="114"/>
  <c r="BE15" i="114"/>
  <c r="AE317" i="103"/>
  <c r="AE339" i="103" s="1"/>
  <c r="Q22" i="117"/>
  <c r="CJ27" i="115"/>
  <c r="CK27" i="115" s="1"/>
  <c r="AE22" i="122"/>
  <c r="AD23" i="122"/>
  <c r="R11" i="116" s="1"/>
  <c r="O8" i="118"/>
  <c r="AF9" i="122"/>
  <c r="CR17" i="115" s="1"/>
  <c r="AC6" i="123"/>
  <c r="AE258" i="103"/>
  <c r="AE259" i="103" s="1"/>
  <c r="O29" i="118"/>
  <c r="AC15" i="124"/>
  <c r="O49" i="118" s="1"/>
  <c r="AC5" i="123"/>
  <c r="S9" i="116"/>
  <c r="AG218" i="103"/>
  <c r="AG216" i="103" s="1"/>
  <c r="AE16" i="122"/>
  <c r="AE39" i="122"/>
  <c r="CX17" i="115"/>
  <c r="AE41" i="122"/>
  <c r="Q4" i="118" s="1"/>
  <c r="AE157" i="103"/>
  <c r="Y16" i="114"/>
  <c r="AO16" i="114" s="1"/>
  <c r="Q15" i="117"/>
  <c r="CO17" i="115" l="1"/>
  <c r="CN18" i="115"/>
  <c r="CS17" i="115"/>
  <c r="CR18" i="115"/>
  <c r="DY71" i="131"/>
  <c r="DT71" i="131" s="1"/>
  <c r="DT72" i="131" s="1"/>
  <c r="C8" i="133"/>
  <c r="M20" i="118"/>
  <c r="AA72" i="124"/>
  <c r="B4" i="128"/>
  <c r="CN27" i="115"/>
  <c r="CO27" i="115" s="1"/>
  <c r="AC192" i="122"/>
  <c r="D8" i="133" s="1"/>
  <c r="AD191" i="122"/>
  <c r="AD57" i="122"/>
  <c r="AD190" i="122"/>
  <c r="AA194" i="122"/>
  <c r="AA96" i="123"/>
  <c r="DX69" i="131"/>
  <c r="AD235" i="103"/>
  <c r="AD236" i="103" s="1"/>
  <c r="AD161" i="103" s="1"/>
  <c r="AB73" i="122"/>
  <c r="N19" i="118" s="1"/>
  <c r="N15" i="118"/>
  <c r="AD233" i="103"/>
  <c r="AD132" i="123"/>
  <c r="AF183" i="122"/>
  <c r="AF166" i="122" s="1"/>
  <c r="AF124" i="123"/>
  <c r="AF115" i="123"/>
  <c r="AF117" i="123"/>
  <c r="AD133" i="123"/>
  <c r="AD169" i="122"/>
  <c r="AE119" i="123"/>
  <c r="AC134" i="123"/>
  <c r="P43" i="118"/>
  <c r="AD130" i="123"/>
  <c r="AC131" i="123"/>
  <c r="AD167" i="122"/>
  <c r="AD176" i="122" s="1"/>
  <c r="AD182" i="122"/>
  <c r="AD185" i="122" s="1"/>
  <c r="AF183" i="103" s="1"/>
  <c r="AE175" i="122"/>
  <c r="AC168" i="122"/>
  <c r="AE170" i="122"/>
  <c r="AE171" i="122"/>
  <c r="AE165" i="122"/>
  <c r="AE173" i="122"/>
  <c r="P42" i="118"/>
  <c r="N51" i="118"/>
  <c r="P11" i="118"/>
  <c r="P6" i="118"/>
  <c r="O65" i="118"/>
  <c r="O64" i="118" s="1"/>
  <c r="P59" i="118"/>
  <c r="AC64" i="122"/>
  <c r="AC65" i="122" s="1"/>
  <c r="O46" i="117"/>
  <c r="O50" i="117" s="1"/>
  <c r="P5" i="118"/>
  <c r="N103" i="118"/>
  <c r="N102" i="118" s="1"/>
  <c r="O142" i="118"/>
  <c r="AB73" i="123"/>
  <c r="AB74" i="123" s="1"/>
  <c r="AD184" i="103" s="1"/>
  <c r="O95" i="118"/>
  <c r="AC107" i="123"/>
  <c r="O94" i="118"/>
  <c r="AC106" i="123"/>
  <c r="N136" i="118"/>
  <c r="N135" i="118" s="1"/>
  <c r="AB109" i="123"/>
  <c r="AC59" i="123"/>
  <c r="AC64" i="123" s="1"/>
  <c r="O107" i="118"/>
  <c r="AC66" i="123"/>
  <c r="O129" i="118"/>
  <c r="AD60" i="123"/>
  <c r="AD80" i="123" s="1"/>
  <c r="P109" i="118"/>
  <c r="AB72" i="123"/>
  <c r="AB81" i="123"/>
  <c r="AB19" i="124" s="1"/>
  <c r="N52" i="118" s="1"/>
  <c r="AB65" i="122"/>
  <c r="AB70" i="122"/>
  <c r="AD150" i="103"/>
  <c r="AD156" i="103" s="1"/>
  <c r="AD160" i="103" s="1"/>
  <c r="AE20" i="123"/>
  <c r="Q3" i="118"/>
  <c r="AE62" i="123"/>
  <c r="AC47" i="123"/>
  <c r="AC18" i="124"/>
  <c r="AD82" i="123"/>
  <c r="AD83" i="123"/>
  <c r="AE306" i="103"/>
  <c r="AE307" i="103" s="1"/>
  <c r="AE305" i="103" s="1"/>
  <c r="AD18" i="123"/>
  <c r="AD40" i="123"/>
  <c r="AF157" i="103"/>
  <c r="CF230" i="103"/>
  <c r="CF232" i="103" s="1"/>
  <c r="CF235" i="103" s="1"/>
  <c r="CF236" i="103" s="1"/>
  <c r="AC298" i="103"/>
  <c r="AF228" i="103"/>
  <c r="AF229" i="103"/>
  <c r="Q56" i="117"/>
  <c r="Q23" i="117"/>
  <c r="AD29" i="122"/>
  <c r="Q29" i="117" s="1"/>
  <c r="CJ28" i="115"/>
  <c r="CJ29" i="115" s="1"/>
  <c r="AD35" i="122"/>
  <c r="Q35" i="117" s="1"/>
  <c r="Y24" i="114"/>
  <c r="AD51" i="122"/>
  <c r="AF225" i="103"/>
  <c r="AD303" i="103"/>
  <c r="AD302" i="103"/>
  <c r="AD301" i="103"/>
  <c r="AD300" i="103"/>
  <c r="P29" i="118"/>
  <c r="AD15" i="124"/>
  <c r="P49" i="118" s="1"/>
  <c r="AF258" i="103"/>
  <c r="AF259" i="103" s="1"/>
  <c r="AE58" i="122"/>
  <c r="Q12" i="118" s="1"/>
  <c r="AE62" i="122"/>
  <c r="Q14" i="118" s="1"/>
  <c r="AE47" i="122"/>
  <c r="Q7" i="118" s="1"/>
  <c r="AE49" i="122"/>
  <c r="AE45" i="122"/>
  <c r="AE53" i="122"/>
  <c r="Q10" i="118" s="1"/>
  <c r="AE42" i="122"/>
  <c r="AE60" i="122"/>
  <c r="Q13" i="118" s="1"/>
  <c r="AE27" i="124"/>
  <c r="AE55" i="122"/>
  <c r="AE43" i="122"/>
  <c r="AE7" i="124"/>
  <c r="AE5" i="124"/>
  <c r="AE28" i="124"/>
  <c r="AC14" i="123"/>
  <c r="AD5" i="123"/>
  <c r="P8" i="118"/>
  <c r="AE325" i="103"/>
  <c r="P46" i="117"/>
  <c r="P50" i="117" s="1"/>
  <c r="AD6" i="123"/>
  <c r="O9" i="118"/>
  <c r="AC52" i="122"/>
  <c r="CE233" i="103"/>
  <c r="CE235" i="103"/>
  <c r="CE236" i="103" s="1"/>
  <c r="AE230" i="103"/>
  <c r="AE95" i="122"/>
  <c r="F2" i="128"/>
  <c r="F3" i="128" s="1"/>
  <c r="AE143" i="103"/>
  <c r="CG28" i="115"/>
  <c r="CF30" i="115"/>
  <c r="CG30" i="115" s="1"/>
  <c r="AE147" i="103"/>
  <c r="AN24" i="114"/>
  <c r="X30" i="114"/>
  <c r="AN30" i="114" s="1"/>
  <c r="AF317" i="103"/>
  <c r="AF339" i="103" s="1"/>
  <c r="AE146" i="103"/>
  <c r="AE299" i="103"/>
  <c r="AG181" i="103"/>
  <c r="CX27" i="115"/>
  <c r="CY27" i="115" s="1"/>
  <c r="AE23" i="122"/>
  <c r="S11" i="116" s="1"/>
  <c r="AF22" i="122"/>
  <c r="AF16" i="122"/>
  <c r="T9" i="116"/>
  <c r="AF39" i="122"/>
  <c r="AH218" i="103"/>
  <c r="AH216" i="103" s="1"/>
  <c r="AF41" i="122"/>
  <c r="AE232" i="103"/>
  <c r="AE226" i="103"/>
  <c r="AE220" i="103"/>
  <c r="CX18" i="115"/>
  <c r="CY17" i="115"/>
  <c r="AC34" i="124"/>
  <c r="AE186" i="103"/>
  <c r="AD35" i="124"/>
  <c r="AF180" i="103"/>
  <c r="AF182" i="103" s="1"/>
  <c r="AD69" i="124"/>
  <c r="E10" i="133" s="1"/>
  <c r="Q59" i="117"/>
  <c r="Q60" i="117" s="1"/>
  <c r="AD53" i="123"/>
  <c r="DX71" i="131" l="1"/>
  <c r="DX72" i="131" s="1"/>
  <c r="AB22" i="124"/>
  <c r="C9" i="133" s="1"/>
  <c r="DY72" i="131"/>
  <c r="C26" i="129"/>
  <c r="AC289" i="103"/>
  <c r="AC288" i="103" s="1"/>
  <c r="AF23" i="122"/>
  <c r="CR27" i="115"/>
  <c r="CS27" i="115" s="1"/>
  <c r="CN28" i="115"/>
  <c r="AD192" i="122"/>
  <c r="E8" i="133" s="1"/>
  <c r="AE190" i="122"/>
  <c r="AE57" i="122"/>
  <c r="R3" i="118"/>
  <c r="AE191" i="122"/>
  <c r="R4" i="118"/>
  <c r="AC70" i="122"/>
  <c r="AC189" i="122" s="1"/>
  <c r="AC193" i="122" s="1"/>
  <c r="N17" i="118"/>
  <c r="AB189" i="122"/>
  <c r="AB193" i="122" s="1"/>
  <c r="P10" i="116" s="1"/>
  <c r="O15" i="118"/>
  <c r="AC73" i="122"/>
  <c r="O19" i="118" s="1"/>
  <c r="AD168" i="122"/>
  <c r="AD177" i="122"/>
  <c r="AE169" i="122"/>
  <c r="AE177" i="122" s="1"/>
  <c r="AE130" i="123"/>
  <c r="AD131" i="123"/>
  <c r="AD134" i="123"/>
  <c r="AF119" i="123"/>
  <c r="Q43" i="118"/>
  <c r="AE133" i="123"/>
  <c r="AE132" i="123"/>
  <c r="AE167" i="122"/>
  <c r="AE176" i="122" s="1"/>
  <c r="AE182" i="122"/>
  <c r="AE185" i="122" s="1"/>
  <c r="AG183" i="103" s="1"/>
  <c r="AB102" i="123"/>
  <c r="AB74" i="122"/>
  <c r="AF171" i="122"/>
  <c r="AF170" i="122"/>
  <c r="AF165" i="122"/>
  <c r="AF173" i="122"/>
  <c r="AF175" i="122"/>
  <c r="Q11" i="118"/>
  <c r="Q59" i="118"/>
  <c r="P65" i="118"/>
  <c r="P64" i="118" s="1"/>
  <c r="Q42" i="118"/>
  <c r="P142" i="118"/>
  <c r="O51" i="118"/>
  <c r="AF20" i="123"/>
  <c r="O103" i="118"/>
  <c r="O102" i="118" s="1"/>
  <c r="Q5" i="118"/>
  <c r="Q6" i="118"/>
  <c r="AC72" i="123"/>
  <c r="AC81" i="123"/>
  <c r="AC19" i="124" s="1"/>
  <c r="O52" i="118" s="1"/>
  <c r="AC71" i="123"/>
  <c r="AC73" i="123" s="1"/>
  <c r="AC74" i="123" s="1"/>
  <c r="AE184" i="103" s="1"/>
  <c r="P94" i="118"/>
  <c r="AD106" i="123"/>
  <c r="P95" i="118"/>
  <c r="AD107" i="123"/>
  <c r="O136" i="118"/>
  <c r="O135" i="118" s="1"/>
  <c r="AC109" i="123"/>
  <c r="AD136" i="103"/>
  <c r="AD66" i="123"/>
  <c r="AD81" i="123" s="1"/>
  <c r="AD19" i="124" s="1"/>
  <c r="P52" i="118" s="1"/>
  <c r="P129" i="118"/>
  <c r="AD59" i="123"/>
  <c r="AD64" i="123" s="1"/>
  <c r="P107" i="118"/>
  <c r="AE60" i="123"/>
  <c r="AE80" i="123" s="1"/>
  <c r="Q109" i="118"/>
  <c r="O55" i="117"/>
  <c r="T55" i="117" s="1"/>
  <c r="AB71" i="122"/>
  <c r="I74" i="119"/>
  <c r="N74" i="119" s="1"/>
  <c r="AF62" i="123"/>
  <c r="AD47" i="123"/>
  <c r="AD18" i="124"/>
  <c r="AE308" i="103"/>
  <c r="AE83" i="123"/>
  <c r="AE82" i="123"/>
  <c r="AF306" i="103"/>
  <c r="AF307" i="103" s="1"/>
  <c r="AF308" i="103" s="1"/>
  <c r="AG157" i="103"/>
  <c r="Q8" i="118"/>
  <c r="AE18" i="123"/>
  <c r="AE40" i="123"/>
  <c r="CF233" i="103"/>
  <c r="AD298" i="103"/>
  <c r="AD289" i="103" s="1"/>
  <c r="AD288" i="103" s="1"/>
  <c r="I64" i="119" a="1"/>
  <c r="I64" i="119" s="1"/>
  <c r="N64" i="119" s="1"/>
  <c r="AE53" i="123"/>
  <c r="AD14" i="123"/>
  <c r="AE5" i="123"/>
  <c r="AE6" i="123"/>
  <c r="AF147" i="103"/>
  <c r="AF143" i="103"/>
  <c r="CJ30" i="115"/>
  <c r="CK30" i="115" s="1"/>
  <c r="CK28" i="115"/>
  <c r="AE29" i="122"/>
  <c r="AE35" i="122"/>
  <c r="AE51" i="122"/>
  <c r="CX28" i="115"/>
  <c r="AG225" i="103"/>
  <c r="AG180" i="103"/>
  <c r="AG182" i="103" s="1"/>
  <c r="AE69" i="124"/>
  <c r="F10" i="133" s="1"/>
  <c r="AE35" i="124"/>
  <c r="AH181" i="103"/>
  <c r="AG317" i="103"/>
  <c r="AG339" i="103" s="1"/>
  <c r="AF299" i="103"/>
  <c r="AF146" i="103"/>
  <c r="AF226" i="103"/>
  <c r="AF232" i="103"/>
  <c r="AF220" i="103"/>
  <c r="AF230" i="103"/>
  <c r="AE336" i="103"/>
  <c r="AE235" i="103"/>
  <c r="AE233" i="103"/>
  <c r="AE300" i="103"/>
  <c r="AE302" i="103"/>
  <c r="AE303" i="103"/>
  <c r="AE301" i="103"/>
  <c r="AO24" i="114"/>
  <c r="Y30" i="114"/>
  <c r="AO30" i="114" s="1"/>
  <c r="AG228" i="103"/>
  <c r="AF325" i="103"/>
  <c r="Q46" i="117"/>
  <c r="Q50" i="117" s="1"/>
  <c r="AF45" i="122"/>
  <c r="AF5" i="124"/>
  <c r="AF43" i="122"/>
  <c r="AF53" i="122"/>
  <c r="R10" i="118" s="1"/>
  <c r="AF28" i="124"/>
  <c r="AF27" i="124"/>
  <c r="AF62" i="122"/>
  <c r="R14" i="118" s="1"/>
  <c r="AF42" i="122"/>
  <c r="AF58" i="122"/>
  <c r="R12" i="118" s="1"/>
  <c r="AF49" i="122"/>
  <c r="R8" i="118" s="1"/>
  <c r="AF47" i="122"/>
  <c r="R7" i="118" s="1"/>
  <c r="AF55" i="122"/>
  <c r="AF7" i="124"/>
  <c r="AF60" i="122"/>
  <c r="R13" i="118" s="1"/>
  <c r="I65" i="119" a="1"/>
  <c r="I65" i="119" s="1"/>
  <c r="N65" i="119" s="1"/>
  <c r="I70" i="119"/>
  <c r="I76" i="119"/>
  <c r="I63" i="119" a="1"/>
  <c r="I63" i="119" s="1"/>
  <c r="N63" i="119" s="1"/>
  <c r="I72" i="119"/>
  <c r="AE150" i="103"/>
  <c r="AE156" i="103" s="1"/>
  <c r="I67" i="119"/>
  <c r="N67" i="119" s="1"/>
  <c r="AF186" i="103"/>
  <c r="AD34" i="124"/>
  <c r="AF95" i="122"/>
  <c r="G2" i="128"/>
  <c r="AE15" i="124"/>
  <c r="Q49" i="118" s="1"/>
  <c r="Q29" i="118"/>
  <c r="AG258" i="103"/>
  <c r="AG259" i="103" s="1"/>
  <c r="AG325" i="103" s="1"/>
  <c r="I81" i="119"/>
  <c r="N81" i="119" s="1"/>
  <c r="AG229" i="103"/>
  <c r="P9" i="118"/>
  <c r="AD52" i="122"/>
  <c r="AD64" i="122"/>
  <c r="CN30" i="115" l="1"/>
  <c r="CO30" i="115" s="1"/>
  <c r="CN29" i="115"/>
  <c r="AD22" i="124"/>
  <c r="E9" i="133" s="1"/>
  <c r="AC22" i="124"/>
  <c r="D9" i="133" s="1"/>
  <c r="CR28" i="115"/>
  <c r="T11" i="116"/>
  <c r="AC194" i="122"/>
  <c r="Q10" i="116"/>
  <c r="AC341" i="103"/>
  <c r="AC345" i="103" s="1"/>
  <c r="AC346" i="103" s="1"/>
  <c r="O31" i="116"/>
  <c r="O30" i="116" s="1"/>
  <c r="AB72" i="124"/>
  <c r="C4" i="128"/>
  <c r="C5" i="133" s="1"/>
  <c r="AF35" i="122"/>
  <c r="AH225" i="103"/>
  <c r="AF29" i="122"/>
  <c r="CO28" i="115"/>
  <c r="AE192" i="122"/>
  <c r="F8" i="133" s="1"/>
  <c r="AF57" i="122"/>
  <c r="R5" i="118"/>
  <c r="AC102" i="123"/>
  <c r="AC96" i="123"/>
  <c r="AC71" i="122"/>
  <c r="O17" i="118"/>
  <c r="R29" i="118"/>
  <c r="R6" i="118"/>
  <c r="AC74" i="122"/>
  <c r="R42" i="118"/>
  <c r="AF190" i="122"/>
  <c r="AB194" i="122"/>
  <c r="AB96" i="123"/>
  <c r="R43" i="118"/>
  <c r="AF191" i="122"/>
  <c r="R109" i="118"/>
  <c r="R11" i="118"/>
  <c r="P15" i="118"/>
  <c r="AD73" i="122"/>
  <c r="P19" i="118" s="1"/>
  <c r="R59" i="118"/>
  <c r="N20" i="118"/>
  <c r="AH228" i="103"/>
  <c r="AE134" i="123"/>
  <c r="AF133" i="123"/>
  <c r="AE168" i="122"/>
  <c r="AF132" i="123"/>
  <c r="AH143" i="103" s="1"/>
  <c r="AF130" i="123"/>
  <c r="AE131" i="123"/>
  <c r="AF167" i="122"/>
  <c r="AF176" i="122" s="1"/>
  <c r="AF182" i="122"/>
  <c r="AF185" i="122" s="1"/>
  <c r="AH183" i="103" s="1"/>
  <c r="AF169" i="122"/>
  <c r="AF60" i="123"/>
  <c r="AF80" i="123" s="1"/>
  <c r="P103" i="118"/>
  <c r="P102" i="118" s="1"/>
  <c r="AH229" i="103"/>
  <c r="Q142" i="118"/>
  <c r="P51" i="118"/>
  <c r="Q65" i="118"/>
  <c r="Q64" i="118" s="1"/>
  <c r="P55" i="117"/>
  <c r="AE136" i="103"/>
  <c r="AD71" i="123"/>
  <c r="AD73" i="123" s="1"/>
  <c r="AD74" i="123" s="1"/>
  <c r="AF184" i="103" s="1"/>
  <c r="P136" i="118"/>
  <c r="P135" i="118" s="1"/>
  <c r="AD109" i="123"/>
  <c r="Q94" i="118"/>
  <c r="AE106" i="123"/>
  <c r="Q95" i="118"/>
  <c r="AE107" i="123"/>
  <c r="AE59" i="123"/>
  <c r="AE64" i="123" s="1"/>
  <c r="Q107" i="118"/>
  <c r="AD72" i="123"/>
  <c r="AE66" i="123"/>
  <c r="AE71" i="123" s="1"/>
  <c r="Q129" i="118"/>
  <c r="AE47" i="123"/>
  <c r="AF305" i="103"/>
  <c r="AE18" i="124"/>
  <c r="AF82" i="123"/>
  <c r="AH306" i="103"/>
  <c r="AF83" i="123"/>
  <c r="AF18" i="123"/>
  <c r="R107" i="118" s="1"/>
  <c r="AF40" i="123"/>
  <c r="R129" i="118" s="1"/>
  <c r="AD341" i="103"/>
  <c r="AD345" i="103" s="1"/>
  <c r="AD346" i="103" s="1"/>
  <c r="P31" i="116"/>
  <c r="P30" i="116" s="1"/>
  <c r="Q55" i="117"/>
  <c r="AF136" i="103"/>
  <c r="AE298" i="103"/>
  <c r="AF51" i="122"/>
  <c r="AF15" i="124"/>
  <c r="R49" i="118" s="1"/>
  <c r="AH258" i="103"/>
  <c r="AH259" i="103" s="1"/>
  <c r="AH325" i="103" s="1"/>
  <c r="AF300" i="103"/>
  <c r="AF301" i="103"/>
  <c r="AF303" i="103"/>
  <c r="AF302" i="103"/>
  <c r="AG143" i="103"/>
  <c r="AF6" i="123"/>
  <c r="R95" i="118" s="1"/>
  <c r="AE14" i="123"/>
  <c r="AF5" i="123"/>
  <c r="R94" i="118" s="1"/>
  <c r="AH147" i="103"/>
  <c r="AH180" i="103"/>
  <c r="AH182" i="103" s="1"/>
  <c r="AF35" i="124"/>
  <c r="AF69" i="124"/>
  <c r="G10" i="133" s="1"/>
  <c r="AF233" i="103"/>
  <c r="AF336" i="103"/>
  <c r="AF235" i="103"/>
  <c r="I73" i="119"/>
  <c r="N73" i="119" s="1"/>
  <c r="N72" i="119"/>
  <c r="N76" i="119"/>
  <c r="I77" i="119"/>
  <c r="N77" i="119" s="1"/>
  <c r="AF150" i="103"/>
  <c r="AF156" i="103" s="1"/>
  <c r="AE236" i="103"/>
  <c r="AE161" i="103" s="1"/>
  <c r="I75" i="119"/>
  <c r="N75" i="119" s="1"/>
  <c r="AG147" i="103"/>
  <c r="AH317" i="103"/>
  <c r="AH339" i="103" s="1"/>
  <c r="CX30" i="115"/>
  <c r="CY30" i="115" s="1"/>
  <c r="CY28" i="115"/>
  <c r="AE52" i="122"/>
  <c r="Q9" i="118"/>
  <c r="AE64" i="122"/>
  <c r="AE34" i="124"/>
  <c r="AG186" i="103"/>
  <c r="AE160" i="103"/>
  <c r="AH157" i="103"/>
  <c r="AG230" i="103"/>
  <c r="AD65" i="122"/>
  <c r="AD70" i="122"/>
  <c r="AD189" i="122" s="1"/>
  <c r="AD193" i="122" s="1"/>
  <c r="G3" i="128"/>
  <c r="H2" i="128"/>
  <c r="I71" i="119"/>
  <c r="N71" i="119" s="1"/>
  <c r="N70" i="119"/>
  <c r="AG226" i="103"/>
  <c r="AG232" i="103"/>
  <c r="AG220" i="103"/>
  <c r="AF53" i="123"/>
  <c r="CR30" i="115" l="1"/>
  <c r="CS30" i="115" s="1"/>
  <c r="CR29" i="115"/>
  <c r="CS28" i="115"/>
  <c r="C7" i="133"/>
  <c r="C11" i="133" s="1"/>
  <c r="O8" i="133"/>
  <c r="AD194" i="122"/>
  <c r="R10" i="116"/>
  <c r="C5" i="128"/>
  <c r="AE289" i="103"/>
  <c r="AE288" i="103" s="1"/>
  <c r="AC72" i="124"/>
  <c r="D4" i="128"/>
  <c r="D5" i="133" s="1"/>
  <c r="D7" i="133" s="1"/>
  <c r="D11" i="133" s="1"/>
  <c r="AH220" i="103"/>
  <c r="AH226" i="103"/>
  <c r="AF64" i="122"/>
  <c r="AH230" i="103"/>
  <c r="O20" i="118"/>
  <c r="R9" i="118"/>
  <c r="AF192" i="122"/>
  <c r="G8" i="133" s="1"/>
  <c r="AF168" i="122"/>
  <c r="R65" i="118"/>
  <c r="R64" i="118" s="1"/>
  <c r="AD74" i="122"/>
  <c r="P17" i="118"/>
  <c r="R142" i="118"/>
  <c r="Q15" i="118"/>
  <c r="AE73" i="122"/>
  <c r="Q19" i="118" s="1"/>
  <c r="AF134" i="123"/>
  <c r="AF177" i="122"/>
  <c r="AF131" i="123"/>
  <c r="AH232" i="103"/>
  <c r="AH336" i="103" s="1"/>
  <c r="AF66" i="123"/>
  <c r="AF71" i="123" s="1"/>
  <c r="AF59" i="123"/>
  <c r="AF64" i="123" s="1"/>
  <c r="AF52" i="122"/>
  <c r="AF106" i="123"/>
  <c r="Q103" i="118"/>
  <c r="Q102" i="118" s="1"/>
  <c r="Q51" i="118"/>
  <c r="AD102" i="123"/>
  <c r="Q136" i="118"/>
  <c r="Q135" i="118" s="1"/>
  <c r="AE109" i="123"/>
  <c r="AF107" i="123"/>
  <c r="AE81" i="123"/>
  <c r="AE19" i="124" s="1"/>
  <c r="Q52" i="118" s="1"/>
  <c r="AE72" i="123"/>
  <c r="AF47" i="123"/>
  <c r="R136" i="118" s="1"/>
  <c r="R135" i="118" s="1"/>
  <c r="D15" i="116"/>
  <c r="AF18" i="124"/>
  <c r="AG306" i="103"/>
  <c r="AG307" i="103" s="1"/>
  <c r="AH307" i="103" s="1"/>
  <c r="AF14" i="123"/>
  <c r="R103" i="118" s="1"/>
  <c r="R102" i="118" s="1"/>
  <c r="AF298" i="103"/>
  <c r="AF289" i="103" s="1"/>
  <c r="AF288" i="103" s="1"/>
  <c r="AG150" i="103"/>
  <c r="AD71" i="122"/>
  <c r="AF34" i="124"/>
  <c r="AH186" i="103"/>
  <c r="AF160" i="103"/>
  <c r="AE73" i="123"/>
  <c r="AE74" i="123" s="1"/>
  <c r="AG184" i="103" s="1"/>
  <c r="AF236" i="103"/>
  <c r="AF161" i="103" s="1"/>
  <c r="AG146" i="103"/>
  <c r="AG299" i="103"/>
  <c r="AG235" i="103"/>
  <c r="AG236" i="103" s="1"/>
  <c r="AG161" i="103" s="1"/>
  <c r="AG233" i="103"/>
  <c r="AG336" i="103"/>
  <c r="AD96" i="123"/>
  <c r="AE65" i="122"/>
  <c r="AE70" i="122"/>
  <c r="AE189" i="122" s="1"/>
  <c r="AE193" i="122" s="1"/>
  <c r="D15" i="133" l="1"/>
  <c r="D16" i="129"/>
  <c r="D15" i="129" s="1"/>
  <c r="R51" i="118"/>
  <c r="AE22" i="124"/>
  <c r="F9" i="133" s="1"/>
  <c r="AE194" i="122"/>
  <c r="S10" i="116"/>
  <c r="AE341" i="103"/>
  <c r="AE345" i="103" s="1"/>
  <c r="AE346" i="103" s="1"/>
  <c r="D5" i="128"/>
  <c r="D22" i="116"/>
  <c r="Q31" i="116"/>
  <c r="Q30" i="116" s="1"/>
  <c r="AD72" i="124"/>
  <c r="E4" i="128"/>
  <c r="E5" i="133" s="1"/>
  <c r="E7" i="133" s="1"/>
  <c r="E11" i="133" s="1"/>
  <c r="AH233" i="103"/>
  <c r="AH235" i="103"/>
  <c r="AH236" i="103" s="1"/>
  <c r="AH161" i="103" s="1"/>
  <c r="AF81" i="123"/>
  <c r="AF19" i="124" s="1"/>
  <c r="R52" i="118" s="1"/>
  <c r="AE74" i="122"/>
  <c r="Q17" i="118"/>
  <c r="P20" i="118"/>
  <c r="R15" i="118"/>
  <c r="AF73" i="122"/>
  <c r="R19" i="118" s="1"/>
  <c r="AF72" i="123"/>
  <c r="AG136" i="103"/>
  <c r="AH150" i="103"/>
  <c r="AF109" i="123"/>
  <c r="AE102" i="123"/>
  <c r="AH305" i="103"/>
  <c r="AH308" i="103"/>
  <c r="AG305" i="103"/>
  <c r="AG308" i="103"/>
  <c r="AF70" i="122"/>
  <c r="AF189" i="122" s="1"/>
  <c r="AF193" i="122" s="1"/>
  <c r="T10" i="116" s="1"/>
  <c r="AG156" i="103"/>
  <c r="AG160" i="103" s="1"/>
  <c r="R31" i="116"/>
  <c r="R30" i="116" s="1"/>
  <c r="AF65" i="122"/>
  <c r="AF73" i="123"/>
  <c r="AF74" i="123" s="1"/>
  <c r="AH184" i="103" s="1"/>
  <c r="AF341" i="103"/>
  <c r="AF345" i="103" s="1"/>
  <c r="AF346" i="103" s="1"/>
  <c r="AH146" i="103"/>
  <c r="AH299" i="103"/>
  <c r="AE71" i="122"/>
  <c r="AE96" i="123"/>
  <c r="AG303" i="103"/>
  <c r="AG301" i="103"/>
  <c r="AG300" i="103"/>
  <c r="AG302" i="103"/>
  <c r="E16" i="129" l="1"/>
  <c r="E15" i="129" s="1"/>
  <c r="D12" i="133"/>
  <c r="E15" i="133"/>
  <c r="AF22" i="124"/>
  <c r="G9" i="133" s="1"/>
  <c r="E5" i="128"/>
  <c r="H11" i="116"/>
  <c r="AE72" i="124"/>
  <c r="F4" i="128"/>
  <c r="F5" i="133" s="1"/>
  <c r="F7" i="133" s="1"/>
  <c r="F11" i="133" s="1"/>
  <c r="AF194" i="122"/>
  <c r="AF96" i="123"/>
  <c r="AH136" i="103"/>
  <c r="AF74" i="122"/>
  <c r="R17" i="118"/>
  <c r="Q20" i="118"/>
  <c r="AH156" i="103"/>
  <c r="AH160" i="103" s="1"/>
  <c r="AF71" i="122"/>
  <c r="AF102" i="123"/>
  <c r="AG298" i="103"/>
  <c r="AH300" i="103"/>
  <c r="AH301" i="103"/>
  <c r="AH302" i="103"/>
  <c r="AH303" i="103"/>
  <c r="F15" i="133" l="1"/>
  <c r="F16" i="129"/>
  <c r="F15" i="129" s="1"/>
  <c r="E12" i="133"/>
  <c r="F5" i="128"/>
  <c r="AG289" i="103"/>
  <c r="AG288" i="103" s="1"/>
  <c r="AF72" i="124"/>
  <c r="G4" i="128"/>
  <c r="G5" i="133" s="1"/>
  <c r="G7" i="133" s="1"/>
  <c r="G11" i="133" s="1"/>
  <c r="R20" i="118"/>
  <c r="AH298" i="103"/>
  <c r="AH289" i="103" s="1"/>
  <c r="AH288" i="103" s="1"/>
  <c r="G15" i="133" l="1"/>
  <c r="G16" i="129"/>
  <c r="G15" i="129" s="1"/>
  <c r="F12" i="133"/>
  <c r="AG341" i="103"/>
  <c r="AG345" i="103" s="1"/>
  <c r="AG346" i="103" s="1"/>
  <c r="S31" i="116"/>
  <c r="S30" i="116" s="1"/>
  <c r="H4" i="128"/>
  <c r="C3" i="129" s="1"/>
  <c r="H15" i="129" s="1"/>
  <c r="I15" i="129" s="1"/>
  <c r="J15" i="129" s="1"/>
  <c r="G5" i="128"/>
  <c r="AH341" i="103"/>
  <c r="AH345" i="103" s="1"/>
  <c r="AH346" i="103" s="1"/>
  <c r="T31" i="116"/>
  <c r="T30" i="116" s="1"/>
  <c r="H16" i="129" l="1"/>
  <c r="G12" i="133"/>
  <c r="H12" i="133" s="1"/>
  <c r="I19" i="129"/>
  <c r="K15" i="129"/>
  <c r="J19" i="129"/>
  <c r="I12" i="133" l="1"/>
  <c r="J12" i="133" s="1"/>
  <c r="K12" i="133" s="1"/>
  <c r="H11" i="133"/>
  <c r="L15" i="129"/>
  <c r="K19" i="129"/>
  <c r="H15" i="133" l="1"/>
  <c r="I11" i="133"/>
  <c r="M15" i="129"/>
  <c r="L19" i="129"/>
  <c r="I15" i="133" l="1"/>
  <c r="J11" i="133"/>
  <c r="N15" i="129"/>
  <c r="M19" i="129" s="1"/>
  <c r="K11" i="133" l="1"/>
  <c r="J15" i="133"/>
  <c r="K15" i="133" l="1"/>
  <c r="L11" i="133"/>
  <c r="AA120" i="122"/>
  <c r="AA76" i="122" s="1"/>
  <c r="D37" i="133" l="1"/>
  <c r="D38" i="133" s="1"/>
  <c r="L15" i="133"/>
  <c r="M15" i="133" s="1"/>
  <c r="D36" i="133" s="1"/>
  <c r="AC244" i="103"/>
  <c r="AC243" i="103" s="1"/>
  <c r="AC138" i="103" s="1"/>
  <c r="AA75" i="122"/>
  <c r="M21" i="118" s="1"/>
  <c r="D39" i="133" l="1"/>
  <c r="CC243" i="103"/>
  <c r="CC251" i="103" s="1"/>
  <c r="CC255" i="103" s="1"/>
  <c r="CC263" i="103" s="1"/>
  <c r="CC268" i="103" s="1"/>
  <c r="AF73" i="130" s="1"/>
  <c r="N37" i="117"/>
  <c r="N48" i="117" s="1"/>
  <c r="AA84" i="122"/>
  <c r="M23" i="118" s="1"/>
  <c r="AC242" i="103"/>
  <c r="AC250" i="103" s="1"/>
  <c r="AC251" i="103"/>
  <c r="AC311" i="103" s="1"/>
  <c r="AC320" i="103" s="1"/>
  <c r="AA79" i="122"/>
  <c r="AA85" i="122" s="1"/>
  <c r="M24" i="118" s="1"/>
  <c r="CD243" i="103" l="1"/>
  <c r="CD251" i="103" s="1"/>
  <c r="M22" i="118"/>
  <c r="AA86" i="122"/>
  <c r="AA88" i="122"/>
  <c r="AA64" i="124" s="1"/>
  <c r="AC255" i="103"/>
  <c r="AC333" i="103" s="1"/>
  <c r="N41" i="117"/>
  <c r="AC323" i="103"/>
  <c r="AC332" i="103" s="1"/>
  <c r="M26" i="118" l="1"/>
  <c r="AA92" i="122"/>
  <c r="AA103" i="122" s="1"/>
  <c r="M25" i="118"/>
  <c r="AA103" i="123"/>
  <c r="AA104" i="123" s="1"/>
  <c r="AC253" i="103"/>
  <c r="AC254" i="103" s="1"/>
  <c r="CD255" i="103"/>
  <c r="CD256" i="103" s="1"/>
  <c r="CE256" i="103" s="1"/>
  <c r="AC263" i="103"/>
  <c r="N52" i="117" s="1"/>
  <c r="AA93" i="122"/>
  <c r="AA98" i="122" s="1"/>
  <c r="N43" i="117"/>
  <c r="N49" i="117" s="1"/>
  <c r="AC326" i="103"/>
  <c r="AC327" i="103" s="1"/>
  <c r="AC331" i="103"/>
  <c r="AC322" i="103" s="1"/>
  <c r="AA4" i="124" l="1"/>
  <c r="AA102" i="122"/>
  <c r="M32" i="118" s="1"/>
  <c r="M31" i="118"/>
  <c r="AA100" i="122"/>
  <c r="AA97" i="122"/>
  <c r="AA101" i="122"/>
  <c r="AD83" i="103"/>
  <c r="M28" i="118"/>
  <c r="M27" i="118"/>
  <c r="AC262" i="103"/>
  <c r="AC267" i="103" s="1"/>
  <c r="AC268" i="103"/>
  <c r="CD263" i="103"/>
  <c r="AA105" i="122"/>
  <c r="AA107" i="122"/>
  <c r="AA104" i="122"/>
  <c r="O12" i="116" s="1"/>
  <c r="AA106" i="122"/>
  <c r="M33" i="118" s="1"/>
  <c r="M41" i="118" l="1"/>
  <c r="AA24" i="124"/>
  <c r="AA180" i="122" s="1"/>
  <c r="AA186" i="122" s="1"/>
  <c r="AC175" i="103" s="1"/>
  <c r="AA52" i="123"/>
  <c r="M141" i="118" s="1"/>
  <c r="DQ75" i="131"/>
  <c r="DP75" i="131" s="1"/>
  <c r="BX37" i="115"/>
  <c r="M30" i="118"/>
  <c r="AA109" i="122"/>
  <c r="N53" i="117"/>
  <c r="Y63" i="116"/>
  <c r="AC312" i="103"/>
  <c r="AC313" i="103" s="1"/>
  <c r="AC329" i="103" s="1"/>
  <c r="AC269" i="103"/>
  <c r="CD268" i="103"/>
  <c r="AG73" i="130" s="1"/>
  <c r="BR37" i="115"/>
  <c r="BS37" i="115" s="1"/>
  <c r="BY37" i="115" l="1"/>
  <c r="BX38" i="115"/>
  <c r="AA54" i="123"/>
  <c r="O29" i="116"/>
  <c r="AC285" i="103"/>
  <c r="AA57" i="124"/>
  <c r="AA84" i="123" s="1"/>
  <c r="AA23" i="124"/>
  <c r="AC135" i="103"/>
  <c r="AC140" i="103" s="1"/>
  <c r="AC134" i="103" s="1"/>
  <c r="M56" i="118"/>
  <c r="M55" i="118" s="1"/>
  <c r="AA51" i="124"/>
  <c r="AA62" i="124"/>
  <c r="AA71" i="124" s="1"/>
  <c r="B6" i="128" s="1"/>
  <c r="B7" i="128" s="1"/>
  <c r="N58" i="117"/>
  <c r="N57" i="117" s="1"/>
  <c r="BR40" i="115"/>
  <c r="DA74" i="115" s="1"/>
  <c r="AB44" i="124"/>
  <c r="AB43" i="124" s="1"/>
  <c r="BX40" i="115"/>
  <c r="BY40" i="115" s="1"/>
  <c r="AA113" i="122"/>
  <c r="O13" i="116"/>
  <c r="O19" i="116" s="1"/>
  <c r="M37" i="118"/>
  <c r="O17" i="116"/>
  <c r="M144" i="118"/>
  <c r="M143" i="118" s="1"/>
  <c r="AC328" i="103"/>
  <c r="AA58" i="124" l="1"/>
  <c r="M85" i="118" s="1"/>
  <c r="AA114" i="122"/>
  <c r="O14" i="116"/>
  <c r="AA59" i="124"/>
  <c r="M86" i="118" s="1"/>
  <c r="BX32" i="115"/>
  <c r="BX34" i="115" s="1"/>
  <c r="BY34" i="115" s="1"/>
  <c r="N61" i="117"/>
  <c r="N62" i="117" s="1"/>
  <c r="AC271" i="103"/>
  <c r="CC271" i="103" s="1"/>
  <c r="CD271" i="103" s="1"/>
  <c r="BR32" i="115"/>
  <c r="BR34" i="115" s="1"/>
  <c r="BS34" i="115" s="1"/>
  <c r="AC162" i="103"/>
  <c r="V32" i="114"/>
  <c r="V33" i="114" s="1"/>
  <c r="AL33" i="114" s="1"/>
  <c r="M84" i="118"/>
  <c r="AC158" i="103"/>
  <c r="M78" i="118"/>
  <c r="AC190" i="103"/>
  <c r="AC189" i="103" s="1"/>
  <c r="AA55" i="124"/>
  <c r="M82" i="118" s="1"/>
  <c r="AA73" i="124"/>
  <c r="BS40" i="115"/>
  <c r="N54" i="116"/>
  <c r="N57" i="116" s="1"/>
  <c r="N58" i="116" s="1"/>
  <c r="AB50" i="123"/>
  <c r="N73" i="118"/>
  <c r="AD177" i="103"/>
  <c r="AB49" i="124"/>
  <c r="AD84" i="103"/>
  <c r="AD92" i="103" s="1"/>
  <c r="DE74" i="115"/>
  <c r="DC74" i="115"/>
  <c r="BY32" i="115" l="1"/>
  <c r="BX33" i="115"/>
  <c r="DA73" i="115"/>
  <c r="DE73" i="115" s="1"/>
  <c r="O15" i="116"/>
  <c r="O18" i="116" s="1"/>
  <c r="BC33" i="114"/>
  <c r="BS32" i="115"/>
  <c r="N139" i="118"/>
  <c r="AL32" i="114"/>
  <c r="BC34" i="114"/>
  <c r="AB54" i="124"/>
  <c r="N81" i="118" s="1"/>
  <c r="AA23" i="123"/>
  <c r="N59" i="116"/>
  <c r="N76" i="118"/>
  <c r="N75" i="118" s="1"/>
  <c r="AE82" i="103"/>
  <c r="AB48" i="124"/>
  <c r="AD195" i="103"/>
  <c r="AD197" i="103" s="1"/>
  <c r="AA27" i="123" l="1"/>
  <c r="AA135" i="123" s="1"/>
  <c r="AC163" i="103" s="1"/>
  <c r="DC73" i="115"/>
  <c r="M112" i="118"/>
  <c r="AC274" i="103"/>
  <c r="O41" i="116" s="1"/>
  <c r="AA139" i="122"/>
  <c r="AA142" i="122" s="1"/>
  <c r="AB122" i="122" s="1"/>
  <c r="AA92" i="123"/>
  <c r="AA93" i="123" s="1"/>
  <c r="AC192" i="103"/>
  <c r="M116" i="118"/>
  <c r="AA108" i="123"/>
  <c r="AA105" i="123" s="1"/>
  <c r="AA111" i="123" s="1"/>
  <c r="AA56" i="123"/>
  <c r="AD201" i="103"/>
  <c r="AD196" i="103"/>
  <c r="AD199" i="103"/>
  <c r="AD200" i="103"/>
  <c r="AD198" i="103"/>
  <c r="AC273" i="103" l="1"/>
  <c r="AC286" i="103" s="1"/>
  <c r="AC296" i="103" s="1"/>
  <c r="M115" i="118"/>
  <c r="B8" i="128"/>
  <c r="AB66" i="124"/>
  <c r="AA98" i="123"/>
  <c r="AA94" i="123"/>
  <c r="AA99" i="123" s="1"/>
  <c r="AC191" i="103"/>
  <c r="CD273" i="103"/>
  <c r="O45" i="116"/>
  <c r="CC273" i="103" l="1"/>
  <c r="C28" i="129"/>
  <c r="O7" i="116"/>
  <c r="O27" i="116" s="1"/>
  <c r="O38" i="116" s="1"/>
  <c r="O6" i="116" s="1"/>
  <c r="O20" i="116" l="1"/>
  <c r="O24" i="116"/>
  <c r="O22" i="116"/>
  <c r="O21" i="116"/>
  <c r="O23" i="116"/>
  <c r="AB120" i="122" l="1"/>
  <c r="AB76" i="122" s="1"/>
  <c r="AB75" i="122" s="1"/>
  <c r="N21" i="118" s="1"/>
  <c r="AD244" i="103" l="1"/>
  <c r="AD243" i="103" s="1"/>
  <c r="CE243" i="103" s="1"/>
  <c r="CE251" i="103" s="1"/>
  <c r="AD242" i="103"/>
  <c r="AD250" i="103" s="1"/>
  <c r="AB84" i="122"/>
  <c r="N23" i="118" s="1"/>
  <c r="AB79" i="122"/>
  <c r="AB85" i="122" s="1"/>
  <c r="AD251" i="103" l="1"/>
  <c r="AD311" i="103" s="1"/>
  <c r="AD320" i="103" s="1"/>
  <c r="O37" i="117"/>
  <c r="O48" i="117" s="1"/>
  <c r="AD138" i="103"/>
  <c r="N24" i="118"/>
  <c r="N22" i="118"/>
  <c r="CF243" i="103"/>
  <c r="CF251" i="103" s="1"/>
  <c r="AB88" i="122"/>
  <c r="AB64" i="124" s="1"/>
  <c r="AB86" i="122"/>
  <c r="CE255" i="103"/>
  <c r="CE263" i="103" s="1"/>
  <c r="CE268" i="103" s="1"/>
  <c r="AH73" i="130" s="1"/>
  <c r="O41" i="117" l="1"/>
  <c r="AD255" i="103"/>
  <c r="AD263" i="103" s="1"/>
  <c r="AD268" i="103" s="1"/>
  <c r="N26" i="118"/>
  <c r="AB92" i="122"/>
  <c r="N25" i="118"/>
  <c r="AB103" i="123"/>
  <c r="AB104" i="123" s="1"/>
  <c r="AB93" i="122"/>
  <c r="AB98" i="122" s="1"/>
  <c r="AD323" i="103"/>
  <c r="AD332" i="103" s="1"/>
  <c r="AD253" i="103"/>
  <c r="CF255" i="103" l="1"/>
  <c r="CF256" i="103" s="1"/>
  <c r="AD333" i="103"/>
  <c r="AD331" i="103" s="1"/>
  <c r="AD322" i="103" s="1"/>
  <c r="O52" i="117"/>
  <c r="T52" i="117" s="1"/>
  <c r="O43" i="117"/>
  <c r="O49" i="117" s="1"/>
  <c r="AB97" i="122"/>
  <c r="N31" i="118"/>
  <c r="N28" i="118"/>
  <c r="N27" i="118"/>
  <c r="AB107" i="122"/>
  <c r="AB106" i="122"/>
  <c r="N33" i="118" s="1"/>
  <c r="AB105" i="122"/>
  <c r="AB104" i="122"/>
  <c r="P12" i="116" s="1"/>
  <c r="AD326" i="103"/>
  <c r="AD327" i="103" s="1"/>
  <c r="AB100" i="122"/>
  <c r="AB102" i="122"/>
  <c r="N32" i="118" s="1"/>
  <c r="AB101" i="122"/>
  <c r="AB4" i="124"/>
  <c r="AB103" i="122"/>
  <c r="AE83" i="103"/>
  <c r="AD254" i="103"/>
  <c r="AD262" i="103"/>
  <c r="AD267" i="103" s="1"/>
  <c r="CF268" i="103"/>
  <c r="AI73" i="130" s="1"/>
  <c r="O53" i="117"/>
  <c r="T53" i="117" s="1"/>
  <c r="AD312" i="103"/>
  <c r="AD313" i="103" s="1"/>
  <c r="AD269" i="103"/>
  <c r="CF263" i="103" l="1"/>
  <c r="DY75" i="131"/>
  <c r="DT75" i="131" s="1"/>
  <c r="DX75" i="131" s="1"/>
  <c r="CB37" i="115"/>
  <c r="N30" i="118"/>
  <c r="N41" i="118"/>
  <c r="AB109" i="122"/>
  <c r="AD329" i="103"/>
  <c r="AB52" i="123"/>
  <c r="AB24" i="124"/>
  <c r="P17" i="116"/>
  <c r="AD328" i="103"/>
  <c r="CC37" i="115" l="1"/>
  <c r="CB38" i="115"/>
  <c r="AD285" i="103"/>
  <c r="P29" i="116"/>
  <c r="AC44" i="124"/>
  <c r="AC43" i="124" s="1"/>
  <c r="AB113" i="122"/>
  <c r="AB180" i="122"/>
  <c r="AB186" i="122" s="1"/>
  <c r="AD175" i="103" s="1"/>
  <c r="N37" i="118"/>
  <c r="P13" i="116"/>
  <c r="P19" i="116" s="1"/>
  <c r="CB40" i="115"/>
  <c r="CC40" i="115" s="1"/>
  <c r="N141" i="118"/>
  <c r="N56" i="118"/>
  <c r="N55" i="118" s="1"/>
  <c r="AB62" i="124"/>
  <c r="AB71" i="124" s="1"/>
  <c r="AB54" i="123"/>
  <c r="AD135" i="103"/>
  <c r="AD140" i="103" s="1"/>
  <c r="O58" i="117"/>
  <c r="AB51" i="124"/>
  <c r="AB23" i="124"/>
  <c r="AB57" i="124"/>
  <c r="AB114" i="122" l="1"/>
  <c r="P14" i="116"/>
  <c r="C6" i="128"/>
  <c r="C7" i="128" s="1"/>
  <c r="O54" i="116"/>
  <c r="O57" i="116" s="1"/>
  <c r="P51" i="116" s="1"/>
  <c r="N78" i="118"/>
  <c r="N144" i="118"/>
  <c r="N143" i="118" s="1"/>
  <c r="AC50" i="123"/>
  <c r="AB73" i="124"/>
  <c r="O73" i="118"/>
  <c r="AB58" i="124"/>
  <c r="N85" i="118" s="1"/>
  <c r="N84" i="118"/>
  <c r="AD271" i="103"/>
  <c r="O61" i="117"/>
  <c r="AB59" i="124"/>
  <c r="N86" i="118" s="1"/>
  <c r="AB84" i="123"/>
  <c r="W32" i="114"/>
  <c r="CB32" i="115"/>
  <c r="CB33" i="115" s="1"/>
  <c r="AD190" i="103"/>
  <c r="AD189" i="103" s="1"/>
  <c r="AB55" i="124"/>
  <c r="O57" i="117"/>
  <c r="T57" i="117" s="1"/>
  <c r="T58" i="117"/>
  <c r="AD158" i="103"/>
  <c r="AD162" i="103"/>
  <c r="AD134" i="103"/>
  <c r="D14" i="116"/>
  <c r="AC49" i="124"/>
  <c r="AE177" i="103"/>
  <c r="AE84" i="103"/>
  <c r="AE92" i="103" s="1"/>
  <c r="D17" i="129" l="1"/>
  <c r="D19" i="129" s="1"/>
  <c r="O58" i="116"/>
  <c r="O59" i="116"/>
  <c r="Q51" i="116"/>
  <c r="O76" i="118"/>
  <c r="O75" i="118" s="1"/>
  <c r="O139" i="118"/>
  <c r="AB23" i="123"/>
  <c r="N82" i="118"/>
  <c r="AF82" i="103"/>
  <c r="AM32" i="114"/>
  <c r="BD33" i="114"/>
  <c r="W33" i="114"/>
  <c r="AM33" i="114" s="1"/>
  <c r="BD34" i="114"/>
  <c r="AE195" i="103"/>
  <c r="AE197" i="103" s="1"/>
  <c r="AC54" i="124"/>
  <c r="O81" i="118" s="1"/>
  <c r="O62" i="117"/>
  <c r="T61" i="117"/>
  <c r="AC48" i="124"/>
  <c r="CC32" i="115"/>
  <c r="CB34" i="115"/>
  <c r="CC34" i="115" s="1"/>
  <c r="CE271" i="103"/>
  <c r="CF271" i="103" s="1"/>
  <c r="P15" i="116"/>
  <c r="P18" i="116" s="1"/>
  <c r="N112" i="118" l="1"/>
  <c r="AB27" i="123"/>
  <c r="AB135" i="123" s="1"/>
  <c r="AD274" i="103"/>
  <c r="AB92" i="123"/>
  <c r="AB93" i="123" s="1"/>
  <c r="C8" i="128" s="1"/>
  <c r="D40" i="133" s="1"/>
  <c r="D43" i="133" s="1"/>
  <c r="AD192" i="103"/>
  <c r="AB139" i="122"/>
  <c r="AE196" i="103"/>
  <c r="AE199" i="103"/>
  <c r="AE201" i="103"/>
  <c r="AE200" i="103"/>
  <c r="AE198" i="103"/>
  <c r="P7" i="116" l="1"/>
  <c r="P27" i="116" s="1"/>
  <c r="P38" i="116" s="1"/>
  <c r="AB142" i="122"/>
  <c r="AC122" i="122" s="1"/>
  <c r="N116" i="118"/>
  <c r="N115" i="118" s="1"/>
  <c r="AB108" i="123"/>
  <c r="AB105" i="123" s="1"/>
  <c r="AB111" i="123" s="1"/>
  <c r="P41" i="116"/>
  <c r="AD273" i="103"/>
  <c r="AD286" i="103" s="1"/>
  <c r="AB56" i="123"/>
  <c r="AB94" i="123"/>
  <c r="AB99" i="123" s="1"/>
  <c r="AD191" i="103"/>
  <c r="AB98" i="123"/>
  <c r="AC66" i="124" l="1"/>
  <c r="AC120" i="122"/>
  <c r="AC76" i="122" s="1"/>
  <c r="P45" i="116"/>
  <c r="CF273" i="103"/>
  <c r="AD296" i="103"/>
  <c r="AD163" i="103"/>
  <c r="AE244" i="103" l="1"/>
  <c r="AE243" i="103" s="1"/>
  <c r="P37" i="117" s="1"/>
  <c r="P48" i="117" s="1"/>
  <c r="AC75" i="122"/>
  <c r="P6" i="116"/>
  <c r="AC84" i="122" l="1"/>
  <c r="O23" i="118" s="1"/>
  <c r="O21" i="118"/>
  <c r="AE251" i="103"/>
  <c r="P41" i="117" s="1"/>
  <c r="AE138" i="103"/>
  <c r="AC79" i="122"/>
  <c r="AC85" i="122" s="1"/>
  <c r="AE242" i="103"/>
  <c r="AE250" i="103" s="1"/>
  <c r="P21" i="116"/>
  <c r="P24" i="116"/>
  <c r="P20" i="116"/>
  <c r="P22" i="116"/>
  <c r="D12" i="116"/>
  <c r="D16" i="116" s="1"/>
  <c r="P23" i="116"/>
  <c r="AC86" i="122" l="1"/>
  <c r="O25" i="118" s="1"/>
  <c r="O24" i="118"/>
  <c r="AE255" i="103"/>
  <c r="AE263" i="103" s="1"/>
  <c r="P52" i="117" s="1"/>
  <c r="AE311" i="103"/>
  <c r="AE320" i="103" s="1"/>
  <c r="AE323" i="103" s="1"/>
  <c r="AE332" i="103" s="1"/>
  <c r="O22" i="118"/>
  <c r="AC88" i="122"/>
  <c r="AC64" i="124" s="1"/>
  <c r="O26" i="118" l="1"/>
  <c r="AE253" i="103"/>
  <c r="AE262" i="103" s="1"/>
  <c r="AE267" i="103" s="1"/>
  <c r="AC92" i="122"/>
  <c r="AC101" i="122" s="1"/>
  <c r="AC103" i="123"/>
  <c r="AC104" i="123" s="1"/>
  <c r="AE333" i="103"/>
  <c r="AE331" i="103" s="1"/>
  <c r="AE322" i="103" s="1"/>
  <c r="P43" i="117"/>
  <c r="P49" i="117" s="1"/>
  <c r="AE268" i="103"/>
  <c r="P53" i="117" s="1"/>
  <c r="AE326" i="103"/>
  <c r="AE327" i="103" s="1"/>
  <c r="AC93" i="122"/>
  <c r="AC98" i="122" s="1"/>
  <c r="AE254" i="103" l="1"/>
  <c r="O31" i="118"/>
  <c r="AC97" i="122"/>
  <c r="AC103" i="122"/>
  <c r="AC102" i="122"/>
  <c r="O32" i="118" s="1"/>
  <c r="AF83" i="103"/>
  <c r="AC100" i="122"/>
  <c r="AC4" i="124"/>
  <c r="O27" i="118"/>
  <c r="O28" i="118"/>
  <c r="AE312" i="103"/>
  <c r="AE313" i="103" s="1"/>
  <c r="AE329" i="103" s="1"/>
  <c r="AE269" i="103"/>
  <c r="AC105" i="122"/>
  <c r="AC106" i="122"/>
  <c r="O33" i="118" s="1"/>
  <c r="AC104" i="122"/>
  <c r="AC107" i="122"/>
  <c r="CF37" i="115" l="1"/>
  <c r="Q12" i="116"/>
  <c r="D24" i="116" s="1"/>
  <c r="O30" i="118"/>
  <c r="O41" i="118"/>
  <c r="AC24" i="124"/>
  <c r="AC180" i="122" s="1"/>
  <c r="AC186" i="122" s="1"/>
  <c r="AE175" i="103" s="1"/>
  <c r="AC52" i="123"/>
  <c r="AC109" i="122"/>
  <c r="AE328" i="103"/>
  <c r="CG37" i="115" l="1"/>
  <c r="CF38" i="115"/>
  <c r="Q17" i="116"/>
  <c r="O141" i="118"/>
  <c r="Q29" i="116"/>
  <c r="AE285" i="103"/>
  <c r="AE135" i="103"/>
  <c r="AE140" i="103" s="1"/>
  <c r="AE134" i="103" s="1"/>
  <c r="AC57" i="124"/>
  <c r="AC51" i="124"/>
  <c r="P58" i="117"/>
  <c r="P57" i="117" s="1"/>
  <c r="AC23" i="124"/>
  <c r="AC54" i="123"/>
  <c r="O144" i="118" s="1"/>
  <c r="AC62" i="124"/>
  <c r="AC71" i="124" s="1"/>
  <c r="D6" i="128" s="1"/>
  <c r="D7" i="128" s="1"/>
  <c r="O56" i="118"/>
  <c r="O55" i="118" s="1"/>
  <c r="O37" i="118"/>
  <c r="AD44" i="124"/>
  <c r="AD43" i="124" s="1"/>
  <c r="CF40" i="115"/>
  <c r="CG40" i="115" s="1"/>
  <c r="Q13" i="116"/>
  <c r="P54" i="116" s="1"/>
  <c r="P57" i="116" s="1"/>
  <c r="P58" i="116" s="1"/>
  <c r="AC113" i="122"/>
  <c r="O143" i="118" l="1"/>
  <c r="X32" i="114"/>
  <c r="BE33" i="114" s="1"/>
  <c r="Q14" i="116"/>
  <c r="E17" i="129"/>
  <c r="E19" i="129" s="1"/>
  <c r="AE190" i="103"/>
  <c r="AE189" i="103" s="1"/>
  <c r="AE158" i="103"/>
  <c r="AC58" i="124"/>
  <c r="O85" i="118" s="1"/>
  <c r="AE162" i="103"/>
  <c r="O84" i="118"/>
  <c r="AC114" i="122"/>
  <c r="AC84" i="123"/>
  <c r="AC59" i="124"/>
  <c r="O86" i="118" s="1"/>
  <c r="P61" i="117"/>
  <c r="P62" i="117" s="1"/>
  <c r="AN32" i="114"/>
  <c r="AC55" i="124"/>
  <c r="AD54" i="124" s="1"/>
  <c r="P81" i="118" s="1"/>
  <c r="CF32" i="115"/>
  <c r="AE271" i="103"/>
  <c r="Q15" i="116" s="1"/>
  <c r="Q18" i="116" s="1"/>
  <c r="AC73" i="124"/>
  <c r="O78" i="118"/>
  <c r="BE34" i="114"/>
  <c r="P59" i="116"/>
  <c r="Q19" i="116"/>
  <c r="AD50" i="123"/>
  <c r="P73" i="118"/>
  <c r="AD49" i="124"/>
  <c r="AF177" i="103"/>
  <c r="AF195" i="103" s="1"/>
  <c r="AF197" i="103" s="1"/>
  <c r="AF84" i="103"/>
  <c r="AF92" i="103" s="1"/>
  <c r="AG82" i="103" s="1"/>
  <c r="CF34" i="115" l="1"/>
  <c r="CG34" i="115" s="1"/>
  <c r="CF33" i="115"/>
  <c r="X33" i="114"/>
  <c r="AN33" i="114" s="1"/>
  <c r="P139" i="118"/>
  <c r="AC23" i="123"/>
  <c r="AC27" i="123" s="1"/>
  <c r="AC135" i="123" s="1"/>
  <c r="AE163" i="103" s="1"/>
  <c r="D4" i="116" s="1"/>
  <c r="O82" i="118"/>
  <c r="CG32" i="115"/>
  <c r="P76" i="118"/>
  <c r="P75" i="118" s="1"/>
  <c r="AF201" i="103"/>
  <c r="AF196" i="103"/>
  <c r="AD48" i="124"/>
  <c r="AF198" i="103"/>
  <c r="AF199" i="103"/>
  <c r="AF200" i="103"/>
  <c r="O116" i="118" l="1"/>
  <c r="AE274" i="103"/>
  <c r="AE273" i="103" s="1"/>
  <c r="AC56" i="123"/>
  <c r="AC139" i="122"/>
  <c r="AC142" i="122" s="1"/>
  <c r="AD122" i="122" s="1"/>
  <c r="AD66" i="124" s="1"/>
  <c r="AC92" i="123"/>
  <c r="AC93" i="123" s="1"/>
  <c r="AC98" i="123" s="1"/>
  <c r="AE192" i="103"/>
  <c r="AC108" i="123"/>
  <c r="AC105" i="123" s="1"/>
  <c r="AC111" i="123" s="1"/>
  <c r="O112" i="118"/>
  <c r="D8" i="116"/>
  <c r="D10" i="116" s="1"/>
  <c r="D6" i="116"/>
  <c r="AE286" i="103" l="1"/>
  <c r="AE296" i="103" s="1"/>
  <c r="Q41" i="116"/>
  <c r="CE273" i="103"/>
  <c r="Q45" i="116"/>
  <c r="O115" i="118"/>
  <c r="AD120" i="122"/>
  <c r="AD76" i="122" s="1"/>
  <c r="AF244" i="103" s="1"/>
  <c r="AF243" i="103" s="1"/>
  <c r="Q37" i="117" s="1"/>
  <c r="Q48" i="117" s="1"/>
  <c r="AE191" i="103"/>
  <c r="D8" i="128"/>
  <c r="AC94" i="123"/>
  <c r="AC99" i="123" s="1"/>
  <c r="D9" i="116"/>
  <c r="D18" i="116"/>
  <c r="D20" i="116" s="1"/>
  <c r="D23" i="116"/>
  <c r="Q7" i="116" l="1"/>
  <c r="Q27" i="116" s="1"/>
  <c r="D45" i="133"/>
  <c r="Q38" i="116"/>
  <c r="Q6" i="116" s="1"/>
  <c r="Q23" i="116"/>
  <c r="AF138" i="103"/>
  <c r="AD75" i="122"/>
  <c r="AF242" i="103" s="1"/>
  <c r="AF250" i="103" s="1"/>
  <c r="AF251" i="103"/>
  <c r="AF311" i="103" s="1"/>
  <c r="AF320" i="103" s="1"/>
  <c r="AF323" i="103" s="1"/>
  <c r="AF332" i="103" s="1"/>
  <c r="Y20" i="116"/>
  <c r="D25" i="116"/>
  <c r="D28" i="116"/>
  <c r="Y35" i="116"/>
  <c r="D27" i="116"/>
  <c r="Y5" i="116"/>
  <c r="Y50" i="116"/>
  <c r="A1" i="122" l="1"/>
  <c r="A1" i="126"/>
  <c r="A1" i="124"/>
  <c r="A1" i="125"/>
  <c r="A1" i="127"/>
  <c r="Q21" i="116"/>
  <c r="Q20" i="116"/>
  <c r="Q22" i="116"/>
  <c r="Q24" i="116"/>
  <c r="P21" i="118"/>
  <c r="AD79" i="122"/>
  <c r="AD85" i="122" s="1"/>
  <c r="AD88" i="122" s="1"/>
  <c r="AD84" i="122"/>
  <c r="AD86" i="122" s="1"/>
  <c r="AF255" i="103"/>
  <c r="AF263" i="103" s="1"/>
  <c r="AF268" i="103" s="1"/>
  <c r="AF269" i="103" s="1"/>
  <c r="Q41" i="117"/>
  <c r="AF326" i="103"/>
  <c r="AF327" i="103" s="1"/>
  <c r="AD103" i="123" l="1"/>
  <c r="AD104" i="123" s="1"/>
  <c r="AD64" i="124"/>
  <c r="P24" i="118"/>
  <c r="P22" i="118"/>
  <c r="Q43" i="117"/>
  <c r="Q49" i="117" s="1"/>
  <c r="P23" i="118"/>
  <c r="AF312" i="103"/>
  <c r="AF313" i="103" s="1"/>
  <c r="Q53" i="117"/>
  <c r="AD93" i="122"/>
  <c r="AD98" i="122" s="1"/>
  <c r="AF333" i="103"/>
  <c r="AF331" i="103" s="1"/>
  <c r="AF322" i="103" s="1"/>
  <c r="Q52" i="117"/>
  <c r="P26" i="118"/>
  <c r="AF253" i="103"/>
  <c r="P25" i="118"/>
  <c r="AD92" i="122"/>
  <c r="AF328" i="103" l="1"/>
  <c r="AD106" i="122"/>
  <c r="P33" i="118" s="1"/>
  <c r="AD104" i="122"/>
  <c r="P31" i="118"/>
  <c r="AD105" i="122"/>
  <c r="AD107" i="122"/>
  <c r="AF329" i="103"/>
  <c r="P28" i="118"/>
  <c r="AD97" i="122"/>
  <c r="P27" i="118"/>
  <c r="AD103" i="122"/>
  <c r="AG83" i="103"/>
  <c r="AD101" i="122"/>
  <c r="AD100" i="122"/>
  <c r="AD4" i="124"/>
  <c r="AD102" i="122"/>
  <c r="P32" i="118" s="1"/>
  <c r="AF254" i="103"/>
  <c r="AF262" i="103"/>
  <c r="AF267" i="103" s="1"/>
  <c r="CJ37" i="115" l="1"/>
  <c r="R12" i="116"/>
  <c r="AD109" i="122"/>
  <c r="P30" i="118"/>
  <c r="P41" i="118"/>
  <c r="AD24" i="124"/>
  <c r="AD52" i="123"/>
  <c r="CK37" i="115" l="1"/>
  <c r="CJ38" i="115"/>
  <c r="R17" i="116"/>
  <c r="H12" i="116"/>
  <c r="R29" i="116"/>
  <c r="AF285" i="103"/>
  <c r="R13" i="116"/>
  <c r="Q54" i="116" s="1"/>
  <c r="Q57" i="116" s="1"/>
  <c r="Q58" i="116" s="1"/>
  <c r="CJ40" i="115"/>
  <c r="CK40" i="115" s="1"/>
  <c r="P37" i="118"/>
  <c r="AD113" i="122"/>
  <c r="AE44" i="124"/>
  <c r="AE43" i="124" s="1"/>
  <c r="AD180" i="122"/>
  <c r="AD186" i="122" s="1"/>
  <c r="AF175" i="103" s="1"/>
  <c r="AD62" i="124"/>
  <c r="AD71" i="124" s="1"/>
  <c r="Q58" i="117"/>
  <c r="Q57" i="117" s="1"/>
  <c r="AD57" i="124"/>
  <c r="R14" i="116" s="1"/>
  <c r="AD51" i="124"/>
  <c r="AF135" i="103"/>
  <c r="AF140" i="103" s="1"/>
  <c r="AD23" i="124"/>
  <c r="P56" i="118"/>
  <c r="P55" i="118" s="1"/>
  <c r="P141" i="118"/>
  <c r="AD54" i="123"/>
  <c r="R19" i="116" l="1"/>
  <c r="Q59" i="116"/>
  <c r="AG84" i="103"/>
  <c r="AG92" i="103" s="1"/>
  <c r="AH82" i="103" s="1"/>
  <c r="AE50" i="123"/>
  <c r="AE49" i="124"/>
  <c r="AE48" i="124" s="1"/>
  <c r="Q73" i="118"/>
  <c r="AG177" i="103"/>
  <c r="AG195" i="103" s="1"/>
  <c r="AG197" i="103" s="1"/>
  <c r="AF271" i="103"/>
  <c r="R15" i="116" s="1"/>
  <c r="R18" i="116" s="1"/>
  <c r="AD58" i="124"/>
  <c r="P85" i="118" s="1"/>
  <c r="Y32" i="114"/>
  <c r="CJ32" i="115"/>
  <c r="CJ33" i="115" s="1"/>
  <c r="AD84" i="123"/>
  <c r="AD59" i="124"/>
  <c r="P86" i="118" s="1"/>
  <c r="AD114" i="122"/>
  <c r="P84" i="118"/>
  <c r="AH57" i="124"/>
  <c r="Q61" i="117"/>
  <c r="Q62" i="117" s="1"/>
  <c r="AD55" i="124"/>
  <c r="AF190" i="103"/>
  <c r="AF189" i="103" s="1"/>
  <c r="P78" i="118"/>
  <c r="AD73" i="124"/>
  <c r="E6" i="128"/>
  <c r="E7" i="128" s="1"/>
  <c r="P144" i="118"/>
  <c r="P143" i="118" s="1"/>
  <c r="AF134" i="103"/>
  <c r="AF162" i="103"/>
  <c r="AF158" i="103"/>
  <c r="Q139" i="118" l="1"/>
  <c r="F17" i="129"/>
  <c r="F19" i="129" s="1"/>
  <c r="Q76" i="118"/>
  <c r="Q75" i="118" s="1"/>
  <c r="AG198" i="103"/>
  <c r="AG201" i="103"/>
  <c r="AG196" i="103"/>
  <c r="AG200" i="103"/>
  <c r="AG199" i="103"/>
  <c r="AD23" i="123"/>
  <c r="AE54" i="124"/>
  <c r="Q81" i="118" s="1"/>
  <c r="P82" i="118"/>
  <c r="CK32" i="115"/>
  <c r="CW35" i="115" s="1"/>
  <c r="CJ34" i="115"/>
  <c r="CK34" i="115" s="1"/>
  <c r="AO32" i="114"/>
  <c r="Y33" i="114"/>
  <c r="AO33" i="114" s="1"/>
  <c r="AD27" i="123" l="1"/>
  <c r="AF192" i="103"/>
  <c r="AF274" i="103"/>
  <c r="AD92" i="123"/>
  <c r="AD93" i="123" s="1"/>
  <c r="P112" i="118"/>
  <c r="AD139" i="122"/>
  <c r="AD142" i="122" l="1"/>
  <c r="AE122" i="122" s="1"/>
  <c r="E8" i="128"/>
  <c r="R7" i="116" s="1"/>
  <c r="R27" i="116" s="1"/>
  <c r="R38" i="116" s="1"/>
  <c r="AD98" i="123"/>
  <c r="AF191" i="103"/>
  <c r="AD94" i="123"/>
  <c r="AD99" i="123" s="1"/>
  <c r="AF273" i="103"/>
  <c r="AF286" i="103" s="1"/>
  <c r="R41" i="116"/>
  <c r="AD135" i="123"/>
  <c r="AF163" i="103" s="1"/>
  <c r="AD56" i="123"/>
  <c r="AD108" i="123"/>
  <c r="AD105" i="123" s="1"/>
  <c r="AD111" i="123" s="1"/>
  <c r="P116" i="118"/>
  <c r="P115" i="118" s="1"/>
  <c r="AE66" i="124" l="1"/>
  <c r="AE120" i="122"/>
  <c r="AE76" i="122" s="1"/>
  <c r="AG244" i="103" s="1"/>
  <c r="AG243" i="103" s="1"/>
  <c r="R45" i="116"/>
  <c r="AF296" i="103"/>
  <c r="AE75" i="122" l="1"/>
  <c r="AE79" i="122" s="1"/>
  <c r="AG251" i="103"/>
  <c r="AG138" i="103"/>
  <c r="AE84" i="122" l="1"/>
  <c r="AE86" i="122" s="1"/>
  <c r="Q21" i="118"/>
  <c r="AG242" i="103"/>
  <c r="AG250" i="103" s="1"/>
  <c r="AE85" i="122"/>
  <c r="Q22" i="118"/>
  <c r="R6" i="116"/>
  <c r="R23" i="116"/>
  <c r="AG311" i="103"/>
  <c r="AG320" i="103" s="1"/>
  <c r="AG255" i="103"/>
  <c r="Q23" i="118" l="1"/>
  <c r="AG253" i="103"/>
  <c r="Q25" i="118"/>
  <c r="AG263" i="103"/>
  <c r="AG268" i="103" s="1"/>
  <c r="AG333" i="103"/>
  <c r="AG323" i="103"/>
  <c r="AG332" i="103" s="1"/>
  <c r="AE92" i="122"/>
  <c r="Q24" i="118"/>
  <c r="AE88" i="122"/>
  <c r="AE64" i="124" s="1"/>
  <c r="R24" i="116"/>
  <c r="R21" i="116"/>
  <c r="R20" i="116"/>
  <c r="R22" i="116"/>
  <c r="AG326" i="103" l="1"/>
  <c r="AG327" i="103" s="1"/>
  <c r="AE93" i="122"/>
  <c r="AE98" i="122" s="1"/>
  <c r="AE97" i="122"/>
  <c r="AG331" i="103"/>
  <c r="AG322" i="103" s="1"/>
  <c r="Q26" i="118"/>
  <c r="AE103" i="123"/>
  <c r="AE104" i="123" s="1"/>
  <c r="CX37" i="115"/>
  <c r="CY37" i="115" s="1"/>
  <c r="AG269" i="103"/>
  <c r="AG312" i="103"/>
  <c r="AG313" i="103" s="1"/>
  <c r="Q27" i="118"/>
  <c r="AE103" i="122"/>
  <c r="AE102" i="122"/>
  <c r="Q32" i="118" s="1"/>
  <c r="AE100" i="122"/>
  <c r="AH83" i="103"/>
  <c r="AE101" i="122"/>
  <c r="AE4" i="124"/>
  <c r="AG254" i="103"/>
  <c r="AG262" i="103"/>
  <c r="AG267" i="103" s="1"/>
  <c r="Q28" i="118" l="1"/>
  <c r="AE107" i="122"/>
  <c r="AE104" i="122"/>
  <c r="S12" i="116" s="1"/>
  <c r="S17" i="116" s="1"/>
  <c r="AE106" i="122"/>
  <c r="Q33" i="118" s="1"/>
  <c r="Q30" i="118"/>
  <c r="AE105" i="122"/>
  <c r="AG329" i="103"/>
  <c r="Q31" i="118"/>
  <c r="Q41" i="118"/>
  <c r="AE52" i="123"/>
  <c r="AE24" i="124"/>
  <c r="AG328" i="103"/>
  <c r="S29" i="116" l="1"/>
  <c r="AG285" i="103"/>
  <c r="CN37" i="115"/>
  <c r="AE109" i="122"/>
  <c r="AE113" i="122" s="1"/>
  <c r="Q141" i="118"/>
  <c r="AE54" i="123"/>
  <c r="AE180" i="122"/>
  <c r="AE186" i="122" s="1"/>
  <c r="AG175" i="103" s="1"/>
  <c r="AE62" i="124"/>
  <c r="AE71" i="124" s="1"/>
  <c r="AE51" i="124"/>
  <c r="AE23" i="124"/>
  <c r="AG135" i="103"/>
  <c r="AG140" i="103" s="1"/>
  <c r="AE57" i="124"/>
  <c r="S14" i="116" s="1"/>
  <c r="Q56" i="118"/>
  <c r="Q55" i="118" s="1"/>
  <c r="CO37" i="115" l="1"/>
  <c r="CN38" i="115"/>
  <c r="S13" i="116"/>
  <c r="R54" i="116" s="1"/>
  <c r="R57" i="116" s="1"/>
  <c r="CX40" i="115"/>
  <c r="CY40" i="115" s="1"/>
  <c r="Q37" i="118"/>
  <c r="AF44" i="124"/>
  <c r="AF43" i="124" s="1"/>
  <c r="AF50" i="123" s="1"/>
  <c r="CN40" i="115"/>
  <c r="CO40" i="115" s="1"/>
  <c r="AG134" i="103"/>
  <c r="AG158" i="103"/>
  <c r="AG162" i="103"/>
  <c r="F6" i="128"/>
  <c r="F7" i="128" s="1"/>
  <c r="G17" i="129" s="1"/>
  <c r="G19" i="129" s="1"/>
  <c r="AE73" i="124"/>
  <c r="AE114" i="122"/>
  <c r="CX32" i="115"/>
  <c r="AE58" i="124"/>
  <c r="Q85" i="118" s="1"/>
  <c r="AE59" i="124"/>
  <c r="Q86" i="118" s="1"/>
  <c r="CN32" i="115"/>
  <c r="CN33" i="115" s="1"/>
  <c r="AG271" i="103"/>
  <c r="S15" i="116" s="1"/>
  <c r="S18" i="116" s="1"/>
  <c r="AE84" i="123"/>
  <c r="Q84" i="118"/>
  <c r="Q144" i="118"/>
  <c r="Q143" i="118" s="1"/>
  <c r="S19" i="116"/>
  <c r="AG190" i="103"/>
  <c r="AG189" i="103" s="1"/>
  <c r="AE55" i="124"/>
  <c r="Q78" i="118"/>
  <c r="R139" i="118" l="1"/>
  <c r="AF49" i="124"/>
  <c r="AH84" i="103"/>
  <c r="AH92" i="103" s="1"/>
  <c r="R73" i="118"/>
  <c r="AH177" i="103"/>
  <c r="AH195" i="103" s="1"/>
  <c r="R58" i="116"/>
  <c r="R59" i="116"/>
  <c r="AE23" i="123"/>
  <c r="Q82" i="118"/>
  <c r="AF54" i="124"/>
  <c r="R81" i="118" s="1"/>
  <c r="CO32" i="115"/>
  <c r="CN34" i="115"/>
  <c r="CO34" i="115" s="1"/>
  <c r="CY32" i="115"/>
  <c r="CX35" i="115"/>
  <c r="CX34" i="115"/>
  <c r="CY34" i="115" s="1"/>
  <c r="AF48" i="124" l="1"/>
  <c r="R76" i="118"/>
  <c r="R75" i="118" s="1"/>
  <c r="AH198" i="103"/>
  <c r="AH199" i="103"/>
  <c r="AH196" i="103"/>
  <c r="AH201" i="103"/>
  <c r="AH200" i="103"/>
  <c r="AE92" i="123"/>
  <c r="Q112" i="118"/>
  <c r="AG192" i="103"/>
  <c r="AE139" i="122"/>
  <c r="AG274" i="103"/>
  <c r="AE27" i="123"/>
  <c r="AH197" i="103"/>
  <c r="AE142" i="122" l="1"/>
  <c r="AF122" i="122" s="1"/>
  <c r="AF66" i="124" s="1"/>
  <c r="AE93" i="123"/>
  <c r="AG273" i="103"/>
  <c r="AG286" i="103" s="1"/>
  <c r="S41" i="116"/>
  <c r="AE135" i="123"/>
  <c r="AG163" i="103" s="1"/>
  <c r="AE56" i="123"/>
  <c r="Q116" i="118"/>
  <c r="Q115" i="118" s="1"/>
  <c r="AE108" i="123"/>
  <c r="AE105" i="123" s="1"/>
  <c r="AE111" i="123" s="1"/>
  <c r="AF120" i="122" l="1"/>
  <c r="AF76" i="122" s="1"/>
  <c r="AH244" i="103" s="1"/>
  <c r="AH243" i="103" s="1"/>
  <c r="F8" i="128"/>
  <c r="S7" i="116" s="1"/>
  <c r="S27" i="116" s="1"/>
  <c r="S38" i="116" s="1"/>
  <c r="AE98" i="123"/>
  <c r="AG191" i="103"/>
  <c r="S45" i="116"/>
  <c r="AG296" i="103"/>
  <c r="AE94" i="123"/>
  <c r="AE99" i="123" s="1"/>
  <c r="AF75" i="122" l="1"/>
  <c r="R21" i="118" s="1"/>
  <c r="AH138" i="103"/>
  <c r="AH251" i="103"/>
  <c r="AF79" i="122" l="1"/>
  <c r="AF85" i="122" s="1"/>
  <c r="AH242" i="103"/>
  <c r="AH250" i="103" s="1"/>
  <c r="AF84" i="122"/>
  <c r="R23" i="118" s="1"/>
  <c r="AH311" i="103"/>
  <c r="AH320" i="103" s="1"/>
  <c r="AH255" i="103"/>
  <c r="S23" i="116"/>
  <c r="S6" i="116"/>
  <c r="AF86" i="122" l="1"/>
  <c r="AF92" i="122" s="1"/>
  <c r="AF97" i="122" s="1"/>
  <c r="R30" i="118" s="1"/>
  <c r="R22" i="118"/>
  <c r="AH263" i="103"/>
  <c r="AH268" i="103" s="1"/>
  <c r="AH333" i="103"/>
  <c r="S22" i="116"/>
  <c r="S24" i="116"/>
  <c r="S21" i="116"/>
  <c r="S20" i="116"/>
  <c r="AH323" i="103"/>
  <c r="AH332" i="103" s="1"/>
  <c r="R24" i="118"/>
  <c r="AF88" i="122"/>
  <c r="AF93" i="122" l="1"/>
  <c r="AF98" i="122" s="1"/>
  <c r="AF64" i="124"/>
  <c r="AF103" i="122"/>
  <c r="AF4" i="124"/>
  <c r="AF52" i="123" s="1"/>
  <c r="AH253" i="103"/>
  <c r="AH254" i="103" s="1"/>
  <c r="R27" i="118"/>
  <c r="R25" i="118"/>
  <c r="AF102" i="122"/>
  <c r="R32" i="118" s="1"/>
  <c r="AF101" i="122"/>
  <c r="AF100" i="122"/>
  <c r="AH326" i="103"/>
  <c r="AH327" i="103" s="1"/>
  <c r="AH331" i="103"/>
  <c r="AH322" i="103" s="1"/>
  <c r="R26" i="118"/>
  <c r="AF103" i="123"/>
  <c r="AF104" i="123" s="1"/>
  <c r="AH269" i="103"/>
  <c r="AH312" i="103"/>
  <c r="AH313" i="103" s="1"/>
  <c r="T29" i="116" l="1"/>
  <c r="AH285" i="103"/>
  <c r="AF104" i="122"/>
  <c r="AF107" i="122"/>
  <c r="R28" i="118"/>
  <c r="R31" i="118"/>
  <c r="AF105" i="122"/>
  <c r="AF106" i="122"/>
  <c r="R33" i="118" s="1"/>
  <c r="AH262" i="103"/>
  <c r="AH267" i="103" s="1"/>
  <c r="R41" i="118"/>
  <c r="AF24" i="124"/>
  <c r="R56" i="118" s="1"/>
  <c r="AH329" i="103"/>
  <c r="R141" i="118"/>
  <c r="AF54" i="123"/>
  <c r="AH328" i="103"/>
  <c r="CR37" i="115" l="1"/>
  <c r="T12" i="116"/>
  <c r="T17" i="116" s="1"/>
  <c r="AF109" i="122"/>
  <c r="CR40" i="115" s="1"/>
  <c r="CS40" i="115" s="1"/>
  <c r="R55" i="118"/>
  <c r="AF180" i="122"/>
  <c r="AF186" i="122" s="1"/>
  <c r="AH175" i="103" s="1"/>
  <c r="AF51" i="124"/>
  <c r="AF62" i="124"/>
  <c r="AF71" i="124" s="1"/>
  <c r="G6" i="128" s="1"/>
  <c r="H6" i="128" s="1"/>
  <c r="AF23" i="124"/>
  <c r="AF57" i="124"/>
  <c r="AH135" i="103"/>
  <c r="AH140" i="103" s="1"/>
  <c r="AH134" i="103" s="1"/>
  <c r="R144" i="118"/>
  <c r="R143" i="118" s="1"/>
  <c r="K51" i="81"/>
  <c r="CS37" i="115" l="1"/>
  <c r="CR38" i="115"/>
  <c r="CR32" i="115"/>
  <c r="T14" i="116"/>
  <c r="T13" i="116"/>
  <c r="T19" i="116" s="1"/>
  <c r="R37" i="118"/>
  <c r="AF113" i="122"/>
  <c r="AH190" i="103"/>
  <c r="AH189" i="103" s="1"/>
  <c r="R78" i="118"/>
  <c r="AF73" i="124"/>
  <c r="AF55" i="124"/>
  <c r="R82" i="118" s="1"/>
  <c r="AF84" i="123"/>
  <c r="AF58" i="124"/>
  <c r="R85" i="118" s="1"/>
  <c r="AF114" i="122"/>
  <c r="R84" i="118"/>
  <c r="AH158" i="103"/>
  <c r="AH271" i="103"/>
  <c r="AF59" i="124"/>
  <c r="R86" i="118" s="1"/>
  <c r="AH162" i="103"/>
  <c r="G7" i="128"/>
  <c r="T15" i="116" l="1"/>
  <c r="T18" i="116" s="1"/>
  <c r="CR34" i="115"/>
  <c r="CS34" i="115" s="1"/>
  <c r="CR33" i="115"/>
  <c r="CS32" i="115"/>
  <c r="H17" i="129"/>
  <c r="H19" i="129" s="1"/>
  <c r="N19" i="129" s="1"/>
  <c r="C9" i="129" s="1"/>
  <c r="C25" i="129" s="1"/>
  <c r="C27" i="129" s="1"/>
  <c r="C32" i="129" s="1"/>
  <c r="C34" i="129" s="1"/>
  <c r="H7" i="128"/>
  <c r="AF23" i="123"/>
  <c r="AH192" i="103" s="1"/>
  <c r="C36" i="129" l="1"/>
  <c r="C49" i="129"/>
  <c r="C40" i="129"/>
  <c r="B1" i="129"/>
  <c r="AF139" i="122"/>
  <c r="AF142" i="122" s="1"/>
  <c r="R112" i="118"/>
  <c r="AF27" i="123"/>
  <c r="AH274" i="103"/>
  <c r="T41" i="116" s="1"/>
  <c r="AF92" i="123"/>
  <c r="AF93" i="123" s="1"/>
  <c r="AH191" i="103" s="1"/>
  <c r="AF56" i="123" l="1"/>
  <c r="AF135" i="123"/>
  <c r="AH163" i="103" s="1"/>
  <c r="AF108" i="123"/>
  <c r="AF105" i="123" s="1"/>
  <c r="AF111" i="123" s="1"/>
  <c r="R116" i="118"/>
  <c r="R115" i="118" s="1"/>
  <c r="AF94" i="123"/>
  <c r="AF99" i="123" s="1"/>
  <c r="G8" i="128"/>
  <c r="T7" i="116" s="1"/>
  <c r="T27" i="116" s="1"/>
  <c r="T38" i="116" s="1"/>
  <c r="AH273" i="103"/>
  <c r="AF98" i="123"/>
  <c r="AH286" i="103" l="1"/>
  <c r="AH296" i="103" s="1"/>
  <c r="T45" i="116"/>
  <c r="T23" i="116" l="1"/>
  <c r="T6" i="116" l="1"/>
  <c r="T24" i="116" s="1"/>
  <c r="T22" i="116" l="1"/>
  <c r="T21" i="116"/>
  <c r="T20" i="11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Sikchi, Milind [GIR]</author>
  </authors>
  <commentList>
    <comment ref="A9" authorId="0" shapeId="0" xr:uid="{1284AEB3-E4D5-48A7-9794-863E9EB146E4}">
      <text>
        <r>
          <rPr>
            <b/>
            <sz val="9"/>
            <color indexed="81"/>
            <rFont val="Tahoma"/>
            <family val="2"/>
          </rPr>
          <t>Sikchi, Milind [GIR]:</t>
        </r>
        <r>
          <rPr>
            <sz val="9"/>
            <color indexed="81"/>
            <rFont val="Tahoma"/>
            <family val="2"/>
          </rPr>
          <t xml:space="preserve">
pension surplus
Breakup at the bottom of the balance sheet</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Burgess, Sam [GIR]</author>
    <author>Lapthorn, Peter [GIR]</author>
    <author>Huang, Edward [GIR]</author>
    <author>Authorized User</author>
    <author>Chaudhary, Navika [GIR]</author>
    <author>Charley, Olivia [GIR]</author>
    <author>aggamu</author>
  </authors>
  <commentList>
    <comment ref="A70" authorId="0" shapeId="0" xr:uid="{9FC1AD30-165E-4F34-987C-C0DADFCE1C98}">
      <text>
        <r>
          <rPr>
            <b/>
            <sz val="9"/>
            <color indexed="81"/>
            <rFont val="Tahoma"/>
            <family val="2"/>
          </rPr>
          <t>Burgess, Sam [GIR]:</t>
        </r>
        <r>
          <rPr>
            <sz val="9"/>
            <color indexed="81"/>
            <rFont val="Tahoma"/>
            <family val="2"/>
          </rPr>
          <t xml:space="preserve">
Safran have two adjusted Op Income metrics, recurring op income is effectively what most would call Adjusted EBIT</t>
        </r>
      </text>
    </comment>
    <comment ref="T87" authorId="1" shapeId="0" xr:uid="{00000000-0006-0000-0A00-000007000000}">
      <text>
        <r>
          <rPr>
            <b/>
            <sz val="9"/>
            <color indexed="81"/>
            <rFont val="Tahoma"/>
            <family val="2"/>
          </rPr>
          <t>Lapthorn, Peter [GIR]:</t>
        </r>
        <r>
          <rPr>
            <sz val="9"/>
            <color indexed="81"/>
            <rFont val="Tahoma"/>
            <family val="2"/>
          </rPr>
          <t xml:space="preserve">
IR says 25% is conservative. French/US tax reform.</t>
        </r>
      </text>
    </comment>
    <comment ref="V112" authorId="2" shapeId="0" xr:uid="{00000000-0006-0000-0A00-00000A000000}">
      <text>
        <r>
          <rPr>
            <b/>
            <sz val="9"/>
            <color indexed="81"/>
            <rFont val="Tahoma"/>
            <family val="2"/>
          </rPr>
          <t>Huang, Edward [GIR]:</t>
        </r>
        <r>
          <rPr>
            <sz val="9"/>
            <color indexed="81"/>
            <rFont val="Tahoma"/>
            <family val="2"/>
          </rPr>
          <t xml:space="preserve">
31/03/20</t>
        </r>
      </text>
    </comment>
    <comment ref="H136" authorId="3" shapeId="0" xr:uid="{00000000-0006-0000-0A00-000051000000}">
      <text>
        <r>
          <rPr>
            <b/>
            <sz val="8"/>
            <color indexed="81"/>
            <rFont val="Tahoma"/>
            <family val="2"/>
          </rPr>
          <t>CH:</t>
        </r>
        <r>
          <rPr>
            <sz val="8"/>
            <color indexed="81"/>
            <rFont val="Tahoma"/>
            <family val="2"/>
          </rPr>
          <t xml:space="preserve">
-29 net costs of proceeds from disposal of fixed assets
-2 other</t>
        </r>
      </text>
    </comment>
    <comment ref="I136" authorId="3" shapeId="0" xr:uid="{00000000-0006-0000-0A00-000052000000}">
      <text>
        <r>
          <rPr>
            <b/>
            <sz val="8"/>
            <color indexed="81"/>
            <rFont val="Tahoma"/>
            <family val="2"/>
          </rPr>
          <t>CH:</t>
        </r>
        <r>
          <rPr>
            <sz val="8"/>
            <color indexed="81"/>
            <rFont val="Tahoma"/>
            <family val="2"/>
          </rPr>
          <t xml:space="preserve">
15 net costs of proceeds from disposal of fixed assets</t>
        </r>
      </text>
    </comment>
    <comment ref="K136" authorId="3" shapeId="0" xr:uid="{00000000-0006-0000-0A00-000053000000}">
      <text>
        <r>
          <rPr>
            <b/>
            <sz val="8"/>
            <color indexed="81"/>
            <rFont val="Tahoma"/>
            <family val="2"/>
          </rPr>
          <t>CH:</t>
        </r>
        <r>
          <rPr>
            <sz val="8"/>
            <color indexed="81"/>
            <rFont val="Tahoma"/>
            <family val="2"/>
          </rPr>
          <t xml:space="preserve">
-6 'other'
-2 net expense incurred on disposal of financial assets
16 write-downs of loans and other financial receivables
</t>
        </r>
      </text>
    </comment>
    <comment ref="L136" authorId="3" shapeId="0" xr:uid="{00000000-0006-0000-0A00-000054000000}">
      <text>
        <r>
          <rPr>
            <b/>
            <sz val="8"/>
            <color indexed="81"/>
            <rFont val="Tahoma"/>
            <family val="2"/>
          </rPr>
          <t>CH:</t>
        </r>
        <r>
          <rPr>
            <sz val="8"/>
            <color indexed="81"/>
            <rFont val="Tahoma"/>
            <family val="2"/>
          </rPr>
          <t xml:space="preserve">
-6 'other'
-1 net expense incurrent on disposal of financial assets
-12 write down of loans and other financial receivables</t>
        </r>
      </text>
    </comment>
    <comment ref="S136" authorId="4" shapeId="0" xr:uid="{00000000-0006-0000-0A00-000055000000}">
      <text>
        <r>
          <rPr>
            <b/>
            <sz val="9"/>
            <color indexed="81"/>
            <rFont val="Tahoma"/>
            <family val="2"/>
          </rPr>
          <t>Chaudhary, Navika [GIR]:</t>
        </r>
        <r>
          <rPr>
            <sz val="9"/>
            <color indexed="81"/>
            <rFont val="Tahoma"/>
            <family val="2"/>
          </rPr>
          <t xml:space="preserve">
+17 reflectes gain on financial asset disposal
</t>
        </r>
      </text>
    </comment>
    <comment ref="S138" authorId="5" shapeId="0" xr:uid="{00000000-0006-0000-0A00-000056000000}">
      <text>
        <r>
          <rPr>
            <b/>
            <sz val="9"/>
            <color indexed="81"/>
            <rFont val="Tahoma"/>
            <family val="2"/>
          </rPr>
          <t>Charley, Olivia [GIR]:</t>
        </r>
        <r>
          <rPr>
            <sz val="9"/>
            <color indexed="81"/>
            <rFont val="Tahoma"/>
            <family val="2"/>
          </rPr>
          <t xml:space="preserve">
+16 fair value of interest rate derivatives hedging borrowings</t>
        </r>
      </text>
    </comment>
    <comment ref="Q164" authorId="4" shapeId="0" xr:uid="{00000000-0006-0000-0A00-00005F000000}">
      <text>
        <r>
          <rPr>
            <b/>
            <sz val="9"/>
            <color indexed="81"/>
            <rFont val="Tahoma"/>
            <family val="2"/>
          </rPr>
          <t>Chaudhary, Navika [GIR]:</t>
        </r>
        <r>
          <rPr>
            <sz val="9"/>
            <color indexed="81"/>
            <rFont val="Tahoma"/>
            <family val="2"/>
          </rPr>
          <t xml:space="preserve">
683 post impact of disposal</t>
        </r>
      </text>
    </comment>
    <comment ref="Q165" authorId="4" shapeId="0" xr:uid="{00000000-0006-0000-0A00-000060000000}">
      <text>
        <r>
          <rPr>
            <b/>
            <sz val="9"/>
            <color indexed="81"/>
            <rFont val="Tahoma"/>
            <family val="2"/>
          </rPr>
          <t>Chaudhary, Navika [GIR]:</t>
        </r>
        <r>
          <rPr>
            <sz val="9"/>
            <color indexed="81"/>
            <rFont val="Tahoma"/>
            <family val="2"/>
          </rPr>
          <t xml:space="preserve">
88 post disposal
</t>
        </r>
      </text>
    </comment>
    <comment ref="Q166" authorId="4" shapeId="0" xr:uid="{00000000-0006-0000-0A00-000061000000}">
      <text>
        <r>
          <rPr>
            <b/>
            <sz val="9"/>
            <color indexed="81"/>
            <rFont val="Tahoma"/>
            <family val="2"/>
          </rPr>
          <t>Chaudhary, Navika [GIR]:</t>
        </r>
        <r>
          <rPr>
            <sz val="9"/>
            <color indexed="81"/>
            <rFont val="Tahoma"/>
            <family val="2"/>
          </rPr>
          <t xml:space="preserve">
479 after impact of disposal</t>
        </r>
      </text>
    </comment>
    <comment ref="S169" authorId="4" shapeId="0" xr:uid="{00000000-0006-0000-0A00-000062000000}">
      <text>
        <r>
          <rPr>
            <b/>
            <sz val="9"/>
            <color indexed="81"/>
            <rFont val="Tahoma"/>
            <family val="2"/>
          </rPr>
          <t>Chaudhary, Navika [GIR]:</t>
        </r>
        <r>
          <rPr>
            <sz val="9"/>
            <color indexed="81"/>
            <rFont val="Tahoma"/>
            <family val="2"/>
          </rPr>
          <t xml:space="preserve">
"a reduction of the self-funded R&amp;D in the order of EUR100 million with less spending on the big programs such as the A320neo for equipment of the LEAP program"</t>
        </r>
      </text>
    </comment>
    <comment ref="H170" authorId="6" shapeId="0" xr:uid="{00000000-0006-0000-0A00-000063000000}">
      <text>
        <r>
          <rPr>
            <b/>
            <sz val="9"/>
            <color indexed="81"/>
            <rFont val="Tahoma"/>
            <family val="2"/>
          </rPr>
          <t>aggamu:</t>
        </r>
        <r>
          <rPr>
            <sz val="9"/>
            <color indexed="81"/>
            <rFont val="Tahoma"/>
            <family val="2"/>
          </rPr>
          <t xml:space="preserve">
40% of total R&amp;D is customer funded R&amp;D P56 AR2006</t>
        </r>
      </text>
    </comment>
    <comment ref="I170" authorId="6" shapeId="0" xr:uid="{00000000-0006-0000-0A00-000064000000}">
      <text>
        <r>
          <rPr>
            <b/>
            <sz val="9"/>
            <color indexed="81"/>
            <rFont val="Tahoma"/>
            <family val="2"/>
          </rPr>
          <t>aggamu:</t>
        </r>
        <r>
          <rPr>
            <sz val="9"/>
            <color indexed="81"/>
            <rFont val="Tahoma"/>
            <family val="2"/>
          </rPr>
          <t xml:space="preserve">
39% of total R&amp;D is customer R&amp;D P56 AR2007</t>
        </r>
      </text>
    </comment>
    <comment ref="J170" authorId="6" shapeId="0" xr:uid="{00000000-0006-0000-0A00-000065000000}">
      <text>
        <r>
          <rPr>
            <b/>
            <sz val="9"/>
            <color indexed="81"/>
            <rFont val="Tahoma"/>
            <family val="2"/>
          </rPr>
          <t>aggamu:</t>
        </r>
        <r>
          <rPr>
            <sz val="9"/>
            <color indexed="81"/>
            <rFont val="Tahoma"/>
            <family val="2"/>
          </rPr>
          <t xml:space="preserve">
40% of total R&amp;D is customer funded P51 AR2008</t>
        </r>
      </text>
    </comment>
    <comment ref="K170" authorId="6" shapeId="0" xr:uid="{00000000-0006-0000-0A00-000066000000}">
      <text>
        <r>
          <rPr>
            <b/>
            <sz val="9"/>
            <color indexed="81"/>
            <rFont val="Tahoma"/>
            <family val="2"/>
          </rPr>
          <t>aggamu:</t>
        </r>
        <r>
          <rPr>
            <sz val="9"/>
            <color indexed="81"/>
            <rFont val="Tahoma"/>
            <family val="2"/>
          </rPr>
          <t xml:space="preserve">
40% of total R&amp;D is customer funded P50 AR2009</t>
        </r>
      </text>
    </comment>
    <comment ref="L170" authorId="6" shapeId="0" xr:uid="{00000000-0006-0000-0A00-000067000000}">
      <text>
        <r>
          <rPr>
            <b/>
            <sz val="9"/>
            <color indexed="81"/>
            <rFont val="Tahoma"/>
            <family val="2"/>
          </rPr>
          <t>aggamu:</t>
        </r>
        <r>
          <rPr>
            <sz val="9"/>
            <color indexed="81"/>
            <rFont val="Tahoma"/>
            <family val="2"/>
          </rPr>
          <t xml:space="preserve">
47% of total R&amp;D is customer funded P2 AR2010</t>
        </r>
      </text>
    </comment>
    <comment ref="Q170" authorId="4" shapeId="0" xr:uid="{00000000-0006-0000-0A00-000068000000}">
      <text>
        <r>
          <rPr>
            <b/>
            <sz val="9"/>
            <color indexed="81"/>
            <rFont val="Tahoma"/>
            <family val="2"/>
          </rPr>
          <t>Chaudhary, Navika [GIR]:</t>
        </r>
        <r>
          <rPr>
            <sz val="9"/>
            <color indexed="81"/>
            <rFont val="Tahoma"/>
            <family val="2"/>
          </rPr>
          <t xml:space="preserve">
686 post disposal</t>
        </r>
      </text>
    </comment>
    <comment ref="R181" authorId="6" shapeId="0" xr:uid="{00000000-0006-0000-0A00-000069000000}">
      <text>
        <r>
          <rPr>
            <b/>
            <sz val="9"/>
            <color indexed="81"/>
            <rFont val="Tahoma"/>
            <family val="2"/>
          </rPr>
          <t>aggamu:</t>
        </r>
        <r>
          <rPr>
            <sz val="9"/>
            <color indexed="81"/>
            <rFont val="Tahoma"/>
            <family val="2"/>
          </rPr>
          <t xml:space="preserve">
P&amp;L R&amp;D will increase by 100mn driven by higher amortization and higher R&amp;T spending of 50mn</t>
        </r>
      </text>
    </comment>
    <comment ref="R185" authorId="6" shapeId="0" xr:uid="{00000000-0006-0000-0A00-00006C000000}">
      <text>
        <r>
          <rPr>
            <b/>
            <sz val="9"/>
            <color indexed="81"/>
            <rFont val="Tahoma"/>
            <family val="2"/>
          </rPr>
          <t>aggamu:</t>
        </r>
        <r>
          <rPr>
            <sz val="9"/>
            <color indexed="81"/>
            <rFont val="Tahoma"/>
            <family val="2"/>
          </rPr>
          <t xml:space="preserve">
Self-funded R&amp;D will decrease by 100-150mn</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Lapthorn, Peter [GIR]</author>
    <author>Chaudhary, Navika [GIR]</author>
    <author>Authorized User</author>
    <author>Charley, Olivia [GIR]</author>
    <author>Chris Hallam</author>
    <author>aggamu</author>
  </authors>
  <commentList>
    <comment ref="Q5" authorId="0" shapeId="0" xr:uid="{00000000-0006-0000-0A00-00000B000000}">
      <text>
        <r>
          <rPr>
            <b/>
            <sz val="9"/>
            <color indexed="81"/>
            <rFont val="Tahoma"/>
            <family val="2"/>
          </rPr>
          <t>Lapthorn, Peter [GIR]:</t>
        </r>
        <r>
          <rPr>
            <sz val="9"/>
            <color indexed="81"/>
            <rFont val="Tahoma"/>
            <family val="2"/>
          </rPr>
          <t xml:space="preserve">
Assume the split is the same as previous years</t>
        </r>
      </text>
    </comment>
    <comment ref="Q7" authorId="0" shapeId="0" xr:uid="{00000000-0006-0000-0A00-00000C000000}">
      <text>
        <r>
          <rPr>
            <b/>
            <sz val="9"/>
            <color indexed="81"/>
            <rFont val="Tahoma"/>
            <family val="2"/>
          </rPr>
          <t>Lapthorn, Peter [GIR]:</t>
        </r>
        <r>
          <rPr>
            <sz val="9"/>
            <color indexed="81"/>
            <rFont val="Tahoma"/>
            <family val="2"/>
          </rPr>
          <t xml:space="preserve">
Assume split is same as the previous year (SAF haven't broken out amort/deprec for the restatement</t>
        </r>
      </text>
    </comment>
    <comment ref="Q9" authorId="1" shapeId="0" xr:uid="{00000000-0006-0000-0A00-00000D000000}">
      <text>
        <r>
          <rPr>
            <b/>
            <sz val="9"/>
            <color indexed="81"/>
            <rFont val="Tahoma"/>
            <family val="2"/>
          </rPr>
          <t>Chaudhary, Navika [GIR]:</t>
        </r>
        <r>
          <rPr>
            <sz val="9"/>
            <color indexed="81"/>
            <rFont val="Tahoma"/>
            <family val="2"/>
          </rPr>
          <t xml:space="preserve">
restated 993
</t>
        </r>
      </text>
    </comment>
    <comment ref="K23" authorId="2" shapeId="0" xr:uid="{00000000-0006-0000-0A00-00000E000000}">
      <text>
        <r>
          <rPr>
            <b/>
            <sz val="8"/>
            <color indexed="81"/>
            <rFont val="Tahoma"/>
            <family val="2"/>
          </rPr>
          <t>CH:</t>
        </r>
        <r>
          <rPr>
            <sz val="8"/>
            <color indexed="81"/>
            <rFont val="Tahoma"/>
            <family val="2"/>
          </rPr>
          <t xml:space="preserve">
5 relating to discontinued operations</t>
        </r>
      </text>
    </comment>
    <comment ref="L23" authorId="2" shapeId="0" xr:uid="{00000000-0006-0000-0A00-00000F000000}">
      <text>
        <r>
          <rPr>
            <b/>
            <sz val="8"/>
            <color indexed="81"/>
            <rFont val="Tahoma"/>
            <family val="2"/>
          </rPr>
          <t>CH:</t>
        </r>
        <r>
          <rPr>
            <sz val="8"/>
            <color indexed="81"/>
            <rFont val="Tahoma"/>
            <family val="2"/>
          </rPr>
          <t xml:space="preserve">
-29 relating to discontinued operations</t>
        </r>
      </text>
    </comment>
    <comment ref="M23" authorId="2" shapeId="0" xr:uid="{00000000-0006-0000-0A00-000010000000}">
      <text>
        <r>
          <rPr>
            <b/>
            <sz val="8"/>
            <color indexed="81"/>
            <rFont val="Tahoma"/>
            <family val="2"/>
          </rPr>
          <t>CH:</t>
        </r>
        <r>
          <rPr>
            <sz val="8"/>
            <color indexed="81"/>
            <rFont val="Tahoma"/>
            <family val="2"/>
          </rPr>
          <t xml:space="preserve">
-10 From discontinued operations. Also reversing out cash tax impact of 42</t>
        </r>
      </text>
    </comment>
    <comment ref="N23" authorId="2" shapeId="0" xr:uid="{00000000-0006-0000-0A00-000011000000}">
      <text>
        <r>
          <rPr>
            <b/>
            <sz val="8"/>
            <color indexed="81"/>
            <rFont val="Tahoma"/>
            <family val="2"/>
          </rPr>
          <t>CH:</t>
        </r>
        <r>
          <rPr>
            <sz val="8"/>
            <color indexed="81"/>
            <rFont val="Tahoma"/>
            <family val="2"/>
          </rPr>
          <t xml:space="preserve">
-1 From discontinued operations
Also reversing out the cash tax impact of 337</t>
        </r>
      </text>
    </comment>
    <comment ref="T26" authorId="3" shapeId="0" xr:uid="{00000000-0006-0000-0A00-000012000000}">
      <text>
        <r>
          <rPr>
            <b/>
            <sz val="9"/>
            <color indexed="81"/>
            <rFont val="Tahoma"/>
            <family val="2"/>
          </rPr>
          <t>Charley, Olivia [GIR]:</t>
        </r>
        <r>
          <rPr>
            <sz val="9"/>
            <color indexed="81"/>
            <rFont val="Tahoma"/>
            <family val="2"/>
          </rPr>
          <t xml:space="preserve">
Includes capitalisation of R&amp;D (327) which is included in FCF</t>
        </r>
      </text>
    </comment>
    <comment ref="O30" authorId="2" shapeId="0" xr:uid="{00000000-0006-0000-0A00-000013000000}">
      <text>
        <r>
          <rPr>
            <b/>
            <sz val="9"/>
            <color indexed="81"/>
            <rFont val="Tahoma"/>
            <family val="2"/>
          </rPr>
          <t>CH:</t>
        </r>
        <r>
          <rPr>
            <sz val="9"/>
            <color indexed="81"/>
            <rFont val="Tahoma"/>
            <family val="2"/>
          </rPr>
          <t xml:space="preserve">
Acquisition of RRs 50% stake in RTM, concluded September 2013</t>
        </r>
      </text>
    </comment>
    <comment ref="H34" authorId="2" shapeId="0" xr:uid="{00000000-0006-0000-0A00-000014000000}">
      <text>
        <r>
          <rPr>
            <b/>
            <sz val="8"/>
            <color indexed="81"/>
            <rFont val="Tahoma"/>
            <family val="2"/>
          </rPr>
          <t>CH:</t>
        </r>
        <r>
          <rPr>
            <sz val="8"/>
            <color indexed="81"/>
            <rFont val="Tahoma"/>
            <family val="2"/>
          </rPr>
          <t xml:space="preserve">
9 other changes
</t>
        </r>
      </text>
    </comment>
    <comment ref="I34" authorId="2" shapeId="0" xr:uid="{00000000-0006-0000-0A00-000015000000}">
      <text>
        <r>
          <rPr>
            <b/>
            <sz val="8"/>
            <color indexed="81"/>
            <rFont val="Tahoma"/>
            <family val="2"/>
          </rPr>
          <t>CH:</t>
        </r>
        <r>
          <rPr>
            <sz val="8"/>
            <color indexed="81"/>
            <rFont val="Tahoma"/>
            <family val="2"/>
          </rPr>
          <t xml:space="preserve">
-34 from discontinued operations
</t>
        </r>
      </text>
    </comment>
    <comment ref="J34" authorId="2" shapeId="0" xr:uid="{00000000-0006-0000-0A00-000016000000}">
      <text>
        <r>
          <rPr>
            <b/>
            <sz val="8"/>
            <color indexed="81"/>
            <rFont val="Tahoma"/>
            <family val="2"/>
          </rPr>
          <t>CH:</t>
        </r>
        <r>
          <rPr>
            <sz val="8"/>
            <color indexed="81"/>
            <rFont val="Tahoma"/>
            <family val="2"/>
          </rPr>
          <t xml:space="preserve">
-12 from discontinued operations
</t>
        </r>
      </text>
    </comment>
    <comment ref="L34" authorId="2" shapeId="0" xr:uid="{00000000-0006-0000-0A00-000017000000}">
      <text>
        <r>
          <rPr>
            <b/>
            <sz val="8"/>
            <color indexed="81"/>
            <rFont val="Tahoma"/>
            <family val="2"/>
          </rPr>
          <t>CH:</t>
        </r>
        <r>
          <rPr>
            <sz val="8"/>
            <color indexed="81"/>
            <rFont val="Tahoma"/>
            <family val="2"/>
          </rPr>
          <t xml:space="preserve">
1 detailed under 'other'</t>
        </r>
      </text>
    </comment>
    <comment ref="M34" authorId="2" shapeId="0" xr:uid="{00000000-0006-0000-0A00-000018000000}">
      <text>
        <r>
          <rPr>
            <b/>
            <sz val="8"/>
            <color indexed="81"/>
            <rFont val="Tahoma"/>
            <family val="2"/>
          </rPr>
          <t>CH:</t>
        </r>
        <r>
          <rPr>
            <sz val="8"/>
            <color indexed="81"/>
            <rFont val="Tahoma"/>
            <family val="2"/>
          </rPr>
          <t xml:space="preserve">
Cash flow from investing related to discontinued ops</t>
        </r>
      </text>
    </comment>
    <comment ref="R34" authorId="1" shapeId="0" xr:uid="{00000000-0006-0000-0A00-000019000000}">
      <text>
        <r>
          <rPr>
            <b/>
            <sz val="9"/>
            <color indexed="81"/>
            <rFont val="Tahoma"/>
            <family val="2"/>
          </rPr>
          <t>Chaudhary, Navika [GIR]:</t>
        </r>
        <r>
          <rPr>
            <sz val="9"/>
            <color indexed="81"/>
            <rFont val="Tahoma"/>
            <family val="2"/>
          </rPr>
          <t xml:space="preserve">
Capitalisation of R&amp;D Expenditure (364) + sale of investment or business (2)
</t>
        </r>
      </text>
    </comment>
    <comment ref="S34" authorId="1" shapeId="0" xr:uid="{00000000-0006-0000-0A00-00001A000000}">
      <text>
        <r>
          <rPr>
            <b/>
            <sz val="9"/>
            <color indexed="81"/>
            <rFont val="Tahoma"/>
            <family val="2"/>
          </rPr>
          <t>Chaudhary, Navika [GIR]:</t>
        </r>
        <r>
          <rPr>
            <sz val="9"/>
            <color indexed="81"/>
            <rFont val="Tahoma"/>
            <family val="2"/>
          </rPr>
          <t xml:space="preserve">
sale of investment or business (3060)
</t>
        </r>
      </text>
    </comment>
    <comment ref="T34" authorId="3" shapeId="0" xr:uid="{00000000-0006-0000-0A00-00001B000000}">
      <text>
        <r>
          <rPr>
            <b/>
            <sz val="9"/>
            <color indexed="81"/>
            <rFont val="Tahoma"/>
            <family val="2"/>
          </rPr>
          <t>Charley, Olivia [GIR]:</t>
        </r>
        <r>
          <rPr>
            <sz val="9"/>
            <color indexed="81"/>
            <rFont val="Tahoma"/>
            <family val="2"/>
          </rPr>
          <t xml:space="preserve">
18 from proceeds arising from sale of investments or businesses</t>
        </r>
      </text>
    </comment>
    <comment ref="T40" authorId="0" shapeId="0" xr:uid="{00000000-0006-0000-0A00-00001C000000}">
      <text>
        <r>
          <rPr>
            <b/>
            <sz val="9"/>
            <color indexed="81"/>
            <rFont val="Tahoma"/>
            <family val="2"/>
          </rPr>
          <t>Lapthorn, Peter [GIR]:</t>
        </r>
        <r>
          <rPr>
            <sz val="9"/>
            <color indexed="81"/>
            <rFont val="Tahoma"/>
            <family val="2"/>
          </rPr>
          <t xml:space="preserve">
New debt issued to replace retiring debt, plus Zodiac's net debt at 1H18 (Safran presentation)</t>
        </r>
      </text>
    </comment>
    <comment ref="T43" authorId="0" shapeId="0" xr:uid="{00000000-0006-0000-0A00-00001D000000}">
      <text>
        <r>
          <rPr>
            <b/>
            <sz val="9"/>
            <color indexed="81"/>
            <rFont val="Tahoma"/>
            <family val="2"/>
          </rPr>
          <t>Lapthorn, Peter [GIR]:</t>
        </r>
        <r>
          <rPr>
            <sz val="9"/>
            <color indexed="81"/>
            <rFont val="Tahoma"/>
            <family val="2"/>
          </rPr>
          <t xml:space="preserve">
Entirely paid in 1H</t>
        </r>
      </text>
    </comment>
    <comment ref="I48" authorId="2" shapeId="0" xr:uid="{00000000-0006-0000-0A00-00001E000000}">
      <text>
        <r>
          <rPr>
            <b/>
            <sz val="8"/>
            <color indexed="81"/>
            <rFont val="Tahoma"/>
            <family val="2"/>
          </rPr>
          <t>CH:</t>
        </r>
        <r>
          <rPr>
            <sz val="8"/>
            <color indexed="81"/>
            <rFont val="Tahoma"/>
            <family val="2"/>
          </rPr>
          <t xml:space="preserve">
63 from discontinued operations
</t>
        </r>
      </text>
    </comment>
    <comment ref="J48" authorId="2" shapeId="0" xr:uid="{00000000-0006-0000-0A00-00001F000000}">
      <text>
        <r>
          <rPr>
            <b/>
            <sz val="8"/>
            <color indexed="81"/>
            <rFont val="Tahoma"/>
            <family val="2"/>
          </rPr>
          <t>CH:</t>
        </r>
        <r>
          <rPr>
            <sz val="8"/>
            <color indexed="81"/>
            <rFont val="Tahoma"/>
            <family val="2"/>
          </rPr>
          <t xml:space="preserve">
135 from discontinued operations
</t>
        </r>
      </text>
    </comment>
    <comment ref="K48" authorId="2" shapeId="0" xr:uid="{00000000-0006-0000-0A00-000020000000}">
      <text>
        <r>
          <rPr>
            <b/>
            <sz val="8"/>
            <color indexed="81"/>
            <rFont val="Tahoma"/>
            <family val="2"/>
          </rPr>
          <t>CH:</t>
        </r>
        <r>
          <rPr>
            <sz val="8"/>
            <color indexed="81"/>
            <rFont val="Tahoma"/>
            <family val="2"/>
          </rPr>
          <t xml:space="preserve">
-30 Intercompany financing cash flow realting to discontinued operations 
-1 relating to discontinued operations</t>
        </r>
      </text>
    </comment>
    <comment ref="L48" authorId="2" shapeId="0" xr:uid="{00000000-0006-0000-0A00-000021000000}">
      <text>
        <r>
          <rPr>
            <b/>
            <sz val="8"/>
            <color indexed="81"/>
            <rFont val="Tahoma"/>
            <family val="2"/>
          </rPr>
          <t>CH:</t>
        </r>
        <r>
          <rPr>
            <sz val="8"/>
            <color indexed="81"/>
            <rFont val="Tahoma"/>
            <family val="2"/>
          </rPr>
          <t xml:space="preserve">
28 Intercompany financing cash flow realting to discontinued operations </t>
        </r>
      </text>
    </comment>
    <comment ref="M48" authorId="2" shapeId="0" xr:uid="{00000000-0006-0000-0A00-000022000000}">
      <text>
        <r>
          <rPr>
            <b/>
            <sz val="8"/>
            <color indexed="81"/>
            <rFont val="Tahoma"/>
            <family val="2"/>
          </rPr>
          <t>CH:</t>
        </r>
        <r>
          <rPr>
            <sz val="8"/>
            <color indexed="81"/>
            <rFont val="Tahoma"/>
            <family val="2"/>
          </rPr>
          <t xml:space="preserve">
11 Intercompany financing cash flow realting to discontinued operations </t>
        </r>
      </text>
    </comment>
    <comment ref="N48" authorId="2" shapeId="0" xr:uid="{00000000-0006-0000-0A00-000023000000}">
      <text>
        <r>
          <rPr>
            <b/>
            <sz val="8"/>
            <color indexed="81"/>
            <rFont val="Tahoma"/>
            <family val="2"/>
          </rPr>
          <t>CH:</t>
        </r>
        <r>
          <rPr>
            <sz val="8"/>
            <color indexed="81"/>
            <rFont val="Tahoma"/>
            <family val="2"/>
          </rPr>
          <t xml:space="preserve">
2Intercompany financing cash flow realting to discontinued operations </t>
        </r>
      </text>
    </comment>
    <comment ref="Q51" authorId="0" shapeId="0" xr:uid="{00000000-0006-0000-0A00-000024000000}">
      <text>
        <r>
          <rPr>
            <b/>
            <sz val="9"/>
            <color indexed="81"/>
            <rFont val="Tahoma"/>
            <family val="2"/>
          </rPr>
          <t>Lapthorn, Peter [GIR]:</t>
        </r>
        <r>
          <rPr>
            <sz val="9"/>
            <color indexed="81"/>
            <rFont val="Tahoma"/>
            <family val="2"/>
          </rPr>
          <t xml:space="preserve">
adding the cash flows from discontinued operations (restated)
</t>
        </r>
      </text>
    </comment>
    <comment ref="R51" authorId="0" shapeId="0" xr:uid="{00000000-0006-0000-0A00-000025000000}">
      <text>
        <r>
          <rPr>
            <b/>
            <sz val="9"/>
            <color indexed="81"/>
            <rFont val="Tahoma"/>
            <family val="2"/>
          </rPr>
          <t>Lapthorn, Peter [GIR]:</t>
        </r>
        <r>
          <rPr>
            <sz val="9"/>
            <color indexed="81"/>
            <rFont val="Tahoma"/>
            <family val="2"/>
          </rPr>
          <t xml:space="preserve">
adding the cash flows from discontinued operations</t>
        </r>
      </text>
    </comment>
    <comment ref="I53" authorId="2" shapeId="0" xr:uid="{00000000-0006-0000-0A00-000026000000}">
      <text>
        <r>
          <rPr>
            <b/>
            <sz val="8"/>
            <color indexed="81"/>
            <rFont val="Tahoma"/>
            <family val="2"/>
          </rPr>
          <t>CH:</t>
        </r>
        <r>
          <rPr>
            <sz val="8"/>
            <color indexed="81"/>
            <rFont val="Tahoma"/>
            <family val="2"/>
          </rPr>
          <t xml:space="preserve">
Ex-ing out cash which was generated by discontinued operations
</t>
        </r>
      </text>
    </comment>
    <comment ref="J53" authorId="2" shapeId="0" xr:uid="{00000000-0006-0000-0A00-000027000000}">
      <text>
        <r>
          <rPr>
            <b/>
            <sz val="8"/>
            <color indexed="81"/>
            <rFont val="Tahoma"/>
            <family val="2"/>
          </rPr>
          <t>CH:</t>
        </r>
        <r>
          <rPr>
            <sz val="8"/>
            <color indexed="81"/>
            <rFont val="Tahoma"/>
            <family val="2"/>
          </rPr>
          <t xml:space="preserve">
Ex-ing out cash which was generated by discontinued operations
</t>
        </r>
      </text>
    </comment>
    <comment ref="K53" authorId="2" shapeId="0" xr:uid="{00000000-0006-0000-0A00-000028000000}">
      <text>
        <r>
          <rPr>
            <b/>
            <sz val="8"/>
            <color indexed="81"/>
            <rFont val="Tahoma"/>
            <family val="2"/>
          </rPr>
          <t>CH:</t>
        </r>
        <r>
          <rPr>
            <sz val="8"/>
            <color indexed="81"/>
            <rFont val="Tahoma"/>
            <family val="2"/>
          </rPr>
          <t xml:space="preserve">
relating to discontinued operations and assets held for sale</t>
        </r>
      </text>
    </comment>
    <comment ref="O53" authorId="4" shapeId="0" xr:uid="{00000000-0006-0000-0A00-000029000000}">
      <text>
        <r>
          <rPr>
            <b/>
            <sz val="9"/>
            <color indexed="81"/>
            <rFont val="Tahoma"/>
            <family val="2"/>
          </rPr>
          <t>Chris Hallam:</t>
        </r>
        <r>
          <rPr>
            <sz val="9"/>
            <color indexed="81"/>
            <rFont val="Tahoma"/>
            <family val="2"/>
          </rPr>
          <t xml:space="preserve">
change in scope from IFRS 11</t>
        </r>
      </text>
    </comment>
    <comment ref="S53" authorId="3" shapeId="0" xr:uid="{00000000-0006-0000-0A00-00002A000000}">
      <text>
        <r>
          <rPr>
            <b/>
            <sz val="9"/>
            <color indexed="81"/>
            <rFont val="Tahoma"/>
            <family val="2"/>
          </rPr>
          <t>Charley, Olivia [GIR]:</t>
        </r>
        <r>
          <rPr>
            <sz val="9"/>
            <color indexed="81"/>
            <rFont val="Tahoma"/>
            <family val="2"/>
          </rPr>
          <t xml:space="preserve">
Cash from discontinued operations</t>
        </r>
      </text>
    </comment>
    <comment ref="Q55" authorId="0" shapeId="0" xr:uid="{00000000-0006-0000-0A00-00002B000000}">
      <text>
        <r>
          <rPr>
            <b/>
            <sz val="9"/>
            <color indexed="81"/>
            <rFont val="Tahoma"/>
            <family val="2"/>
          </rPr>
          <t>Lapthorn, Peter [GIR]:</t>
        </r>
        <r>
          <rPr>
            <sz val="9"/>
            <color indexed="81"/>
            <rFont val="Tahoma"/>
            <family val="2"/>
          </rPr>
          <t xml:space="preserve">
subtract cash from discontinued operations</t>
        </r>
      </text>
    </comment>
    <comment ref="I57" authorId="5" shapeId="0" xr:uid="{00000000-0006-0000-0A00-00002C000000}">
      <text>
        <r>
          <rPr>
            <b/>
            <sz val="9"/>
            <color indexed="81"/>
            <rFont val="Tahoma"/>
            <family val="2"/>
          </rPr>
          <t>aggamu:</t>
        </r>
        <r>
          <rPr>
            <sz val="9"/>
            <color indexed="81"/>
            <rFont val="Tahoma"/>
            <family val="2"/>
          </rPr>
          <t xml:space="preserve">
adjusted for discontinued operations to represent reported number</t>
        </r>
      </text>
    </comment>
    <comment ref="J57" authorId="5" shapeId="0" xr:uid="{00000000-0006-0000-0A00-00002D000000}">
      <text>
        <r>
          <rPr>
            <b/>
            <sz val="9"/>
            <color indexed="81"/>
            <rFont val="Tahoma"/>
            <family val="2"/>
          </rPr>
          <t>aggamu:</t>
        </r>
        <r>
          <rPr>
            <sz val="9"/>
            <color indexed="81"/>
            <rFont val="Tahoma"/>
            <family val="2"/>
          </rPr>
          <t xml:space="preserve">
adjusted for discontinued operations to represent reported number</t>
        </r>
      </text>
    </comment>
    <comment ref="K57" authorId="5" shapeId="0" xr:uid="{00000000-0006-0000-0A00-00002E000000}">
      <text>
        <r>
          <rPr>
            <b/>
            <sz val="9"/>
            <color indexed="81"/>
            <rFont val="Tahoma"/>
            <family val="2"/>
          </rPr>
          <t>aggamu:</t>
        </r>
        <r>
          <rPr>
            <sz val="9"/>
            <color indexed="81"/>
            <rFont val="Tahoma"/>
            <family val="2"/>
          </rPr>
          <t xml:space="preserve">
adjusted for discontinued operations to represent reported number</t>
        </r>
      </text>
    </comment>
    <comment ref="L57" authorId="5" shapeId="0" xr:uid="{00000000-0006-0000-0A00-00002F000000}">
      <text>
        <r>
          <rPr>
            <b/>
            <sz val="9"/>
            <color indexed="81"/>
            <rFont val="Tahoma"/>
            <family val="2"/>
          </rPr>
          <t>aggamu:</t>
        </r>
        <r>
          <rPr>
            <sz val="9"/>
            <color indexed="81"/>
            <rFont val="Tahoma"/>
            <family val="2"/>
          </rPr>
          <t xml:space="preserve">
adjusted for discontinued operations to represent reported number</t>
        </r>
      </text>
    </comment>
    <comment ref="M57" authorId="5" shapeId="0" xr:uid="{00000000-0006-0000-0A00-000030000000}">
      <text>
        <r>
          <rPr>
            <b/>
            <sz val="9"/>
            <color indexed="81"/>
            <rFont val="Tahoma"/>
            <family val="2"/>
          </rPr>
          <t>aggamu:</t>
        </r>
        <r>
          <rPr>
            <sz val="9"/>
            <color indexed="81"/>
            <rFont val="Tahoma"/>
            <family val="2"/>
          </rPr>
          <t xml:space="preserve">
adjusted for discontinued operations to represent reported number</t>
        </r>
      </text>
    </comment>
    <comment ref="N57" authorId="5" shapeId="0" xr:uid="{00000000-0006-0000-0A00-000031000000}">
      <text>
        <r>
          <rPr>
            <b/>
            <sz val="9"/>
            <color indexed="81"/>
            <rFont val="Tahoma"/>
            <family val="2"/>
          </rPr>
          <t>aggamu:</t>
        </r>
        <r>
          <rPr>
            <sz val="9"/>
            <color indexed="81"/>
            <rFont val="Tahoma"/>
            <family val="2"/>
          </rPr>
          <t xml:space="preserve">
adjusted for discontinued operations to represent reported number</t>
        </r>
      </text>
    </comment>
    <comment ref="R57" authorId="1" shapeId="0" xr:uid="{00000000-0006-0000-0A00-000032000000}">
      <text>
        <r>
          <rPr>
            <b/>
            <sz val="9"/>
            <color indexed="81"/>
            <rFont val="Tahoma"/>
            <family val="2"/>
          </rPr>
          <t>Chaudhary, Navika [GIR]:</t>
        </r>
        <r>
          <rPr>
            <sz val="9"/>
            <color indexed="81"/>
            <rFont val="Tahoma"/>
            <family val="2"/>
          </rPr>
          <t xml:space="preserve">
Adjusted for discontinued operations, Capitalisation of R&amp;D Expenditure 364
</t>
        </r>
      </text>
    </comment>
    <comment ref="O58" authorId="4" shapeId="0" xr:uid="{00000000-0006-0000-0A00-000033000000}">
      <text>
        <r>
          <rPr>
            <b/>
            <sz val="9"/>
            <color indexed="81"/>
            <rFont val="Tahoma"/>
            <family val="2"/>
          </rPr>
          <t>Chris Hallam:</t>
        </r>
        <r>
          <rPr>
            <sz val="9"/>
            <color indexed="81"/>
            <rFont val="Tahoma"/>
            <family val="2"/>
          </rPr>
          <t xml:space="preserve">
Guidance is c.40%</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Chris Hallam</author>
    <author>Lapthorn, Peter [GIR]</author>
    <author>Authorized User</author>
    <author>aggamu</author>
    <author>Chaudhary, Navika [GIR]</author>
    <author>Allard, Victor [GIR]</author>
  </authors>
  <commentList>
    <comment ref="O4" authorId="0" shapeId="0" xr:uid="{00000000-0006-0000-0A00-000034000000}">
      <text>
        <r>
          <rPr>
            <b/>
            <sz val="9"/>
            <color indexed="81"/>
            <rFont val="Tahoma"/>
            <family val="2"/>
          </rPr>
          <t>Chris Hallam:</t>
        </r>
        <r>
          <rPr>
            <sz val="9"/>
            <color indexed="81"/>
            <rFont val="Tahoma"/>
            <family val="2"/>
          </rPr>
          <t xml:space="preserve">
restated for impact of IFRS 11</t>
        </r>
      </text>
    </comment>
    <comment ref="O5" authorId="0" shapeId="0" xr:uid="{00000000-0006-0000-0A00-000035000000}">
      <text>
        <r>
          <rPr>
            <b/>
            <sz val="9"/>
            <color indexed="81"/>
            <rFont val="Tahoma"/>
            <family val="2"/>
          </rPr>
          <t>Chris Hallam:</t>
        </r>
        <r>
          <rPr>
            <sz val="9"/>
            <color indexed="81"/>
            <rFont val="Tahoma"/>
            <family val="2"/>
          </rPr>
          <t xml:space="preserve">
restated for impact of IFRS 11</t>
        </r>
      </text>
    </comment>
    <comment ref="O6" authorId="0" shapeId="0" xr:uid="{00000000-0006-0000-0A00-000036000000}">
      <text>
        <r>
          <rPr>
            <b/>
            <sz val="9"/>
            <color indexed="81"/>
            <rFont val="Tahoma"/>
            <family val="2"/>
          </rPr>
          <t>Chris Hallam:</t>
        </r>
        <r>
          <rPr>
            <sz val="9"/>
            <color indexed="81"/>
            <rFont val="Tahoma"/>
            <family val="2"/>
          </rPr>
          <t xml:space="preserve">
Restated for impact of IFRS 11</t>
        </r>
      </text>
    </comment>
    <comment ref="R6" authorId="0" shapeId="0" xr:uid="{00000000-0006-0000-0A00-000037000000}">
      <text>
        <r>
          <rPr>
            <b/>
            <sz val="9"/>
            <color indexed="81"/>
            <rFont val="Tahoma"/>
            <family val="2"/>
          </rPr>
          <t>Chris Hallam:</t>
        </r>
        <r>
          <rPr>
            <sz val="9"/>
            <color indexed="81"/>
            <rFont val="Tahoma"/>
            <family val="2"/>
          </rPr>
          <t xml:space="preserve">
Assume 750 positive as ASL is bought for 1x PPE and is a 750 consideration in 2016</t>
        </r>
      </text>
    </comment>
    <comment ref="O8" authorId="0" shapeId="0" xr:uid="{00000000-0006-0000-0A00-000038000000}">
      <text>
        <r>
          <rPr>
            <b/>
            <sz val="9"/>
            <color indexed="81"/>
            <rFont val="Tahoma"/>
            <family val="2"/>
          </rPr>
          <t>Chris Hallam:</t>
        </r>
        <r>
          <rPr>
            <sz val="9"/>
            <color indexed="81"/>
            <rFont val="Tahoma"/>
            <family val="2"/>
          </rPr>
          <t xml:space="preserve">
restated for IFRS 11</t>
        </r>
      </text>
    </comment>
    <comment ref="O10" authorId="0" shapeId="0" xr:uid="{00000000-0006-0000-0A00-000039000000}">
      <text>
        <r>
          <rPr>
            <b/>
            <sz val="9"/>
            <color indexed="81"/>
            <rFont val="Tahoma"/>
            <family val="2"/>
          </rPr>
          <t>Chris Hallam:</t>
        </r>
        <r>
          <rPr>
            <sz val="9"/>
            <color indexed="81"/>
            <rFont val="Tahoma"/>
            <family val="2"/>
          </rPr>
          <t xml:space="preserve">
restated for IFRS 11</t>
        </r>
      </text>
    </comment>
    <comment ref="O14" authorId="0" shapeId="0" xr:uid="{00000000-0006-0000-0A00-00003A000000}">
      <text>
        <r>
          <rPr>
            <b/>
            <sz val="9"/>
            <color indexed="81"/>
            <rFont val="Tahoma"/>
            <family val="2"/>
          </rPr>
          <t>Chris Hallam:</t>
        </r>
        <r>
          <rPr>
            <sz val="9"/>
            <color indexed="81"/>
            <rFont val="Tahoma"/>
            <family val="2"/>
          </rPr>
          <t xml:space="preserve">
restated for IFRS 11</t>
        </r>
      </text>
    </comment>
    <comment ref="T16" authorId="1" shapeId="0" xr:uid="{00000000-0006-0000-0A00-00003B000000}">
      <text>
        <r>
          <rPr>
            <b/>
            <sz val="9"/>
            <color indexed="81"/>
            <rFont val="Tahoma"/>
            <family val="2"/>
          </rPr>
          <t>Lapthorn, Peter [GIR]:</t>
        </r>
        <r>
          <rPr>
            <sz val="9"/>
            <color indexed="81"/>
            <rFont val="Tahoma"/>
            <family val="2"/>
          </rPr>
          <t xml:space="preserve">
</t>
        </r>
      </text>
    </comment>
    <comment ref="O18" authorId="0" shapeId="0" xr:uid="{00000000-0006-0000-0A00-00003C000000}">
      <text>
        <r>
          <rPr>
            <b/>
            <sz val="9"/>
            <color indexed="81"/>
            <rFont val="Tahoma"/>
            <family val="2"/>
          </rPr>
          <t>Chris Hallam:</t>
        </r>
        <r>
          <rPr>
            <sz val="9"/>
            <color indexed="81"/>
            <rFont val="Tahoma"/>
            <family val="2"/>
          </rPr>
          <t xml:space="preserve">
restated for IFRS11</t>
        </r>
      </text>
    </comment>
    <comment ref="O20" authorId="0" shapeId="0" xr:uid="{00000000-0006-0000-0A00-00003D000000}">
      <text>
        <r>
          <rPr>
            <b/>
            <sz val="9"/>
            <color indexed="81"/>
            <rFont val="Tahoma"/>
            <family val="2"/>
          </rPr>
          <t>Chris Hallam:</t>
        </r>
        <r>
          <rPr>
            <sz val="9"/>
            <color indexed="81"/>
            <rFont val="Tahoma"/>
            <family val="2"/>
          </rPr>
          <t xml:space="preserve">
restated for IFRS 11</t>
        </r>
      </text>
    </comment>
    <comment ref="H26" authorId="2" shapeId="0" xr:uid="{00000000-0006-0000-0A00-00003E000000}">
      <text>
        <r>
          <rPr>
            <b/>
            <sz val="8"/>
            <color indexed="81"/>
            <rFont val="Tahoma"/>
            <family val="2"/>
          </rPr>
          <t>CH:</t>
        </r>
        <r>
          <rPr>
            <sz val="8"/>
            <color indexed="81"/>
            <rFont val="Tahoma"/>
            <family val="2"/>
          </rPr>
          <t xml:space="preserve">
151 on other current assets</t>
        </r>
      </text>
    </comment>
    <comment ref="I26" authorId="2" shapeId="0" xr:uid="{00000000-0006-0000-0A00-00003F000000}">
      <text>
        <r>
          <rPr>
            <b/>
            <sz val="8"/>
            <color indexed="81"/>
            <rFont val="Tahoma"/>
            <family val="2"/>
          </rPr>
          <t>CH:</t>
        </r>
        <r>
          <rPr>
            <sz val="8"/>
            <color indexed="81"/>
            <rFont val="Tahoma"/>
            <family val="2"/>
          </rPr>
          <t xml:space="preserve">
183 in other current assets
779 in assets held for sale</t>
        </r>
      </text>
    </comment>
    <comment ref="J26" authorId="2" shapeId="0" xr:uid="{00000000-0006-0000-0A00-000040000000}">
      <text>
        <r>
          <rPr>
            <b/>
            <sz val="8"/>
            <color indexed="81"/>
            <rFont val="Tahoma"/>
            <family val="2"/>
          </rPr>
          <t>CH:</t>
        </r>
        <r>
          <rPr>
            <sz val="8"/>
            <color indexed="81"/>
            <rFont val="Tahoma"/>
            <family val="2"/>
          </rPr>
          <t xml:space="preserve">
203 in other current assets
61 in assets held for sale</t>
        </r>
      </text>
    </comment>
    <comment ref="R26" authorId="1" shapeId="0" xr:uid="{00000000-0006-0000-0A00-000041000000}">
      <text>
        <r>
          <rPr>
            <b/>
            <sz val="9"/>
            <color indexed="81"/>
            <rFont val="Tahoma"/>
            <family val="2"/>
          </rPr>
          <t>Lapthorn, Peter [GIR]:</t>
        </r>
        <r>
          <rPr>
            <sz val="9"/>
            <color indexed="81"/>
            <rFont val="Tahoma"/>
            <family val="2"/>
          </rPr>
          <t xml:space="preserve">
Security businesses are moved to assets held for sale. </t>
        </r>
      </text>
    </comment>
    <comment ref="O27" authorId="0" shapeId="0" xr:uid="{00000000-0006-0000-0A00-000042000000}">
      <text>
        <r>
          <rPr>
            <b/>
            <sz val="9"/>
            <color indexed="81"/>
            <rFont val="Tahoma"/>
            <family val="2"/>
          </rPr>
          <t>Chris Hallam:</t>
        </r>
        <r>
          <rPr>
            <sz val="9"/>
            <color indexed="81"/>
            <rFont val="Tahoma"/>
            <family val="2"/>
          </rPr>
          <t xml:space="preserve">
restated for IFRS 11</t>
        </r>
      </text>
    </comment>
    <comment ref="O29" authorId="0" shapeId="0" xr:uid="{00000000-0006-0000-0A00-000043000000}">
      <text>
        <r>
          <rPr>
            <b/>
            <sz val="9"/>
            <color indexed="81"/>
            <rFont val="Tahoma"/>
            <family val="2"/>
          </rPr>
          <t>Chris Hallam:</t>
        </r>
        <r>
          <rPr>
            <sz val="9"/>
            <color indexed="81"/>
            <rFont val="Tahoma"/>
            <family val="2"/>
          </rPr>
          <t xml:space="preserve">
restated for IFRS 11</t>
        </r>
      </text>
    </comment>
    <comment ref="O31" authorId="0" shapeId="0" xr:uid="{00000000-0006-0000-0A00-000044000000}">
      <text>
        <r>
          <rPr>
            <b/>
            <sz val="9"/>
            <color indexed="81"/>
            <rFont val="Tahoma"/>
            <family val="2"/>
          </rPr>
          <t>Chris Hallam:</t>
        </r>
        <r>
          <rPr>
            <sz val="9"/>
            <color indexed="81"/>
            <rFont val="Tahoma"/>
            <family val="2"/>
          </rPr>
          <t xml:space="preserve">
restated for IFRS 11</t>
        </r>
      </text>
    </comment>
    <comment ref="P33" authorId="3" shapeId="0" xr:uid="{00000000-0006-0000-0A00-000045000000}">
      <text>
        <r>
          <rPr>
            <b/>
            <sz val="9"/>
            <color indexed="81"/>
            <rFont val="Tahoma"/>
            <family val="2"/>
          </rPr>
          <t>aggamu:</t>
        </r>
        <r>
          <rPr>
            <sz val="9"/>
            <color indexed="81"/>
            <rFont val="Tahoma"/>
            <family val="2"/>
          </rPr>
          <t xml:space="preserve">
This has been restated in the FY15 results but we haven't changed the number</t>
        </r>
      </text>
    </comment>
    <comment ref="O34" authorId="0" shapeId="0" xr:uid="{00000000-0006-0000-0A00-000046000000}">
      <text>
        <r>
          <rPr>
            <b/>
            <sz val="9"/>
            <color indexed="81"/>
            <rFont val="Tahoma"/>
            <family val="2"/>
          </rPr>
          <t>Chris Hallam:</t>
        </r>
        <r>
          <rPr>
            <sz val="9"/>
            <color indexed="81"/>
            <rFont val="Tahoma"/>
            <family val="2"/>
          </rPr>
          <t xml:space="preserve">
restated for IFRS 11</t>
        </r>
      </text>
    </comment>
    <comment ref="O38" authorId="0" shapeId="0" xr:uid="{00000000-0006-0000-0A00-000047000000}">
      <text>
        <r>
          <rPr>
            <b/>
            <sz val="9"/>
            <color indexed="81"/>
            <rFont val="Tahoma"/>
            <family val="2"/>
          </rPr>
          <t>Chris Hallam:</t>
        </r>
        <r>
          <rPr>
            <sz val="9"/>
            <color indexed="81"/>
            <rFont val="Tahoma"/>
            <family val="2"/>
          </rPr>
          <t xml:space="preserve">
restated for IFRS 11
</t>
        </r>
      </text>
    </comment>
    <comment ref="O40" authorId="0" shapeId="0" xr:uid="{00000000-0006-0000-0A00-000048000000}">
      <text>
        <r>
          <rPr>
            <b/>
            <sz val="9"/>
            <color indexed="81"/>
            <rFont val="Tahoma"/>
            <family val="2"/>
          </rPr>
          <t>Chris Hallam:</t>
        </r>
        <r>
          <rPr>
            <sz val="9"/>
            <color indexed="81"/>
            <rFont val="Tahoma"/>
            <family val="2"/>
          </rPr>
          <t xml:space="preserve">
restated for IFRS 11
</t>
        </r>
      </text>
    </comment>
    <comment ref="H46" authorId="2" shapeId="0" xr:uid="{00000000-0006-0000-0A00-000049000000}">
      <text>
        <r>
          <rPr>
            <b/>
            <sz val="8"/>
            <color indexed="81"/>
            <rFont val="Tahoma"/>
            <family val="2"/>
          </rPr>
          <t>CH:</t>
        </r>
        <r>
          <rPr>
            <sz val="8"/>
            <color indexed="81"/>
            <rFont val="Tahoma"/>
            <family val="2"/>
          </rPr>
          <t xml:space="preserve">
150 in other current liabilities</t>
        </r>
      </text>
    </comment>
    <comment ref="I46" authorId="2" shapeId="0" xr:uid="{00000000-0006-0000-0A00-00004A000000}">
      <text>
        <r>
          <rPr>
            <b/>
            <sz val="8"/>
            <color indexed="81"/>
            <rFont val="Tahoma"/>
            <family val="2"/>
          </rPr>
          <t>CH:</t>
        </r>
        <r>
          <rPr>
            <sz val="8"/>
            <color indexed="81"/>
            <rFont val="Tahoma"/>
            <family val="2"/>
          </rPr>
          <t xml:space="preserve">
139 in other current liabilities
452 in liabilities held for sale
</t>
        </r>
      </text>
    </comment>
    <comment ref="J46" authorId="2" shapeId="0" xr:uid="{00000000-0006-0000-0A00-00004B000000}">
      <text>
        <r>
          <rPr>
            <b/>
            <sz val="8"/>
            <color indexed="81"/>
            <rFont val="Tahoma"/>
            <family val="2"/>
          </rPr>
          <t>CH:</t>
        </r>
        <r>
          <rPr>
            <sz val="8"/>
            <color indexed="81"/>
            <rFont val="Tahoma"/>
            <family val="2"/>
          </rPr>
          <t xml:space="preserve">
156 in other current liabilities
39 in liabilities held for sale</t>
        </r>
      </text>
    </comment>
    <comment ref="R46" authorId="4" shapeId="0" xr:uid="{00000000-0006-0000-0A00-00004C000000}">
      <text>
        <r>
          <rPr>
            <b/>
            <sz val="9"/>
            <color indexed="81"/>
            <rFont val="Tahoma"/>
            <family val="2"/>
          </rPr>
          <t>Chaudhary, Navika [GIR]:</t>
        </r>
        <r>
          <rPr>
            <sz val="9"/>
            <color indexed="81"/>
            <rFont val="Tahoma"/>
            <family val="2"/>
          </rPr>
          <t xml:space="preserve">
794 is liabilities related to discontinued assets</t>
        </r>
      </text>
    </comment>
    <comment ref="O50" authorId="0" shapeId="0" xr:uid="{00000000-0006-0000-0A00-00004D000000}">
      <text>
        <r>
          <rPr>
            <b/>
            <sz val="9"/>
            <color indexed="81"/>
            <rFont val="Tahoma"/>
            <family val="2"/>
          </rPr>
          <t>Chris Hallam:</t>
        </r>
        <r>
          <rPr>
            <sz val="9"/>
            <color indexed="81"/>
            <rFont val="Tahoma"/>
            <family val="2"/>
          </rPr>
          <t xml:space="preserve">
restated for IFRS 11</t>
        </r>
      </text>
    </comment>
    <comment ref="P50" authorId="3" shapeId="0" xr:uid="{00000000-0006-0000-0A00-00004E000000}">
      <text>
        <r>
          <rPr>
            <b/>
            <sz val="9"/>
            <color indexed="81"/>
            <rFont val="Tahoma"/>
            <family val="2"/>
          </rPr>
          <t>aggamu:</t>
        </r>
        <r>
          <rPr>
            <sz val="9"/>
            <color indexed="81"/>
            <rFont val="Tahoma"/>
            <family val="2"/>
          </rPr>
          <t xml:space="preserve">
This has been restated in the FY15 results but we haven't changed the number</t>
        </r>
      </text>
    </comment>
    <comment ref="H54" authorId="2" shapeId="0" xr:uid="{00000000-0006-0000-0A00-00004F000000}">
      <text>
        <r>
          <rPr>
            <b/>
            <sz val="8"/>
            <color indexed="81"/>
            <rFont val="Tahoma"/>
            <family val="2"/>
          </rPr>
          <t>CH:</t>
        </r>
        <r>
          <rPr>
            <sz val="8"/>
            <color indexed="81"/>
            <rFont val="Tahoma"/>
            <family val="2"/>
          </rPr>
          <t xml:space="preserve">
-76 in Net unrealised losses on currency futures</t>
        </r>
      </text>
    </comment>
    <comment ref="J54" authorId="2" shapeId="0" xr:uid="{00000000-0006-0000-0A00-000050000000}">
      <text>
        <r>
          <rPr>
            <b/>
            <sz val="8"/>
            <color indexed="81"/>
            <rFont val="Tahoma"/>
            <family val="2"/>
          </rPr>
          <t>CH:</t>
        </r>
        <r>
          <rPr>
            <sz val="8"/>
            <color indexed="81"/>
            <rFont val="Tahoma"/>
            <family val="2"/>
          </rPr>
          <t xml:space="preserve">
-32 interim dividends</t>
        </r>
      </text>
    </comment>
    <comment ref="R63" authorId="4" shapeId="0" xr:uid="{00000000-0006-0000-0A00-000057000000}">
      <text>
        <r>
          <rPr>
            <b/>
            <sz val="9"/>
            <color indexed="81"/>
            <rFont val="Tahoma"/>
            <family val="2"/>
          </rPr>
          <t>Chaudhary, Navika [GIR]:</t>
        </r>
        <r>
          <rPr>
            <sz val="9"/>
            <color indexed="81"/>
            <rFont val="Tahoma"/>
            <family val="2"/>
          </rPr>
          <t xml:space="preserve">
Removed impact of assets held for sale</t>
        </r>
      </text>
    </comment>
    <comment ref="R70" authorId="4" shapeId="0" xr:uid="{00000000-0006-0000-0A00-000058000000}">
      <text>
        <r>
          <rPr>
            <b/>
            <sz val="9"/>
            <color indexed="81"/>
            <rFont val="Tahoma"/>
            <family val="2"/>
          </rPr>
          <t>Chaudhary, Navika [GIR]:</t>
        </r>
        <r>
          <rPr>
            <sz val="9"/>
            <color indexed="81"/>
            <rFont val="Tahoma"/>
            <family val="2"/>
          </rPr>
          <t xml:space="preserve">
Removed impact of assets held for sale</t>
        </r>
      </text>
    </comment>
    <comment ref="V86" authorId="5" shapeId="0" xr:uid="{BB00797C-D611-4452-9093-7A0AF45D91A9}">
      <text>
        <r>
          <rPr>
            <b/>
            <sz val="9"/>
            <color indexed="81"/>
            <rFont val="Tahoma"/>
            <family val="2"/>
          </rPr>
          <t>Allard, Victor [GIR]:</t>
        </r>
        <r>
          <rPr>
            <sz val="9"/>
            <color indexed="81"/>
            <rFont val="Tahoma"/>
            <family val="2"/>
          </rPr>
          <t xml:space="preserve">
CMD'21, actual</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Allard, Victor [GIR]</author>
  </authors>
  <commentList>
    <comment ref="M1" authorId="0" shapeId="0" xr:uid="{6ED60072-7AC6-4890-A727-395ACCAA04CE}">
      <text>
        <r>
          <rPr>
            <b/>
            <sz val="9"/>
            <color indexed="81"/>
            <rFont val="Tahoma"/>
            <family val="2"/>
          </rPr>
          <t>Allard, Victor [GIR]:</t>
        </r>
        <r>
          <rPr>
            <sz val="9"/>
            <color indexed="81"/>
            <rFont val="Tahoma"/>
            <family val="2"/>
          </rPr>
          <t xml:space="preserve">
1H 135</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Allard, Victor [GIR]</author>
    <author>Charley, Olivia [GIR]</author>
    <author>Chris Hallam</author>
    <author>Huang, Edward [GIR]</author>
    <author>Lapthorn, Peter [GIR]</author>
    <author>Hallam, Chris [GIR]</author>
  </authors>
  <commentList>
    <comment ref="R4" authorId="0" shapeId="0" xr:uid="{00000000-0006-0000-0A00-00007E000000}">
      <text>
        <r>
          <rPr>
            <b/>
            <sz val="9"/>
            <color indexed="81"/>
            <rFont val="Tahoma"/>
            <family val="2"/>
          </rPr>
          <t>Allard, Victor [GIR]:</t>
        </r>
        <r>
          <rPr>
            <sz val="9"/>
            <color indexed="81"/>
            <rFont val="Tahoma"/>
            <family val="2"/>
          </rPr>
          <t xml:space="preserve">
ASL -400</t>
        </r>
      </text>
    </comment>
    <comment ref="T19" authorId="1" shapeId="0" xr:uid="{00000000-0006-0000-0A00-000087000000}">
      <text>
        <r>
          <rPr>
            <b/>
            <sz val="9"/>
            <color indexed="81"/>
            <rFont val="Tahoma"/>
            <family val="2"/>
          </rPr>
          <t>Charley, Olivia [GIR]:</t>
        </r>
        <r>
          <rPr>
            <sz val="9"/>
            <color indexed="81"/>
            <rFont val="Tahoma"/>
            <family val="2"/>
          </rPr>
          <t xml:space="preserve">
Adding transmission systems following divisional update
+€101mn at EBIT 2018</t>
        </r>
      </text>
    </comment>
    <comment ref="I26" authorId="2" shapeId="0" xr:uid="{00000000-0006-0000-0A00-00008F000000}">
      <text>
        <r>
          <rPr>
            <b/>
            <sz val="9"/>
            <color indexed="81"/>
            <rFont val="Tahoma"/>
            <family val="2"/>
          </rPr>
          <t>Chris Hallam:</t>
        </r>
        <r>
          <rPr>
            <sz val="9"/>
            <color indexed="81"/>
            <rFont val="Tahoma"/>
            <family val="2"/>
          </rPr>
          <t xml:space="preserve">
Page 35 2013 CMD</t>
        </r>
      </text>
    </comment>
    <comment ref="V26" authorId="1" shapeId="0" xr:uid="{00000000-0006-0000-0A00-000092000000}">
      <text>
        <r>
          <rPr>
            <b/>
            <sz val="9"/>
            <color indexed="81"/>
            <rFont val="Tahoma"/>
            <family val="2"/>
          </rPr>
          <t>Charley, Olivia [GIR]:</t>
        </r>
        <r>
          <rPr>
            <sz val="9"/>
            <color indexed="81"/>
            <rFont val="Tahoma"/>
            <family val="2"/>
          </rPr>
          <t xml:space="preserve">
FY19 call: CEO says run rate is 100-200 per year due to spares and engines for P-8</t>
        </r>
      </text>
    </comment>
    <comment ref="U27" authorId="2" shapeId="0" xr:uid="{00000000-0006-0000-0A00-000094000000}">
      <text>
        <r>
          <rPr>
            <b/>
            <sz val="9"/>
            <color indexed="81"/>
            <rFont val="Tahoma"/>
            <family val="2"/>
          </rPr>
          <t>Chris Hallam:</t>
        </r>
        <r>
          <rPr>
            <sz val="9"/>
            <color indexed="81"/>
            <rFont val="Tahoma"/>
            <family val="2"/>
          </rPr>
          <t xml:space="preserve">
GE say 1850-1900
SAF CMD says 1800+ 
Rate cut to 42 so now around 1,800 expected</t>
        </r>
      </text>
    </comment>
    <comment ref="V27" authorId="3" shapeId="0" xr:uid="{00000000-0006-0000-0A00-000095000000}">
      <text>
        <r>
          <rPr>
            <b/>
            <sz val="9"/>
            <color indexed="81"/>
            <rFont val="Tahoma"/>
            <family val="2"/>
          </rPr>
          <t>Huang, Edward [GIR]:</t>
        </r>
        <r>
          <rPr>
            <sz val="9"/>
            <color indexed="81"/>
            <rFont val="Tahoma"/>
            <family val="2"/>
          </rPr>
          <t xml:space="preserve">
1H20: new LEAP deliv estimate after new agreement signed with Boeing</t>
        </r>
      </text>
    </comment>
    <comment ref="T29" authorId="4" shapeId="0" xr:uid="{00000000-0006-0000-0A00-0000A2000000}">
      <text>
        <r>
          <rPr>
            <b/>
            <sz val="9"/>
            <color indexed="81"/>
            <rFont val="Tahoma"/>
            <family val="2"/>
          </rPr>
          <t>Lapthorn, Peter [GIR]:</t>
        </r>
        <r>
          <rPr>
            <sz val="9"/>
            <color indexed="81"/>
            <rFont val="Tahoma"/>
            <family val="2"/>
          </rPr>
          <t xml:space="preserve">
25% lead time effect, and assuming 60% market share on 787</t>
        </r>
      </text>
    </comment>
    <comment ref="U31" authorId="5" shapeId="0" xr:uid="{00000000-0006-0000-0A00-0000A9000000}">
      <text>
        <r>
          <rPr>
            <b/>
            <sz val="9"/>
            <color indexed="81"/>
            <rFont val="Tahoma"/>
            <family val="2"/>
          </rPr>
          <t>Hallam, Chris [GIR]:</t>
        </r>
        <r>
          <rPr>
            <sz val="9"/>
            <color indexed="81"/>
            <rFont val="Tahoma"/>
            <family val="2"/>
          </rPr>
          <t xml:space="preserve">
IR says they expect c.62 this year</t>
        </r>
      </text>
    </comment>
    <comment ref="V31" authorId="5" shapeId="0" xr:uid="{00000000-0006-0000-0A00-0000AA000000}">
      <text>
        <r>
          <rPr>
            <b/>
            <sz val="9"/>
            <color indexed="81"/>
            <rFont val="Tahoma"/>
            <family val="2"/>
          </rPr>
          <t>Hallam, Chris [GIR]:</t>
        </r>
        <r>
          <rPr>
            <sz val="9"/>
            <color indexed="81"/>
            <rFont val="Tahoma"/>
            <family val="2"/>
          </rPr>
          <t xml:space="preserve">
Jan'20: IR expects a drop in 2020 and then a step up in 2021</t>
        </r>
      </text>
    </comment>
    <comment ref="V41" authorId="4" shapeId="0" xr:uid="{00000000-0006-0000-0A00-0000AF000000}">
      <text>
        <r>
          <rPr>
            <b/>
            <sz val="9"/>
            <color indexed="81"/>
            <rFont val="Tahoma"/>
            <family val="2"/>
          </rPr>
          <t>Lapthorn, Peter [GIR]:</t>
        </r>
        <r>
          <rPr>
            <sz val="9"/>
            <color indexed="81"/>
            <rFont val="Tahoma"/>
            <family val="2"/>
          </rPr>
          <t xml:space="preserve">
GE9X is approximately 1/3 larger than a GEnx</t>
        </r>
      </text>
    </comment>
    <comment ref="T103" authorId="0" shapeId="0" xr:uid="{00000000-0006-0000-0A00-0000C4000000}">
      <text>
        <r>
          <rPr>
            <b/>
            <sz val="9"/>
            <color indexed="81"/>
            <rFont val="Tahoma"/>
            <family val="2"/>
          </rPr>
          <t>Allard, Victor [GIR]:</t>
        </r>
        <r>
          <rPr>
            <sz val="9"/>
            <color indexed="81"/>
            <rFont val="Tahoma"/>
            <family val="2"/>
          </rPr>
          <t xml:space="preserve">
IR indication: $5.3bn Civil AM sales in 2018</t>
        </r>
      </text>
    </comment>
    <comment ref="T134" authorId="0" shapeId="0" xr:uid="{00000000-0006-0000-0A00-0000E0000000}">
      <text>
        <r>
          <rPr>
            <b/>
            <sz val="9"/>
            <color indexed="81"/>
            <rFont val="Tahoma"/>
            <family val="2"/>
          </rPr>
          <t>Allard, Victor [GIR]:</t>
        </r>
        <r>
          <rPr>
            <sz val="9"/>
            <color indexed="81"/>
            <rFont val="Tahoma"/>
            <family val="2"/>
          </rPr>
          <t xml:space="preserve">
Our own estimate</t>
        </r>
      </text>
    </comment>
    <comment ref="U134" authorId="0" shapeId="0" xr:uid="{00000000-0006-0000-0A00-0000E1000000}">
      <text>
        <r>
          <rPr>
            <b/>
            <sz val="9"/>
            <color indexed="81"/>
            <rFont val="Tahoma"/>
            <family val="2"/>
          </rPr>
          <t>Allard, Victor [GIR]:</t>
        </r>
        <r>
          <rPr>
            <sz val="9"/>
            <color indexed="81"/>
            <rFont val="Tahoma"/>
            <family val="2"/>
          </rPr>
          <t xml:space="preserve">
Our own estimate</t>
        </r>
      </text>
    </comment>
    <comment ref="V134" authorId="0" shapeId="0" xr:uid="{00000000-0006-0000-0A00-0000E2000000}">
      <text>
        <r>
          <rPr>
            <b/>
            <sz val="9"/>
            <color indexed="81"/>
            <rFont val="Tahoma"/>
            <family val="2"/>
          </rPr>
          <t>Allard, Victor [GIR]:</t>
        </r>
        <r>
          <rPr>
            <sz val="9"/>
            <color indexed="81"/>
            <rFont val="Tahoma"/>
            <family val="2"/>
          </rPr>
          <t xml:space="preserve">
Our own estimate</t>
        </r>
      </text>
    </comment>
    <comment ref="T135" authorId="0" shapeId="0" xr:uid="{00000000-0006-0000-0A00-0000F2000000}">
      <text>
        <r>
          <rPr>
            <b/>
            <sz val="9"/>
            <color indexed="81"/>
            <rFont val="Tahoma"/>
            <family val="2"/>
          </rPr>
          <t>Allard, Victor [GIR]:</t>
        </r>
        <r>
          <rPr>
            <sz val="9"/>
            <color indexed="81"/>
            <rFont val="Tahoma"/>
            <family val="2"/>
          </rPr>
          <t xml:space="preserve">
CMD 21</t>
        </r>
      </text>
    </comment>
    <comment ref="U135" authorId="0" shapeId="0" xr:uid="{00000000-0006-0000-0A00-0000F3000000}">
      <text>
        <r>
          <rPr>
            <b/>
            <sz val="9"/>
            <color indexed="81"/>
            <rFont val="Tahoma"/>
            <family val="2"/>
          </rPr>
          <t>Allard, Victor [GIR]:</t>
        </r>
        <r>
          <rPr>
            <sz val="9"/>
            <color indexed="81"/>
            <rFont val="Tahoma"/>
            <family val="2"/>
          </rPr>
          <t xml:space="preserve">
CMD 21</t>
        </r>
      </text>
    </comment>
    <comment ref="V135" authorId="0" shapeId="0" xr:uid="{00000000-0006-0000-0A00-0000F4000000}">
      <text>
        <r>
          <rPr>
            <b/>
            <sz val="9"/>
            <color indexed="81"/>
            <rFont val="Tahoma"/>
            <family val="2"/>
          </rPr>
          <t>Allard, Victor [GIR]:</t>
        </r>
        <r>
          <rPr>
            <sz val="9"/>
            <color indexed="81"/>
            <rFont val="Tahoma"/>
            <family val="2"/>
          </rPr>
          <t xml:space="preserve">
CMD 21</t>
        </r>
      </text>
    </comment>
    <comment ref="T160" authorId="0" shapeId="0" xr:uid="{00000000-0006-0000-0A00-0000FA000000}">
      <text>
        <r>
          <rPr>
            <b/>
            <sz val="9"/>
            <color indexed="81"/>
            <rFont val="Tahoma"/>
            <family val="2"/>
          </rPr>
          <t>Allard, Victor [GIR]:</t>
        </r>
        <r>
          <rPr>
            <sz val="9"/>
            <color indexed="81"/>
            <rFont val="Tahoma"/>
            <family val="2"/>
          </rPr>
          <t xml:space="preserve">
Avg mkt value of Gen 2 SV which solves for IR guidance of $5.3bn revenue in Civil AM given to CH in 2018</t>
        </r>
      </text>
    </comment>
    <comment ref="U160" authorId="0" shapeId="0" xr:uid="{CACF5FF4-6B82-4351-8542-2A4457B12285}">
      <text>
        <r>
          <rPr>
            <b/>
            <sz val="9"/>
            <color indexed="81"/>
            <rFont val="Tahoma"/>
            <family val="2"/>
          </rPr>
          <t>Allard, Victor [GIR]:</t>
        </r>
        <r>
          <rPr>
            <sz val="9"/>
            <color indexed="81"/>
            <rFont val="Tahoma"/>
            <family val="2"/>
          </rPr>
          <t xml:space="preserve">
FY21 call: "in the course of 2021, we've seen a decrease, a slight decrease of work scope in shop
visits"</t>
        </r>
      </text>
    </comment>
    <comment ref="V160" authorId="0" shapeId="0" xr:uid="{35563871-D5BD-4E89-B285-3168068C7A89}">
      <text>
        <r>
          <rPr>
            <b/>
            <sz val="9"/>
            <color indexed="81"/>
            <rFont val="Tahoma"/>
            <family val="2"/>
          </rPr>
          <t>Allard, Victor [GIR]:</t>
        </r>
        <r>
          <rPr>
            <sz val="9"/>
            <color indexed="81"/>
            <rFont val="Tahoma"/>
            <family val="2"/>
          </rPr>
          <t xml:space="preserve">
FY21 call: "in the course of 2021, we've seen a decrease, a slight decrease of work scope in shop
visits"</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Charley, Olivia [GIR]</author>
    <author>Lapthorn, Peter [GIR]</author>
  </authors>
  <commentList>
    <comment ref="H6" authorId="0" shapeId="0" xr:uid="{00000000-0006-0000-0A00-000056010000}">
      <text>
        <r>
          <rPr>
            <b/>
            <sz val="9"/>
            <color indexed="81"/>
            <rFont val="Tahoma"/>
            <family val="2"/>
          </rPr>
          <t>Charley, Olivia [GIR]:</t>
        </r>
        <r>
          <rPr>
            <sz val="9"/>
            <color indexed="81"/>
            <rFont val="Tahoma"/>
            <family val="2"/>
          </rPr>
          <t xml:space="preserve">
10 months consolidated</t>
        </r>
      </text>
    </comment>
    <comment ref="J7" authorId="0" shapeId="0" xr:uid="{00000000-0006-0000-0A00-000057010000}">
      <text>
        <r>
          <rPr>
            <b/>
            <sz val="9"/>
            <color indexed="81"/>
            <rFont val="Tahoma"/>
            <family val="2"/>
          </rPr>
          <t>Charley, Olivia [GIR]:</t>
        </r>
        <r>
          <rPr>
            <sz val="9"/>
            <color indexed="81"/>
            <rFont val="Tahoma"/>
            <family val="2"/>
          </rPr>
          <t xml:space="preserve">
FY19 call: Safran expects revenue decline in Interiors in 2020</t>
        </r>
      </text>
    </comment>
    <comment ref="I29" authorId="0" shapeId="0" xr:uid="{00000000-0006-0000-0A00-000058010000}">
      <text>
        <r>
          <rPr>
            <b/>
            <sz val="9"/>
            <color indexed="81"/>
            <rFont val="Tahoma"/>
            <family val="2"/>
          </rPr>
          <t>Charley, Olivia [GIR]:</t>
        </r>
        <r>
          <rPr>
            <sz val="9"/>
            <color indexed="81"/>
            <rFont val="Tahoma"/>
            <family val="2"/>
          </rPr>
          <t xml:space="preserve">
Added benefit of extra 2 months. (only 10 months consolidated in 2018)</t>
        </r>
      </text>
    </comment>
    <comment ref="J29" authorId="0" shapeId="0" xr:uid="{00000000-0006-0000-0A00-000059010000}">
      <text>
        <r>
          <rPr>
            <b/>
            <sz val="9"/>
            <color indexed="81"/>
            <rFont val="Tahoma"/>
            <family val="2"/>
          </rPr>
          <t>Charley, Olivia [GIR]:</t>
        </r>
        <r>
          <rPr>
            <sz val="9"/>
            <color indexed="81"/>
            <rFont val="Tahoma"/>
            <family val="2"/>
          </rPr>
          <t xml:space="preserve">
COVID headwind</t>
        </r>
      </text>
    </comment>
    <comment ref="G33" authorId="1" shapeId="0" xr:uid="{00000000-0006-0000-0A00-00005C010000}">
      <text>
        <r>
          <rPr>
            <b/>
            <sz val="9"/>
            <color indexed="81"/>
            <rFont val="Tahoma"/>
            <family val="2"/>
          </rPr>
          <t>Lapthorn, Peter [GIR]:</t>
        </r>
        <r>
          <rPr>
            <sz val="9"/>
            <color indexed="81"/>
            <rFont val="Tahoma"/>
            <family val="2"/>
          </rPr>
          <t xml:space="preserve">
Average of 2010-15</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Lapthorn, Peter [GIR]</author>
    <author>Chris Hallam</author>
    <author>Chaudhary, Navika [GIR]</author>
    <author>Charley, Olivia [GIR]</author>
  </authors>
  <commentList>
    <comment ref="S17" authorId="0" shapeId="0" xr:uid="{00000000-0006-0000-0A00-00000D010000}">
      <text>
        <r>
          <rPr>
            <b/>
            <sz val="9"/>
            <color indexed="81"/>
            <rFont val="Tahoma"/>
            <family val="2"/>
          </rPr>
          <t>Lapthorn, Peter [GIR]:</t>
        </r>
        <r>
          <rPr>
            <sz val="9"/>
            <color indexed="81"/>
            <rFont val="Tahoma"/>
            <family val="2"/>
          </rPr>
          <t xml:space="preserve">
Took down operating margins a little - we were getting a lot of margin improvement over time here</t>
        </r>
      </text>
    </comment>
    <comment ref="Q18" authorId="1" shapeId="0" xr:uid="{00000000-0006-0000-0A00-00000E010000}">
      <text>
        <r>
          <rPr>
            <b/>
            <sz val="9"/>
            <color indexed="81"/>
            <rFont val="Tahoma"/>
            <family val="2"/>
          </rPr>
          <t>Chris Hallam:</t>
        </r>
        <r>
          <rPr>
            <sz val="9"/>
            <color indexed="81"/>
            <rFont val="Tahoma"/>
            <family val="2"/>
          </rPr>
          <t xml:space="preserve">
Assumed slightly lower contribution margins this year vs other foreacst to reconcile with overall group guidance for low double digit growth. Need to check with Ir what the right incremental margins would be</t>
        </r>
      </text>
    </comment>
    <comment ref="T23" authorId="1" shapeId="0" xr:uid="{00000000-0006-0000-0A00-00000F010000}">
      <text>
        <r>
          <rPr>
            <b/>
            <sz val="9"/>
            <color indexed="81"/>
            <rFont val="Tahoma"/>
            <family val="2"/>
          </rPr>
          <t>Chris Hallam:</t>
        </r>
        <r>
          <rPr>
            <sz val="9"/>
            <color indexed="81"/>
            <rFont val="Tahoma"/>
            <family val="2"/>
          </rPr>
          <t xml:space="preserve">
Anticipated end wind down costs on A380 nacelles</t>
        </r>
      </text>
    </comment>
    <comment ref="Q41" authorId="2" shapeId="0" xr:uid="{00000000-0006-0000-0A00-000011010000}">
      <text>
        <r>
          <rPr>
            <b/>
            <sz val="9"/>
            <color indexed="81"/>
            <rFont val="Tahoma"/>
            <family val="2"/>
          </rPr>
          <t>Chaudhary, Navika [GIR]:</t>
        </r>
        <r>
          <rPr>
            <sz val="9"/>
            <color indexed="81"/>
            <rFont val="Tahoma"/>
            <family val="2"/>
          </rPr>
          <t xml:space="preserve">
restated to €3129</t>
        </r>
      </text>
    </comment>
    <comment ref="Q42" authorId="2" shapeId="0" xr:uid="{00000000-0006-0000-0A00-000012010000}">
      <text>
        <r>
          <rPr>
            <b/>
            <sz val="9"/>
            <color indexed="81"/>
            <rFont val="Tahoma"/>
            <family val="2"/>
          </rPr>
          <t>Chaudhary, Navika [GIR]:</t>
        </r>
        <r>
          <rPr>
            <sz val="9"/>
            <color indexed="81"/>
            <rFont val="Tahoma"/>
            <family val="2"/>
          </rPr>
          <t xml:space="preserve">
restated to €1479mn </t>
        </r>
      </text>
    </comment>
    <comment ref="O43" authorId="1" shapeId="0" xr:uid="{00000000-0006-0000-0A00-000013010000}">
      <text>
        <r>
          <rPr>
            <b/>
            <sz val="9"/>
            <color indexed="81"/>
            <rFont val="Tahoma"/>
            <family val="2"/>
          </rPr>
          <t>Chris Hallam:</t>
        </r>
        <r>
          <rPr>
            <sz val="9"/>
            <color indexed="81"/>
            <rFont val="Tahoma"/>
            <family val="2"/>
          </rPr>
          <t xml:space="preserve">
restated for IFRS 11</t>
        </r>
      </text>
    </comment>
    <comment ref="T43" authorId="3" shapeId="0" xr:uid="{00000000-0006-0000-0A00-000014010000}">
      <text>
        <r>
          <rPr>
            <b/>
            <sz val="9"/>
            <color indexed="81"/>
            <rFont val="Tahoma"/>
            <family val="2"/>
          </rPr>
          <t>Charley, Olivia [GIR]:</t>
        </r>
        <r>
          <rPr>
            <sz val="9"/>
            <color indexed="81"/>
            <rFont val="Tahoma"/>
            <family val="2"/>
          </rPr>
          <t xml:space="preserve">
Subtracting Safran Transmission Systems from Equipment due to new Divisional update. 
€127 mn at Sales 2018</t>
        </r>
      </text>
    </comment>
    <comment ref="V51" authorId="1" shapeId="0" xr:uid="{14924D86-B5C1-418D-A12A-7F872B0C6EC2}">
      <text>
        <r>
          <rPr>
            <b/>
            <sz val="9"/>
            <color indexed="81"/>
            <rFont val="Tahoma"/>
            <family val="2"/>
          </rPr>
          <t>Chris Hallam:</t>
        </r>
        <r>
          <rPr>
            <sz val="9"/>
            <color indexed="81"/>
            <rFont val="Tahoma"/>
            <family val="2"/>
          </rPr>
          <t xml:space="preserve">
manually adjusted down slightly for delays on 777X, 787 slowdown and A380</t>
        </r>
      </text>
    </comment>
    <comment ref="V58" authorId="1" shapeId="0" xr:uid="{39F01759-FCBB-48A1-8B07-4890E6F3F1A5}">
      <text>
        <r>
          <rPr>
            <b/>
            <sz val="9"/>
            <color indexed="81"/>
            <rFont val="Tahoma"/>
            <family val="2"/>
          </rPr>
          <t>Chris Hallam:</t>
        </r>
        <r>
          <rPr>
            <sz val="9"/>
            <color indexed="81"/>
            <rFont val="Tahoma"/>
            <family val="2"/>
          </rPr>
          <t xml:space="preserve">
manually adjusted down slightly for delays on 777X, 787 slowdown and A380</t>
        </r>
      </text>
    </comment>
    <comment ref="V59" authorId="3" shapeId="0" xr:uid="{A594D1BD-07DC-4031-A540-39F4ACF924C3}">
      <text>
        <r>
          <rPr>
            <b/>
            <sz val="9"/>
            <color indexed="81"/>
            <rFont val="Tahoma"/>
            <family val="2"/>
          </rPr>
          <t>Charley, Olivia [GIR]:</t>
        </r>
        <r>
          <rPr>
            <sz val="9"/>
            <color indexed="81"/>
            <rFont val="Tahoma"/>
            <family val="2"/>
          </rPr>
          <t xml:space="preserve">
+10% to account for becoming a tier 1 AM provider</t>
        </r>
      </text>
    </comment>
    <comment ref="V63" authorId="1" shapeId="0" xr:uid="{38E28BC2-8594-48D8-91C9-ACDB97F27B8F}">
      <text>
        <r>
          <rPr>
            <b/>
            <sz val="9"/>
            <color indexed="81"/>
            <rFont val="Tahoma"/>
            <family val="2"/>
          </rPr>
          <t>Chris Hallam:</t>
        </r>
        <r>
          <rPr>
            <sz val="9"/>
            <color indexed="81"/>
            <rFont val="Tahoma"/>
            <family val="2"/>
          </rPr>
          <t xml:space="preserve">
manually adjusted down slightly for delays on 777X, 787 slowdown and A380</t>
        </r>
      </text>
    </comment>
    <comment ref="V66" authorId="1" shapeId="0" xr:uid="{939B00BA-05BB-4AD5-A61A-E88EDF144D1D}">
      <text>
        <r>
          <rPr>
            <b/>
            <sz val="9"/>
            <color indexed="81"/>
            <rFont val="Tahoma"/>
            <family val="2"/>
          </rPr>
          <t>Chris Hallam:</t>
        </r>
        <r>
          <rPr>
            <sz val="9"/>
            <color indexed="81"/>
            <rFont val="Tahoma"/>
            <family val="2"/>
          </rPr>
          <t xml:space="preserve">
manually adjusted down slightly for delays on 777X, 787 slowdown and A380</t>
        </r>
      </text>
    </comment>
    <comment ref="U71" authorId="3" shapeId="0" xr:uid="{C1EE06ED-AF26-4A57-B923-5157ACF068F9}">
      <text>
        <r>
          <rPr>
            <b/>
            <sz val="9"/>
            <color indexed="81"/>
            <rFont val="Tahoma"/>
            <family val="2"/>
          </rPr>
          <t>Charley, Olivia [GIR]:</t>
        </r>
        <r>
          <rPr>
            <sz val="9"/>
            <color indexed="81"/>
            <rFont val="Tahoma"/>
            <family val="2"/>
          </rPr>
          <t xml:space="preserve">
Services growth in 1H19 was 11% organic so we increase our FY AM growth expectations</t>
        </r>
      </text>
    </comment>
    <comment ref="V71" authorId="3" shapeId="0" xr:uid="{50D0F93D-D960-4B16-90F5-10257B8CCEC6}">
      <text>
        <r>
          <rPr>
            <b/>
            <sz val="9"/>
            <color indexed="81"/>
            <rFont val="Tahoma"/>
            <family val="2"/>
          </rPr>
          <t>Charley, Olivia [GIR]:</t>
        </r>
        <r>
          <rPr>
            <sz val="9"/>
            <color indexed="81"/>
            <rFont val="Tahoma"/>
            <family val="2"/>
          </rPr>
          <t xml:space="preserve">
Assuming coronavirus means we see muted growth</t>
        </r>
      </text>
    </comment>
    <comment ref="U76" authorId="3" shapeId="0" xr:uid="{B25A42F6-D3F3-4A97-8C2D-CD76D03ED8E8}">
      <text>
        <r>
          <rPr>
            <b/>
            <sz val="9"/>
            <color indexed="81"/>
            <rFont val="Tahoma"/>
            <family val="2"/>
          </rPr>
          <t>Charley, Olivia [GIR]:</t>
        </r>
        <r>
          <rPr>
            <sz val="9"/>
            <color indexed="81"/>
            <rFont val="Tahoma"/>
            <family val="2"/>
          </rPr>
          <t xml:space="preserve">
Adjusting to reflect CFO comments on webcast Sept 2020</t>
        </r>
      </text>
    </comment>
    <comment ref="O88" authorId="1" shapeId="0" xr:uid="{00000000-0006-0000-0A00-000031010000}">
      <text>
        <r>
          <rPr>
            <b/>
            <sz val="9"/>
            <color indexed="81"/>
            <rFont val="Tahoma"/>
            <family val="2"/>
          </rPr>
          <t>Chris Hallam:</t>
        </r>
        <r>
          <rPr>
            <sz val="9"/>
            <color indexed="81"/>
            <rFont val="Tahoma"/>
            <family val="2"/>
          </rPr>
          <t xml:space="preserve">
restated for IFRS 11</t>
        </r>
      </text>
    </comment>
    <comment ref="T98" authorId="3" shapeId="0" xr:uid="{00000000-0006-0000-0A00-00003D010000}">
      <text>
        <r>
          <rPr>
            <b/>
            <sz val="9"/>
            <color indexed="81"/>
            <rFont val="Tahoma"/>
            <family val="2"/>
          </rPr>
          <t>Charley, Olivia [GIR]:</t>
        </r>
        <r>
          <rPr>
            <sz val="9"/>
            <color indexed="81"/>
            <rFont val="Tahoma"/>
            <family val="2"/>
          </rPr>
          <t xml:space="preserve">
This is 10 months consolidated</t>
        </r>
      </text>
    </comment>
    <comment ref="S102" authorId="0" shapeId="0" xr:uid="{00000000-0006-0000-0A00-000015010000}">
      <text>
        <r>
          <rPr>
            <b/>
            <sz val="9"/>
            <color indexed="81"/>
            <rFont val="Tahoma"/>
            <family val="2"/>
          </rPr>
          <t>Lapthorn, Peter [GIR]:</t>
        </r>
        <r>
          <rPr>
            <sz val="9"/>
            <color indexed="81"/>
            <rFont val="Tahoma"/>
            <family val="2"/>
          </rPr>
          <t xml:space="preserve">
Assuming split is unaffected by IFRS 15</t>
        </r>
      </text>
    </comment>
    <comment ref="U107" authorId="0" shapeId="0" xr:uid="{00000000-0006-0000-0A00-000045010000}">
      <text>
        <r>
          <rPr>
            <b/>
            <sz val="9"/>
            <color indexed="81"/>
            <rFont val="Tahoma"/>
            <family val="2"/>
          </rPr>
          <t>Lapthorn, Peter [GIR]:</t>
        </r>
        <r>
          <rPr>
            <sz val="9"/>
            <color indexed="81"/>
            <rFont val="Tahoma"/>
            <family val="2"/>
          </rPr>
          <t xml:space="preserve">
Tailwind is due to lower level of one-off implementation costs</t>
        </r>
      </text>
    </comment>
    <comment ref="V107" authorId="0" shapeId="0" xr:uid="{00000000-0006-0000-0A00-000046010000}">
      <text>
        <r>
          <rPr>
            <b/>
            <sz val="9"/>
            <color indexed="81"/>
            <rFont val="Tahoma"/>
            <family val="2"/>
          </rPr>
          <t>Lapthorn, Peter [GIR]:</t>
        </r>
        <r>
          <rPr>
            <sz val="9"/>
            <color indexed="81"/>
            <rFont val="Tahoma"/>
            <family val="2"/>
          </rPr>
          <t xml:space="preserve">
We assume c.80% of costs by 2020 (IR: costs not as frontloaded as some relate to footprint reduction) </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Authorized User</author>
    <author>Lapthorn, Peter [GIR]</author>
    <author>Allard, Victor [GIR]</author>
    <author>perdav</author>
    <author>Chris Hallam</author>
    <author>aggamu</author>
    <author>NK</author>
    <author>Charley, Olivia [GIR]</author>
    <author>Chaudhary, Navika [GIR]</author>
  </authors>
  <commentList>
    <comment ref="K91" authorId="0" shapeId="0" xr:uid="{00000000-0006-0000-0A00-00005A000000}">
      <text>
        <r>
          <rPr>
            <b/>
            <sz val="8"/>
            <color indexed="81"/>
            <rFont val="Tahoma"/>
            <family val="2"/>
          </rPr>
          <t>CH:</t>
        </r>
        <r>
          <rPr>
            <sz val="8"/>
            <color indexed="81"/>
            <rFont val="Tahoma"/>
            <family val="2"/>
          </rPr>
          <t xml:space="preserve">
9 change in fair value of assets available for sale</t>
        </r>
      </text>
    </comment>
    <comment ref="M91" authorId="0" shapeId="0" xr:uid="{00000000-0006-0000-0A00-00005B000000}">
      <text>
        <r>
          <rPr>
            <b/>
            <sz val="8"/>
            <color indexed="81"/>
            <rFont val="Tahoma"/>
            <family val="2"/>
          </rPr>
          <t>CH:</t>
        </r>
        <r>
          <rPr>
            <sz val="8"/>
            <color indexed="81"/>
            <rFont val="Tahoma"/>
            <family val="2"/>
          </rPr>
          <t xml:space="preserve">
9 share grants
3 other</t>
        </r>
      </text>
    </comment>
    <comment ref="N91" authorId="0" shapeId="0" xr:uid="{00000000-0006-0000-0A00-00005C000000}">
      <text>
        <r>
          <rPr>
            <b/>
            <sz val="8"/>
            <color indexed="81"/>
            <rFont val="Tahoma"/>
            <family val="2"/>
          </rPr>
          <t>CH:</t>
        </r>
        <r>
          <rPr>
            <sz val="8"/>
            <color indexed="81"/>
            <rFont val="Tahoma"/>
            <family val="2"/>
          </rPr>
          <t xml:space="preserve">
12 share grant
7 other</t>
        </r>
      </text>
    </comment>
    <comment ref="O91" authorId="0" shapeId="0" xr:uid="{00000000-0006-0000-0A00-00005D000000}">
      <text>
        <r>
          <rPr>
            <b/>
            <sz val="8"/>
            <color indexed="81"/>
            <rFont val="Tahoma"/>
            <family val="2"/>
          </rPr>
          <t>CH:</t>
        </r>
        <r>
          <rPr>
            <sz val="8"/>
            <color indexed="81"/>
            <rFont val="Tahoma"/>
            <family val="2"/>
          </rPr>
          <t xml:space="preserve">
6 Free share grants
8 shares allocated under the leverages plan
6 OCEANE bond subscriptions</t>
        </r>
      </text>
    </comment>
    <comment ref="U91" authorId="1" shapeId="0" xr:uid="{00000000-0006-0000-0A00-00005E000000}">
      <text>
        <r>
          <rPr>
            <b/>
            <sz val="9"/>
            <color indexed="81"/>
            <rFont val="Tahoma"/>
            <family val="2"/>
          </rPr>
          <t>Lapthorn, Peter [GIR]:</t>
        </r>
        <r>
          <rPr>
            <sz val="9"/>
            <color indexed="81"/>
            <rFont val="Tahoma"/>
            <family val="2"/>
          </rPr>
          <t xml:space="preserve">
Fix - this is the discrepancy in the reported 'capital gain' and the following formula: cash gain from transaction (3.1bn) - assets held for sale (3.2bn) - liabilities held for sale (-0.7bn)</t>
        </r>
      </text>
    </comment>
    <comment ref="AC178" authorId="2" shapeId="0" xr:uid="{230294C5-5F95-4EF7-BB47-0353766EDDD3}">
      <text>
        <r>
          <rPr>
            <b/>
            <sz val="9"/>
            <color indexed="81"/>
            <rFont val="Tahoma"/>
            <family val="2"/>
          </rPr>
          <t>Allard, Victor [GIR]:</t>
        </r>
        <r>
          <rPr>
            <sz val="9"/>
            <color indexed="81"/>
            <rFont val="Tahoma"/>
            <family val="2"/>
          </rPr>
          <t xml:space="preserve">
Assumes buyback is only starting in 3Q24 and completed in 2025</t>
        </r>
      </text>
    </comment>
    <comment ref="K220" authorId="0" shapeId="0" xr:uid="{00000000-0006-0000-0A00-00006F000000}">
      <text>
        <r>
          <rPr>
            <b/>
            <sz val="9"/>
            <color indexed="81"/>
            <rFont val="Tahoma"/>
            <family val="2"/>
          </rPr>
          <t>CH:</t>
        </r>
        <r>
          <rPr>
            <sz val="9"/>
            <color indexed="81"/>
            <rFont val="Tahoma"/>
            <family val="2"/>
          </rPr>
          <t xml:space="preserve">
restated up from 6 in the 2008 AR</t>
        </r>
      </text>
    </comment>
    <comment ref="J224" authorId="0" shapeId="0" xr:uid="{00000000-0006-0000-0A00-000070000000}">
      <text>
        <r>
          <rPr>
            <b/>
            <sz val="9"/>
            <color indexed="81"/>
            <rFont val="Tahoma"/>
            <family val="2"/>
          </rPr>
          <t>CH:</t>
        </r>
        <r>
          <rPr>
            <sz val="9"/>
            <color indexed="81"/>
            <rFont val="Tahoma"/>
            <family val="2"/>
          </rPr>
          <t xml:space="preserve">
Pension reclassification</t>
        </r>
      </text>
    </comment>
    <comment ref="K224" authorId="0" shapeId="0" xr:uid="{00000000-0006-0000-0A00-000071000000}">
      <text>
        <r>
          <rPr>
            <b/>
            <sz val="9"/>
            <color indexed="81"/>
            <rFont val="Tahoma"/>
            <family val="2"/>
          </rPr>
          <t>CH:</t>
        </r>
        <r>
          <rPr>
            <sz val="9"/>
            <color indexed="81"/>
            <rFont val="Tahoma"/>
            <family val="2"/>
          </rPr>
          <t xml:space="preserve">
add back Braodband profits shown as discontinued</t>
        </r>
      </text>
    </comment>
    <comment ref="M224" authorId="3" shapeId="0" xr:uid="{00000000-0006-0000-0A00-000072000000}">
      <text>
        <r>
          <rPr>
            <b/>
            <sz val="8"/>
            <color indexed="81"/>
            <rFont val="Tahoma"/>
            <family val="2"/>
          </rPr>
          <t>CH:</t>
        </r>
        <r>
          <rPr>
            <sz val="8"/>
            <color indexed="81"/>
            <rFont val="Tahoma"/>
            <family val="2"/>
          </rPr>
          <t xml:space="preserve">
-7 Capital Gains on Cinch
+70 impairment; mainly 787 landing gear
-28 Debt waiver from industrial partners in Propulsion</t>
        </r>
        <r>
          <rPr>
            <b/>
            <sz val="8"/>
            <color indexed="81"/>
            <rFont val="Tahoma"/>
            <family val="2"/>
          </rPr>
          <t xml:space="preserve">
</t>
        </r>
        <r>
          <rPr>
            <sz val="8"/>
            <color indexed="81"/>
            <rFont val="Tahoma"/>
            <family val="2"/>
          </rPr>
          <t xml:space="preserve">
</t>
        </r>
      </text>
    </comment>
    <comment ref="N224" authorId="3" shapeId="0" xr:uid="{00000000-0006-0000-0A00-000073000000}">
      <text>
        <r>
          <rPr>
            <b/>
            <sz val="8"/>
            <color indexed="81"/>
            <rFont val="Tahoma"/>
            <family val="2"/>
          </rPr>
          <t xml:space="preserve">CH:
</t>
        </r>
        <r>
          <rPr>
            <sz val="8"/>
            <color indexed="81"/>
            <rFont val="Tahoma"/>
            <family val="2"/>
          </rPr>
          <t>Tax costs relating to M&amp;A</t>
        </r>
      </text>
    </comment>
    <comment ref="O224" authorId="3" shapeId="0" xr:uid="{00000000-0006-0000-0A00-000074000000}">
      <text>
        <r>
          <rPr>
            <b/>
            <sz val="8"/>
            <color indexed="81"/>
            <rFont val="Tahoma"/>
            <family val="2"/>
          </rPr>
          <t xml:space="preserve">CH:
</t>
        </r>
        <r>
          <rPr>
            <sz val="8"/>
            <color indexed="81"/>
            <rFont val="Tahoma"/>
            <family val="2"/>
          </rPr>
          <t xml:space="preserve">+23 Impairment reversal on A380 engine
-37 M&amp;A &amp; integration costs
-15 Legal disputes
</t>
        </r>
      </text>
    </comment>
    <comment ref="BU230" authorId="2" shapeId="0" xr:uid="{00000000-0006-0000-0A00-000075000000}">
      <text>
        <r>
          <rPr>
            <b/>
            <sz val="9"/>
            <color indexed="81"/>
            <rFont val="Tahoma"/>
            <family val="2"/>
          </rPr>
          <t>Allard, Victor [GIR]:</t>
        </r>
        <r>
          <rPr>
            <sz val="9"/>
            <color indexed="81"/>
            <rFont val="Tahoma"/>
            <family val="2"/>
          </rPr>
          <t xml:space="preserve">
-195 one-off items
</t>
        </r>
      </text>
    </comment>
    <comment ref="BY230" authorId="2" shapeId="0" xr:uid="{2619F38D-8CEC-44DA-B213-59DE86A90D6A}">
      <text>
        <r>
          <rPr>
            <b/>
            <sz val="9"/>
            <color indexed="81"/>
            <rFont val="Tahoma"/>
            <family val="2"/>
          </rPr>
          <t>Allard, Victor [GIR]:</t>
        </r>
        <r>
          <rPr>
            <sz val="9"/>
            <color indexed="81"/>
            <rFont val="Tahoma"/>
            <family val="2"/>
          </rPr>
          <t xml:space="preserve">
57 one-off item</t>
        </r>
      </text>
    </comment>
    <comment ref="T256" authorId="4" shapeId="0" xr:uid="{00000000-0006-0000-0A00-000076000000}">
      <text>
        <r>
          <rPr>
            <b/>
            <sz val="9"/>
            <color indexed="81"/>
            <rFont val="Tahoma"/>
            <family val="2"/>
          </rPr>
          <t>Chris Hallam:</t>
        </r>
        <r>
          <rPr>
            <sz val="9"/>
            <color indexed="81"/>
            <rFont val="Tahoma"/>
            <family val="2"/>
          </rPr>
          <t xml:space="preserve">
IR says it's a 28% tax rate going forward. 2015 benefitted from some one-offs</t>
        </r>
      </text>
    </comment>
    <comment ref="V256" authorId="4" shapeId="0" xr:uid="{00000000-0006-0000-0A00-000077000000}">
      <text>
        <r>
          <rPr>
            <b/>
            <sz val="9"/>
            <color indexed="81"/>
            <rFont val="Tahoma"/>
            <family val="2"/>
          </rPr>
          <t>Chris Hallam:</t>
        </r>
        <r>
          <rPr>
            <sz val="9"/>
            <color indexed="81"/>
            <rFont val="Tahoma"/>
            <family val="2"/>
          </rPr>
          <t xml:space="preserve">
It was 22% in H1.</t>
        </r>
      </text>
    </comment>
    <comment ref="W256" authorId="4" shapeId="0" xr:uid="{00000000-0006-0000-0A00-000078000000}">
      <text>
        <r>
          <rPr>
            <b/>
            <sz val="9"/>
            <color indexed="81"/>
            <rFont val="Tahoma"/>
            <family val="2"/>
          </rPr>
          <t>Chris Hallam:</t>
        </r>
        <r>
          <rPr>
            <sz val="9"/>
            <color indexed="81"/>
            <rFont val="Tahoma"/>
            <family val="2"/>
          </rPr>
          <t xml:space="preserve">
Company's expectation is for 26% as the run-rate</t>
        </r>
      </text>
    </comment>
    <comment ref="X256" authorId="4" shapeId="0" xr:uid="{00000000-0006-0000-0A00-000079000000}">
      <text>
        <r>
          <rPr>
            <b/>
            <sz val="9"/>
            <color indexed="81"/>
            <rFont val="Tahoma"/>
            <family val="2"/>
          </rPr>
          <t>Chris Hallam:</t>
        </r>
        <r>
          <rPr>
            <sz val="9"/>
            <color indexed="81"/>
            <rFont val="Tahoma"/>
            <family val="2"/>
          </rPr>
          <t xml:space="preserve">
Company's expectation is for 26% as the run-rate</t>
        </r>
      </text>
    </comment>
    <comment ref="Q260" authorId="4" shapeId="0" xr:uid="{00000000-0006-0000-0A00-00007A000000}">
      <text>
        <r>
          <rPr>
            <b/>
            <sz val="9"/>
            <color indexed="81"/>
            <rFont val="Tahoma"/>
            <family val="2"/>
          </rPr>
          <t>Chris Hallam:</t>
        </r>
        <r>
          <rPr>
            <sz val="9"/>
            <color indexed="81"/>
            <rFont val="Tahoma"/>
            <family val="2"/>
          </rPr>
          <t xml:space="preserve">
Sales of ingenico shares (12.57% of the Ingenico share capital)</t>
        </r>
      </text>
    </comment>
    <comment ref="S260" authorId="5" shapeId="0" xr:uid="{00000000-0006-0000-0A00-00007B000000}">
      <text>
        <r>
          <rPr>
            <b/>
            <sz val="9"/>
            <color indexed="81"/>
            <rFont val="Tahoma"/>
            <family val="2"/>
          </rPr>
          <t>aggamu:</t>
        </r>
        <r>
          <rPr>
            <sz val="9"/>
            <color indexed="81"/>
            <rFont val="Tahoma"/>
            <family val="2"/>
          </rPr>
          <t xml:space="preserve">
Sale of ingenico stake</t>
        </r>
      </text>
    </comment>
    <comment ref="J341" authorId="6" shapeId="0" xr:uid="{00000000-0006-0000-0A00-00007C000000}">
      <text>
        <r>
          <rPr>
            <b/>
            <sz val="9"/>
            <color indexed="81"/>
            <rFont val="Tahoma"/>
            <family val="2"/>
          </rPr>
          <t>NK:</t>
        </r>
        <r>
          <rPr>
            <sz val="9"/>
            <color indexed="81"/>
            <rFont val="Tahoma"/>
            <family val="2"/>
          </rPr>
          <t xml:space="preserve">
Rate assumed same as 2007.</t>
        </r>
      </text>
    </comment>
    <comment ref="C342" authorId="6" shapeId="0" xr:uid="{00000000-0006-0000-0A00-00007D000000}">
      <text>
        <r>
          <rPr>
            <b/>
            <sz val="9"/>
            <color indexed="81"/>
            <rFont val="Tahoma"/>
            <family val="2"/>
          </rPr>
          <t>NK:</t>
        </r>
        <r>
          <rPr>
            <sz val="9"/>
            <color indexed="81"/>
            <rFont val="Tahoma"/>
            <family val="2"/>
          </rPr>
          <t xml:space="preserve">
(not required under IFRS)</t>
        </r>
      </text>
    </comment>
    <comment ref="Q1127" authorId="4" shapeId="0" xr:uid="{00000000-0006-0000-0A00-000047010000}">
      <text>
        <r>
          <rPr>
            <b/>
            <sz val="9"/>
            <color indexed="81"/>
            <rFont val="Tahoma"/>
            <family val="2"/>
          </rPr>
          <t>Chris Hallam:</t>
        </r>
        <r>
          <rPr>
            <sz val="9"/>
            <color indexed="81"/>
            <rFont val="Tahoma"/>
            <family val="2"/>
          </rPr>
          <t xml:space="preserve">
restated for IFRS 11</t>
        </r>
      </text>
    </comment>
    <comment ref="V1127" authorId="7" shapeId="0" xr:uid="{00000000-0006-0000-0A00-000048010000}">
      <text>
        <r>
          <rPr>
            <b/>
            <sz val="9"/>
            <color indexed="81"/>
            <rFont val="Tahoma"/>
            <family val="2"/>
          </rPr>
          <t>Charley, Olivia [GIR]:</t>
        </r>
        <r>
          <rPr>
            <sz val="9"/>
            <color indexed="81"/>
            <rFont val="Tahoma"/>
            <family val="2"/>
          </rPr>
          <t xml:space="preserve">
Subtracting Transmission systems due to divisional update €101mn at EBIT</t>
        </r>
      </text>
    </comment>
    <comment ref="T1128" authorId="4" shapeId="0" xr:uid="{00000000-0006-0000-0A00-000049010000}">
      <text>
        <r>
          <rPr>
            <b/>
            <sz val="9"/>
            <color indexed="81"/>
            <rFont val="Tahoma"/>
            <family val="2"/>
          </rPr>
          <t>Chris Hallam:</t>
        </r>
        <r>
          <rPr>
            <sz val="9"/>
            <color indexed="81"/>
            <rFont val="Tahoma"/>
            <family val="2"/>
          </rPr>
          <t xml:space="preserve">
IR says margin should certainly be &gt;10%.</t>
        </r>
      </text>
    </comment>
    <comment ref="V1128" authorId="4" shapeId="0" xr:uid="{00000000-0006-0000-0A00-00004A010000}">
      <text>
        <r>
          <rPr>
            <b/>
            <sz val="9"/>
            <color indexed="81"/>
            <rFont val="Tahoma"/>
            <family val="2"/>
          </rPr>
          <t>Chris Hallam:</t>
        </r>
        <r>
          <rPr>
            <sz val="9"/>
            <color indexed="81"/>
            <rFont val="Tahoma"/>
            <family val="2"/>
          </rPr>
          <t xml:space="preserve">
100bps p/a improvement in margin 2015-18 driven by growth in services and new programs according the the 2016 CMD presentation (page 123)</t>
        </r>
      </text>
    </comment>
    <comment ref="Q1131" authorId="4" shapeId="0" xr:uid="{00000000-0006-0000-0A00-00004B010000}">
      <text>
        <r>
          <rPr>
            <b/>
            <sz val="9"/>
            <color indexed="81"/>
            <rFont val="Tahoma"/>
            <family val="2"/>
          </rPr>
          <t>Chris Hallam:</t>
        </r>
        <r>
          <rPr>
            <sz val="9"/>
            <color indexed="81"/>
            <rFont val="Tahoma"/>
            <family val="2"/>
          </rPr>
          <t xml:space="preserve">
restated for IFRS 11</t>
        </r>
      </text>
    </comment>
    <comment ref="V1132" authorId="4" shapeId="0" xr:uid="{00000000-0006-0000-0A00-00004C010000}">
      <text>
        <r>
          <rPr>
            <b/>
            <sz val="9"/>
            <color indexed="81"/>
            <rFont val="Tahoma"/>
            <family val="2"/>
          </rPr>
          <t>Chris Hallam:</t>
        </r>
        <r>
          <rPr>
            <sz val="9"/>
            <color indexed="81"/>
            <rFont val="Tahoma"/>
            <family val="2"/>
          </rPr>
          <t xml:space="preserve">
100bps p/a improvement in margin driven by export asles and dual-use technologies</t>
        </r>
      </text>
    </comment>
    <comment ref="M1134" authorId="0" shapeId="0" xr:uid="{00000000-0006-0000-0A00-00004D010000}">
      <text>
        <r>
          <rPr>
            <b/>
            <sz val="9"/>
            <color indexed="81"/>
            <rFont val="Tahoma"/>
            <family val="2"/>
          </rPr>
          <t>CH:</t>
        </r>
        <r>
          <rPr>
            <sz val="9"/>
            <color indexed="81"/>
            <rFont val="Tahoma"/>
            <family val="2"/>
          </rPr>
          <t xml:space="preserve">
this is a low number and for some reason Safran have included a 35mn loss on the A400M navigations systems (rather than put that down as a one off)</t>
        </r>
      </text>
    </comment>
    <comment ref="U1172" authorId="8" shapeId="0" xr:uid="{00000000-0006-0000-0A00-00004E010000}">
      <text>
        <r>
          <rPr>
            <b/>
            <sz val="9"/>
            <color indexed="81"/>
            <rFont val="Tahoma"/>
            <family val="2"/>
          </rPr>
          <t>Chaudhary, Navika [GIR]:</t>
        </r>
        <r>
          <rPr>
            <sz val="9"/>
            <color indexed="81"/>
            <rFont val="Tahoma"/>
            <family val="2"/>
          </rPr>
          <t xml:space="preserve">
1H'17: 4mn reduction in R&amp;D expense</t>
        </r>
      </text>
    </comment>
    <comment ref="S1183" authorId="4" shapeId="0" xr:uid="{00000000-0006-0000-0A00-00004F010000}">
      <text>
        <r>
          <rPr>
            <b/>
            <sz val="9"/>
            <color indexed="81"/>
            <rFont val="Tahoma"/>
            <family val="2"/>
          </rPr>
          <t>Chris Hallam:</t>
        </r>
        <r>
          <rPr>
            <sz val="9"/>
            <color indexed="81"/>
            <rFont val="Tahoma"/>
            <family val="2"/>
          </rPr>
          <t xml:space="preserve">
+40 which is the catch up effect of the acquisition od Eaton which we assume completes at the end of Q2'14 and hence another half year of 'new' sales needs to come into 2015</t>
        </r>
      </text>
    </comment>
    <comment ref="R1184" authorId="4" shapeId="0" xr:uid="{00000000-0006-0000-0A00-000050010000}">
      <text>
        <r>
          <rPr>
            <b/>
            <sz val="9"/>
            <color indexed="81"/>
            <rFont val="Tahoma"/>
            <family val="2"/>
          </rPr>
          <t>Chris Hallam:</t>
        </r>
        <r>
          <rPr>
            <sz val="9"/>
            <color indexed="81"/>
            <rFont val="Tahoma"/>
            <family val="2"/>
          </rPr>
          <t xml:space="preserve">
Assume a 70/30 split on OE/Services on new businesses acquired as per in the division before M&amp;A</t>
        </r>
      </text>
    </comment>
    <comment ref="U1215" authorId="1" shapeId="0" xr:uid="{00000000-0006-0000-0A00-000051010000}">
      <text>
        <r>
          <rPr>
            <b/>
            <sz val="9"/>
            <color indexed="81"/>
            <rFont val="Tahoma"/>
            <family val="2"/>
          </rPr>
          <t>Lapthorn, Peter [GIR]:</t>
        </r>
        <r>
          <rPr>
            <sz val="9"/>
            <color indexed="81"/>
            <rFont val="Tahoma"/>
            <family val="2"/>
          </rPr>
          <t xml:space="preserve">
87% hedged in 2018 (AR p.114)</t>
        </r>
      </text>
    </comment>
    <comment ref="V1215" authorId="1" shapeId="0" xr:uid="{00000000-0006-0000-0A00-000052010000}">
      <text>
        <r>
          <rPr>
            <b/>
            <sz val="9"/>
            <color indexed="81"/>
            <rFont val="Tahoma"/>
            <family val="2"/>
          </rPr>
          <t>Lapthorn, Peter [GIR]:</t>
        </r>
        <r>
          <rPr>
            <sz val="9"/>
            <color indexed="81"/>
            <rFont val="Tahoma"/>
            <family val="2"/>
          </rPr>
          <t xml:space="preserve">
90% hedged</t>
        </r>
      </text>
    </comment>
    <comment ref="V1216" authorId="1" shapeId="0" xr:uid="{00000000-0006-0000-0A00-000053010000}">
      <text>
        <r>
          <rPr>
            <b/>
            <sz val="9"/>
            <color indexed="81"/>
            <rFont val="Tahoma"/>
            <family val="2"/>
          </rPr>
          <t>Lapthorn, Peter [GIR]:</t>
        </r>
        <r>
          <rPr>
            <sz val="9"/>
            <color indexed="81"/>
            <rFont val="Tahoma"/>
            <family val="2"/>
          </rPr>
          <t xml:space="preserve">
FY18 hedges</t>
        </r>
      </text>
    </comment>
    <comment ref="W1216" authorId="1" shapeId="0" xr:uid="{00000000-0006-0000-0A00-000054010000}">
      <text>
        <r>
          <rPr>
            <b/>
            <sz val="9"/>
            <color indexed="81"/>
            <rFont val="Tahoma"/>
            <family val="2"/>
          </rPr>
          <t>Lapthorn, Peter [GIR]:</t>
        </r>
        <r>
          <rPr>
            <sz val="9"/>
            <color indexed="81"/>
            <rFont val="Tahoma"/>
            <family val="2"/>
          </rPr>
          <t xml:space="preserve">
Assume all &gt;1year hedges are in 2019</t>
        </r>
      </text>
    </comment>
    <comment ref="W1218" authorId="1" shapeId="0" xr:uid="{00000000-0006-0000-0A00-000055010000}">
      <text>
        <r>
          <rPr>
            <b/>
            <sz val="9"/>
            <color indexed="81"/>
            <rFont val="Tahoma"/>
            <family val="2"/>
          </rPr>
          <t>Lapthorn, Peter [GIR]:</t>
        </r>
        <r>
          <rPr>
            <sz val="9"/>
            <color indexed="81"/>
            <rFont val="Tahoma"/>
            <family val="2"/>
          </rPr>
          <t xml:space="preserve">
no hedge rate for beyond FY18, so holding flat</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Allard, Victor [GIR]</author>
    <author>Hussien, Akram [GIR]</author>
  </authors>
  <commentList>
    <comment ref="O16" authorId="0" shapeId="0" xr:uid="{00000000-0006-0000-0A00-000002000000}">
      <text>
        <r>
          <rPr>
            <b/>
            <sz val="9"/>
            <color indexed="81"/>
            <rFont val="Tahoma"/>
            <family val="2"/>
          </rPr>
          <t>Allard, Victor [GIR]:</t>
        </r>
        <r>
          <rPr>
            <sz val="9"/>
            <color indexed="81"/>
            <rFont val="Tahoma"/>
            <family val="2"/>
          </rPr>
          <t xml:space="preserve">
difference with FY given disposal</t>
        </r>
      </text>
    </comment>
    <comment ref="CQ30" authorId="1" shapeId="0" xr:uid="{C9FC3585-71A5-4709-B7D6-B9A02E76F14E}">
      <text>
        <r>
          <rPr>
            <b/>
            <sz val="9"/>
            <color indexed="81"/>
            <rFont val="Tahoma"/>
            <family val="2"/>
          </rPr>
          <t>Hussien, Akram [GIR]:</t>
        </r>
        <r>
          <rPr>
            <sz val="9"/>
            <color indexed="81"/>
            <rFont val="Tahoma"/>
            <family val="2"/>
          </rPr>
          <t xml:space="preserve">
page 11 1Q23 pres</t>
        </r>
      </text>
    </comment>
    <comment ref="AB39" authorId="0" shapeId="0" xr:uid="{3F9C7E6E-9171-45F8-8904-232E325ACC2C}">
      <text>
        <r>
          <rPr>
            <b/>
            <sz val="9"/>
            <color indexed="81"/>
            <rFont val="Tahoma"/>
            <family val="2"/>
          </rPr>
          <t>Allard, Victor [GIR]:</t>
        </r>
        <r>
          <rPr>
            <sz val="9"/>
            <color indexed="81"/>
            <rFont val="Tahoma"/>
            <family val="2"/>
          </rPr>
          <t xml:space="preserve">
Including
€(33)M depreciation of
operating assets (obsolete inventory
and development costs on two
programs</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<sst xmlns="http://schemas.openxmlformats.org/spreadsheetml/2006/main" count="6895" uniqueCount="2104">
  <si>
    <t>EUR</t>
  </si>
  <si>
    <t>NI_BRICS_GOV</t>
  </si>
  <si>
    <t>NI_BRICS_IND</t>
  </si>
  <si>
    <t>NI_BRICS_CONS</t>
  </si>
  <si>
    <t>NI_EU_EX_UK_GOV</t>
  </si>
  <si>
    <t>NI_EU_EX_UK_IND</t>
  </si>
  <si>
    <t>NI_EU_EX_UK_CONS</t>
  </si>
  <si>
    <t>NI_UK_GOV</t>
  </si>
  <si>
    <t>NI_UK_IND</t>
  </si>
  <si>
    <t>NI_UK_CONS</t>
  </si>
  <si>
    <t>NI_US_GOV</t>
  </si>
  <si>
    <t>NI_US_IND</t>
  </si>
  <si>
    <t>NI_US_CONS</t>
  </si>
  <si>
    <t>OP_BRICS_GOV</t>
  </si>
  <si>
    <t>OP_BRICS_IND</t>
  </si>
  <si>
    <t>OP_BRICS_CONS</t>
  </si>
  <si>
    <t>OP_EU_EX_UK_GOV</t>
  </si>
  <si>
    <t>OP_EU_EX_UK_IND</t>
  </si>
  <si>
    <t>OP_EU_EX_UK_CONS</t>
  </si>
  <si>
    <t>OP_UK_GOV</t>
  </si>
  <si>
    <t>OP_UK_IND</t>
  </si>
  <si>
    <t>OP_UK_CONS</t>
  </si>
  <si>
    <t>OP_US_GOV</t>
  </si>
  <si>
    <t>OP_US_IND</t>
  </si>
  <si>
    <t>OP_US_CONS</t>
  </si>
  <si>
    <t>IND_SALES_BRICS_GOV</t>
  </si>
  <si>
    <t>IND_SALES_BRICS_IND</t>
  </si>
  <si>
    <t>IND_SALES_BRICS_CONS</t>
  </si>
  <si>
    <t>IND_SALES_EU_EX_UK_GOV</t>
  </si>
  <si>
    <t>IND_SALES_EU_EX_UK_IND</t>
  </si>
  <si>
    <t>IND_SALES_EU_EX_UK_CONS</t>
  </si>
  <si>
    <t>IND_SALES_UK_GOV</t>
  </si>
  <si>
    <t>IND_SALES_UK_IND</t>
  </si>
  <si>
    <t>IND_SALES_UK_CONS</t>
  </si>
  <si>
    <t>IND_SALES_US_GOV</t>
  </si>
  <si>
    <t>IND_SALES_US_IND</t>
  </si>
  <si>
    <t>IND_SALES_US_CONS</t>
  </si>
  <si>
    <t>IND_SALES_GOV</t>
  </si>
  <si>
    <t>IND_SALES_IND</t>
  </si>
  <si>
    <t>IND_SALES_CONS</t>
  </si>
  <si>
    <t>SALES_BRICS_GOV</t>
  </si>
  <si>
    <t>SALES_BRICS_IND</t>
  </si>
  <si>
    <t>SALES_BRICS_CONS</t>
  </si>
  <si>
    <t>SALES_EU_EX_UK_GOV</t>
  </si>
  <si>
    <t>SALES_EU_EX_UK_IND</t>
  </si>
  <si>
    <t>SALES_EU_EX_UK_CONS</t>
  </si>
  <si>
    <t>SALES_UK_GOV</t>
  </si>
  <si>
    <t>SALES_UK_IND</t>
  </si>
  <si>
    <t>SALES_UK_CONS</t>
  </si>
  <si>
    <t>SALES_US_GOV</t>
  </si>
  <si>
    <t>SALES_US_IND</t>
  </si>
  <si>
    <t>SALES_US_CONS</t>
  </si>
  <si>
    <t>NI_GOV</t>
  </si>
  <si>
    <t>NI_IND</t>
  </si>
  <si>
    <t>NI_CON</t>
  </si>
  <si>
    <t>OP_GOV</t>
  </si>
  <si>
    <t>OP_IND</t>
  </si>
  <si>
    <t>OP_CONS</t>
  </si>
  <si>
    <t>SALES_GOV</t>
  </si>
  <si>
    <t>SALES_IND</t>
  </si>
  <si>
    <t>SALES_CONS</t>
  </si>
  <si>
    <t>OP_OTHER</t>
  </si>
  <si>
    <t>OP_OTH_AEJ</t>
  </si>
  <si>
    <t>OP_NZ</t>
  </si>
  <si>
    <t>OP_AUSTRA</t>
  </si>
  <si>
    <t>OP_SK</t>
  </si>
  <si>
    <t>OP_INDIA</t>
  </si>
  <si>
    <t>OP_CHINA</t>
  </si>
  <si>
    <t>OP_JAPAN</t>
  </si>
  <si>
    <t>OP_TOT_ASIA</t>
  </si>
  <si>
    <t>OP_OTH_EMEA</t>
  </si>
  <si>
    <t>OP_RUSSIA</t>
  </si>
  <si>
    <t>OP_ME</t>
  </si>
  <si>
    <t>OP_CEE</t>
  </si>
  <si>
    <t>OP_SWIT</t>
  </si>
  <si>
    <t>OP_SWE</t>
  </si>
  <si>
    <t>OP_SPA</t>
  </si>
  <si>
    <t>OP_POR</t>
  </si>
  <si>
    <t>OP_NOR</t>
  </si>
  <si>
    <t>OP_NETH</t>
  </si>
  <si>
    <t>OP_ITA</t>
  </si>
  <si>
    <t>OP_IRE</t>
  </si>
  <si>
    <t>OP_ICE</t>
  </si>
  <si>
    <t>OP_GRE</t>
  </si>
  <si>
    <t>OP_GER</t>
  </si>
  <si>
    <t>OP_FRA</t>
  </si>
  <si>
    <t>OP_FIN</t>
  </si>
  <si>
    <t>OP_DEN</t>
  </si>
  <si>
    <t>OP_BEL</t>
  </si>
  <si>
    <t>OP_AUSTRIA</t>
  </si>
  <si>
    <t>OP_EU_EX_UK</t>
  </si>
  <si>
    <t>OP_UK</t>
  </si>
  <si>
    <t>OP_TOT_EMEA</t>
  </si>
  <si>
    <t>OP_OTH_AM</t>
  </si>
  <si>
    <t>OP_BRAZIL</t>
  </si>
  <si>
    <t>OP_CANADA</t>
  </si>
  <si>
    <t>OP_US</t>
  </si>
  <si>
    <t>OP_TOT_AM</t>
  </si>
  <si>
    <t>IND_SALES_OTHER</t>
  </si>
  <si>
    <t>IND_SALES_OTH_AEJ</t>
  </si>
  <si>
    <t>IND_SALES_NZ</t>
  </si>
  <si>
    <t>IND_SALES_AUSTRA</t>
  </si>
  <si>
    <t>IND_SALES_SK</t>
  </si>
  <si>
    <t>IND_SALES_INDIA</t>
  </si>
  <si>
    <t>IND_SALES_CHINA</t>
  </si>
  <si>
    <t>IND_SALES_JAPAN</t>
  </si>
  <si>
    <t>IND_SALES_TOT_ASIA</t>
  </si>
  <si>
    <t>IND_SALES_OTH_EMEA</t>
  </si>
  <si>
    <t>IND_SALES_RUSSIA</t>
  </si>
  <si>
    <t>IND_SALES_ME</t>
  </si>
  <si>
    <t>IND_SALES_CEE</t>
  </si>
  <si>
    <t>IND_SALES_SWIT</t>
  </si>
  <si>
    <t>IND_SALES_SWE</t>
  </si>
  <si>
    <t>IND_SALES_SPA</t>
  </si>
  <si>
    <t>IND_SALES_POR</t>
  </si>
  <si>
    <t>IND_SALES_NOR</t>
  </si>
  <si>
    <t>IND_SALES_NETH</t>
  </si>
  <si>
    <t>IND_SALES_ITA</t>
  </si>
  <si>
    <t>IND_SALES_IRE</t>
  </si>
  <si>
    <t>IND_SALES_ICE</t>
  </si>
  <si>
    <t>IND_SALES_GRE</t>
  </si>
  <si>
    <t>IND_SALES_GER</t>
  </si>
  <si>
    <t>IND_SALES_FRA</t>
  </si>
  <si>
    <t>IND_SALES_FIN</t>
  </si>
  <si>
    <t>IND_SALES_DEN</t>
  </si>
  <si>
    <t>IND_SALES_BEL</t>
  </si>
  <si>
    <t>IND_SALES_AUSTRIA</t>
  </si>
  <si>
    <t>IND_SALES_EU_EX_UK</t>
  </si>
  <si>
    <t>IND_SALES_UK</t>
  </si>
  <si>
    <t>IND_SALES_TOT_EMEA</t>
  </si>
  <si>
    <t>IND_SALES_OTH_AM</t>
  </si>
  <si>
    <t>IND_SALES_BRAZIL</t>
  </si>
  <si>
    <t>IND_SALES_CANADA</t>
  </si>
  <si>
    <t>IND_SALES_US</t>
  </si>
  <si>
    <t>IND_SALES_TOT_AM</t>
  </si>
  <si>
    <t>SALES_OTHER</t>
  </si>
  <si>
    <t>SALES_OTH_AEJ</t>
  </si>
  <si>
    <t>SALES_NZ</t>
  </si>
  <si>
    <t>SALES_AUSTRA</t>
  </si>
  <si>
    <t>SALES_SK</t>
  </si>
  <si>
    <t>SALES_INDIA</t>
  </si>
  <si>
    <t>SALES_CHINA</t>
  </si>
  <si>
    <t>SALES_JAPAN</t>
  </si>
  <si>
    <t>SALES_TOT_ASIA</t>
  </si>
  <si>
    <t>SALES_OTH_EMEA</t>
  </si>
  <si>
    <t>SALES_RUSSIA</t>
  </si>
  <si>
    <t>SALES_ME</t>
  </si>
  <si>
    <t>SALES_CEE</t>
  </si>
  <si>
    <t>SALES_SWIT</t>
  </si>
  <si>
    <t>SALES_SWE</t>
  </si>
  <si>
    <t>SALES_SPA</t>
  </si>
  <si>
    <t>SALES_POR</t>
  </si>
  <si>
    <t>SALES_NOR</t>
  </si>
  <si>
    <t>SALES_NETH</t>
  </si>
  <si>
    <t>SALES_ITA</t>
  </si>
  <si>
    <t>SALES_IRE</t>
  </si>
  <si>
    <t>SALES_ICE</t>
  </si>
  <si>
    <t>SALES_GRE</t>
  </si>
  <si>
    <t>SALES_GER</t>
  </si>
  <si>
    <t>SALES_FRA</t>
  </si>
  <si>
    <t>SALES_FIN</t>
  </si>
  <si>
    <t>SALES_DEN</t>
  </si>
  <si>
    <t>SALES_BEL</t>
  </si>
  <si>
    <t>SALES_AUSTRIA</t>
  </si>
  <si>
    <t>SALES_EU_EX_UK</t>
  </si>
  <si>
    <t>SALES_UK</t>
  </si>
  <si>
    <t>SALES_TOT_EMEA</t>
  </si>
  <si>
    <t>SALES_OTH_AM</t>
  </si>
  <si>
    <t>SALES_BRAZIL</t>
  </si>
  <si>
    <t>SALES_CANADA</t>
  </si>
  <si>
    <t>SALES_US</t>
  </si>
  <si>
    <t>SALES_TOT_AM</t>
  </si>
  <si>
    <t>PUB_CURRENCY_ISO</t>
  </si>
  <si>
    <t>PRICE_CURRENCY_ISO</t>
  </si>
  <si>
    <t>CURRENCY_ISO</t>
  </si>
  <si>
    <t>RISK_FR_RATE</t>
  </si>
  <si>
    <t>MKT_EQ_RISK_PREM</t>
  </si>
  <si>
    <t>BETA_ANALYST</t>
  </si>
  <si>
    <t>EMPLOYEES</t>
  </si>
  <si>
    <t>DIVDS_PD_MINORITIES</t>
  </si>
  <si>
    <t>NONPPE_CAPEX</t>
  </si>
  <si>
    <t>CAPEX_EXPANSION</t>
  </si>
  <si>
    <t>CAPEX_MAINTENANCE</t>
  </si>
  <si>
    <t>DIVDS_ASSOC_JV</t>
  </si>
  <si>
    <t>CASH_TAX_EXP</t>
  </si>
  <si>
    <t>CASH_INT_EXP</t>
  </si>
  <si>
    <t>OTH_DACF_ADJ</t>
  </si>
  <si>
    <t>OTH_NONCASH_ADJ</t>
  </si>
  <si>
    <t>PL_SALE_ASSETS</t>
  </si>
  <si>
    <t>CASH_TAX_PD</t>
  </si>
  <si>
    <t>CASH_INT_INC_EXP</t>
  </si>
  <si>
    <t>ASSOC_JV_ADDBK</t>
  </si>
  <si>
    <t>TOT_CF</t>
  </si>
  <si>
    <t>OTH_ITEM_NCF</t>
  </si>
  <si>
    <t>CF_FIN</t>
  </si>
  <si>
    <t>OTH_FIN_CF</t>
  </si>
  <si>
    <t>CHG_LT_DEBT</t>
  </si>
  <si>
    <t>SH_REPUR</t>
  </si>
  <si>
    <t>DIV_PAID</t>
  </si>
  <si>
    <t>CF_INV</t>
  </si>
  <si>
    <t>OTH_INV_CF</t>
  </si>
  <si>
    <t>DIVEST</t>
  </si>
  <si>
    <t>ACQ</t>
  </si>
  <si>
    <t>CAPEX</t>
  </si>
  <si>
    <t>CF_OPS</t>
  </si>
  <si>
    <t>OTH_OP_CF</t>
  </si>
  <si>
    <t>WORK_CAP</t>
  </si>
  <si>
    <t>DEPR_AMORT</t>
  </si>
  <si>
    <t>CF_INC_MINORITY</t>
  </si>
  <si>
    <t>CF_NI_PRE_PREF</t>
  </si>
  <si>
    <t>BAL_MINO_INT</t>
  </si>
  <si>
    <t>GCI_INFL</t>
  </si>
  <si>
    <t>OTH_GCI_ADJ</t>
  </si>
  <si>
    <t>ADJ_UNF_PENS_GOOD</t>
  </si>
  <si>
    <t>UNF_PENS_LIAB_OTH</t>
  </si>
  <si>
    <t>UNF_PENS_OFF</t>
  </si>
  <si>
    <t>UNF_PENS</t>
  </si>
  <si>
    <t>CO_BOR_MARGIN</t>
  </si>
  <si>
    <t>NET_DEBT_ADJ</t>
  </si>
  <si>
    <t>MV_ASSOCIATES</t>
  </si>
  <si>
    <t>DEF_INC_TAX</t>
  </si>
  <si>
    <t>CAP_LEASES</t>
  </si>
  <si>
    <t>NET_DEBT</t>
  </si>
  <si>
    <t>BVPS</t>
  </si>
  <si>
    <t>TOT_LIAB_EQ</t>
  </si>
  <si>
    <t>EQ</t>
  </si>
  <si>
    <t>MINORITIES</t>
  </si>
  <si>
    <t>ORD_SH_FUND</t>
  </si>
  <si>
    <t>PREF_SH</t>
  </si>
  <si>
    <t>TOT_LIAB</t>
  </si>
  <si>
    <t>TOT_LT_LIAB</t>
  </si>
  <si>
    <t>OTH_LT_CRED_GQ</t>
  </si>
  <si>
    <t>LT_DEBT</t>
  </si>
  <si>
    <t>SHORT_TERM_LIABS</t>
  </si>
  <si>
    <t>OTH_CUR_LIABS</t>
  </si>
  <si>
    <t>SHORT_T_DEBT</t>
  </si>
  <si>
    <t>ACC_PAY_GQ</t>
  </si>
  <si>
    <t>TOT_ASSET</t>
  </si>
  <si>
    <t>OTH_LT_ASS</t>
  </si>
  <si>
    <t>INV_SECUR</t>
  </si>
  <si>
    <t>FIX_ASS_INV</t>
  </si>
  <si>
    <t>NET_INTANG</t>
  </si>
  <si>
    <t>ACC_AMORT</t>
  </si>
  <si>
    <t>GR_INTANG</t>
  </si>
  <si>
    <t>NET_FIX_ASS</t>
  </si>
  <si>
    <t>ACC_DDA</t>
  </si>
  <si>
    <t>GR_FIX_ASS</t>
  </si>
  <si>
    <t>CUR_ASS</t>
  </si>
  <si>
    <t>OTH_CUR_ASS</t>
  </si>
  <si>
    <t>STOCKS</t>
  </si>
  <si>
    <t>DEBTORS</t>
  </si>
  <si>
    <t>CASH_EQ</t>
  </si>
  <si>
    <t>MARGIN_TAX_RATE</t>
  </si>
  <si>
    <t>OTH_INT_AMORT</t>
  </si>
  <si>
    <t>GW_AMORT</t>
  </si>
  <si>
    <t>ASSOCIATE_OP</t>
  </si>
  <si>
    <t>NET_INT_CH</t>
  </si>
  <si>
    <t>LEASE_DEEM_DEPR</t>
  </si>
  <si>
    <t>LEASE_DEEM_INT</t>
  </si>
  <si>
    <t>LEASE_PAY</t>
  </si>
  <si>
    <t>ORG_REV_GRTH</t>
  </si>
  <si>
    <t>ORG_REV</t>
  </si>
  <si>
    <t>ORG_EPS</t>
  </si>
  <si>
    <t>ORG_NI</t>
  </si>
  <si>
    <t>NON_OP_ADD</t>
  </si>
  <si>
    <t>DILUTE_SHARES</t>
  </si>
  <si>
    <t>SH1</t>
  </si>
  <si>
    <t>DPS</t>
  </si>
  <si>
    <t>COMMON_DIV_PAID</t>
  </si>
  <si>
    <t>FULLY_DIL_EPS</t>
  </si>
  <si>
    <t>EPS_POST_BASIC</t>
  </si>
  <si>
    <t>EPS_FUL_DIL</t>
  </si>
  <si>
    <t>EPS</t>
  </si>
  <si>
    <t>NET_INC</t>
  </si>
  <si>
    <t>TAX_EXC</t>
  </si>
  <si>
    <t>NET_EARNING</t>
  </si>
  <si>
    <t>PREF_DIV</t>
  </si>
  <si>
    <t>NI_PRE_PREF</t>
  </si>
  <si>
    <t>INC_MINORITY</t>
  </si>
  <si>
    <t>PROV_INC_TAX</t>
  </si>
  <si>
    <t>PT_PROF</t>
  </si>
  <si>
    <t>OTH_COST_INC</t>
  </si>
  <si>
    <t>PROFIT_ON_DISP</t>
  </si>
  <si>
    <t>ASSOCIATE</t>
  </si>
  <si>
    <t>NET_INT_EXP</t>
  </si>
  <si>
    <t>INT_EXP_IND</t>
  </si>
  <si>
    <t>INT_INC_IND</t>
  </si>
  <si>
    <t>EBIT</t>
  </si>
  <si>
    <t>GOODWILL_AMORT</t>
  </si>
  <si>
    <t>DEPREC</t>
  </si>
  <si>
    <t>EBITDA_CALC</t>
  </si>
  <si>
    <t>TOT_OPS_EXP</t>
  </si>
  <si>
    <t>TOT_OPS_EXP_DDA</t>
  </si>
  <si>
    <t>OTH_OP_INC_EXP</t>
  </si>
  <si>
    <t>RD_EXP</t>
  </si>
  <si>
    <t>OP_COST</t>
  </si>
  <si>
    <t>SEL_GL_AD</t>
  </si>
  <si>
    <t>COST_GD_SD</t>
  </si>
  <si>
    <t>SALES</t>
  </si>
  <si>
    <t>EQ_PUB</t>
  </si>
  <si>
    <t>REVS_PUB</t>
  </si>
  <si>
    <t>PTP_PUB</t>
  </si>
  <si>
    <t>EBIT_PUB</t>
  </si>
  <si>
    <t>NI_PUB</t>
  </si>
  <si>
    <t>NET_DEBT_PUB</t>
  </si>
  <si>
    <t>EV_ADJ_PUB</t>
  </si>
  <si>
    <t>EPS_PUB</t>
  </si>
  <si>
    <t>EBITDA_PUB</t>
  </si>
  <si>
    <t>DPS_PUB</t>
  </si>
  <si>
    <t>BVPS_PUB</t>
  </si>
  <si>
    <t>FREE_FLOAT</t>
  </si>
  <si>
    <t>NUM_SH1</t>
  </si>
  <si>
    <t>TP_PERIOD</t>
  </si>
  <si>
    <t>TARGET_PRICE</t>
  </si>
  <si>
    <t>Coverage Suspended</t>
  </si>
  <si>
    <t>LEGAL_RATING</t>
  </si>
  <si>
    <t>EURO_CONVICTION</t>
  </si>
  <si>
    <t>EURO_LIST</t>
  </si>
  <si>
    <t>ACC_END_DATE</t>
  </si>
  <si>
    <t>AUTO-GENERATED BY TIGR NUMBERS SUBMISSION. DO NOT MODIFY OR DELETE!</t>
  </si>
  <si>
    <t>2011 H2</t>
  </si>
  <si>
    <t>2011 H1</t>
  </si>
  <si>
    <t>2010 H2</t>
  </si>
  <si>
    <t>2010 H1</t>
  </si>
  <si>
    <t>2009 H2</t>
  </si>
  <si>
    <t>2009 H1</t>
  </si>
  <si>
    <t>2008 H2</t>
  </si>
  <si>
    <t>2008 H1</t>
  </si>
  <si>
    <t>2007 H2</t>
  </si>
  <si>
    <t>2007 H1</t>
  </si>
  <si>
    <t>2006 H2</t>
  </si>
  <si>
    <t>2006 H1</t>
  </si>
  <si>
    <t>Organic revenues (excl. acquisitions)</t>
  </si>
  <si>
    <t>Organic EPS (excl. acquisitions)</t>
  </si>
  <si>
    <t>Organic net income (excl. acquisitions)</t>
  </si>
  <si>
    <t>Indirect Sales BRICs/other - % Government (G)</t>
  </si>
  <si>
    <t>Indirect Sales BRICs/other - % Industry (I)</t>
  </si>
  <si>
    <t>Indirect Sales BRICs/other - % Consumer (C)</t>
  </si>
  <si>
    <t>Indirect Sales Dev. EU ex UK - % Government (G)</t>
  </si>
  <si>
    <t>Indirect Sales Dev. EU ex UK - % Industry (I)</t>
  </si>
  <si>
    <t>Indirect Sales Dev. EU ex UK - % Consumer (C)</t>
  </si>
  <si>
    <t>Indirect Sales UK - % Government (G)</t>
  </si>
  <si>
    <t>Indirect Sales UK - % Industry (I)</t>
  </si>
  <si>
    <t>Indirect Sales UK - % Consumer (C)</t>
  </si>
  <si>
    <t>Indirect Sales US - % Government (G)</t>
  </si>
  <si>
    <t>Indirect Sales US - % Industry (I)</t>
  </si>
  <si>
    <t>Indirect Sales US - % Consumer (C)</t>
  </si>
  <si>
    <t>Indirect Sales -% Government (G)</t>
  </si>
  <si>
    <t>Indirect Sales -% Industry (I)</t>
  </si>
  <si>
    <t>Indirect Sales -% Consumer (C)</t>
  </si>
  <si>
    <t>Indirect Sales - % Others</t>
  </si>
  <si>
    <t>Indirect Sales - % Other AEJ (incl Taiwan)</t>
  </si>
  <si>
    <t>Indirect Sales - % New Zealand</t>
  </si>
  <si>
    <t>Indirect Sales - % Australia</t>
  </si>
  <si>
    <t>Indirect Sales - % South Korea</t>
  </si>
  <si>
    <t>Indirect Sales - % India</t>
  </si>
  <si>
    <t>Indirect Sales - % Greater China (incl HK)</t>
  </si>
  <si>
    <t>Indirect Sales - % Japan</t>
  </si>
  <si>
    <t>Indirect Sales - Total % Asia (incl Australia &amp; New Zealand)</t>
  </si>
  <si>
    <t>Indirect Sales - % Other EMEA</t>
  </si>
  <si>
    <t>Indirect Sales - % Russia</t>
  </si>
  <si>
    <t>Indirect Sales - % Middle East</t>
  </si>
  <si>
    <t>Indirect Sales - % Central &amp; Eastern Europe</t>
  </si>
  <si>
    <t>Indirect Sales - % Switzerland</t>
  </si>
  <si>
    <t>Indirect Sales - % Sweden</t>
  </si>
  <si>
    <t>Indirect Sales - % Spain</t>
  </si>
  <si>
    <t>Indirect Sales - % Portugal</t>
  </si>
  <si>
    <t>Indirect Sales - % Norway</t>
  </si>
  <si>
    <t>Indirect Sales - % Netherlands</t>
  </si>
  <si>
    <t>Indirect Sales - % Italy</t>
  </si>
  <si>
    <t>Indirect Sales - % Ireland</t>
  </si>
  <si>
    <t>Indirect Sales - % Iceland</t>
  </si>
  <si>
    <t>Indirect Sales - % Greece</t>
  </si>
  <si>
    <t>Indirect Sales - % Germany</t>
  </si>
  <si>
    <t>Indirect Sales - % France</t>
  </si>
  <si>
    <t>Indirect Sales - % Finland</t>
  </si>
  <si>
    <t>Indirect Sales - % Denmark</t>
  </si>
  <si>
    <t>Indirect Sales - % Belgium</t>
  </si>
  <si>
    <t>Indirect Sales - % Austria</t>
  </si>
  <si>
    <t>Indirect Sales - % Europe-Ex UK</t>
  </si>
  <si>
    <t>Indirect Sales - % UK</t>
  </si>
  <si>
    <t>Indirect Sales - Total % EMEA</t>
  </si>
  <si>
    <t>Indirect Sales - % Other Americas</t>
  </si>
  <si>
    <t>Indirect Sales - % Brazil</t>
  </si>
  <si>
    <t>Indirect Sales - % Canada</t>
  </si>
  <si>
    <t>Indirect Sales - % United States</t>
  </si>
  <si>
    <t>Indirect Sales - % Total Americas</t>
  </si>
  <si>
    <t>Organic sales growth (excl. acquisitions)</t>
  </si>
  <si>
    <t>Operating Profit - % New Zealand</t>
  </si>
  <si>
    <t>Operating Profit - % Australia</t>
  </si>
  <si>
    <t>Operating Profit - % Switzerland</t>
  </si>
  <si>
    <t>Operating Profit - % Sweden</t>
  </si>
  <si>
    <t>Operating Profit - % Spain</t>
  </si>
  <si>
    <t>Operating Profit - % Portugal</t>
  </si>
  <si>
    <t>Operating Profit - % Norway</t>
  </si>
  <si>
    <t>Operating Profit - % Netherlands</t>
  </si>
  <si>
    <t>Operating Profit - % Italy</t>
  </si>
  <si>
    <t>Operating Profit - % Ireland</t>
  </si>
  <si>
    <t>Operating Profit - % Iceland</t>
  </si>
  <si>
    <t>Operating Profit - % Greece</t>
  </si>
  <si>
    <t>Operating Profit - % Germany</t>
  </si>
  <si>
    <t>Operating Profit - % France</t>
  </si>
  <si>
    <t>Operating Profit - % Finland</t>
  </si>
  <si>
    <t>Operating Profit - % Denmark</t>
  </si>
  <si>
    <t>Operating Profit - % Belgium</t>
  </si>
  <si>
    <t>Operating Profit - % Austria</t>
  </si>
  <si>
    <t>Sales - % New Zealand</t>
  </si>
  <si>
    <t>Sales - % Australia</t>
  </si>
  <si>
    <t>Sales - % Switzerland</t>
  </si>
  <si>
    <t>Sales - % Sweden</t>
  </si>
  <si>
    <t>Sales - % Spain</t>
  </si>
  <si>
    <t>Sales - % Portugal</t>
  </si>
  <si>
    <t>Sales - % Norway</t>
  </si>
  <si>
    <t>Sales - % Netherlands</t>
  </si>
  <si>
    <t>Sales - % Italy</t>
  </si>
  <si>
    <t>Sales - % Ireland</t>
  </si>
  <si>
    <t>Sales - % Iceland</t>
  </si>
  <si>
    <t>Sales - % Greece</t>
  </si>
  <si>
    <t>Sales - % Germany</t>
  </si>
  <si>
    <t>Sales - % France</t>
  </si>
  <si>
    <t>Sales - % Finland</t>
  </si>
  <si>
    <t>Sales - % Denmark</t>
  </si>
  <si>
    <t>Sales - % Belgium</t>
  </si>
  <si>
    <t>Sales - % Austria</t>
  </si>
  <si>
    <t>Net Income  BRICs/other - % Government (G)</t>
  </si>
  <si>
    <t>Net Income  BRICs/other - % Industry (I)</t>
  </si>
  <si>
    <t>Net Income  BRICs/other - % Consumer (C)</t>
  </si>
  <si>
    <t>Net Income  Dev, EU ex-UK% Government (G)</t>
  </si>
  <si>
    <t>Net Income  Dev, EU ex-UK% Industry (I)</t>
  </si>
  <si>
    <t>Net Income  Dev, EU ex-UK% Consumer (C)</t>
  </si>
  <si>
    <t>Net Income  UK - % Government (G)</t>
  </si>
  <si>
    <t>Net Income  UK - % Industry (I)</t>
  </si>
  <si>
    <t>Net Income  UK - % Consumer (C)</t>
  </si>
  <si>
    <t>Net Income  US - % Government (G)</t>
  </si>
  <si>
    <t>Net Income  US - % Industry (I)</t>
  </si>
  <si>
    <t>Net Income  US - % Consumer (C)</t>
  </si>
  <si>
    <t>Operating Profit BRICs/other - % Government (G)</t>
  </si>
  <si>
    <t>Operating Profit BRICs/other - % Industry (I)</t>
  </si>
  <si>
    <t>Operating Profit BRICs/other - % Consumer (C)</t>
  </si>
  <si>
    <t>Operating Profit Dev, EU ex-UK% Government (G)</t>
  </si>
  <si>
    <t>Operating Profit Dev, EU ex-UK% Industry (I)</t>
  </si>
  <si>
    <t>Operating Profit Dev, EU ex-UK% Consumer (C)</t>
  </si>
  <si>
    <t>Operating Profit UK - % Government (G)</t>
  </si>
  <si>
    <t>Operating Profit UK - % Industry (I)</t>
  </si>
  <si>
    <t>Operating Profit UK - % Consumer (C)</t>
  </si>
  <si>
    <t>Operating Profit US - % Government (G)</t>
  </si>
  <si>
    <t>Operating Profit US - % Industry (I)</t>
  </si>
  <si>
    <t>Operating Profit US - % Consumer (C)</t>
  </si>
  <si>
    <t>Sales BRICs/other - % Government (G)</t>
  </si>
  <si>
    <t>Sales BRICs/other - % Industry (I)</t>
  </si>
  <si>
    <t>Sales BRICs/other - % Consumer (C)</t>
  </si>
  <si>
    <t>Sales Dev. EU ex UK - % Government (G)</t>
  </si>
  <si>
    <t>Sales Dev. EU ex UK - % Industry (I)</t>
  </si>
  <si>
    <t>Sales Dev. EU ex UK - % Consumer (C)</t>
  </si>
  <si>
    <t>Sales UK - % Government (G)</t>
  </si>
  <si>
    <t>Sales UK - % Industry (I)</t>
  </si>
  <si>
    <t>Sales UK - % Consumer (C)</t>
  </si>
  <si>
    <t>Sales US - % Government (G)</t>
  </si>
  <si>
    <t>Sales US - % Industry (I)</t>
  </si>
  <si>
    <t>Sales US - % Consumer (C)</t>
  </si>
  <si>
    <t>Net Income - % Government (G)</t>
  </si>
  <si>
    <t>Net Income - % Industry (I)</t>
  </si>
  <si>
    <t>Net Income - % Consumer (C)</t>
  </si>
  <si>
    <t>Operating Profit - % Government (G)</t>
  </si>
  <si>
    <t>Operating Profit - % Industry (I)</t>
  </si>
  <si>
    <t>Operating Profit - % Consumer (C)</t>
  </si>
  <si>
    <t>Sales -% Government (G)</t>
  </si>
  <si>
    <t>Sales -% Industry (I)</t>
  </si>
  <si>
    <t>Sales -% Consumer (C)</t>
  </si>
  <si>
    <t>Operating Profit - % Others</t>
  </si>
  <si>
    <t>Operating Profit - % Other AEJ (incl Taiwan)</t>
  </si>
  <si>
    <t>Operating Profit - % South Korea</t>
  </si>
  <si>
    <t>Operating Profit - % India</t>
  </si>
  <si>
    <t>Operating Profit - % Greater China (incl HK)</t>
  </si>
  <si>
    <t>Operating Profit - % Japan</t>
  </si>
  <si>
    <t>Operating Profit - Total % Asia (incl Australia &amp; New Zealand)</t>
  </si>
  <si>
    <t>Operating Profit - % Other EMEA</t>
  </si>
  <si>
    <t>Operating Profit - % Russia</t>
  </si>
  <si>
    <t>Operating Profit - % Middle East</t>
  </si>
  <si>
    <t>Operating Profit - % Central &amp; Eastern Europe</t>
  </si>
  <si>
    <t>Operating Profit - % Europe-Ex UK</t>
  </si>
  <si>
    <t>Operating Profit - % UK</t>
  </si>
  <si>
    <t>Operating Profit - Total % EMEA</t>
  </si>
  <si>
    <t>Operating Profit - % Other Americas</t>
  </si>
  <si>
    <t>Operating Profit - % Brazil</t>
  </si>
  <si>
    <t>Operating Profit - % Canada</t>
  </si>
  <si>
    <t>Operating Profit - % United States</t>
  </si>
  <si>
    <t>Operating Profit - % Total Americas</t>
  </si>
  <si>
    <t>Sales - % Others</t>
  </si>
  <si>
    <t>Sales - % Other AEJ (incl Taiwan)</t>
  </si>
  <si>
    <t>Sales - % South Korea</t>
  </si>
  <si>
    <t>Sales - % India</t>
  </si>
  <si>
    <t>Sales - % Greater China (incl HK)</t>
  </si>
  <si>
    <t>Sales - % Japan</t>
  </si>
  <si>
    <t>Sales - Total % Asia (incl Australia &amp; New Zealand)</t>
  </si>
  <si>
    <t>Sales - % Other EMEA</t>
  </si>
  <si>
    <t>Sales - % Russia</t>
  </si>
  <si>
    <t>Sales - % Middle East</t>
  </si>
  <si>
    <t>Sales - % Central &amp; Eastern Europe</t>
  </si>
  <si>
    <t>Sales - % Europe-Ex UK</t>
  </si>
  <si>
    <t>Sales - % UK</t>
  </si>
  <si>
    <t>Sales - Total % EMEA</t>
  </si>
  <si>
    <t>Sales - % Other Americas</t>
  </si>
  <si>
    <t>Sales - % Brazil</t>
  </si>
  <si>
    <t>Sales - % Canada</t>
  </si>
  <si>
    <t>Sales - % United States</t>
  </si>
  <si>
    <t>Sales - % Total Americas</t>
  </si>
  <si>
    <t>#1520</t>
  </si>
  <si>
    <t>Geographical Breakdown</t>
  </si>
  <si>
    <t>Total net depreciating assets</t>
  </si>
  <si>
    <t>Total investor funds</t>
  </si>
  <si>
    <t>Total investments</t>
  </si>
  <si>
    <t>Total financing flow</t>
  </si>
  <si>
    <t>Total depreciating assets</t>
  </si>
  <si>
    <t>Tax rate</t>
  </si>
  <si>
    <t>Tax on non-operating income</t>
  </si>
  <si>
    <t>Taxes on EBITAL</t>
  </si>
  <si>
    <t>Taxes on EBITA</t>
  </si>
  <si>
    <t>Surplus/(deficit)</t>
  </si>
  <si>
    <t>Current liabilities (excl. short-term debt)</t>
  </si>
  <si>
    <t>Retained earnings</t>
  </si>
  <si>
    <t>Post-tax cash flow from operations</t>
  </si>
  <si>
    <t>Other current liabilities (excl. short-term debt)</t>
  </si>
  <si>
    <t>Other operating assets (net of other liabilities)</t>
  </si>
  <si>
    <t>Other long-term liabilities (negative sign)</t>
  </si>
  <si>
    <t>Other items cash flow</t>
  </si>
  <si>
    <t>Other common equity, warrants, options, etc.</t>
  </si>
  <si>
    <t>Operating working capital</t>
  </si>
  <si>
    <t>Operating invested capital (excl. goodwill)</t>
  </si>
  <si>
    <t>Operating current assets</t>
  </si>
  <si>
    <t>Operating capital</t>
  </si>
  <si>
    <t>Notes payable</t>
  </si>
  <si>
    <t>NOPLAT</t>
  </si>
  <si>
    <t>Non-depreciating assets</t>
  </si>
  <si>
    <t>Non-interest bearing current liabilities</t>
  </si>
  <si>
    <t>Net interest expense after-tax</t>
  </si>
  <si>
    <t>Net cash flow from operations</t>
  </si>
  <si>
    <t>Lease payments (after-tax)</t>
  </si>
  <si>
    <t>NPV of capital leases</t>
  </si>
  <si>
    <t>Gross cash flow</t>
  </si>
  <si>
    <t>FCF to all investors</t>
  </si>
  <si>
    <t>FMCC</t>
  </si>
  <si>
    <t>Exceptionals (pre-tax)</t>
  </si>
  <si>
    <t>Economic profit</t>
  </si>
  <si>
    <t>Deferred tax liabilities (non-current portion)</t>
  </si>
  <si>
    <t>Deferred tax asset (non-current portion)</t>
  </si>
  <si>
    <t>Debt adjusted cash flow</t>
  </si>
  <si>
    <t>Deferred tax liabilities (current portion)</t>
  </si>
  <si>
    <t>Deferred tax assets (current portion)</t>
  </si>
  <si>
    <t>Common stock</t>
  </si>
  <si>
    <t>Change in other long-term liabilities or creditors</t>
  </si>
  <si>
    <t>Change in preferred shares</t>
  </si>
  <si>
    <t>Change in minority interest</t>
  </si>
  <si>
    <t>Change in deferred taxes (long-term portion only)</t>
  </si>
  <si>
    <t>Net profit/(loss) on asset sales (Operating CF)</t>
  </si>
  <si>
    <t>Net profit/(loss) on asset sales (Investing CF)</t>
  </si>
  <si>
    <t>Cash flow available to investors</t>
  </si>
  <si>
    <t>Cash EPS</t>
  </si>
  <si>
    <t>Capital employed</t>
  </si>
  <si>
    <t>Gross cash invested</t>
  </si>
  <si>
    <t>After-tax non-operating income</t>
  </si>
  <si>
    <t>Adjusted equity</t>
  </si>
  <si>
    <t>Adjusted capital employed</t>
  </si>
  <si>
    <t>Accounts payable</t>
  </si>
  <si>
    <t>Date on which the security was converted</t>
  </si>
  <si>
    <t>#230</t>
  </si>
  <si>
    <t>Items to be removed</t>
  </si>
  <si>
    <t>Risk-free rate</t>
  </si>
  <si>
    <t>Market equity risk premium</t>
  </si>
  <si>
    <t>Beta</t>
  </si>
  <si>
    <t>Number of employees</t>
  </si>
  <si>
    <t>#60</t>
  </si>
  <si>
    <t>Other Items</t>
  </si>
  <si>
    <t>Dividends paid to minorities</t>
  </si>
  <si>
    <t>Non-PP&amp;E capex</t>
  </si>
  <si>
    <t>Capex expansion</t>
  </si>
  <si>
    <t>Capex maintenance</t>
  </si>
  <si>
    <t>Dividends received from associates/JVs</t>
  </si>
  <si>
    <t>Cash tax expense</t>
  </si>
  <si>
    <t>Cash interest expense</t>
  </si>
  <si>
    <t>Other DACF adjustments</t>
  </si>
  <si>
    <t>Other non-cash adjustments</t>
  </si>
  <si>
    <t>Profit/(loss) on sale of assets</t>
  </si>
  <si>
    <t>Cash taxes paid</t>
  </si>
  <si>
    <t>Cash interest income/(expense)</t>
  </si>
  <si>
    <t>Associate and JV add-back</t>
  </si>
  <si>
    <t>#55</t>
  </si>
  <si>
    <t>Additional Cash Flow Items</t>
  </si>
  <si>
    <t>Total cash flow</t>
  </si>
  <si>
    <t>Other items net cash flow</t>
  </si>
  <si>
    <t>Cash flow from financing</t>
  </si>
  <si>
    <t>Other financing cash flow items</t>
  </si>
  <si>
    <t>Increase/(decrease) in total debt</t>
  </si>
  <si>
    <t>Common stock issuance/(repurchase)</t>
  </si>
  <si>
    <t>Dividends paid</t>
  </si>
  <si>
    <t>Cash flow from investing</t>
  </si>
  <si>
    <t>Other investing cash flow items</t>
  </si>
  <si>
    <t>Divestitures</t>
  </si>
  <si>
    <t>Acquisitions</t>
  </si>
  <si>
    <t>Capital expenditures, Capex</t>
  </si>
  <si>
    <t>Cash flow from operating activities</t>
  </si>
  <si>
    <t>Other operating cash flow items</t>
  </si>
  <si>
    <t>(Increase)/decrease in working capital</t>
  </si>
  <si>
    <t>Depreciation &amp; amortization add-back</t>
  </si>
  <si>
    <t>Minority interest add-back</t>
  </si>
  <si>
    <t>Net income (pre-preferred dividends)</t>
  </si>
  <si>
    <t>#50</t>
  </si>
  <si>
    <t>Cash Flow Statement</t>
  </si>
  <si>
    <t>Minority interest</t>
  </si>
  <si>
    <t>GCI inflator</t>
  </si>
  <si>
    <t>Other GCI adjustments</t>
  </si>
  <si>
    <t>Adjustment for unfunded pensions &amp; goodwill</t>
  </si>
  <si>
    <t>Unfunded pension liabilities &amp; other, used in EV</t>
  </si>
  <si>
    <t>Unfunded pension liabilities (off balance sheet)</t>
  </si>
  <si>
    <t>Unfunded pensions &amp; other provisions</t>
  </si>
  <si>
    <t>Company borrowing margin</t>
  </si>
  <si>
    <t>Net debt adjustment</t>
  </si>
  <si>
    <t>Associates (mkt value) used in EV calculation</t>
  </si>
  <si>
    <t>Deferred income taxes</t>
  </si>
  <si>
    <t>Capitalized leases</t>
  </si>
  <si>
    <t>CH: Company Defined</t>
  </si>
  <si>
    <t>Net debt</t>
  </si>
  <si>
    <t>#45</t>
  </si>
  <si>
    <t>Additional Balance Sheet Items</t>
  </si>
  <si>
    <t>BVPS, book value per share</t>
  </si>
  <si>
    <t>Total liabilities and equity</t>
  </si>
  <si>
    <t>Total shareholders' equity</t>
  </si>
  <si>
    <t>Total common equity</t>
  </si>
  <si>
    <t>Preferred shares</t>
  </si>
  <si>
    <t>Total liabilities</t>
  </si>
  <si>
    <t>Total long-term liabilities</t>
  </si>
  <si>
    <t>Other long-term liabilities</t>
  </si>
  <si>
    <t>Long-term  debt</t>
  </si>
  <si>
    <t>Total current liabilities</t>
  </si>
  <si>
    <t>Other current liabilities</t>
  </si>
  <si>
    <t>Short-term debt</t>
  </si>
  <si>
    <t>Total assets</t>
  </si>
  <si>
    <t>Other long-term assets</t>
  </si>
  <si>
    <t>Investments in securities</t>
  </si>
  <si>
    <t>Equity method investments</t>
  </si>
  <si>
    <t>Net intangible assets</t>
  </si>
  <si>
    <t>Accumulated amortization</t>
  </si>
  <si>
    <t>Gross intangibles</t>
  </si>
  <si>
    <t>Net PP&amp;E</t>
  </si>
  <si>
    <t>Accumulated depreciation</t>
  </si>
  <si>
    <t>Gross fixed assets, PP&amp;E</t>
  </si>
  <si>
    <t>Total current assets</t>
  </si>
  <si>
    <t>Other current assets</t>
  </si>
  <si>
    <t>Inventory</t>
  </si>
  <si>
    <t>Accounts receivable</t>
  </si>
  <si>
    <t>Cash &amp; cash equivalents</t>
  </si>
  <si>
    <t>#40</t>
  </si>
  <si>
    <t>Balance Sheet</t>
  </si>
  <si>
    <t>Marginal tax rate</t>
  </si>
  <si>
    <t>Other intangible amortization</t>
  </si>
  <si>
    <t>Goodwill amortization</t>
  </si>
  <si>
    <t>Income from associates (operating)</t>
  </si>
  <si>
    <t>Gross interest charge</t>
  </si>
  <si>
    <t>Lease payments (deemed depreciation portion)</t>
  </si>
  <si>
    <t>Lease payments (deemed interest portion)</t>
  </si>
  <si>
    <t>Lease payments</t>
  </si>
  <si>
    <t>#31</t>
  </si>
  <si>
    <t>Additional Income Statement Items</t>
  </si>
  <si>
    <t>Period-end shares outstanding</t>
  </si>
  <si>
    <t>Diluted average shares outstanding (mn)</t>
  </si>
  <si>
    <t>Weighted average shares outstanding, basic</t>
  </si>
  <si>
    <t>DPS, dividend per share</t>
  </si>
  <si>
    <t>Common dividends paid</t>
  </si>
  <si>
    <t>EPS (post-exceptionals, diluted)</t>
  </si>
  <si>
    <t>EPS (post-exceptionals, basic)</t>
  </si>
  <si>
    <t>EPS (pre-exceptionals, diluted)</t>
  </si>
  <si>
    <t>EPS (pre-exceptionals, basic)</t>
  </si>
  <si>
    <t>Net income (post-exceptionals)</t>
  </si>
  <si>
    <t>CH: Income from discontinued operations</t>
  </si>
  <si>
    <t>Post-tax exceptionals</t>
  </si>
  <si>
    <t>Net income (pre-exceptionals)</t>
  </si>
  <si>
    <t>Preferred dividends</t>
  </si>
  <si>
    <t>Provision for income tax</t>
  </si>
  <si>
    <t>Pre-tax profit</t>
  </si>
  <si>
    <t>Other non-ops income/(expense)</t>
  </si>
  <si>
    <t>Profit/(loss) on disposals of assets, pre-tax</t>
  </si>
  <si>
    <t>Income/(loss) from unconsolidated subs &amp; associates</t>
  </si>
  <si>
    <t>Net interest income/(expense)</t>
  </si>
  <si>
    <t>Interest expense</t>
  </si>
  <si>
    <t>Interest income</t>
  </si>
  <si>
    <t>EBIT, operating profit</t>
  </si>
  <si>
    <t>CH: This includes impairment charges (to reconcile between GS EBITDA (which excludes impairments) and company defined underlying EBIT which includes impairment charges)</t>
  </si>
  <si>
    <t>Amortization</t>
  </si>
  <si>
    <t>Depreciation</t>
  </si>
  <si>
    <t>EBITDA</t>
  </si>
  <si>
    <t>Total operating expense (excl. D&amp;A)</t>
  </si>
  <si>
    <t>Total operating expense (incl. D&amp;A)</t>
  </si>
  <si>
    <t>Other operating income/(expense) (incl. leases)</t>
  </si>
  <si>
    <t>R&amp;D expense</t>
  </si>
  <si>
    <t>Total operating expense</t>
  </si>
  <si>
    <t>SG&amp;A, selling, general and admin. expense</t>
  </si>
  <si>
    <t>Cost of goods sold, COGS</t>
  </si>
  <si>
    <t>Sales, net revenue</t>
  </si>
  <si>
    <t>#30</t>
  </si>
  <si>
    <t>Income Statement</t>
  </si>
  <si>
    <t>EPS (Pub)</t>
  </si>
  <si>
    <t>Net income (Pub)</t>
  </si>
  <si>
    <t>Pre-tax profit (Pub)</t>
  </si>
  <si>
    <t>EBITDA (Pub)</t>
  </si>
  <si>
    <t>#29</t>
  </si>
  <si>
    <t>Other &amp; Corporate Income Statement</t>
  </si>
  <si>
    <t>Total shareholders' equity (Pub)</t>
  </si>
  <si>
    <t>Sales, revenue (Pub)</t>
  </si>
  <si>
    <t>EBIT, operating profit (Pub)</t>
  </si>
  <si>
    <t>Net debt (Pub)</t>
  </si>
  <si>
    <t>Long-term EPS growth estimate (Pub)</t>
  </si>
  <si>
    <t>EV adjustment (Pub)</t>
  </si>
  <si>
    <t>CH: GS A&amp;D standard EBITDA (company defined underlying EBIT exclusing any additional depreciation, amortisation or impairments)</t>
  </si>
  <si>
    <t>DPS, dividend per share (Pub)</t>
  </si>
  <si>
    <t>Book value per share, BVPS (Pub)</t>
  </si>
  <si>
    <t>#20</t>
  </si>
  <si>
    <t>Publishing Items</t>
  </si>
  <si>
    <t>Free float</t>
  </si>
  <si>
    <t>Current shares outstanding (mn)</t>
  </si>
  <si>
    <t>Target price period</t>
  </si>
  <si>
    <t>Target price</t>
  </si>
  <si>
    <t>Legal rating</t>
  </si>
  <si>
    <t>Pan Europe Conviction List</t>
  </si>
  <si>
    <t>Pan Europe Investment List</t>
  </si>
  <si>
    <t>#10</t>
  </si>
  <si>
    <t>General Information</t>
  </si>
  <si>
    <t>Pricing currency_1</t>
  </si>
  <si>
    <t>Pricing currency</t>
  </si>
  <si>
    <t>Publishing currency</t>
  </si>
  <si>
    <t>Reporting currency</t>
  </si>
  <si>
    <t>Semiannual</t>
  </si>
  <si>
    <t>Interim type</t>
  </si>
  <si>
    <t>Safran</t>
  </si>
  <si>
    <t>Company name</t>
  </si>
  <si>
    <t>SAF.PA</t>
  </si>
  <si>
    <t>Ticker_1</t>
  </si>
  <si>
    <t>Ticker</t>
  </si>
  <si>
    <t>#0</t>
  </si>
  <si>
    <t>Reference data</t>
  </si>
  <si>
    <t>Estimate</t>
  </si>
  <si>
    <t>Actual</t>
  </si>
  <si>
    <t>Quantum submission sheet for SAF.PA</t>
  </si>
  <si>
    <t>Total</t>
  </si>
  <si>
    <t>Communications</t>
  </si>
  <si>
    <t>Defence</t>
  </si>
  <si>
    <t>Cash conversion</t>
  </si>
  <si>
    <t>Sales growth</t>
  </si>
  <si>
    <t>Growth</t>
  </si>
  <si>
    <t>2016E</t>
  </si>
  <si>
    <t>EV - average</t>
  </si>
  <si>
    <t>Excess customer advances</t>
  </si>
  <si>
    <t>Market value of minorities - average</t>
  </si>
  <si>
    <t>Market value - average</t>
  </si>
  <si>
    <t>Enterprise value calculation</t>
  </si>
  <si>
    <t>Share price - average</t>
  </si>
  <si>
    <t>Avg. no. of shares (m)</t>
  </si>
  <si>
    <t>EV</t>
  </si>
  <si>
    <t>FV of interest rate derivatives (hedging borrowings)</t>
  </si>
  <si>
    <t>Long Term Debt</t>
  </si>
  <si>
    <t>Short Term Debt</t>
  </si>
  <si>
    <t>Cash</t>
  </si>
  <si>
    <t>Company defined Net Debt (negative = cash)</t>
  </si>
  <si>
    <t>Underlying EPS - Basic</t>
  </si>
  <si>
    <t>EPS - Basic</t>
  </si>
  <si>
    <t>Share Count</t>
  </si>
  <si>
    <t>Underlying Net Income</t>
  </si>
  <si>
    <t>Statutory net Income</t>
  </si>
  <si>
    <t>Income from discontinued Operations</t>
  </si>
  <si>
    <t>Adjusted Minorities</t>
  </si>
  <si>
    <t>Minorities</t>
  </si>
  <si>
    <t>rate</t>
  </si>
  <si>
    <t>Underlying tax</t>
  </si>
  <si>
    <t>Statutory tax</t>
  </si>
  <si>
    <t>Underlying PBT</t>
  </si>
  <si>
    <t>Statutory PBT</t>
  </si>
  <si>
    <t>Associates</t>
  </si>
  <si>
    <t>Other</t>
  </si>
  <si>
    <t>FX</t>
  </si>
  <si>
    <t>Cost of Net Debt</t>
  </si>
  <si>
    <t>Underlying Finance Expense</t>
  </si>
  <si>
    <t>Statutory Finance Expense</t>
  </si>
  <si>
    <t>as a % of sales</t>
  </si>
  <si>
    <t>GS defined underlying EBITDA</t>
  </si>
  <si>
    <t>Company defined Underlying EBIT</t>
  </si>
  <si>
    <t>add back - other</t>
  </si>
  <si>
    <t>add back - amortisation relating to cancelled aviation programs</t>
  </si>
  <si>
    <t>add back - PPA</t>
  </si>
  <si>
    <t>add back - adjustments for FX hedge accounting (IAS 39)</t>
  </si>
  <si>
    <t>Statutory EBIT</t>
  </si>
  <si>
    <t>Adjusted Revenues</t>
  </si>
  <si>
    <t>adjustment (FX)</t>
  </si>
  <si>
    <t>Sales</t>
  </si>
  <si>
    <t>Net Change in Cash</t>
  </si>
  <si>
    <t>Dividends</t>
  </si>
  <si>
    <t>R&amp;D</t>
  </si>
  <si>
    <t>Working Capital</t>
  </si>
  <si>
    <t>EBITDA margin</t>
  </si>
  <si>
    <t>Asset Turn</t>
  </si>
  <si>
    <t>Marginal rate of return</t>
  </si>
  <si>
    <t>Denominator: Gross Cash Invested</t>
  </si>
  <si>
    <t>Other GCI elements</t>
  </si>
  <si>
    <t>Current liabilities (excld ST debt)</t>
  </si>
  <si>
    <t>Numerator: Debt adjusted Cash Flow</t>
  </si>
  <si>
    <t>Net interest expense</t>
  </si>
  <si>
    <t>1 - Marginal tax rate</t>
  </si>
  <si>
    <t>(Increase) / Decrease in Working Capital</t>
  </si>
  <si>
    <t>Cash flow from operating activites</t>
  </si>
  <si>
    <t>CROCI (Cash Return on Cash Invested)</t>
  </si>
  <si>
    <t>Returns on Capital Anaylsis</t>
  </si>
  <si>
    <t>Accumulated Depreciation</t>
  </si>
  <si>
    <t>Gross PP&amp;E</t>
  </si>
  <si>
    <t>Accumulated Amortisation</t>
  </si>
  <si>
    <t>of which Intangibles</t>
  </si>
  <si>
    <t>of which Goodwill</t>
  </si>
  <si>
    <t>Gross Intangibles</t>
  </si>
  <si>
    <t>Gross Assets</t>
  </si>
  <si>
    <t>Customer Funded - as a % of sales</t>
  </si>
  <si>
    <t>Defined as self funded - as a % of sales</t>
  </si>
  <si>
    <t>Cash R&amp;D - as a % of sales</t>
  </si>
  <si>
    <t>Capitalised R&amp;D - as a % of sales</t>
  </si>
  <si>
    <t>of which amortisation - as a % of sales</t>
  </si>
  <si>
    <t>P&amp;L expensed R&amp;D - as a % of sales</t>
  </si>
  <si>
    <t>Customer Funded</t>
  </si>
  <si>
    <t>Defined as self funded</t>
  </si>
  <si>
    <t>Cash R&amp;D</t>
  </si>
  <si>
    <t>Capitalised R&amp;D</t>
  </si>
  <si>
    <t>of which amortisation</t>
  </si>
  <si>
    <t>P&amp;L expensed R&amp;D</t>
  </si>
  <si>
    <t>Research and Development Expenditure</t>
  </si>
  <si>
    <t>Leverage Anaylsis</t>
  </si>
  <si>
    <t>Retained earnings at the end of the period</t>
  </si>
  <si>
    <t>Taxes on disposals of treasury shares recognised in equity</t>
  </si>
  <si>
    <t>Delivery and sale of treasury shares</t>
  </si>
  <si>
    <t>Tax on translation adjustment and net investment hedges</t>
  </si>
  <si>
    <t>Translation adjustment and net investment hedge</t>
  </si>
  <si>
    <t>Tax of dividends (effective from 2012 interim div)</t>
  </si>
  <si>
    <t>Interim dividend</t>
  </si>
  <si>
    <t>Dividend distribution (final from prior year)</t>
  </si>
  <si>
    <t>Appropriation of Prior year profit</t>
  </si>
  <si>
    <t>Prior year retained earnings</t>
  </si>
  <si>
    <t>Safran Retained Earnings calculation</t>
  </si>
  <si>
    <t>Change in Payables</t>
  </si>
  <si>
    <t>Change in Receivables</t>
  </si>
  <si>
    <t>Operating Current Liabilities</t>
  </si>
  <si>
    <t>Current tax liabilities</t>
  </si>
  <si>
    <t>Provisions</t>
  </si>
  <si>
    <t>Payables</t>
  </si>
  <si>
    <t>Operating Current Assets</t>
  </si>
  <si>
    <t>Current Tax assets</t>
  </si>
  <si>
    <t>Receivables</t>
  </si>
  <si>
    <t>Working capital analysis</t>
  </si>
  <si>
    <t>Rate on Cash</t>
  </si>
  <si>
    <t>Rate on Debt</t>
  </si>
  <si>
    <t>Average Cash</t>
  </si>
  <si>
    <t>Average Debt</t>
  </si>
  <si>
    <t>Debt</t>
  </si>
  <si>
    <t>Impact of discounting</t>
  </si>
  <si>
    <t>Interest component of IAS 19 expense</t>
  </si>
  <si>
    <t>Other financial provisions</t>
  </si>
  <si>
    <t>Dividends received</t>
  </si>
  <si>
    <t>Impairment of available for sale financial-assets</t>
  </si>
  <si>
    <t>Gain or loss on Interest rate and commodity hedging instruments</t>
  </si>
  <si>
    <t>Net FX gains or losses in provisions</t>
  </si>
  <si>
    <t>FX gains and losses</t>
  </si>
  <si>
    <t>Gain or loss on FX hedging instruments</t>
  </si>
  <si>
    <t>Interest Income</t>
  </si>
  <si>
    <t>Interest Expense</t>
  </si>
  <si>
    <t>Financing Cost Analysis</t>
  </si>
  <si>
    <t>balance sheet check</t>
  </si>
  <si>
    <t>Total Equity</t>
  </si>
  <si>
    <t>Non-controlling interests</t>
  </si>
  <si>
    <t>Profit for the period</t>
  </si>
  <si>
    <t>Net unrealised gain on available-for-sale financial assets</t>
  </si>
  <si>
    <t>Retained Earnings</t>
  </si>
  <si>
    <t>Share capital</t>
  </si>
  <si>
    <t>Current liabilities</t>
  </si>
  <si>
    <t>Current derivatives</t>
  </si>
  <si>
    <t>Tax liabilities</t>
  </si>
  <si>
    <t>Trade and other payables</t>
  </si>
  <si>
    <t>Interest-bearing current financial liabilities</t>
  </si>
  <si>
    <t>Non-current liabilities</t>
  </si>
  <si>
    <t>Other non-current financial liabilities</t>
  </si>
  <si>
    <t>Deferred tax liabilities</t>
  </si>
  <si>
    <t>Non-current derivatives</t>
  </si>
  <si>
    <t>Borrowings subject to specific conditions</t>
  </si>
  <si>
    <t>Current Assets</t>
  </si>
  <si>
    <t>Cash and Cash equivalents</t>
  </si>
  <si>
    <t>Tax assets</t>
  </si>
  <si>
    <t>Trade and Other receivables</t>
  </si>
  <si>
    <t>Inventories and work-in-progress</t>
  </si>
  <si>
    <t>Current financial assets</t>
  </si>
  <si>
    <t>Non-current assets</t>
  </si>
  <si>
    <t xml:space="preserve">Other </t>
  </si>
  <si>
    <t>Other non-current financial assets</t>
  </si>
  <si>
    <t>Deferred tax assets</t>
  </si>
  <si>
    <t>Investments in associates</t>
  </si>
  <si>
    <t>Non-current financial assets</t>
  </si>
  <si>
    <t>PP&amp;E</t>
  </si>
  <si>
    <t>Intangible Assets</t>
  </si>
  <si>
    <t>Goodwill</t>
  </si>
  <si>
    <t>Cash at the end of the year</t>
  </si>
  <si>
    <t>Cash at the beginning of the year</t>
  </si>
  <si>
    <t>Change in Cash</t>
  </si>
  <si>
    <t>Cash flow from Financing</t>
  </si>
  <si>
    <t>Dividends paid to non-controlling interests</t>
  </si>
  <si>
    <t>Interim from Reported Year (€)</t>
  </si>
  <si>
    <t>Dividends Paid</t>
  </si>
  <si>
    <t>Change in short term borrowings</t>
  </si>
  <si>
    <t>Change in repayable advances</t>
  </si>
  <si>
    <t>Increase in borrowings</t>
  </si>
  <si>
    <t>Repayment of borrowings and long-term debt</t>
  </si>
  <si>
    <t>Acquisitions and disposals of treasury shares</t>
  </si>
  <si>
    <t>Change in Share Capital</t>
  </si>
  <si>
    <t>Cash flow from Investing</t>
  </si>
  <si>
    <t>Proceeds/(Payments) from Financial Assets</t>
  </si>
  <si>
    <t>Proceeds/(Payments) from Investments</t>
  </si>
  <si>
    <t>Purchase of PP&amp;E (net of disposals)</t>
  </si>
  <si>
    <t>Purchase of Intangible assets (net of disposals)</t>
  </si>
  <si>
    <t>Cash flow from Operations</t>
  </si>
  <si>
    <t>Change in Inventory and Work in Progress</t>
  </si>
  <si>
    <t>Cash Tax adjustment</t>
  </si>
  <si>
    <t>Co-detailed Other</t>
  </si>
  <si>
    <t>Profit attributable to non-controlling interests</t>
  </si>
  <si>
    <t>Profit/(Loss) before tax from discontinued operations</t>
  </si>
  <si>
    <t>Capital gains on asset disposals</t>
  </si>
  <si>
    <t>Change in fair value of derivatives</t>
  </si>
  <si>
    <t>Share of profit in associates (net of dividends received)</t>
  </si>
  <si>
    <t>Change in Provisions</t>
  </si>
  <si>
    <t>Impairment</t>
  </si>
  <si>
    <t>Amortisation</t>
  </si>
  <si>
    <t>Reported Net Income</t>
  </si>
  <si>
    <t>Dividend yield</t>
  </si>
  <si>
    <t>Continuing EPS - Diluted</t>
  </si>
  <si>
    <t>Continuing EPS - Basic</t>
  </si>
  <si>
    <t>Reported EPS - Diluted</t>
  </si>
  <si>
    <t>Reported EPS - Basic</t>
  </si>
  <si>
    <t>Non Controlling Interest</t>
  </si>
  <si>
    <t>Net Income from discontinued operations</t>
  </si>
  <si>
    <t>Net Income</t>
  </si>
  <si>
    <t>Reported tax rate</t>
  </si>
  <si>
    <t>PBT</t>
  </si>
  <si>
    <t>Share in profit from associates</t>
  </si>
  <si>
    <t>check</t>
  </si>
  <si>
    <t>Financing expense</t>
  </si>
  <si>
    <t>other non-recurring operating income and expenses</t>
  </si>
  <si>
    <t>Other recurring operating income and expense</t>
  </si>
  <si>
    <t>Asset impairment</t>
  </si>
  <si>
    <t>Taxes</t>
  </si>
  <si>
    <t>Personnel Costs</t>
  </si>
  <si>
    <t>Raw materials and Consumables used</t>
  </si>
  <si>
    <t>Capitalised production</t>
  </si>
  <si>
    <t>Changes in Inventories of finished goods and Work-in-progress</t>
  </si>
  <si>
    <t>Other Income</t>
  </si>
  <si>
    <t>growth</t>
  </si>
  <si>
    <t>2025E</t>
  </si>
  <si>
    <t>2024E</t>
  </si>
  <si>
    <t>2023E</t>
  </si>
  <si>
    <t>2022E</t>
  </si>
  <si>
    <t>2021E</t>
  </si>
  <si>
    <t>2020E</t>
  </si>
  <si>
    <t>2019E</t>
  </si>
  <si>
    <t>2018E</t>
  </si>
  <si>
    <t>2017E</t>
  </si>
  <si>
    <t>o/w free shipsets (wheels and brakes)</t>
  </si>
  <si>
    <t>Investment in intangible assets</t>
  </si>
  <si>
    <t>Capex</t>
  </si>
  <si>
    <t>Minority interests</t>
  </si>
  <si>
    <t>Goldman defined Clean Net Income</t>
  </si>
  <si>
    <t>Discontinued items</t>
  </si>
  <si>
    <t>Goldman defined Clean PTP</t>
  </si>
  <si>
    <t>Adjust for net capitalised free shipsets (wheels and brakes)</t>
  </si>
  <si>
    <t>Tax credit</t>
  </si>
  <si>
    <t>of which, amortisation of free shipsets (wheels and brakes)</t>
  </si>
  <si>
    <t>of which, Depreciation and amortisation expense</t>
  </si>
  <si>
    <t>Statutory operating costs</t>
  </si>
  <si>
    <t>Defence Security</t>
  </si>
  <si>
    <t>Security</t>
  </si>
  <si>
    <t>Aircraft Equipment</t>
  </si>
  <si>
    <t>Aerospace Propulsion</t>
  </si>
  <si>
    <t>FCF</t>
  </si>
  <si>
    <t>A380</t>
  </si>
  <si>
    <t>A330</t>
  </si>
  <si>
    <t>CFM56</t>
  </si>
  <si>
    <t>EBITA margin</t>
  </si>
  <si>
    <t>Tax Credit</t>
  </si>
  <si>
    <t>Margin</t>
  </si>
  <si>
    <t>Silvercrest</t>
  </si>
  <si>
    <t>SaM146</t>
  </si>
  <si>
    <t>CF6-80</t>
  </si>
  <si>
    <t>M&amp;A</t>
  </si>
  <si>
    <t>New</t>
  </si>
  <si>
    <t>Old</t>
  </si>
  <si>
    <t>Less net capitalised R&amp;D</t>
  </si>
  <si>
    <t>Zodiac</t>
  </si>
  <si>
    <t>Military</t>
  </si>
  <si>
    <t>A400M</t>
  </si>
  <si>
    <t>margin</t>
  </si>
  <si>
    <t>Market cap</t>
  </si>
  <si>
    <t>Interest</t>
  </si>
  <si>
    <t>Synergies</t>
  </si>
  <si>
    <t>Congratulations! You have successfully migrated</t>
  </si>
  <si>
    <t>Final cleanup Items</t>
  </si>
  <si>
    <t>Keyword</t>
  </si>
  <si>
    <t>Description</t>
  </si>
  <si>
    <t xml:space="preserve">Action </t>
  </si>
  <si>
    <t>Please review non-migrated data on:</t>
  </si>
  <si>
    <t>Company defined Working Capital</t>
  </si>
  <si>
    <t>Final From Previous Year (€)</t>
  </si>
  <si>
    <t>Group</t>
  </si>
  <si>
    <t>EBITA growth</t>
  </si>
  <si>
    <t>Profit from operations</t>
  </si>
  <si>
    <t>M88</t>
  </si>
  <si>
    <t>LEAP</t>
  </si>
  <si>
    <t>GP7200</t>
  </si>
  <si>
    <t>GE90</t>
  </si>
  <si>
    <t>CFM56 (USD)</t>
  </si>
  <si>
    <t>LEAP (USD)</t>
  </si>
  <si>
    <t>GE90 (USD)</t>
  </si>
  <si>
    <t>M88 (EUR)</t>
  </si>
  <si>
    <t>Engine Sales</t>
  </si>
  <si>
    <t>Engine Unit Price (millions)</t>
  </si>
  <si>
    <t>Total (EUR)</t>
  </si>
  <si>
    <t>OE</t>
  </si>
  <si>
    <t>Services</t>
  </si>
  <si>
    <t>Safran Revenue Share</t>
  </si>
  <si>
    <t>Shop visits</t>
  </si>
  <si>
    <t>T&amp;M</t>
  </si>
  <si>
    <t>Pricing</t>
  </si>
  <si>
    <t>One offs</t>
  </si>
  <si>
    <t>Self funded R&amp;D</t>
  </si>
  <si>
    <t>R&amp;D before tax credit</t>
  </si>
  <si>
    <t>of which capitalised</t>
  </si>
  <si>
    <t>P&amp;L R&amp;D expense</t>
  </si>
  <si>
    <t>Total cash R&amp;D as % of sales</t>
  </si>
  <si>
    <t>Input Cost inflation</t>
  </si>
  <si>
    <t>Total Change in EBITA</t>
  </si>
  <si>
    <t>Operating Leverage - OE</t>
  </si>
  <si>
    <t>Operating Leverage - Services</t>
  </si>
  <si>
    <t>A350</t>
  </si>
  <si>
    <t>787</t>
  </si>
  <si>
    <t>16-18</t>
  </si>
  <si>
    <t>4-5</t>
  </si>
  <si>
    <t>Ship Set Values (USD mn)</t>
  </si>
  <si>
    <t>amortisation of previously capitalised R&amp;D</t>
  </si>
  <si>
    <t>Aerospace Equipment</t>
  </si>
  <si>
    <t>Underlying EPS</t>
  </si>
  <si>
    <t>Expense - % Oil/Petrol/Fuel</t>
  </si>
  <si>
    <t>EXP_OIL_PETRO_FUEL</t>
  </si>
  <si>
    <t>Sales - % South Africa</t>
  </si>
  <si>
    <t>SALES_SO_AFRICA</t>
  </si>
  <si>
    <t>Sales - % Nigeria</t>
  </si>
  <si>
    <t>SALES_NIGERIA</t>
  </si>
  <si>
    <t>Sales - % Other Africa</t>
  </si>
  <si>
    <t>SALES_OTH_AFRICA</t>
  </si>
  <si>
    <t>Sales - % Industry Sub-Segment: Financial Services</t>
  </si>
  <si>
    <t>SALES_FINAN</t>
  </si>
  <si>
    <t>Expense - % Oil derivatives/NGLs/plastics</t>
  </si>
  <si>
    <t>EXP_OIL_DERIV_NGLS_PLASTICS</t>
  </si>
  <si>
    <t>Sales - % China</t>
  </si>
  <si>
    <t>Cash Manager Framework</t>
  </si>
  <si>
    <t>Cashflow from Operating activities</t>
  </si>
  <si>
    <t>of which amortised R&amp;D</t>
  </si>
  <si>
    <t>Total Cash R&amp;D</t>
  </si>
  <si>
    <t>Cash EBDA</t>
  </si>
  <si>
    <t>Divestments</t>
  </si>
  <si>
    <t>Total Cash Available</t>
  </si>
  <si>
    <t>Acquistions</t>
  </si>
  <si>
    <t>Share Buyback</t>
  </si>
  <si>
    <t>Share Issuance</t>
  </si>
  <si>
    <t>Capex (on PP&amp;E net of disposals)</t>
  </si>
  <si>
    <t>Capex (on Intangibles)</t>
  </si>
  <si>
    <t>Δ Working Capital</t>
  </si>
  <si>
    <t>Debt Paydown</t>
  </si>
  <si>
    <t>Other Inv.  Cash Flow</t>
  </si>
  <si>
    <t>Pension payments</t>
  </si>
  <si>
    <t>Leakages</t>
  </si>
  <si>
    <t>Net Debt (negetive = Cash)</t>
  </si>
  <si>
    <t>Share Buybacks</t>
  </si>
  <si>
    <t>R&amp;D (capitalised &amp; expensed)</t>
  </si>
  <si>
    <t>Total discretionary cash deployment</t>
  </si>
  <si>
    <t>Average Share Count (thousands)</t>
  </si>
  <si>
    <t>Average Share count - diluted (thousands)</t>
  </si>
  <si>
    <t>of which additions to PP&amp;E</t>
  </si>
  <si>
    <t>of which additions to Intangibles (Goodwill)</t>
  </si>
  <si>
    <t>Company Defined Net Debt (Cash)</t>
  </si>
  <si>
    <t>Other Adjustments</t>
  </si>
  <si>
    <t>Launch Aid/risk sharing partner liablities</t>
  </si>
  <si>
    <t>Net vendor financing assets/liablities</t>
  </si>
  <si>
    <t>Provisions/obligations for aircraft leassing</t>
  </si>
  <si>
    <t>Less Investments</t>
  </si>
  <si>
    <t>Cash provisions to be utilised</t>
  </si>
  <si>
    <t>Others</t>
  </si>
  <si>
    <t>Calculations</t>
  </si>
  <si>
    <t>Goldman Sachs adjusted EPS</t>
  </si>
  <si>
    <t>Company defined adjusted EPS (p or €)</t>
  </si>
  <si>
    <t>Company defined underlying net income</t>
  </si>
  <si>
    <t>Add back PPA (where included in underlying)</t>
  </si>
  <si>
    <t>Less operating exceptionals</t>
  </si>
  <si>
    <t>Less capital gains included in EBITA</t>
  </si>
  <si>
    <t>Less net capitalised losses on new equipment</t>
  </si>
  <si>
    <t>Add back pension finance gain/(change)</t>
  </si>
  <si>
    <t>Underlying tax rate (as reported by company)</t>
  </si>
  <si>
    <t>Adjustment for tax</t>
  </si>
  <si>
    <t>Clean EPS as a % of Co. defined u/l EPS</t>
  </si>
  <si>
    <t>Goldman defined tax</t>
  </si>
  <si>
    <t>Company defined adjusted tax</t>
  </si>
  <si>
    <t>Company defined adjusted PTP</t>
  </si>
  <si>
    <t>Other Calculations</t>
  </si>
  <si>
    <t>increase in free shipsets (wheels and brakes)</t>
  </si>
  <si>
    <t>Change in, amortisation of free shipsets (wheels and brakes)</t>
  </si>
  <si>
    <t>M&amp;A (Acquisitions)</t>
  </si>
  <si>
    <t>Goldman Sachs adjusted EV</t>
  </si>
  <si>
    <t>Est. Excess customer advances</t>
  </si>
  <si>
    <t>Customer advances</t>
  </si>
  <si>
    <t>Trade and other payables – current</t>
  </si>
  <si>
    <t>of which Advance payments from customers</t>
  </si>
  <si>
    <t>Raw materials and supplies</t>
  </si>
  <si>
    <t>Finished goods</t>
  </si>
  <si>
    <t>Work-in-progress</t>
  </si>
  <si>
    <t>Bought in goods</t>
  </si>
  <si>
    <t>Goldman Sachs adjusted EBITA</t>
  </si>
  <si>
    <t>Company defined underlying EBITA</t>
  </si>
  <si>
    <t>Less associates (if included in u/l EBITA)</t>
  </si>
  <si>
    <t>Add estimated interest on excess customer prepayments</t>
  </si>
  <si>
    <t>Add back pension finance charge (if included in u/l EBITA)</t>
  </si>
  <si>
    <t>Add: PPA if charged to u/l EBITA</t>
  </si>
  <si>
    <t>Add: Launch aid payments inc in u/l EBITA</t>
  </si>
  <si>
    <t>Goldman sachs defined clean EBITA</t>
  </si>
  <si>
    <t>Clean EBITA as a % of Co. defined u/l EBITA</t>
  </si>
  <si>
    <t>D&amp;A</t>
  </si>
  <si>
    <t>Company Defined FCF</t>
  </si>
  <si>
    <t>We assume slightly lower RPH pricing vs. T&amp;M (industry norm)</t>
  </si>
  <si>
    <t>Contribution margins</t>
  </si>
  <si>
    <t>Deliveries</t>
  </si>
  <si>
    <t>Notes</t>
  </si>
  <si>
    <t>Shipset modelling</t>
  </si>
  <si>
    <t xml:space="preserve">Shipset Sales </t>
  </si>
  <si>
    <t>Other OE Sales</t>
  </si>
  <si>
    <t>Total OE</t>
  </si>
  <si>
    <t>USD/EUR</t>
  </si>
  <si>
    <t>Check</t>
  </si>
  <si>
    <t>Group organic sales growth</t>
  </si>
  <si>
    <t>x</t>
  </si>
  <si>
    <t>Change in operating receivables and payables</t>
  </si>
  <si>
    <t>Change in other receivables and payables</t>
  </si>
  <si>
    <t>Company defined FCF</t>
  </si>
  <si>
    <t>% of underlying EBITA</t>
  </si>
  <si>
    <t>New Sales from M&amp;A</t>
  </si>
  <si>
    <t>Cumulative impact from M&amp;A</t>
  </si>
  <si>
    <t>Change</t>
  </si>
  <si>
    <t>GEnx</t>
  </si>
  <si>
    <t>GEnx (USD)</t>
  </si>
  <si>
    <t>Civil Aftermarket</t>
  </si>
  <si>
    <t>Helicopters Aftermarket</t>
  </si>
  <si>
    <t>Military (EUR)</t>
  </si>
  <si>
    <t>payout ratio (as % of underlying EPS)</t>
  </si>
  <si>
    <t>Underlying EPS - basic</t>
  </si>
  <si>
    <t>Share in profit from joint ventures</t>
  </si>
  <si>
    <t>Other non-recurring operating income and expenses</t>
  </si>
  <si>
    <t>Underlying Other non-recurring operating income and expenses</t>
  </si>
  <si>
    <t>2015 H1</t>
  </si>
  <si>
    <t>Hedge rate</t>
  </si>
  <si>
    <t>Hedge book as % of sales</t>
  </si>
  <si>
    <t>Uncovered as % of sales</t>
  </si>
  <si>
    <t>Change in USD rate yoy</t>
  </si>
  <si>
    <t>Underlying Finance charge</t>
  </si>
  <si>
    <t>Cash balance (can't be negative)</t>
  </si>
  <si>
    <t>Income Statement (€ mn)</t>
  </si>
  <si>
    <t>Payout ratio (as % of underlying EPS)</t>
  </si>
  <si>
    <t>Cash Flow Statement (€ mn)</t>
  </si>
  <si>
    <t>Depreciation, Amortization and increase in provision (net of use)</t>
  </si>
  <si>
    <t>Sales - % Other North Americas</t>
  </si>
  <si>
    <t>SALES_OTH_NO_AMER</t>
  </si>
  <si>
    <t>Sales - % Argentina</t>
  </si>
  <si>
    <t>SALES_ARGENTINA</t>
  </si>
  <si>
    <t>Sales - % Chile</t>
  </si>
  <si>
    <t>SALES_CHILE</t>
  </si>
  <si>
    <t>Sales - % Colombia</t>
  </si>
  <si>
    <t>SALES_COLOMBIA</t>
  </si>
  <si>
    <t>Sales - % Mexico</t>
  </si>
  <si>
    <t>SALES_MEXICO</t>
  </si>
  <si>
    <t>Sales - % Venezuela</t>
  </si>
  <si>
    <t>SALES_VENEZUELA</t>
  </si>
  <si>
    <t>Sales - % Other Latin Americas</t>
  </si>
  <si>
    <t>SALES_OTH_LATAM</t>
  </si>
  <si>
    <t>Sales - % Other Western Europe</t>
  </si>
  <si>
    <t>SALES_OTH_WEST_EURO</t>
  </si>
  <si>
    <t>Sales - % Poland</t>
  </si>
  <si>
    <t>SALES_POLAND</t>
  </si>
  <si>
    <t>Sales - % Turkey</t>
  </si>
  <si>
    <t>SALES_TURKEY</t>
  </si>
  <si>
    <t>Sales - % Other CEE</t>
  </si>
  <si>
    <t>SALES_OTH_CEE</t>
  </si>
  <si>
    <t>Sales - % Saudi Arabia</t>
  </si>
  <si>
    <t>SALES_SAUDI_ARABIA</t>
  </si>
  <si>
    <t>Sales - % United Arab Emirates</t>
  </si>
  <si>
    <t>SALES_UAE</t>
  </si>
  <si>
    <t>Sales - % Other Middle East</t>
  </si>
  <si>
    <t>SALES_OTH_ME</t>
  </si>
  <si>
    <t>Sales - % Hong Kong</t>
  </si>
  <si>
    <t>SALES_HONG_KONG</t>
  </si>
  <si>
    <t>Sales - % Singapore</t>
  </si>
  <si>
    <t>SALES_SINGAPORE</t>
  </si>
  <si>
    <t>Sales - % Taiwan</t>
  </si>
  <si>
    <t>SALES_TAIWAN</t>
  </si>
  <si>
    <t>Sales - % Other Developed Asia</t>
  </si>
  <si>
    <t>SALES_OTH_DEV_ASIA</t>
  </si>
  <si>
    <t>Sales - % Indonesia</t>
  </si>
  <si>
    <t>SALES_INDONESIA</t>
  </si>
  <si>
    <t>Sales - % Thailand</t>
  </si>
  <si>
    <t>SALES_THAILAND</t>
  </si>
  <si>
    <t>Sales - % Other Emerging Asia</t>
  </si>
  <si>
    <t>SALES_OTH_EMERG_ASIA</t>
  </si>
  <si>
    <t>Sales - % Industry Sub-Segment: Oil &amp; Gas</t>
  </si>
  <si>
    <t>SALES_OIL_GAS</t>
  </si>
  <si>
    <t>Other' Check (must be less than 30%)</t>
  </si>
  <si>
    <t>= Information provided by company, or a relatively confident estimate</t>
  </si>
  <si>
    <t>Method</t>
  </si>
  <si>
    <t>France</t>
  </si>
  <si>
    <t>Europe (ex. France)</t>
  </si>
  <si>
    <t>Americas</t>
  </si>
  <si>
    <t>Asia and Oceania</t>
  </si>
  <si>
    <t>Africa and Middle East</t>
  </si>
  <si>
    <t>1) H1 2016 (more detail than in annual results), p. 9</t>
  </si>
  <si>
    <t>&gt; Assume Brazil is the only significant LatAm market. Safran have substantial operations in Brazil including contracts with Embraer, and helicopter engines for the army (http://www.safran-group.com/country/safran-brazil)</t>
  </si>
  <si>
    <t>&gt; Assume larger share for Germany, Spain, UK and Italy</t>
  </si>
  <si>
    <t>&gt; Assume Middle East is the majority of ME &amp; Africa</t>
  </si>
  <si>
    <t>&gt; Assume larger weightings in Asia for China, India and Australia, split evenly among the rest</t>
  </si>
  <si>
    <t>&gt; Substantial business in China (http://www.safran.cn/en/safran-china)</t>
  </si>
  <si>
    <t>&gt; Kept existing assumption from the exchange sheet</t>
  </si>
  <si>
    <t>&gt; Assume offshore is around 10% of helicopter turbine sales</t>
  </si>
  <si>
    <t>2016H1</t>
  </si>
  <si>
    <t>2) The exact region categories change pre-2015, but the proportions look very similar so just assume that 2013+14 mirror 15.</t>
  </si>
  <si>
    <t>2016FY</t>
  </si>
  <si>
    <t>Hedge Book</t>
  </si>
  <si>
    <t>% Covered</t>
  </si>
  <si>
    <t>EBIT impact</t>
  </si>
  <si>
    <t>Page 51 2012 CMD. They only get Spares revenue from this segment (the Airline does the Labour)</t>
  </si>
  <si>
    <t>Page 51 2012 CMD. They get a small amount of revenue revenue. (Third party labour and used spares of which CFM materials has a 40% global market share, so 40%*70%)</t>
  </si>
  <si>
    <t>Zodiac Interiors</t>
  </si>
  <si>
    <t>Zodiac Aerosystems</t>
  </si>
  <si>
    <t>Operating Leverage - Interiors</t>
  </si>
  <si>
    <t>Organic Growth</t>
  </si>
  <si>
    <t>Aerosystems</t>
  </si>
  <si>
    <t>Transactional</t>
  </si>
  <si>
    <t>Net exposure</t>
  </si>
  <si>
    <t>% covered</t>
  </si>
  <si>
    <t xml:space="preserve">Hedges </t>
  </si>
  <si>
    <t>Hedge Rate</t>
  </si>
  <si>
    <t>Spot Rate</t>
  </si>
  <si>
    <t>Blended Rate</t>
  </si>
  <si>
    <t>Impact</t>
  </si>
  <si>
    <t>FY18</t>
  </si>
  <si>
    <t>FY17</t>
  </si>
  <si>
    <t>% of sales covered by hedges</t>
  </si>
  <si>
    <t>Blended rate for revenue modelling</t>
  </si>
  <si>
    <t>FY19</t>
  </si>
  <si>
    <t>FY20</t>
  </si>
  <si>
    <t>FY21</t>
  </si>
  <si>
    <t>Translational</t>
  </si>
  <si>
    <t>Revenue Impact</t>
  </si>
  <si>
    <t>EBIT Impact</t>
  </si>
  <si>
    <t>% of sales</t>
  </si>
  <si>
    <t>Of which capitalised</t>
  </si>
  <si>
    <t>Amortisation of previous R&amp;D</t>
  </si>
  <si>
    <t>FY22</t>
  </si>
  <si>
    <t>Implementation Cost</t>
  </si>
  <si>
    <t>Revenue</t>
  </si>
  <si>
    <t>Profit</t>
  </si>
  <si>
    <t>Spares Margin</t>
  </si>
  <si>
    <t>MRO Margin</t>
  </si>
  <si>
    <t>Spares Cost</t>
  </si>
  <si>
    <t>MRO Cost</t>
  </si>
  <si>
    <t>Cost of 1 visit</t>
  </si>
  <si>
    <t>Total Shop Visit Cost</t>
  </si>
  <si>
    <t>Of which ESPH</t>
  </si>
  <si>
    <t>Of which ESPO</t>
  </si>
  <si>
    <t xml:space="preserve">Studies &amp; Others </t>
  </si>
  <si>
    <t xml:space="preserve">OE </t>
  </si>
  <si>
    <t>Studies &amp; Others</t>
  </si>
  <si>
    <t>Price</t>
  </si>
  <si>
    <t>GE9X</t>
  </si>
  <si>
    <t>GE9X (USD)</t>
  </si>
  <si>
    <t>Underlying P/E ratio</t>
  </si>
  <si>
    <t>FCF per share</t>
  </si>
  <si>
    <t>Operating Cash Flow</t>
  </si>
  <si>
    <t>as % sales</t>
  </si>
  <si>
    <t>Interest costs to fall as leverage declines</t>
  </si>
  <si>
    <t>P/E</t>
  </si>
  <si>
    <t>EV/Sales</t>
  </si>
  <si>
    <t>FCF yield</t>
  </si>
  <si>
    <t>Depreciation, Amortization and provision</t>
  </si>
  <si>
    <t>Changes in Inventories of finished goods and WIP</t>
  </si>
  <si>
    <t>Aircraft Interiors</t>
  </si>
  <si>
    <t>Recurring Operating Income</t>
  </si>
  <si>
    <t>Revenues</t>
  </si>
  <si>
    <t>Zodiac Sales</t>
  </si>
  <si>
    <t>Change in contract assets and liabilities</t>
  </si>
  <si>
    <t>Contract costs</t>
  </si>
  <si>
    <t>Contract assets</t>
  </si>
  <si>
    <t>Contract liabilities</t>
  </si>
  <si>
    <t>EUR mn</t>
  </si>
  <si>
    <t>Contract Liabilities</t>
  </si>
  <si>
    <t>Aircraft Equipment, Defence and Aerosystems</t>
  </si>
  <si>
    <t>as % of sales</t>
  </si>
  <si>
    <t>Aircraft Equipment, Defence, Aerosystems</t>
  </si>
  <si>
    <t>Right of use Asset</t>
  </si>
  <si>
    <t>Assuming a 26% tax rate going forward</t>
  </si>
  <si>
    <t>conversion (vs. EBIT)</t>
  </si>
  <si>
    <t>LEAP impact</t>
  </si>
  <si>
    <t>Main driver of Group growth - Civil AM + LEAP margin improvement</t>
  </si>
  <si>
    <t xml:space="preserve">Cautious working capital assumptions </t>
  </si>
  <si>
    <t>Income Statement (consolidated)</t>
  </si>
  <si>
    <t>Non-current interest-bearing financial liabilities</t>
  </si>
  <si>
    <t>Contract Assets</t>
  </si>
  <si>
    <t>Contract assets - as a % of sales</t>
  </si>
  <si>
    <t>Contract liabilities - as a % of sales</t>
  </si>
  <si>
    <t>Change in Contract Assets</t>
  </si>
  <si>
    <t>Change in Contract Liabilities</t>
  </si>
  <si>
    <t>Total R&amp;D</t>
  </si>
  <si>
    <t>Research Tax Credit</t>
  </si>
  <si>
    <t xml:space="preserve">Total R&amp;D </t>
  </si>
  <si>
    <t>Net Pension Deficit</t>
  </si>
  <si>
    <t>Turbomeca (Helis)</t>
  </si>
  <si>
    <t>P&amp;L R&amp;D expensed</t>
  </si>
  <si>
    <t>Equipment Self funded R&amp;D</t>
  </si>
  <si>
    <t>Equipment Sales growth</t>
  </si>
  <si>
    <t>Equipment Sales Split</t>
  </si>
  <si>
    <t>Defence Self-Funded R&amp;D</t>
  </si>
  <si>
    <t>Historical Divisional Data</t>
  </si>
  <si>
    <t>Aerosystems Self-funded R&amp;D</t>
  </si>
  <si>
    <t>Aerospace Recurring Operating Margin</t>
  </si>
  <si>
    <t>Defence Recurring operating income</t>
  </si>
  <si>
    <t>Aerosystems Recurring Operating Income</t>
  </si>
  <si>
    <t>Services (includes sale of studies)</t>
  </si>
  <si>
    <t>Zodiac FX modelling</t>
  </si>
  <si>
    <t>Continued margin improvement</t>
  </si>
  <si>
    <t>Limited Growth in 2020 due to widebody weakness and COVID-19</t>
  </si>
  <si>
    <t>Limited Growth in 2020 due to non-offerability and COVID-19</t>
  </si>
  <si>
    <t>Net Debt</t>
  </si>
  <si>
    <t>Number of shares</t>
  </si>
  <si>
    <t>EV/EBITDA</t>
  </si>
  <si>
    <t>Net Debt/EBITDA</t>
  </si>
  <si>
    <t>EV breakout</t>
  </si>
  <si>
    <t>ADAPTCAPIHISTO</t>
  </si>
  <si>
    <t>Net debt (cash)</t>
  </si>
  <si>
    <t>Pension liabilities</t>
  </si>
  <si>
    <t>Other EV adjustments</t>
  </si>
  <si>
    <t>Implied EV</t>
  </si>
  <si>
    <t>EV_PUB</t>
  </si>
  <si>
    <t>Net debt breakout</t>
  </si>
  <si>
    <t>IFRS 16 Exchange Sheet Metrics (updated annually with AR)</t>
  </si>
  <si>
    <t>Long term leases</t>
  </si>
  <si>
    <t xml:space="preserve">% of sales </t>
  </si>
  <si>
    <t>Short term leases</t>
  </si>
  <si>
    <t>Total Leases</t>
  </si>
  <si>
    <t>Balance Sheet Items</t>
  </si>
  <si>
    <t xml:space="preserve">Cash Flow Items </t>
  </si>
  <si>
    <t>Lease Principal Payment</t>
  </si>
  <si>
    <t>Lease Interest Payment</t>
  </si>
  <si>
    <t xml:space="preserve">Depreciation on RoU </t>
  </si>
  <si>
    <t>EBIT, IC, ROIC</t>
  </si>
  <si>
    <t>Implied LT growth rate</t>
  </si>
  <si>
    <t>WACC GSe</t>
  </si>
  <si>
    <t>M&amp;A EBIT, EV adjustments</t>
  </si>
  <si>
    <t>Multiplier</t>
  </si>
  <si>
    <t>EV implied by EV/IC-ROIC/WACC</t>
  </si>
  <si>
    <t>Market Cap implied by EV/IC-ROIC/WACC</t>
  </si>
  <si>
    <t>NOSH</t>
  </si>
  <si>
    <t>Upside/Downside</t>
  </si>
  <si>
    <t>PT Change</t>
  </si>
  <si>
    <t>Old PT</t>
  </si>
  <si>
    <t>Last Price</t>
  </si>
  <si>
    <t>Invested Capital</t>
  </si>
  <si>
    <t>ROIC</t>
  </si>
  <si>
    <t xml:space="preserve">Safran Target Price Calculation </t>
  </si>
  <si>
    <t>Net Intangibles</t>
  </si>
  <si>
    <t>GS Target Price</t>
  </si>
  <si>
    <t>Implied EV/EBIT</t>
  </si>
  <si>
    <t>Comments</t>
  </si>
  <si>
    <t>Group Sales</t>
  </si>
  <si>
    <t>Group adj. EBIT</t>
  </si>
  <si>
    <t>Group adj. EBIT margin</t>
  </si>
  <si>
    <t>Group FCF</t>
  </si>
  <si>
    <t>% Change</t>
  </si>
  <si>
    <t>SAF_FR</t>
  </si>
  <si>
    <t xml:space="preserve">Company Name </t>
  </si>
  <si>
    <t>Source1</t>
  </si>
  <si>
    <t>GS</t>
  </si>
  <si>
    <t>Source2</t>
  </si>
  <si>
    <t>Consensus</t>
  </si>
  <si>
    <t>Revisions as of</t>
  </si>
  <si>
    <t>FY-2022</t>
  </si>
  <si>
    <t>FY-2023</t>
  </si>
  <si>
    <t>EUR mn (December Y/E)</t>
  </si>
  <si>
    <t>Latest Cons.</t>
  </si>
  <si>
    <t>Gse</t>
  </si>
  <si>
    <t>Guidance</t>
  </si>
  <si>
    <t>FY 2021E</t>
  </si>
  <si>
    <t>vs Cons. %</t>
  </si>
  <si>
    <t>FY 2023E</t>
  </si>
  <si>
    <t>Revenue - Aerospace Propulsion - Operating</t>
  </si>
  <si>
    <t>Aerospace propulsion</t>
  </si>
  <si>
    <t>Revenue - Equipment Defense and Aerosystems - Operating</t>
  </si>
  <si>
    <t>Equipment, Defense, Aerosystems</t>
  </si>
  <si>
    <t>Revenue - Aircraft interiors - Operating</t>
  </si>
  <si>
    <t>Revenue - Holding co, eliminations &amp; other - Operating</t>
  </si>
  <si>
    <t>Revenue - Operating</t>
  </si>
  <si>
    <t>Group revenue</t>
  </si>
  <si>
    <t>EBITA - Aerospace Propulsion - Operating</t>
  </si>
  <si>
    <t>EBITA - Equipment Defense and Aerosystems - Operating</t>
  </si>
  <si>
    <t>EBITA - Aircraft interior - Operating</t>
  </si>
  <si>
    <t>EBITA - Holding co, eliminations &amp; other - Operating</t>
  </si>
  <si>
    <t>Holding company and other</t>
  </si>
  <si>
    <t>EBITA - Operating</t>
  </si>
  <si>
    <t>Group EBIT</t>
  </si>
  <si>
    <t>Free cash flow (FCF)</t>
  </si>
  <si>
    <t>Total impact - Civil aircraft - Aftermarkets - Operating (USD)</t>
  </si>
  <si>
    <t>Visible Alpha mnemonics</t>
  </si>
  <si>
    <t>FY-2024</t>
  </si>
  <si>
    <t>FY-2025</t>
  </si>
  <si>
    <t>FY 2024E</t>
  </si>
  <si>
    <t>FY 2025E</t>
  </si>
  <si>
    <t>Assuming 20/80 ESPH/ESPO Split - p86 CMD 2021 presentation</t>
  </si>
  <si>
    <t>Civil Aftermarket y/y sales growth (%, USD)</t>
  </si>
  <si>
    <t>EUR / USD spot rate</t>
  </si>
  <si>
    <t>Hedge rate (%)</t>
  </si>
  <si>
    <t>4Q 2019</t>
  </si>
  <si>
    <t>2H 2019</t>
  </si>
  <si>
    <t>FY-2026</t>
  </si>
  <si>
    <t>2026E</t>
  </si>
  <si>
    <t>Miscellanous</t>
  </si>
  <si>
    <t>Number of Employees</t>
  </si>
  <si>
    <t>FY 2026E</t>
  </si>
  <si>
    <t>Diff.</t>
  </si>
  <si>
    <t>Implied LT</t>
  </si>
  <si>
    <t>WACC</t>
  </si>
  <si>
    <t>Safran TP % change</t>
  </si>
  <si>
    <t>Moving our implied LT growth rate from 5.1% to 5.7% is equivalent to not changing WACC</t>
  </si>
  <si>
    <t xml:space="preserve">Safran TP % change if were </t>
  </si>
  <si>
    <t>to not change implied LT growth</t>
  </si>
  <si>
    <t>Safran TP % upside</t>
  </si>
  <si>
    <t xml:space="preserve">Safran TP % upside if were </t>
  </si>
  <si>
    <t>GOLDMAN SACHS</t>
  </si>
  <si>
    <t>GLOBAL INVESTMENT RESEARCH</t>
  </si>
  <si>
    <t>Multi-Industry</t>
  </si>
  <si>
    <t xml:space="preserve">Published as of </t>
  </si>
  <si>
    <t>Rating Suspended</t>
  </si>
  <si>
    <t xml:space="preserve">Team Contacts: </t>
  </si>
  <si>
    <t>Company estimates</t>
  </si>
  <si>
    <t>2027E</t>
  </si>
  <si>
    <t>2028E</t>
  </si>
  <si>
    <t>2029E</t>
  </si>
  <si>
    <t>2030E</t>
  </si>
  <si>
    <t>2031E</t>
  </si>
  <si>
    <t>2032E</t>
  </si>
  <si>
    <t>2033E</t>
  </si>
  <si>
    <t>2034E</t>
  </si>
  <si>
    <t>2035E</t>
  </si>
  <si>
    <t>1Q 2019</t>
  </si>
  <si>
    <t>2Q 2019</t>
  </si>
  <si>
    <t>3Q 2019</t>
  </si>
  <si>
    <t>2022 estimate</t>
  </si>
  <si>
    <t>Currency</t>
  </si>
  <si>
    <t>Blended rate (sales)</t>
  </si>
  <si>
    <t>Blended rate (EBIT)</t>
  </si>
  <si>
    <t>Orders</t>
  </si>
  <si>
    <t>Engine units</t>
  </si>
  <si>
    <t>Revenue Growth</t>
  </si>
  <si>
    <t>Underlying EBITA</t>
  </si>
  <si>
    <t>Underlying EBITA margin</t>
  </si>
  <si>
    <t>Aerospace Propulsion Division</t>
  </si>
  <si>
    <t>Total Division</t>
  </si>
  <si>
    <t>OE Segment</t>
  </si>
  <si>
    <t>Engine deliveries (units)</t>
  </si>
  <si>
    <t>Assumed discount</t>
  </si>
  <si>
    <t>Services Segment</t>
  </si>
  <si>
    <t>Civil</t>
  </si>
  <si>
    <t>split to remain 15/85 in the future</t>
  </si>
  <si>
    <t>H1-2022</t>
  </si>
  <si>
    <t>H1 2022E</t>
  </si>
  <si>
    <t>H2 2021</t>
  </si>
  <si>
    <t>H1 2021</t>
  </si>
  <si>
    <t>Gen 1</t>
  </si>
  <si>
    <t xml:space="preserve"> </t>
  </si>
  <si>
    <t>Gen 2</t>
  </si>
  <si>
    <t>Linked to our Shop Visit model</t>
  </si>
  <si>
    <t>Contract type</t>
  </si>
  <si>
    <t>% Rate per Flight Hour (RPFH)</t>
  </si>
  <si>
    <t>y/y growth</t>
  </si>
  <si>
    <t>Shops on CFM agreements</t>
  </si>
  <si>
    <t>Independent Shops</t>
  </si>
  <si>
    <t>Content breakdown</t>
  </si>
  <si>
    <t>Page 42 2011 CMD.</t>
  </si>
  <si>
    <t>% Time &amp; Materials (T&amp;M)</t>
  </si>
  <si>
    <t>RPFH</t>
  </si>
  <si>
    <t>Net</t>
  </si>
  <si>
    <t>Reported data by Safran</t>
  </si>
  <si>
    <t>USD/EUR rate</t>
  </si>
  <si>
    <t>FX impact</t>
  </si>
  <si>
    <t>Sales (EUR mn)</t>
  </si>
  <si>
    <t>Total LEAP Civil Aftermarket (USD)</t>
  </si>
  <si>
    <t>Market value of a Shop Visit (USD)</t>
  </si>
  <si>
    <t>Sales (USD)</t>
  </si>
  <si>
    <t>Sales (EUR)</t>
  </si>
  <si>
    <t>LEAP Civil AM sales attributable to Safran (EUR)</t>
  </si>
  <si>
    <t>Q1-2022</t>
  </si>
  <si>
    <t>Q1 2022E</t>
  </si>
  <si>
    <t>Q2-2022</t>
  </si>
  <si>
    <t>Q2 2022E</t>
  </si>
  <si>
    <t>Q3-2022</t>
  </si>
  <si>
    <t>Q3 2022E</t>
  </si>
  <si>
    <t>Q4-2022</t>
  </si>
  <si>
    <t>Q4 2022E</t>
  </si>
  <si>
    <t>Quarters</t>
  </si>
  <si>
    <t>Half-Years</t>
  </si>
  <si>
    <t>Historicals</t>
  </si>
  <si>
    <t>-</t>
  </si>
  <si>
    <t>Military &amp; Governmental</t>
  </si>
  <si>
    <t>Helicopter</t>
  </si>
  <si>
    <t>Helicopter (USD)</t>
  </si>
  <si>
    <t>Latest Cons.*</t>
  </si>
  <si>
    <t>Total Civil Aftermarket (EUR)</t>
  </si>
  <si>
    <t>Total Civil Aftermarket (USD)</t>
  </si>
  <si>
    <t>Total Military &amp; Governmental Services (EUR)</t>
  </si>
  <si>
    <t>Total (USD)</t>
  </si>
  <si>
    <t>Engine Sales attributable to Safran (USD)</t>
  </si>
  <si>
    <t>Segment Growth</t>
  </si>
  <si>
    <t>Segment Split</t>
  </si>
  <si>
    <t>Total EBITA Division</t>
  </si>
  <si>
    <t>Total Civil Aftermarket Sales (USD)</t>
  </si>
  <si>
    <t>Total Civil Aftermarket Sales (EUR)</t>
  </si>
  <si>
    <t>Assumed Contribution Margin</t>
  </si>
  <si>
    <t>Market Split</t>
  </si>
  <si>
    <t>Inflation</t>
  </si>
  <si>
    <t>Breakeven by 2025</t>
  </si>
  <si>
    <t>Cost of a Shop Visit (USD)</t>
  </si>
  <si>
    <t>blend inflation</t>
  </si>
  <si>
    <t>Genx 60% mkt share on 787 platform, as of April 2022</t>
  </si>
  <si>
    <t>GE Investor Day 2022 deck shows Widebody SVs growing steadily by 4.6% CAGR 2020-25. We add pricing and scope to this figure to get our assumed sales growth p.a.</t>
  </si>
  <si>
    <t>Assumptions</t>
  </si>
  <si>
    <t>y/y organic growth</t>
  </si>
  <si>
    <t>EBITA Bridge</t>
  </si>
  <si>
    <t>Total Aerospace Equipment</t>
  </si>
  <si>
    <t>Total Defence</t>
  </si>
  <si>
    <t>Total Aerosystems</t>
  </si>
  <si>
    <t>Aircraft Interiors Division</t>
  </si>
  <si>
    <t>Contribution Margin</t>
  </si>
  <si>
    <t>L5Y CAGR*</t>
  </si>
  <si>
    <t>N5Y CAGR*</t>
  </si>
  <si>
    <t>*L3Y for AEDAS and Interiors divisions. pp improvement for margins.</t>
  </si>
  <si>
    <t>*Bloomberg Consensus.</t>
  </si>
  <si>
    <t>Underlying EBITA growth</t>
  </si>
  <si>
    <t>Sales (Reported)</t>
  </si>
  <si>
    <t>y/y change</t>
  </si>
  <si>
    <t>cash impact from RPFH engines</t>
  </si>
  <si>
    <t>Other adjustments</t>
  </si>
  <si>
    <t>Other adjustments (cumulative capitalised R&amp;D)</t>
  </si>
  <si>
    <t>Underlying amortisation</t>
  </si>
  <si>
    <t>Underlying EBITDA</t>
  </si>
  <si>
    <t>Goldman Sachs defined clean EPS (p or €)</t>
  </si>
  <si>
    <t>Use of Cash</t>
  </si>
  <si>
    <t>as a % of sales (PP&amp;E and Intangibles)</t>
  </si>
  <si>
    <t>outer years modelling is divisional bottom-up</t>
  </si>
  <si>
    <t>Use of Cash Analysis</t>
  </si>
  <si>
    <t>historical goodwill/purchase price has been 50/50</t>
  </si>
  <si>
    <t>FCF line to check</t>
  </si>
  <si>
    <t>Breakdown of discretionary cash deployment</t>
  </si>
  <si>
    <t>1H 2011</t>
  </si>
  <si>
    <t>2H 2011</t>
  </si>
  <si>
    <t>1H 2019</t>
  </si>
  <si>
    <t>1Q 2011</t>
  </si>
  <si>
    <t>2Q 2011</t>
  </si>
  <si>
    <t>3Q 2011</t>
  </si>
  <si>
    <t>4Q 2011</t>
  </si>
  <si>
    <t>Forward rate</t>
  </si>
  <si>
    <t>2025 estimate</t>
  </si>
  <si>
    <t>Hedging</t>
  </si>
  <si>
    <t>Underlying Earnings Analysis</t>
  </si>
  <si>
    <t>Based on US team's forecast</t>
  </si>
  <si>
    <t>Page 51 2012 CMD. They get a small amount of revenue revenue.</t>
  </si>
  <si>
    <t>linked to aero FX file given different treatment versus cap goods</t>
  </si>
  <si>
    <t>Group organic</t>
  </si>
  <si>
    <t>Safran share in CFM JV</t>
  </si>
  <si>
    <t>CAGR 2021-25 c15% (cf - p55 CMD21 presentation)</t>
  </si>
  <si>
    <t>p93 of CMD21 presentation gives indication which IR confirmed to be sensible: LEAP to account for c.15% of Civil AM sales by 2025</t>
  </si>
  <si>
    <t>Civil AM Sales Split by Engine</t>
  </si>
  <si>
    <t>p60 CMD 2021 presentation: no margin recognition of RPFH contract over 2021-25. Revenues = Cost until 2026. We recognise revenue gradually from 2026 per company indication.</t>
  </si>
  <si>
    <t>CMD'21: "typically on the spare parts. We have an escalation policy, which leads to increased pricing by 6%, 7% per year, every year on the 1st of December. And that is why usually the November months is a huge month in terms of aftermarket because airlines are coming to the shops before they will suffer from the price increase." We assume a discount versus indication (industry norm).</t>
  </si>
  <si>
    <t>New GSe</t>
  </si>
  <si>
    <t>Old GSe</t>
  </si>
  <si>
    <t>VA Consensus</t>
  </si>
  <si>
    <t>EBIT Margins</t>
  </si>
  <si>
    <t>FY-2021</t>
  </si>
  <si>
    <t>FY-2020</t>
  </si>
  <si>
    <t>FY-2019</t>
  </si>
  <si>
    <t>FY-2018</t>
  </si>
  <si>
    <t>Choose division &amp; VA code &gt;&gt;</t>
  </si>
  <si>
    <t>CMD'21 p63: "Increasing advance payments from Rafale programs over 2021 23, decreasing elsewhere."</t>
  </si>
  <si>
    <t>pre-crisis was typically &gt;4% of sales - CMD'21: "Selective resumption of tangible Capex spending (from 3.0% to c. 3.5% of sales)"</t>
  </si>
  <si>
    <t>CMD'21 p 65: "Targeted R&amp;D impact on P&amp;L: c. 4.5% of sales on average (2021- 25)</t>
  </si>
  <si>
    <t>Civil AM growth (y/y, USD)</t>
  </si>
  <si>
    <t>From usual FX hedging slides</t>
  </si>
  <si>
    <t>2018 is our $ point of reference</t>
  </si>
  <si>
    <t>CFM56 bottom-up model</t>
  </si>
  <si>
    <t>LEAP bottom-up model</t>
  </si>
  <si>
    <t>y/y growth - from bottom-up model</t>
  </si>
  <si>
    <t>WIP Safran TP % change</t>
  </si>
  <si>
    <t>24m fwd ROIC</t>
  </si>
  <si>
    <t>removing RPFH revenue from the incremental EBITA - RPFH revenue is booked at cost until 2025</t>
  </si>
  <si>
    <t>EBIT to FCF (company defined) conversion</t>
  </si>
  <si>
    <t>R</t>
  </si>
  <si>
    <t>Civil AM y/y sales growth (%, USD)</t>
  </si>
  <si>
    <t>c.2,000 LEAP deliveries in 2023 ; +25-30% in Civil AM in 2022</t>
  </si>
  <si>
    <t>2.4bn in 2022</t>
  </si>
  <si>
    <t>Implications on EPS of a buyback</t>
  </si>
  <si>
    <t>Buyback cash amount</t>
  </si>
  <si>
    <t>Year-end share count</t>
  </si>
  <si>
    <t>Buyback Funded by excess cash</t>
  </si>
  <si>
    <t>Interest rate on excess cash</t>
  </si>
  <si>
    <t>Buyback Funded by excess debt</t>
  </si>
  <si>
    <t>Interest rate on excess debt</t>
  </si>
  <si>
    <t>Buyback possibility (number of shares, millions)</t>
  </si>
  <si>
    <t>Share Price</t>
  </si>
  <si>
    <t>Post-tax interest lost on excess cash for buyback</t>
  </si>
  <si>
    <t>Post-tax interest paid on excess debt for buyback</t>
  </si>
  <si>
    <t>Mid-point of FX corridor</t>
  </si>
  <si>
    <t>Safran EPS % change</t>
  </si>
  <si>
    <t>Quarter</t>
  </si>
  <si>
    <t xml:space="preserve">Implied Guidance </t>
  </si>
  <si>
    <t>Half-year</t>
  </si>
  <si>
    <t>Full-year</t>
  </si>
  <si>
    <t xml:space="preserve">Guidance </t>
  </si>
  <si>
    <t>Civil aftermarket y/y growth (%, $)</t>
  </si>
  <si>
    <t>FY 2023</t>
  </si>
  <si>
    <t>FY 2024</t>
  </si>
  <si>
    <t>Based on our Airbus &amp; Boeing delivery forecasts</t>
  </si>
  <si>
    <t>FY23</t>
  </si>
  <si>
    <t>Supporting Analyst</t>
  </si>
  <si>
    <t>Page 51 2012 CMD. They get Spares &amp; Labour revenue from this segment. FY22 mgt roadshow - CEO says MRO mkt share is 10% Safran, 30% GE</t>
  </si>
  <si>
    <t>Implied P/E</t>
  </si>
  <si>
    <t>H1 2022</t>
  </si>
  <si>
    <t>H2 2022</t>
  </si>
  <si>
    <t>2Q23</t>
  </si>
  <si>
    <t>2H23</t>
  </si>
  <si>
    <t>Historical / GSe PT</t>
  </si>
  <si>
    <t xml:space="preserve">GS PT in the outer years </t>
  </si>
  <si>
    <t>1yr fwd price return</t>
  </si>
  <si>
    <t>1yr fwd total return</t>
  </si>
  <si>
    <t>1yr fwd Dividend</t>
  </si>
  <si>
    <t>2yr fwd Price return</t>
  </si>
  <si>
    <t>1yr fwd Buyback</t>
  </si>
  <si>
    <t>GS modelled returns</t>
  </si>
  <si>
    <t>COE</t>
  </si>
  <si>
    <t>Rf</t>
  </si>
  <si>
    <t>ERP</t>
  </si>
  <si>
    <t>SAF Beta</t>
  </si>
  <si>
    <t>Returns vs WACC</t>
  </si>
  <si>
    <t>Returns vs CoE</t>
  </si>
  <si>
    <t>GSe</t>
  </si>
  <si>
    <t>Actual vs. Est.</t>
  </si>
  <si>
    <t>Cons.</t>
  </si>
  <si>
    <t>Dividend per share</t>
  </si>
  <si>
    <t>FY-2027</t>
  </si>
  <si>
    <t>FY 2027E</t>
  </si>
  <si>
    <t>=OpMod!AB517/(OpMod!AB516*(OpMod!AB217/1000))</t>
  </si>
  <si>
    <t>3Q23</t>
  </si>
  <si>
    <t>3Q22</t>
  </si>
  <si>
    <t>4Q23E</t>
  </si>
  <si>
    <t>FY23E</t>
  </si>
  <si>
    <t>GSe vs.</t>
  </si>
  <si>
    <t>Cons. (%)</t>
  </si>
  <si>
    <t>GSe y/y</t>
  </si>
  <si>
    <t>Cons. y/y</t>
  </si>
  <si>
    <t>% chg y/y</t>
  </si>
  <si>
    <t>1Q22</t>
  </si>
  <si>
    <t>2Q22</t>
  </si>
  <si>
    <t>1Q23</t>
  </si>
  <si>
    <t>4Q22</t>
  </si>
  <si>
    <t>4Q23</t>
  </si>
  <si>
    <t>y/y</t>
  </si>
  <si>
    <t>Weight</t>
  </si>
  <si>
    <t>Company</t>
  </si>
  <si>
    <t>spares mix</t>
  </si>
  <si>
    <t>typical avg is 7-8%</t>
  </si>
  <si>
    <t>Contract mix at SV</t>
  </si>
  <si>
    <t>CMD'21 indication which we updated across meetings with management (latest GS 2023 conference)</t>
  </si>
  <si>
    <r>
      <t xml:space="preserve">Market value of a </t>
    </r>
    <r>
      <rPr>
        <b/>
        <sz val="8"/>
        <rFont val="Arial"/>
        <family val="2"/>
      </rPr>
      <t>T&amp;M</t>
    </r>
    <r>
      <rPr>
        <sz val="8"/>
        <rFont val="Arial"/>
        <family val="2"/>
      </rPr>
      <t xml:space="preserve"> Shop Visit (USD)</t>
    </r>
  </si>
  <si>
    <t>Assumed margin %</t>
  </si>
  <si>
    <t>3.5% inflation (same as our RPFH revenues)</t>
  </si>
  <si>
    <t>SAF IR: "no reason why LEAP T&amp;M economics would be different than on 56"</t>
  </si>
  <si>
    <t>CFM56 AM y/y sales growth (%, USD)</t>
  </si>
  <si>
    <t>Actual vs</t>
  </si>
  <si>
    <t>GSe (%)</t>
  </si>
  <si>
    <t>GSe vs</t>
  </si>
  <si>
    <t xml:space="preserve">Unhide for more interims &gt;&gt; </t>
  </si>
  <si>
    <t>Company cons</t>
  </si>
  <si>
    <t>FY24E</t>
  </si>
  <si>
    <t>9M23</t>
  </si>
  <si>
    <t>Cons. 4Q23E</t>
  </si>
  <si>
    <t>Implied Comp.</t>
  </si>
  <si>
    <t>Cons. FY23E</t>
  </si>
  <si>
    <t>Cons. FY24E</t>
  </si>
  <si>
    <t>VA Cons.</t>
  </si>
  <si>
    <t>Focus on 2024</t>
  </si>
  <si>
    <t>LEAP engine deliveries*</t>
  </si>
  <si>
    <t>*Visible Alpha Consensus Data</t>
  </si>
  <si>
    <t>Hide before pub</t>
  </si>
  <si>
    <r>
      <t>*</t>
    </r>
    <r>
      <rPr>
        <i/>
        <sz val="8"/>
        <rFont val="Arial"/>
        <family val="2"/>
      </rPr>
      <t>Visible Alpha Consensus Data</t>
    </r>
  </si>
  <si>
    <t>y/y %</t>
  </si>
  <si>
    <t>q/q %</t>
  </si>
  <si>
    <t>~€3.0bn</t>
  </si>
  <si>
    <t>Cons.*</t>
  </si>
  <si>
    <t>Cons.* (%)</t>
  </si>
  <si>
    <t>FY-2028</t>
  </si>
  <si>
    <t>FY 2028E</t>
  </si>
  <si>
    <t>We include LEAP RPFH deferred income in contract liabilities</t>
  </si>
  <si>
    <t>2023A</t>
  </si>
  <si>
    <t>LEAP engine deliveries</t>
  </si>
  <si>
    <t>Deliveries - LEAP engines</t>
  </si>
  <si>
    <t>Conversion from EBIT</t>
  </si>
  <si>
    <t>1H24E</t>
  </si>
  <si>
    <t>H1-2024</t>
  </si>
  <si>
    <t>H1 2024E</t>
  </si>
  <si>
    <t>DPS*</t>
  </si>
  <si>
    <t>Civil aftermarket y/y growth (%, $)*</t>
  </si>
  <si>
    <t>Civil aftermarket (vs. 2019)*</t>
  </si>
  <si>
    <t>Q2-2024</t>
  </si>
  <si>
    <t>2Q24E</t>
  </si>
  <si>
    <t>New Company Cons.</t>
  </si>
  <si>
    <t>GSe vs Cons.</t>
  </si>
  <si>
    <t>Old Company Cons.</t>
  </si>
  <si>
    <t>New vs Old Cons.</t>
  </si>
  <si>
    <t>2H24</t>
  </si>
  <si>
    <t>Implied</t>
  </si>
  <si>
    <t>2H23 civil AM sales &gt;&gt;</t>
  </si>
  <si>
    <t>Focus on 2H24</t>
  </si>
  <si>
    <t>2H24E</t>
  </si>
  <si>
    <t>2H24 implied &gt;&gt;</t>
  </si>
  <si>
    <t>Mid Twenties</t>
  </si>
  <si>
    <t>1H24A</t>
  </si>
  <si>
    <t>Adj. EBIT</t>
  </si>
  <si>
    <t>Adj. EBIT margin</t>
  </si>
  <si>
    <t>3Q24E</t>
  </si>
  <si>
    <t>Q3-2024</t>
  </si>
  <si>
    <t>div</t>
  </si>
  <si>
    <t>bb</t>
  </si>
  <si>
    <t>TSR</t>
  </si>
  <si>
    <t>Impl. Guid.</t>
  </si>
  <si>
    <t>vs Cons.</t>
  </si>
  <si>
    <t>vs GSe</t>
  </si>
  <si>
    <t>3Q24A</t>
  </si>
  <si>
    <t>(21/10/2024)</t>
  </si>
  <si>
    <t>Pre-3Q24</t>
  </si>
  <si>
    <t>Old Guidance</t>
  </si>
  <si>
    <t>New Guidance</t>
  </si>
  <si>
    <t>~€27.1bn</t>
  </si>
  <si>
    <t>~€4.1bn</t>
  </si>
  <si>
    <t>Implied ~15.1%</t>
  </si>
  <si>
    <t>Down ~10%</t>
  </si>
  <si>
    <t>A320 NEO market share</t>
  </si>
  <si>
    <t>CMD'24 Targets</t>
  </si>
  <si>
    <t>2024-2028</t>
  </si>
  <si>
    <t>CAGR 2024-28</t>
  </si>
  <si>
    <t>LEAP engine deliveries (units)</t>
  </si>
  <si>
    <t>Cumul. 2024-28 (in bn)</t>
  </si>
  <si>
    <t>EPS (€)</t>
  </si>
  <si>
    <t>DPS (€)</t>
  </si>
  <si>
    <t>EPS Basic</t>
  </si>
  <si>
    <t>Implied ~73%</t>
  </si>
  <si>
    <t>CAGR 24-28</t>
  </si>
  <si>
    <t>Civil AM sales (USD)</t>
  </si>
  <si>
    <t>2028 Guid.</t>
  </si>
  <si>
    <t>vs Cons</t>
  </si>
  <si>
    <t>Cum. Guid.</t>
  </si>
  <si>
    <t>24-28</t>
  </si>
  <si>
    <t>Cum. Guid</t>
  </si>
  <si>
    <t>Final = ((1+CAGR)^n) * Initial</t>
  </si>
  <si>
    <t>HSD % CAGR</t>
  </si>
  <si>
    <t>Guidance confirmed</t>
  </si>
  <si>
    <t>€6.0bn - €6.5bn in 2028</t>
  </si>
  <si>
    <t>Mid-teens % in 2028</t>
  </si>
  <si>
    <t>~10% in 2028</t>
  </si>
  <si>
    <t>Cumulated €15bn - €17bn over '24-'28</t>
  </si>
  <si>
    <t>Low twenties % each year ('24-'28)</t>
  </si>
  <si>
    <t>FY 2025</t>
  </si>
  <si>
    <r>
      <t xml:space="preserve">Up ~10% </t>
    </r>
    <r>
      <rPr>
        <i/>
        <sz val="9"/>
        <rFont val="Arial"/>
        <family val="2"/>
      </rPr>
      <t>(implied ~€29.8bn)</t>
    </r>
  </si>
  <si>
    <t>€4.7bn - €4.8bn</t>
  </si>
  <si>
    <t>* €(320)mn - €(340)mn estimated impact from French corporate surtax</t>
  </si>
  <si>
    <t>Mid twenties</t>
  </si>
  <si>
    <t>Spares: Mid to High SD
Services: Mid teens</t>
  </si>
  <si>
    <t>65-70% over '24-'28</t>
  </si>
  <si>
    <r>
      <t xml:space="preserve">Down ~10% 
</t>
    </r>
    <r>
      <rPr>
        <i/>
        <sz val="9"/>
        <rFont val="Arial"/>
        <family val="2"/>
      </rPr>
      <t>(implied ~1,413 units)</t>
    </r>
  </si>
  <si>
    <r>
      <t xml:space="preserve">Up ~15-20% 
</t>
    </r>
    <r>
      <rPr>
        <i/>
        <sz val="9"/>
        <rFont val="Arial"/>
        <family val="2"/>
      </rPr>
      <t>(implied ~1,660 units)</t>
    </r>
  </si>
  <si>
    <t>€2.8bn - €3.0bn *</t>
  </si>
  <si>
    <t>Implied ~61%</t>
  </si>
  <si>
    <t>ow Services</t>
  </si>
  <si>
    <t>CMD'24 p77: c.4% tangible capex with a peak @5% in 2025</t>
  </si>
  <si>
    <t>pretty flat over CMD plan</t>
  </si>
  <si>
    <t>Spare parts</t>
  </si>
  <si>
    <t>ow Spare parts</t>
  </si>
  <si>
    <t>GE Shops (CFM)</t>
  </si>
  <si>
    <t>Safran Shops (CFM)</t>
  </si>
  <si>
    <t>Spare parts: Safran Value Capture</t>
  </si>
  <si>
    <t>Services: Safran Value Capture</t>
  </si>
  <si>
    <t>Total Safran CFM56 Civil Aftermarket (USD)</t>
  </si>
  <si>
    <t>IR post CMD'24: Services include all elements billable under RPFH contracts + internal T&amp;M</t>
  </si>
  <si>
    <t>Total Safran CFM56 Civil Aftermarket (EUR)</t>
  </si>
  <si>
    <t>Heavy Shop visits</t>
  </si>
  <si>
    <t>Quick-turns Shop visits</t>
  </si>
  <si>
    <t>LEAP heavy SV economics</t>
  </si>
  <si>
    <t>LEAP quick-turns SV economics</t>
  </si>
  <si>
    <t>LEAP Shop Visits assumptions</t>
  </si>
  <si>
    <t>LEAP MRO market assumptions</t>
  </si>
  <si>
    <t>Total Shop visits</t>
  </si>
  <si>
    <t>GSe assumption of gradual recognition of P&amp;L. 1/5 year 1, 1/4 year 2, etc</t>
  </si>
  <si>
    <t>Civil: High-thrust (GE90, GEnx, etc)</t>
  </si>
  <si>
    <t>High-thrust Civil AM sales attributable to Safran (USD)</t>
  </si>
  <si>
    <t>High-thrust Civil AM sales attributable to Safran (EUR)</t>
  </si>
  <si>
    <t xml:space="preserve">Deferred income </t>
  </si>
  <si>
    <t>ow RPFH</t>
  </si>
  <si>
    <t>ow RTDI</t>
  </si>
  <si>
    <t>Revisiting our aftermarket build and economics post CMD'24.</t>
  </si>
  <si>
    <t>Delaying French's potential surtax implementation by a year + higher Capex estimates (CMD'24) impact 2025-27 estimates.</t>
  </si>
  <si>
    <t>Spares y/y sales growth (%, USD)</t>
  </si>
  <si>
    <t>Services y/y sales growth (%, USD)</t>
  </si>
  <si>
    <t>We take a more conservative stance on CFM56 ASPs for 2027-28 reflecting more conservative assumptions on retirements (USM, etc.), impacting Spares growth the most.</t>
  </si>
  <si>
    <t>~40%</t>
  </si>
  <si>
    <t>Mid teens</t>
  </si>
  <si>
    <t>y/y growth - Spares index</t>
  </si>
  <si>
    <t>y/y growth - Services index</t>
  </si>
  <si>
    <t>FY25E</t>
  </si>
  <si>
    <t>CMD'24 Guidance</t>
  </si>
  <si>
    <r>
      <t>Up ~10%</t>
    </r>
    <r>
      <rPr>
        <sz val="9"/>
        <color theme="2" tint="-0.249977111117893"/>
        <rFont val="Arial"/>
        <family val="2"/>
      </rPr>
      <t xml:space="preserve"> (implied ~€29.8bn)</t>
    </r>
  </si>
  <si>
    <t>€2.8bn - €3.0bn</t>
  </si>
  <si>
    <t>Pre-4Q24</t>
  </si>
  <si>
    <t>(06/02/2025)</t>
  </si>
  <si>
    <t>Mid twenties %</t>
  </si>
  <si>
    <t>Up ~ 10%</t>
  </si>
  <si>
    <t>€4.8bn - €4.9bn</t>
  </si>
  <si>
    <t xml:space="preserve">* €(380)mn - €(400)mn estimated impact from French corporate surtax </t>
  </si>
  <si>
    <t>€3.0bn - €3.2bn *</t>
  </si>
  <si>
    <t>Up ~15-20%</t>
  </si>
  <si>
    <t>4Q</t>
  </si>
  <si>
    <t>Net Income (Reported)</t>
  </si>
  <si>
    <t>H1-2025</t>
  </si>
  <si>
    <t>H1 2025E</t>
  </si>
  <si>
    <t>Spares: up low-teens
Services: Mid teens</t>
  </si>
  <si>
    <t>2Q</t>
  </si>
  <si>
    <t>€3.0bn - €3.2bn</t>
  </si>
  <si>
    <t>Up 15% to 20% compared to 2024</t>
  </si>
  <si>
    <t>Up 10%</t>
  </si>
  <si>
    <t>FY-2029</t>
  </si>
  <si>
    <t>EBITA</t>
  </si>
  <si>
    <t>VA FY25E</t>
  </si>
  <si>
    <t>GSFY25E</t>
  </si>
  <si>
    <t>VA FY26E</t>
  </si>
  <si>
    <t>GSFY26E</t>
  </si>
  <si>
    <t>VA FY27E</t>
  </si>
  <si>
    <t>GSFY27E</t>
  </si>
  <si>
    <t>VA FY28E</t>
  </si>
  <si>
    <t>GSFY28E</t>
  </si>
  <si>
    <t>VA FY29E</t>
  </si>
  <si>
    <t>GSFY29E</t>
  </si>
  <si>
    <t>VA FY30E</t>
  </si>
  <si>
    <t>GSFY30E</t>
  </si>
  <si>
    <t>EV/EBIT</t>
  </si>
  <si>
    <t>Divisional Summary</t>
  </si>
  <si>
    <t>Cash provided by operating activities</t>
  </si>
  <si>
    <t>add back:</t>
  </si>
  <si>
    <t>Deduct:</t>
  </si>
  <si>
    <t>Purchase of PP&amp;E</t>
  </si>
  <si>
    <t>Purchase of intangible assets</t>
  </si>
  <si>
    <t>Operating cash flow</t>
  </si>
  <si>
    <t>Unlevered op cash flow, post tax, post capex</t>
  </si>
  <si>
    <t xml:space="preserve">€mn </t>
  </si>
  <si>
    <t xml:space="preserve">5yr. CAGR </t>
  </si>
  <si>
    <t xml:space="preserve">Sales growth </t>
  </si>
  <si>
    <t>Cash Conversion</t>
  </si>
  <si>
    <t>Pension underfunding</t>
  </si>
  <si>
    <t>Tax rate (adjusted)</t>
  </si>
  <si>
    <t>No. of shares</t>
  </si>
  <si>
    <t>Valuation date</t>
  </si>
  <si>
    <t>Explicit growth (EBIT)</t>
  </si>
  <si>
    <t>Mid-term growth</t>
  </si>
  <si>
    <t>Long term growth</t>
  </si>
  <si>
    <t>Discount rate</t>
  </si>
  <si>
    <t>Calendar year</t>
  </si>
  <si>
    <t>Terminal value</t>
  </si>
  <si>
    <t>Cumulative growth</t>
  </si>
  <si>
    <t>Annual growth</t>
  </si>
  <si>
    <t>Discounted value</t>
  </si>
  <si>
    <t>PV</t>
  </si>
  <si>
    <t>Year</t>
  </si>
  <si>
    <t>Target EV/EBIT</t>
  </si>
  <si>
    <t>Target EV</t>
  </si>
  <si>
    <t>Pension tax shield</t>
  </si>
  <si>
    <t>Target Market Cap</t>
  </si>
  <si>
    <t xml:space="preserve">Current Share Price </t>
  </si>
  <si>
    <t>Source</t>
  </si>
  <si>
    <t>Q1</t>
  </si>
  <si>
    <t>Q2</t>
  </si>
  <si>
    <t>H1</t>
  </si>
  <si>
    <t>Q3</t>
  </si>
  <si>
    <t>9M</t>
  </si>
  <si>
    <t>Q4</t>
  </si>
  <si>
    <t>H2</t>
  </si>
  <si>
    <t>FY</t>
  </si>
  <si>
    <t>Interim Presentations/Financial Statements</t>
  </si>
  <si>
    <t>Needs to be updated pre 2q numbers</t>
  </si>
  <si>
    <t xml:space="preserve">Revenue Growth </t>
  </si>
  <si>
    <t>Tax paid/(Tax refund)</t>
  </si>
  <si>
    <t xml:space="preserve">Adjusted Revenues </t>
  </si>
  <si>
    <t xml:space="preserve">Adjustments </t>
  </si>
  <si>
    <t>Remeasurement of revenue</t>
  </si>
  <si>
    <t>Deferred hedging gain/loss</t>
  </si>
  <si>
    <t>Amortization of intangible assets from meger</t>
  </si>
  <si>
    <t>PPA Impacts/Other Business combinations</t>
  </si>
  <si>
    <t xml:space="preserve">Adj. Net Income </t>
  </si>
  <si>
    <t>Adj. PBT</t>
  </si>
  <si>
    <t>Adj. Financial expense</t>
  </si>
  <si>
    <t>Adj. tax rate</t>
  </si>
  <si>
    <t>Tax benefit (expense)</t>
  </si>
  <si>
    <t>Adj. Tax benefit (expense)</t>
  </si>
  <si>
    <t>Adj. EBIT Margin</t>
  </si>
  <si>
    <t>Adj. Continuing EPS - Basic</t>
  </si>
  <si>
    <t>Adj. Continuing EPS - Diluted</t>
  </si>
  <si>
    <t>Adj. Reported EPS - Basic</t>
  </si>
  <si>
    <t xml:space="preserve">Adj. Reported EPS - Diluted </t>
  </si>
  <si>
    <t>Adj. EBIT growth</t>
  </si>
  <si>
    <t>Equipment &amp; Defense</t>
  </si>
  <si>
    <t>Net Cash (Debt)</t>
  </si>
  <si>
    <t>DSO</t>
  </si>
  <si>
    <t>DIO</t>
  </si>
  <si>
    <t>DPO</t>
  </si>
  <si>
    <t>Breakup by Segments</t>
  </si>
  <si>
    <t>Growth Rate</t>
  </si>
  <si>
    <t>FY 2029E</t>
  </si>
  <si>
    <t>Net Interest expense</t>
  </si>
  <si>
    <t>Bottom Up Analysis</t>
  </si>
  <si>
    <t xml:space="preserve">Landing Gear </t>
  </si>
  <si>
    <t>AM</t>
  </si>
  <si>
    <t xml:space="preserve">Wheels &amp; Brakes </t>
  </si>
  <si>
    <t>0% OE</t>
  </si>
  <si>
    <t>99% AM</t>
  </si>
  <si>
    <t xml:space="preserve">Total Landing equipment </t>
  </si>
  <si>
    <t>Total Nacelles</t>
  </si>
  <si>
    <t>EWIS (75%)</t>
  </si>
  <si>
    <t>Power generation (25%)</t>
  </si>
  <si>
    <t>Electrical Systems</t>
  </si>
  <si>
    <t>Traffic Growth Rate</t>
  </si>
  <si>
    <t>Total Services Growth</t>
  </si>
  <si>
    <t>Assume OE growth</t>
  </si>
  <si>
    <t>End-market breakdown</t>
  </si>
  <si>
    <t>Landing &amp; Aircraft Systems</t>
  </si>
  <si>
    <t>Engine Systems and Equipment</t>
  </si>
  <si>
    <t>Electrical Systems and Engineering</t>
  </si>
  <si>
    <t>Avg USD/EUR rate</t>
  </si>
  <si>
    <t>FX tailwind/headwind</t>
  </si>
  <si>
    <t>RPFH cash advances</t>
  </si>
  <si>
    <t>Spares mix</t>
  </si>
  <si>
    <t>Spares margin</t>
  </si>
  <si>
    <t>Spares sales (USD)</t>
  </si>
  <si>
    <t>Spares profit (USD)</t>
  </si>
  <si>
    <t>LEAP EBITA</t>
  </si>
  <si>
    <t>Assumed margin</t>
  </si>
  <si>
    <t>Profit margin</t>
  </si>
  <si>
    <t>Helicopter AM (USD)</t>
  </si>
  <si>
    <t>EBIT (EUR)</t>
  </si>
  <si>
    <t>LEAP spares profit attributable to Safran (EUR)</t>
  </si>
  <si>
    <t>LEAP spares sales attributable to Safran (EUR)</t>
  </si>
  <si>
    <t>LEAP analysis</t>
  </si>
  <si>
    <t>LEAP OE sales attributable to Safran (USD)</t>
  </si>
  <si>
    <t>LEAP OE profit attributable to Safran (EUR)</t>
  </si>
  <si>
    <t>LEAP OE profit attributable to Safran (USD)</t>
  </si>
  <si>
    <t>LEAP OE sales attributable to Safran (EUR)</t>
  </si>
  <si>
    <t/>
  </si>
  <si>
    <t>Op Margin</t>
  </si>
  <si>
    <t>Equipment &amp; Defense Division</t>
  </si>
  <si>
    <t>Price escalation</t>
  </si>
  <si>
    <t>CAGR</t>
  </si>
  <si>
    <t xml:space="preserve">ROIC Analysis </t>
  </si>
  <si>
    <t>Underlying Tax</t>
  </si>
  <si>
    <t>NOPAT</t>
  </si>
  <si>
    <t xml:space="preserve">Other current assets </t>
  </si>
  <si>
    <t>ROIC (%)</t>
  </si>
  <si>
    <t>LEAP shop visits</t>
  </si>
  <si>
    <t>CFM 56 shop visits</t>
  </si>
  <si>
    <t>LEAP rev/shop visit at full workscope</t>
  </si>
  <si>
    <t>CFM56 rev/shop visit at full workscope</t>
  </si>
  <si>
    <t>Inflation/pricing</t>
  </si>
  <si>
    <t>LEAP workscope</t>
  </si>
  <si>
    <t>CFM56 workscope</t>
  </si>
  <si>
    <t>Revenue growth</t>
  </si>
  <si>
    <t>LEAP revenue m</t>
  </si>
  <si>
    <t>CFM56 revenue m</t>
  </si>
  <si>
    <t>Safran share</t>
  </si>
  <si>
    <t>24-28 revenue CAGR</t>
  </si>
  <si>
    <t>Sensitivities</t>
  </si>
  <si>
    <t>Leap workscope 2030</t>
  </si>
  <si>
    <t>Current share price/Average Share Price</t>
  </si>
  <si>
    <t>EBITA Margin</t>
  </si>
  <si>
    <t>Recurring operating Income (EBITA)</t>
  </si>
  <si>
    <t>Adj. Recurring operating income (Adj EBITA)</t>
  </si>
  <si>
    <t xml:space="preserve">Adj. EBITA Margin </t>
  </si>
  <si>
    <t xml:space="preserve">Net Income attributable to owners of the parent </t>
  </si>
  <si>
    <t>Adj. Net Income attributable to owners of the parent</t>
  </si>
  <si>
    <t>Up low teens</t>
  </si>
  <si>
    <t>€5bn - €5.1bn</t>
  </si>
  <si>
    <t>€3.4bn - €3.6bn *</t>
  </si>
  <si>
    <t>Spares: up mid to high teens
Services: up mid to high teens</t>
  </si>
  <si>
    <t>Company guide to 15-17bn cumulative FCF; 3.4-3.6bn FY25</t>
  </si>
  <si>
    <t>Mid-to-high teens</t>
  </si>
  <si>
    <t>15-20% FY25</t>
  </si>
  <si>
    <t>Reported EBIT</t>
  </si>
  <si>
    <t>Upside/(Downside)</t>
  </si>
  <si>
    <t>5Yr EBIT
CAGR</t>
  </si>
  <si>
    <t>Explicit PROF Grow</t>
  </si>
  <si>
    <t>Cash Conversion Ratio</t>
  </si>
  <si>
    <t>CC</t>
  </si>
  <si>
    <t>Period End (Net Debt)/Net Cash</t>
  </si>
  <si>
    <t>Period Average (Net Debt)/Net Cash</t>
  </si>
  <si>
    <t>GS Defined Op Cash Flow</t>
  </si>
  <si>
    <t xml:space="preserve">Reported Revenues </t>
  </si>
  <si>
    <t>Total Adjustments</t>
  </si>
  <si>
    <t>Adj. EBITA</t>
  </si>
  <si>
    <t>Adj. Revenues</t>
  </si>
  <si>
    <t>Net financing expense</t>
  </si>
  <si>
    <t>Adj. net financing expense</t>
  </si>
  <si>
    <t>Tax benefit/(expense)</t>
  </si>
  <si>
    <t>Adj. Tax benefit/(expense)</t>
  </si>
  <si>
    <t>Adj. Net Income</t>
  </si>
  <si>
    <t xml:space="preserve">Adj. Net Income attributable to owners of the parent </t>
  </si>
  <si>
    <t>5-51.bn FY25 new guidance</t>
  </si>
  <si>
    <t xml:space="preserve">Below on Revenues for all years </t>
  </si>
  <si>
    <t>Below cons on all years</t>
  </si>
  <si>
    <t xml:space="preserve">EBITDA Analysis </t>
  </si>
  <si>
    <t xml:space="preserve">Depreciation </t>
  </si>
  <si>
    <t xml:space="preserve">Ammortisation </t>
  </si>
  <si>
    <t>Adj. EBITDA</t>
  </si>
  <si>
    <t>Adj. EBITDA Margin (%)</t>
  </si>
  <si>
    <t>Below Cons on FCF on all years</t>
  </si>
  <si>
    <t xml:space="preserve">Y/E Net Debt/Adj. EBITDA </t>
  </si>
  <si>
    <t>Average Net Debt/Adj. EBITDA</t>
  </si>
  <si>
    <t>Provision</t>
  </si>
  <si>
    <t>Of which provisions</t>
  </si>
  <si>
    <t>Safran Share</t>
  </si>
  <si>
    <t>24-28 revs CAGR</t>
  </si>
  <si>
    <t>Price inflation</t>
  </si>
  <si>
    <t>LEAP aggregate workscope</t>
  </si>
  <si>
    <t>CFM56 aggregate workscope</t>
  </si>
  <si>
    <t>LEAP full workscope SV est. ($m)</t>
  </si>
  <si>
    <t>CFM56 full workscope SV est. ($m)</t>
  </si>
  <si>
    <t>NB spares revs ($m)</t>
  </si>
  <si>
    <t>LEAP revs</t>
  </si>
  <si>
    <t>CFM56 revs</t>
  </si>
  <si>
    <t>Leap AM revs</t>
  </si>
  <si>
    <t>CFM 56 AM rebs</t>
  </si>
  <si>
    <t>Total SAF AM revs</t>
  </si>
  <si>
    <t>FY-2030</t>
  </si>
  <si>
    <t>FY 2030E</t>
  </si>
  <si>
    <t>Interest Paid</t>
  </si>
  <si>
    <t>Less: Interest income</t>
  </si>
  <si>
    <t>Pension Calculation</t>
  </si>
  <si>
    <t>Plan Assets</t>
  </si>
  <si>
    <t>Provision recognised</t>
  </si>
  <si>
    <t>Net Pension benefit /(expense)</t>
  </si>
  <si>
    <t>Current assets (excluding Cash &amp; Equivalents)</t>
  </si>
  <si>
    <t>Current Liabilities (excluding Financial Liabilities)</t>
  </si>
  <si>
    <t>Tax Rate</t>
  </si>
  <si>
    <t>Change in working capital</t>
  </si>
  <si>
    <t>Capex &amp; Intangibles</t>
  </si>
  <si>
    <t>Discount Factor</t>
  </si>
  <si>
    <t>Discounted FCF</t>
  </si>
  <si>
    <t>DCF Valuation</t>
  </si>
  <si>
    <t>Risk free rate</t>
  </si>
  <si>
    <t>%</t>
  </si>
  <si>
    <t>Equity Risk premium</t>
  </si>
  <si>
    <t>Cost of equity</t>
  </si>
  <si>
    <t>Cost of debt</t>
  </si>
  <si>
    <t>Tax</t>
  </si>
  <si>
    <t>Post tax cost of debt</t>
  </si>
  <si>
    <t>MV Equity / (MV Equity + Net Debt)</t>
  </si>
  <si>
    <t>Net Debt / (MV Equity + Net Debt)</t>
  </si>
  <si>
    <t>Terminal growth rate</t>
  </si>
  <si>
    <t xml:space="preserve">Sum of discounted cash flows </t>
  </si>
  <si>
    <t>EUR (mn)</t>
  </si>
  <si>
    <t>Undiscounted value of TV</t>
  </si>
  <si>
    <t>Discounted value of TV</t>
  </si>
  <si>
    <t>Enterprise value</t>
  </si>
  <si>
    <t>Equity value</t>
  </si>
  <si>
    <t>million</t>
  </si>
  <si>
    <t>Equity value per share</t>
  </si>
  <si>
    <t>Change in Working Capital</t>
  </si>
  <si>
    <t>Sustainable FCF</t>
  </si>
  <si>
    <t xml:space="preserve">EUR </t>
  </si>
  <si>
    <t>yoy change</t>
  </si>
  <si>
    <t>Net cash (debt) and lease</t>
  </si>
  <si>
    <t>n.a.</t>
  </si>
  <si>
    <t>Error: RTD method of WorksheetFunction class failed</t>
  </si>
  <si>
    <t>Primary Analysts</t>
  </si>
  <si>
    <r>
      <t>Sam Burgess,</t>
    </r>
    <r>
      <rPr>
        <sz val="10.5"/>
        <rFont val="Calibri"/>
        <family val="2"/>
      </rPr>
      <t xml:space="preserve"> sam.burgess@gs.com</t>
    </r>
    <r>
      <rPr>
        <b/>
        <sz val="10.5"/>
        <rFont val="Calibri"/>
        <family val="2"/>
      </rPr>
      <t xml:space="preserve">, </t>
    </r>
    <r>
      <rPr>
        <sz val="10.5"/>
        <rFont val="Calibri"/>
        <family val="2"/>
      </rPr>
      <t>+44 20 7774-9651</t>
    </r>
    <r>
      <rPr>
        <b/>
        <sz val="10.5"/>
        <rFont val="Calibri"/>
        <family val="2"/>
      </rPr>
      <t xml:space="preserve"> </t>
    </r>
    <r>
      <rPr>
        <sz val="10.5"/>
        <rFont val="Calibri"/>
        <family val="2"/>
      </rPr>
      <t>Goldman Sachs International</t>
    </r>
  </si>
  <si>
    <r>
      <rPr>
        <b/>
        <sz val="10.5"/>
        <rFont val="Calibri"/>
        <family val="2"/>
      </rPr>
      <t>Jubril Moronfolu</t>
    </r>
    <r>
      <rPr>
        <sz val="10.5"/>
        <rFont val="Calibri"/>
        <family val="2"/>
      </rPr>
      <t>, jubril.x.moronfolu@gs.com, +44 20 7051-0985 Goldman Sachs International</t>
    </r>
  </si>
  <si>
    <r>
      <t xml:space="preserve">Milind Sikchi, </t>
    </r>
    <r>
      <rPr>
        <sz val="10.5"/>
        <rFont val="Calibri"/>
        <family val="2"/>
      </rPr>
      <t>milind.sikchi@gs.com, +1 332 245-7985</t>
    </r>
    <r>
      <rPr>
        <b/>
        <sz val="10.5"/>
        <rFont val="Calibri"/>
        <family val="2"/>
      </rPr>
      <t xml:space="preserve">, </t>
    </r>
    <r>
      <rPr>
        <sz val="10.5"/>
        <rFont val="Calibri"/>
        <family val="2"/>
      </rPr>
      <t>Goldman Sachs International</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</si>
</sst>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94">
    <numFmt numFmtId="43" formatCode="_-* #,##0.00_-;\-* #,##0.00_-;_-* &quot;-&quot;??_-;_-@_-"/>
    <numFmt numFmtId="164" formatCode="&quot;$&quot;#,##0_);\(&quot;$&quot;#,##0\)"/>
    <numFmt numFmtId="165" formatCode="&quot;$&quot;#,##0_);[Red]\(&quot;$&quot;#,##0\)"/>
    <numFmt numFmtId="166" formatCode="&quot;$&quot;#,##0.00_);\(&quot;$&quot;#,##0.00\)"/>
    <numFmt numFmtId="167" formatCode="&quot;$&quot;#,##0.00_);[Red]\(&quot;$&quot;#,##0.00\)"/>
    <numFmt numFmtId="168" formatCode="_(* #,##0_);_(* \(#,##0\);_(* &quot;-&quot;_);_(@_)"/>
    <numFmt numFmtId="169" formatCode="_(* #,##0.00_);_(* \(#,##0.00\);_(* &quot;-&quot;??_);_(@_)"/>
    <numFmt numFmtId="170" formatCode="&quot;£&quot;#,##0.00_);\(&quot;£&quot;#,##0.00\)"/>
    <numFmt numFmtId="171" formatCode="#,##0;&quot;£&quot;#,##0"/>
    <numFmt numFmtId="172" formatCode="0.0"/>
    <numFmt numFmtId="173" formatCode="0.0%"/>
    <numFmt numFmtId="174" formatCode="#,##0.0##;[Red]\-#,##0.0##"/>
    <numFmt numFmtId="175" formatCode="0.00_);\(0.00\);0.00"/>
    <numFmt numFmtId="176" formatCode="#,##0;\(#,##0\)"/>
    <numFmt numFmtId="177" formatCode="0.00_);\(0.00\);0.00_)"/>
    <numFmt numFmtId="178" formatCode="0.0%;\(0.0%\)"/>
    <numFmt numFmtId="179" formatCode="0.00\%;\-0.00\%;0.00\%"/>
    <numFmt numFmtId="180" formatCode="#,##0.0"/>
    <numFmt numFmtId="181" formatCode="0.00\x;\-0.00\x;0.00\x"/>
    <numFmt numFmtId="182" formatCode="&quot;2Q&quot;00"/>
    <numFmt numFmtId="183" formatCode="##0.00000"/>
    <numFmt numFmtId="184" formatCode="#,##0.0%"/>
    <numFmt numFmtId="185" formatCode=";;;"/>
    <numFmt numFmtId="186" formatCode="#,##0%"/>
    <numFmt numFmtId="187" formatCode="_-* #,##0_-;\-* #,##0_-;_-* &quot;-&quot;??_-;_-@_-"/>
    <numFmt numFmtId="188" formatCode="#,##0.0;\(#,##0.0\)"/>
    <numFmt numFmtId="189" formatCode="0.000"/>
    <numFmt numFmtId="190" formatCode="0.0&quot;x&quot;"/>
    <numFmt numFmtId="191" formatCode="#,##0.000"/>
    <numFmt numFmtId="192" formatCode="0.0000"/>
    <numFmt numFmtId="193" formatCode="#,##0.00000;\(#,##0.00000\)"/>
    <numFmt numFmtId="194" formatCode="#,##0;[Red]\(#,##0\)"/>
    <numFmt numFmtId="195" formatCode="0.0_)\%;\(0.0\)\%;0.0_)\%;@_)_%"/>
    <numFmt numFmtId="196" formatCode="#,##0.0_)_%;\(#,##0.0\)_%;0.0_)_%;@_)_%"/>
    <numFmt numFmtId="197" formatCode="#,##0.0_);\(#,##0.0\);#,##0.0_);@_)"/>
    <numFmt numFmtId="198" formatCode="#,##0.0_);\(#,##0.0\)"/>
    <numFmt numFmtId="199" formatCode="&quot;$&quot;_(#,##0.00_);&quot;$&quot;\(#,##0.00\)"/>
    <numFmt numFmtId="200" formatCode="&quot;$&quot;_(#,##0.00_);&quot;$&quot;\(#,##0.00\);&quot;$&quot;_(0.00_);@_)"/>
    <numFmt numFmtId="201" formatCode="#,##0.00_);\(#,##0.00\);0.00_);@_)"/>
    <numFmt numFmtId="202" formatCode="\€_(#,##0.00_);\€\(#,##0.00\);\€_(0.00_);@_)"/>
    <numFmt numFmtId="203" formatCode="#,##0.0_)\x;\(#,##0.0\)\x"/>
    <numFmt numFmtId="204" formatCode="#,##0_)\x;\(#,##0\)\x;0_)\x;@_)_x"/>
    <numFmt numFmtId="205" formatCode="#,##0.0_)\x;\(#,##0.0\)\x;0.0_)\x;@_)_x"/>
    <numFmt numFmtId="206" formatCode="#,##0.0_)_x;\(#,##0.0\)_x"/>
    <numFmt numFmtId="207" formatCode="#,##0_)_x;\(#,##0\)_x;0_)_x;@_)_x"/>
    <numFmt numFmtId="208" formatCode="#,##0.0_)_x;\(#,##0.0\)_x;0.0_)_x;@_)_x"/>
    <numFmt numFmtId="209" formatCode="0.0_)\%;\(0.0\)\%"/>
    <numFmt numFmtId="210" formatCode="#,##0.0_)_%;\(#,##0.0\)_%"/>
    <numFmt numFmtId="211" formatCode="0\A"/>
    <numFmt numFmtId="212" formatCode="0.00_)"/>
    <numFmt numFmtId="213" formatCode="0\p"/>
    <numFmt numFmtId="214" formatCode="\$0.00;\(\$0.00\)"/>
    <numFmt numFmtId="215" formatCode="0.0&quot;  &quot;"/>
    <numFmt numFmtId="216" formatCode="_-* #,##0_-;\(#,##0\);_-* &quot;–&quot;_-;_-@_-"/>
    <numFmt numFmtId="217" formatCode="#,##0.00;;;[White]General"/>
    <numFmt numFmtId="218" formatCode="_(* #,##0.00000_);_(* \(#,##0.00000\);_(* &quot;-&quot;??_);_(@_)"/>
    <numFmt numFmtId="219" formatCode="#,##0.000_);[Red]\(#,##0.000\)"/>
    <numFmt numFmtId="220" formatCode="&quot;$&quot;0.0"/>
    <numFmt numFmtId="221" formatCode="#,##0;\(#,##0\);\–;@"/>
    <numFmt numFmtId="222" formatCode="_(&quot;CHF&quot;* #,##0.0_);_(&quot;CHF&quot;* \(#,##0.0\);_(&quot;CHF&quot;* &quot;-&quot;??_);_(@_)"/>
    <numFmt numFmtId="223" formatCode="#,##0.0\ ;\(#,##0.0\)"/>
    <numFmt numFmtId="224" formatCode="&quot;$&quot;#,##0.00&quot;*&quot;\ \ ;\(&quot;$&quot;#,##0.00\)&quot;*&quot;\ \ "/>
    <numFmt numFmtId="225" formatCode="&quot;$&quot;#,##0.00\A_)\ ;\(&quot;$&quot;#,##0.00\A\)\ \ "/>
    <numFmt numFmtId="226" formatCode="0.0_)"/>
    <numFmt numFmtId="227" formatCode="&quot;$&quot;#,##0.00_)\ \ \ ;\(&quot;$&quot;#,##0.00\)\ \ \ "/>
    <numFmt numFmtId="228" formatCode="0.0%_);\(0.0%\)"/>
    <numFmt numFmtId="229" formatCode="&quot;$&quot;#,##0.0_);[Red]\(&quot;$&quot;#,##0.0\)"/>
    <numFmt numFmtId="230" formatCode="_-* #,##0.0_-;\-* #,##0.0_-;_-* &quot;-&quot;??_-;_-@_-"/>
    <numFmt numFmtId="231" formatCode="_(* #,##0_);_(* \(#,##0\);_(* &quot;-&quot;??_);_(@_)"/>
    <numFmt numFmtId="232" formatCode="&quot;$&quot;#,##0.00;\-&quot;$&quot;#,##0.00"/>
    <numFmt numFmtId="233" formatCode="&quot;$&quot;#,##0.00;[Red]\-&quot;$&quot;#,##0.00"/>
    <numFmt numFmtId="234" formatCode="&quot;£&quot;_(#,##0.00_);&quot;£&quot;\(#,##0.00\);&quot;£&quot;_(0.00_);@_)"/>
    <numFmt numFmtId="235" formatCode="_(* #,##0.0_);_(* \(#,##0.0\);_(* &quot;-&quot;??_);_(@_)"/>
    <numFmt numFmtId="236" formatCode="&quot;£&quot;_(#,##0.00_);&quot;£&quot;\(#,##0.00\)"/>
    <numFmt numFmtId="237" formatCode="_-&quot;$&quot;* #,##0_-;\-&quot;$&quot;* #,##0_-;_-&quot;$&quot;* &quot;-&quot;_-;_-@_-"/>
    <numFmt numFmtId="238" formatCode="&quot;$&quot;#,##0;[Red]\-&quot;$&quot;#,##0"/>
    <numFmt numFmtId="239" formatCode="#,##0.0\ \ \ ;\(#,##0.0\)\ \ "/>
    <numFmt numFmtId="240" formatCode="&quot;SFr.&quot;_(#,##0.00_);&quot;SFr.&quot;\(#,##0.00\)"/>
    <numFmt numFmtId="241" formatCode="#,##0.0;[Red]\(#,##0.0\)"/>
    <numFmt numFmtId="242" formatCode="yy/mm"/>
    <numFmt numFmtId="243" formatCode="\C&quot;$&quot;\ #,##0.00_);\C&quot;$&quot;\ \(#,##0.00\);\C&quot;$&quot;\ 0.00_)"/>
    <numFmt numFmtId="244" formatCode="#,##0.0_);[Red]\(#,##0.0\)"/>
    <numFmt numFmtId="245" formatCode="#,##0.0\x"/>
    <numFmt numFmtId="246" formatCode="0.0%_);[Red]\(0.0%\)"/>
    <numFmt numFmtId="247" formatCode="#,##0.0\A"/>
    <numFmt numFmtId="248" formatCode="_(* #,##0_);_(* \(#,##0\);_(* &quot;----&quot;_);_(@_)"/>
    <numFmt numFmtId="249" formatCode="&quot;$&quot;#,##0.000\ ;\(&quot;$&quot;#,##0.000\)"/>
    <numFmt numFmtId="250" formatCode="_(&quot;$&quot;#,##0_)&quot;millions&quot;;\(&quot;$&quot;#,##0\)&quot; millions&quot;"/>
    <numFmt numFmtId="251" formatCode="@\ \ \ \ \ "/>
    <numFmt numFmtId="252" formatCode="[$-809]dd\ mmmm\ yyyy"/>
    <numFmt numFmtId="253" formatCode="0_)"/>
    <numFmt numFmtId="254" formatCode="_(* #,##0.00_);_(* \(#,##0.00\);_(* &quot;-----&quot;_);_(@_)"/>
    <numFmt numFmtId="255" formatCode="0&quot;A&quot;"/>
    <numFmt numFmtId="256" formatCode="0.0;\(0.0\)"/>
    <numFmt numFmtId="257" formatCode="#,##0_);\(#,##0\);\-_);"/>
    <numFmt numFmtId="258" formatCode="#,##0.0_x\);\(#,##0.0\)_x;#,##0.0_x\);@_x\)"/>
    <numFmt numFmtId="259" formatCode="#,##0_);\(#,##0\);\-_)"/>
    <numFmt numFmtId="260" formatCode="###0.0;\(###0.0\)"/>
    <numFmt numFmtId="261" formatCode="_(* #,##0.00_);_(* \(#,##0.00\);_(* &quot;---&quot;_);_(@_)"/>
    <numFmt numFmtId="262" formatCode="#,##0_%_);\(#,##0\)_%;**;@_%_)"/>
    <numFmt numFmtId="263" formatCode="&quot;$&quot;#,##0_%_);\(&quot;$&quot;#,##0\)_%;&quot;$&quot;#,##0_%_);@_%_)"/>
    <numFmt numFmtId="264" formatCode="&quot;$&quot;#,##0.00_%_);\(&quot;$&quot;#,##0.00\)_%;&quot;$&quot;#,##0.00_%_);@_%_)"/>
    <numFmt numFmtId="265" formatCode="&quot;$&quot;#,##0;\-&quot;$&quot;#,##0"/>
    <numFmt numFmtId="266" formatCode="#,##0.00\A\ \ \ \ ;\(#,##0.00\A\)\ \ \ \ "/>
    <numFmt numFmtId="267" formatCode="m/d/yy_%_)"/>
    <numFmt numFmtId="268" formatCode="yyyy"/>
    <numFmt numFmtId="269" formatCode="&quot;£&quot;_(#,##0_);&quot;£&quot;\(#,##0\)"/>
    <numFmt numFmtId="270" formatCode="&quot;£&quot;_(#,##0.0_);&quot;£&quot;\(#,##0.0\)"/>
    <numFmt numFmtId="271" formatCode="&quot;$&quot;#,##0.00_)\ \ \ \ \ ;\(&quot;$&quot;#,##0.00\)\ \ \ \ \ "/>
    <numFmt numFmtId="272" formatCode="0%\ \ \ \ \ \ \ "/>
    <numFmt numFmtId="273" formatCode="0.00%;\(0.00%\)"/>
    <numFmt numFmtId="274" formatCode="&quot;$&quot;#,##0.00&quot;A&quot;;[Red]\(&quot;$&quot;#,##0.00\)&quot;A&quot;"/>
    <numFmt numFmtId="275" formatCode="_(* #,##0.0_);_(* \(#,##0.0\);_(* &quot;----&quot;_);_(@_)"/>
    <numFmt numFmtId="276" formatCode="&quot;$&quot;#,##0.00&quot;E&quot;;[Red]\(&quot;$&quot;#,##0.00\)&quot;E&quot;"/>
    <numFmt numFmtId="277" formatCode="0.000_)"/>
    <numFmt numFmtId="278" formatCode="0&quot;E&quot;"/>
    <numFmt numFmtId="279" formatCode="&quot;£&quot;0.00\b\n"/>
    <numFmt numFmtId="280" formatCode="d\-mmmm\-yyyy"/>
    <numFmt numFmtId="281" formatCode="#,##0_);\(#,##0\);0_)"/>
    <numFmt numFmtId="282" formatCode="_ &quot;£&quot;* #,##0_ ;_ &quot;£&quot;* \-#,##0_ ;_ &quot;£&quot;* &quot;-&quot;_ ;_ @_ "/>
    <numFmt numFmtId="283" formatCode="\£\ #,##0"/>
    <numFmt numFmtId="284" formatCode="#,##0.0000\ ;\(#,##0.0000\)"/>
    <numFmt numFmtId="285" formatCode="&quot;$&quot;#,##0\ &quot;MM&quot;;\(&quot;$&quot;#,##0.00\ &quot;MM&quot;\)"/>
    <numFmt numFmtId="286" formatCode="0.0\%_);\(0.0\%\);0.0\%_);@_%_)"/>
    <numFmt numFmtId="287" formatCode="0.0\x_);[Red]\(0.0\x\)"/>
    <numFmt numFmtId="288" formatCode="#,##0\ ;\(#,##0\);\ \-\ "/>
    <numFmt numFmtId="289" formatCode="_-* #,##0.00_-;_-* #,##0.00\-;_-* &quot;-&quot;??_-;_-@_-"/>
    <numFmt numFmtId="290" formatCode="_(&quot;$&quot;* #,##0_)\ &quot;millions&quot;;_(&quot;$&quot;* \(#,##0\)&quot; millions&quot;"/>
    <numFmt numFmtId="291" formatCode="#,##0_)&quot;m&quot;;\(#,##0\)&quot;m&quot;;\-_)&quot;m&quot;"/>
    <numFmt numFmtId="292" formatCode="#,##0\ &quot;DM&quot;;[Red]\-#,##0\ &quot;DM&quot;"/>
    <numFmt numFmtId="293" formatCode="0.0%;0.0%;\-\ "/>
    <numFmt numFmtId="294" formatCode="0.0\ "/>
    <numFmt numFmtId="295" formatCode="0.0%\ \ \ \ \ "/>
    <numFmt numFmtId="296" formatCode="_-* #,##0\ _F_-;\-* #,##0\ _F_-;_-* &quot;-&quot;\ _F_-;_-@_-"/>
    <numFmt numFmtId="297" formatCode="_-* #,##0.00\ _F_-;\-* #,##0.00\ _F_-;_-* &quot;-&quot;??\ _F_-;_-@_-"/>
    <numFmt numFmtId="298" formatCode="_-* #,##0\ &quot;F&quot;_-;\-* #,##0\ &quot;F&quot;_-;_-* &quot;-&quot;\ &quot;F&quot;_-;_-@_-"/>
    <numFmt numFmtId="299" formatCode="_-* #,##0.00\ &quot;F&quot;_-;\-* #,##0.00\ &quot;F&quot;_-;_-* &quot;-&quot;??\ &quot;F&quot;_-;_-@_-"/>
    <numFmt numFmtId="300" formatCode="\$#,##0.00_);\(\$#,##0.00\)"/>
    <numFmt numFmtId="301" formatCode="\$#,##0_);\(\$#,##0\)"/>
    <numFmt numFmtId="302" formatCode="0.0\x;\(0.0\)\x"/>
    <numFmt numFmtId="303" formatCode="0.0_x"/>
    <numFmt numFmtId="304" formatCode="###0.0_x;\(###0.0\)_x"/>
    <numFmt numFmtId="305" formatCode="#,##0.0&quot;x&quot;;\-#,##0.0&quot;x&quot;;0.0&quot;x&quot;"/>
    <numFmt numFmtId="306" formatCode="#,##0_)&quot;p&quot;;\(#,##0\)&quot;p&quot;;\-_)&quot;p&quot;"/>
    <numFmt numFmtId="307" formatCode="\£#,##0.00_);\(\£#,##0.00\)"/>
    <numFmt numFmtId="308" formatCode="0.00\ \ \ \ "/>
    <numFmt numFmtId="309" formatCode="0.0_)\p;\(0.0\)\p"/>
    <numFmt numFmtId="310" formatCode="&quot;$&quot;@"/>
    <numFmt numFmtId="311" formatCode="&quot;$&quot;#\ ??/??"/>
    <numFmt numFmtId="312" formatCode="#,##0.000;[Red]\(#,##0.000\)"/>
    <numFmt numFmtId="313" formatCode="&quot;SEK&quot;_(#,##0.0_);&quot;SEK&quot;\(#,##0.0\)"/>
    <numFmt numFmtId="314" formatCode="\ \ #,##0.00"/>
    <numFmt numFmtId="315" formatCode="0.00;\(0.00\)"/>
    <numFmt numFmtId="316" formatCode="\$\ #,##0;&quot;£&quot;\ \-#,##0"/>
    <numFmt numFmtId="317" formatCode="#,##0.000\ ;\(#,##0.000\)"/>
    <numFmt numFmtId="318" formatCode="#,##0.00_)\ \x;\(#,##0.00\)\ \x"/>
    <numFmt numFmtId="319" formatCode="#,##0.00_)\x;\(#,##0.00\)\x"/>
    <numFmt numFmtId="320" formatCode="0.0_)\x;\(0.0\)\x"/>
    <numFmt numFmtId="321" formatCode="#,##0.00\x;\(#,##0.00\)\x"/>
    <numFmt numFmtId="322" formatCode="0.0000000000"/>
    <numFmt numFmtId="323" formatCode="#,##0\ \ \ \ \ \ \ \ ;\(#,##0\)\ \ \ \ \ \ \ "/>
    <numFmt numFmtId="324" formatCode="#,##0.00\ ;\(#,##0.00\)"/>
    <numFmt numFmtId="325" formatCode="_-* #,##0.000_-;\-* #,##0.000_-;_-* &quot;-&quot;??_-;_-@_-"/>
    <numFmt numFmtId="326" formatCode="0.0%;[Red]\-0.0%"/>
    <numFmt numFmtId="327" formatCode="\¥#,##0.00_);\(\¥#,##0.00\)"/>
    <numFmt numFmtId="328" formatCode="0000&quot;E&quot;"/>
    <numFmt numFmtId="329" formatCode="#,###"/>
    <numFmt numFmtId="330" formatCode="0.0\x"/>
    <numFmt numFmtId="331" formatCode="0000"/>
    <numFmt numFmtId="332" formatCode="0.000%"/>
    <numFmt numFmtId="333" formatCode="#,###,##0.00"/>
    <numFmt numFmtId="334" formatCode="0.00000"/>
    <numFmt numFmtId="335" formatCode="\+0.0\p\p;\-0.0\p\p;0.0\p\p"/>
    <numFmt numFmtId="336" formatCode="&quot;Ticker&quot;"/>
    <numFmt numFmtId="337" formatCode="0.0&quot; pts&quot;"/>
    <numFmt numFmtId="338" formatCode="#,##0_-;\(#,##0\)"/>
    <numFmt numFmtId="339" formatCode="yyyy&quot;E&quot;"/>
    <numFmt numFmtId="340" formatCode="#,##0.00;\(#,##0.00\)"/>
    <numFmt numFmtId="341" formatCode="#,##0.000;\(#,##0.000\)"/>
    <numFmt numFmtId="342" formatCode="#,##0.0\ \p\p"/>
    <numFmt numFmtId="343" formatCode="#,##0.00_-;\(#,##0.00\)"/>
    <numFmt numFmtId="344" formatCode="0.00&quot; pts&quot;"/>
    <numFmt numFmtId="345" formatCode="0.000000000000%"/>
    <numFmt numFmtId="346" formatCode="0.0\ &quot;pts&quot;"/>
    <numFmt numFmtId="347" formatCode="&quot;Target Price:&quot;\ 0"/>
    <numFmt numFmtId="348" formatCode="0&quot;x&quot;"/>
    <numFmt numFmtId="349" formatCode="[$€-2]\ #,##0"/>
    <numFmt numFmtId="350" formatCode="_(&quot;€&quot;* #,##0.00_);_(&quot;€&quot;* \(#,##0.00\);_(&quot;€&quot;* &quot;-&quot;??_);_(@_)"/>
    <numFmt numFmtId="351" formatCode="#,##0.0000000000"/>
    <numFmt numFmtId="352" formatCode="0&quot;a&quot;"/>
    <numFmt numFmtId="353" formatCode="0&quot;e&quot;"/>
    <numFmt numFmtId="354" formatCode="&quot;$&quot;#,##0.0_);\(&quot;$&quot;#,##0.0\)&quot;m&quot;"/>
    <numFmt numFmtId="355" formatCode="#,##0.0;\(#,##0.0\);0.0"/>
    <numFmt numFmtId="356" formatCode="#,##0;\(#,###\);0"/>
  </numFmts>
  <fonts count="263">
    <font>
      <sz val="11"/>
      <color theme="1"/>
      <name val="Univers LT Std 55"/>
      <family val="2"/>
      <scheme val="minor"/>
    </font>
    <font>
      <sz val="10"/>
      <color theme="1"/>
      <name val="Calibri"/>
      <family val="2"/>
    </font>
    <font>
      <sz val="10"/>
      <color theme="1"/>
      <name val="Calibri"/>
      <family val="2"/>
    </font>
    <font>
      <sz val="10"/>
      <color theme="1"/>
      <name val="Calibri"/>
      <family val="2"/>
    </font>
    <font>
      <sz val="10"/>
      <color theme="1"/>
      <name val="Calibri"/>
      <family val="2"/>
    </font>
    <font>
      <sz val="10"/>
      <color theme="1"/>
      <name val="Calibri"/>
      <family val="2"/>
    </font>
    <font>
      <sz val="11"/>
      <color theme="1"/>
      <name val="Univers LT Std 55"/>
      <family val="2"/>
      <scheme val="minor"/>
    </font>
    <font>
      <sz val="10"/>
      <name val="Arial"/>
      <family val="2"/>
    </font>
    <font>
      <b/>
      <sz val="12"/>
      <name val="Arial"/>
      <family val="2"/>
    </font>
    <font>
      <sz val="12"/>
      <name val="‚l‚r ‚oƒSƒVƒbƒN"/>
    </font>
    <font>
      <sz val="10"/>
      <name val="MS Sans Serif"/>
      <family val="2"/>
    </font>
    <font>
      <sz val="9"/>
      <name val="Times New Roman"/>
      <family val="1"/>
    </font>
    <font>
      <sz val="12"/>
      <name val="Arial"/>
      <family val="2"/>
    </font>
    <font>
      <sz val="24"/>
      <name val="MS Sans Serif"/>
      <family val="2"/>
    </font>
    <font>
      <sz val="8"/>
      <color indexed="12"/>
      <name val="Times"/>
      <family val="1"/>
    </font>
    <font>
      <sz val="10"/>
      <name val="Times"/>
      <family val="1"/>
    </font>
    <font>
      <sz val="10"/>
      <name val="Univers LT Std 65 Bold"/>
      <family val="2"/>
    </font>
    <font>
      <b/>
      <sz val="8"/>
      <color indexed="8"/>
      <name val="Times New Roman"/>
      <family val="1"/>
    </font>
    <font>
      <b/>
      <sz val="8"/>
      <color indexed="12"/>
      <name val="Times New Roman"/>
      <family val="1"/>
    </font>
    <font>
      <b/>
      <sz val="10"/>
      <name val="MS Sans Serif"/>
      <family val="2"/>
    </font>
    <font>
      <sz val="8"/>
      <color indexed="17"/>
      <name val="Times"/>
      <family val="1"/>
    </font>
    <font>
      <sz val="8"/>
      <color indexed="14"/>
      <name val="Times"/>
      <family val="1"/>
    </font>
    <font>
      <b/>
      <sz val="8"/>
      <color indexed="55"/>
      <name val="Times New Roman"/>
      <family val="1"/>
    </font>
    <font>
      <sz val="10"/>
      <color indexed="23"/>
      <name val="MS Sans Serif"/>
      <family val="2"/>
    </font>
    <font>
      <b/>
      <sz val="12"/>
      <name val="MS Sans Serif"/>
      <family val="2"/>
    </font>
    <font>
      <b/>
      <sz val="10"/>
      <name val="Times New Roman"/>
      <family val="1"/>
    </font>
    <font>
      <b/>
      <sz val="10"/>
      <color indexed="18"/>
      <name val="CG Times (WN)"/>
    </font>
    <font>
      <b/>
      <u/>
      <sz val="10"/>
      <name val="Times"/>
      <family val="1"/>
    </font>
    <font>
      <sz val="8"/>
      <name val="Arial"/>
      <family val="2"/>
    </font>
    <font>
      <b/>
      <sz val="12"/>
      <color indexed="9"/>
      <name val="Arial"/>
      <family val="2"/>
    </font>
    <font>
      <sz val="10"/>
      <name val="Univers LT Std 55"/>
      <family val="2"/>
      <scheme val="minor"/>
    </font>
    <font>
      <b/>
      <sz val="8"/>
      <color indexed="9"/>
      <name val="Arial"/>
      <family val="2"/>
    </font>
    <font>
      <b/>
      <sz val="8"/>
      <name val="Arial"/>
      <family val="2"/>
    </font>
    <font>
      <i/>
      <sz val="8"/>
      <name val="Arial"/>
      <family val="2"/>
    </font>
    <font>
      <sz val="8"/>
      <color indexed="9"/>
      <name val="Arial"/>
      <family val="2"/>
    </font>
    <font>
      <b/>
      <sz val="8"/>
      <color indexed="81"/>
      <name val="Tahoma"/>
      <family val="2"/>
    </font>
    <font>
      <sz val="8"/>
      <color indexed="81"/>
      <name val="Tahoma"/>
      <family val="2"/>
    </font>
    <font>
      <b/>
      <sz val="9"/>
      <color indexed="81"/>
      <name val="Tahoma"/>
      <family val="2"/>
    </font>
    <font>
      <sz val="9"/>
      <color indexed="81"/>
      <name val="Tahoma"/>
      <family val="2"/>
    </font>
    <font>
      <sz val="7"/>
      <name val="Arial"/>
      <family val="2"/>
    </font>
    <font>
      <b/>
      <sz val="7"/>
      <name val="Arial"/>
      <family val="2"/>
    </font>
    <font>
      <b/>
      <sz val="8"/>
      <color indexed="8"/>
      <name val="Arial"/>
      <family val="2"/>
    </font>
    <font>
      <b/>
      <i/>
      <sz val="8"/>
      <name val="Arial"/>
      <family val="2"/>
    </font>
    <font>
      <b/>
      <sz val="10"/>
      <name val="Arial"/>
      <family val="2"/>
    </font>
    <font>
      <b/>
      <sz val="6"/>
      <name val="Arial"/>
      <family val="2"/>
    </font>
    <font>
      <sz val="9"/>
      <name val="Arial"/>
      <family val="2"/>
    </font>
    <font>
      <b/>
      <sz val="9"/>
      <name val="Arial"/>
      <family val="2"/>
    </font>
    <font>
      <sz val="11"/>
      <name val="Arial"/>
      <family val="2"/>
    </font>
    <font>
      <b/>
      <sz val="14"/>
      <name val="Arial"/>
      <family val="2"/>
    </font>
    <font>
      <sz val="11"/>
      <color rgb="FF006100"/>
      <name val="Univers LT Std 55"/>
      <family val="2"/>
      <scheme val="minor"/>
    </font>
    <font>
      <sz val="11"/>
      <color rgb="FF9C0006"/>
      <name val="Univers LT Std 55"/>
      <family val="2"/>
      <scheme val="minor"/>
    </font>
    <font>
      <sz val="11"/>
      <color rgb="FF9C6500"/>
      <name val="Univers LT Std 55"/>
      <family val="2"/>
      <scheme val="minor"/>
    </font>
    <font>
      <b/>
      <sz val="11"/>
      <color rgb="FF3F3F3F"/>
      <name val="Univers LT Std 55"/>
      <family val="2"/>
      <scheme val="minor"/>
    </font>
    <font>
      <sz val="20"/>
      <color rgb="FF006100"/>
      <name val="Univers LT Std 55"/>
      <family val="2"/>
      <scheme val="minor"/>
    </font>
    <font>
      <sz val="18"/>
      <color rgb="FF9C6500"/>
      <name val="Univers LT Std 55"/>
      <family val="2"/>
      <scheme val="minor"/>
    </font>
    <font>
      <sz val="20"/>
      <color rgb="FF9C6500"/>
      <name val="Univers LT Std 55"/>
      <family val="2"/>
      <scheme val="minor"/>
    </font>
    <font>
      <sz val="10"/>
      <name val="GS TheSans"/>
      <family val="2"/>
    </font>
    <font>
      <sz val="8"/>
      <name val="Tahoma"/>
      <family val="2"/>
    </font>
    <font>
      <b/>
      <sz val="22"/>
      <color indexed="18"/>
      <name val="Arial"/>
      <family val="2"/>
    </font>
    <font>
      <b/>
      <sz val="14"/>
      <color indexed="18"/>
      <name val="Arial"/>
      <family val="2"/>
    </font>
    <font>
      <sz val="9"/>
      <color indexed="8"/>
      <name val="Arial"/>
      <family val="2"/>
    </font>
    <font>
      <b/>
      <sz val="10"/>
      <color indexed="18"/>
      <name val="Arial"/>
      <family val="2"/>
    </font>
    <font>
      <b/>
      <u val="singleAccounting"/>
      <sz val="10"/>
      <color indexed="18"/>
      <name val="Arial"/>
      <family val="2"/>
    </font>
    <font>
      <sz val="9"/>
      <color indexed="8"/>
      <name val="Times New Roman"/>
      <family val="1"/>
    </font>
    <font>
      <b/>
      <sz val="10"/>
      <color indexed="8"/>
      <name val="Times New Roman"/>
      <family val="1"/>
    </font>
    <font>
      <sz val="8"/>
      <name val="Times"/>
      <family val="1"/>
    </font>
    <font>
      <sz val="8"/>
      <name val="Helvetica"/>
      <family val="2"/>
    </font>
    <font>
      <b/>
      <sz val="12"/>
      <name val="Tms Rmn"/>
    </font>
    <font>
      <sz val="9"/>
      <color indexed="9"/>
      <name val="Times New Roman"/>
      <family val="1"/>
    </font>
    <font>
      <sz val="8"/>
      <color indexed="12"/>
      <name val="Tms Rmn"/>
    </font>
    <font>
      <b/>
      <sz val="10"/>
      <color indexed="9"/>
      <name val="Arial"/>
      <family val="2"/>
    </font>
    <font>
      <b/>
      <sz val="10"/>
      <name val="Bookman"/>
      <family val="1"/>
    </font>
    <font>
      <b/>
      <sz val="24"/>
      <name val="Times New Roman"/>
      <family val="1"/>
    </font>
    <font>
      <b/>
      <sz val="14"/>
      <name val="Book Antiqua"/>
      <family val="1"/>
    </font>
    <font>
      <sz val="11"/>
      <color indexed="12"/>
      <name val="Book Antiqua"/>
      <family val="1"/>
    </font>
    <font>
      <b/>
      <u/>
      <sz val="7"/>
      <name val="Helvetica"/>
      <family val="2"/>
    </font>
    <font>
      <sz val="10"/>
      <name val="Book Antiqua"/>
      <family val="1"/>
    </font>
    <font>
      <b/>
      <sz val="8.5"/>
      <color indexed="17"/>
      <name val="Arial"/>
      <family val="2"/>
    </font>
    <font>
      <b/>
      <sz val="7"/>
      <color indexed="17"/>
      <name val="Arial"/>
      <family val="2"/>
    </font>
    <font>
      <sz val="8.5"/>
      <color indexed="8"/>
      <name val="Arial"/>
      <family val="2"/>
    </font>
    <font>
      <b/>
      <sz val="8"/>
      <name val="Book Antiqua"/>
      <family val="1"/>
    </font>
    <font>
      <b/>
      <sz val="10"/>
      <name val="Palatino"/>
      <family val="1"/>
    </font>
    <font>
      <sz val="8"/>
      <name val="Book Antiqua"/>
      <family val="1"/>
    </font>
    <font>
      <i/>
      <sz val="7"/>
      <name val="Book Antiqua"/>
      <family val="1"/>
    </font>
    <font>
      <b/>
      <i/>
      <sz val="16"/>
      <name val="Helv"/>
    </font>
    <font>
      <sz val="10"/>
      <color indexed="72"/>
      <name val="System"/>
      <family val="2"/>
    </font>
    <font>
      <b/>
      <sz val="14"/>
      <name val="Times New Roman"/>
      <family val="1"/>
    </font>
    <font>
      <sz val="10"/>
      <name val="Palatino"/>
      <family val="1"/>
    </font>
    <font>
      <sz val="8"/>
      <name val="Helv"/>
      <family val="2"/>
    </font>
    <font>
      <sz val="10"/>
      <name val="Times New Roman"/>
      <family val="1"/>
    </font>
    <font>
      <sz val="8"/>
      <name val="Helv"/>
    </font>
    <font>
      <sz val="12"/>
      <name val="Helvetica"/>
      <family val="2"/>
    </font>
    <font>
      <b/>
      <sz val="14"/>
      <name val="Bookman"/>
      <family val="1"/>
    </font>
    <font>
      <b/>
      <sz val="8"/>
      <name val="HelveticaNeue Condensed"/>
    </font>
    <font>
      <sz val="8"/>
      <name val="HelveticaNeue LightCond"/>
      <family val="2"/>
    </font>
    <font>
      <b/>
      <sz val="7"/>
      <name val="HelveticaNeue Condensed"/>
      <family val="2"/>
    </font>
    <font>
      <b/>
      <sz val="9"/>
      <name val="Times New Roman"/>
      <family val="1"/>
    </font>
    <font>
      <b/>
      <sz val="11"/>
      <name val="Times New Roman"/>
      <family val="1"/>
    </font>
    <font>
      <b/>
      <sz val="8.5"/>
      <color indexed="8"/>
      <name val="Arial"/>
      <family val="2"/>
    </font>
    <font>
      <b/>
      <sz val="12"/>
      <color indexed="16"/>
      <name val="Arial"/>
      <family val="2"/>
    </font>
    <font>
      <sz val="7"/>
      <name val="Times New Roman"/>
      <family val="1"/>
    </font>
    <font>
      <b/>
      <u/>
      <sz val="9"/>
      <name val="Arial"/>
      <family val="2"/>
    </font>
    <font>
      <b/>
      <u/>
      <sz val="14"/>
      <name val="Book Antiqua"/>
      <family val="1"/>
    </font>
    <font>
      <b/>
      <sz val="10"/>
      <name val="Book Antiqua"/>
      <family val="1"/>
    </font>
    <font>
      <u/>
      <sz val="11"/>
      <color theme="10"/>
      <name val="Univers LT Std 55"/>
      <family val="2"/>
      <scheme val="minor"/>
    </font>
    <font>
      <sz val="10"/>
      <color theme="0"/>
      <name val="Calibri"/>
      <family val="2"/>
    </font>
    <font>
      <b/>
      <sz val="10"/>
      <name val="Calibri"/>
      <family val="2"/>
    </font>
    <font>
      <b/>
      <sz val="10"/>
      <color theme="0"/>
      <name val="Calibri"/>
      <family val="2"/>
    </font>
    <font>
      <sz val="10"/>
      <name val="GillSans"/>
      <family val="2"/>
    </font>
    <font>
      <sz val="8"/>
      <name val="Times New Roman"/>
      <family val="1"/>
    </font>
    <font>
      <sz val="8"/>
      <color indexed="49"/>
      <name val="Times New Roman"/>
      <family val="1"/>
    </font>
    <font>
      <sz val="10"/>
      <color indexed="8"/>
      <name val="MS Sans Serif"/>
      <family val="2"/>
    </font>
    <font>
      <sz val="11"/>
      <color indexed="8"/>
      <name val="Calibri"/>
      <family val="2"/>
    </font>
    <font>
      <sz val="11"/>
      <color indexed="9"/>
      <name val="Calibri"/>
      <family val="2"/>
    </font>
    <font>
      <sz val="10"/>
      <name val="Helv"/>
    </font>
    <font>
      <sz val="11"/>
      <color indexed="20"/>
      <name val="Calibri"/>
      <family val="2"/>
    </font>
    <font>
      <sz val="8"/>
      <name val="Palatino"/>
      <family val="1"/>
    </font>
    <font>
      <b/>
      <sz val="18"/>
      <name val="Arial"/>
      <family val="2"/>
    </font>
    <font>
      <b/>
      <sz val="11"/>
      <color indexed="52"/>
      <name val="Calibri"/>
      <family val="2"/>
    </font>
    <font>
      <sz val="10"/>
      <color indexed="18"/>
      <name val="Times New Roman"/>
      <family val="1"/>
    </font>
    <font>
      <sz val="7"/>
      <color indexed="10"/>
      <name val="Helvetica"/>
      <family val="2"/>
    </font>
    <font>
      <b/>
      <sz val="11"/>
      <color indexed="9"/>
      <name val="Calibri"/>
      <family val="2"/>
    </font>
    <font>
      <sz val="8"/>
      <color indexed="12"/>
      <name val="Helv"/>
    </font>
    <font>
      <b/>
      <sz val="8"/>
      <name val="Times New Roman"/>
      <family val="1"/>
    </font>
    <font>
      <i/>
      <sz val="11"/>
      <color indexed="23"/>
      <name val="Calibri"/>
      <family val="2"/>
    </font>
    <font>
      <sz val="7"/>
      <name val="Palatino"/>
      <family val="1"/>
    </font>
    <font>
      <sz val="11"/>
      <color indexed="17"/>
      <name val="Calibri"/>
      <family val="2"/>
    </font>
    <font>
      <i/>
      <sz val="8"/>
      <color indexed="17"/>
      <name val="Times New Roman"/>
      <family val="1"/>
    </font>
    <font>
      <sz val="8"/>
      <color indexed="21"/>
      <name val="Arial"/>
      <family val="2"/>
    </font>
    <font>
      <sz val="6"/>
      <color indexed="16"/>
      <name val="Palatino"/>
      <family val="1"/>
    </font>
    <font>
      <b/>
      <sz val="15"/>
      <color indexed="62"/>
      <name val="Calibri"/>
      <family val="2"/>
    </font>
    <font>
      <b/>
      <sz val="13"/>
      <color indexed="62"/>
      <name val="Calibri"/>
      <family val="2"/>
    </font>
    <font>
      <b/>
      <sz val="11"/>
      <color indexed="62"/>
      <name val="Calibri"/>
      <family val="2"/>
    </font>
    <font>
      <sz val="11"/>
      <color indexed="62"/>
      <name val="Calibri"/>
      <family val="2"/>
    </font>
    <font>
      <sz val="10"/>
      <name val="Arial Narrow"/>
      <family val="2"/>
    </font>
    <font>
      <sz val="10"/>
      <color indexed="25"/>
      <name val="Helvetica"/>
      <family val="2"/>
    </font>
    <font>
      <sz val="11"/>
      <color indexed="52"/>
      <name val="Calibri"/>
      <family val="2"/>
    </font>
    <font>
      <sz val="8"/>
      <color indexed="10"/>
      <name val="Times New Roman"/>
      <family val="1"/>
    </font>
    <font>
      <sz val="8"/>
      <color indexed="18"/>
      <name val="Times New Roman"/>
      <family val="1"/>
    </font>
    <font>
      <sz val="11"/>
      <color indexed="60"/>
      <name val="Calibri"/>
      <family val="2"/>
    </font>
    <font>
      <b/>
      <sz val="10"/>
      <name val="Helvetica"/>
      <family val="2"/>
    </font>
    <font>
      <u/>
      <sz val="10"/>
      <name val="Helvetica"/>
      <family val="2"/>
    </font>
    <font>
      <sz val="10"/>
      <name val="Helvetica"/>
      <family val="2"/>
    </font>
    <font>
      <sz val="10"/>
      <name val="Arial CE"/>
      <charset val="238"/>
    </font>
    <font>
      <i/>
      <sz val="10"/>
      <name val="Helv"/>
    </font>
    <font>
      <sz val="8.5"/>
      <name val="Arial Narrow"/>
      <family val="2"/>
    </font>
    <font>
      <b/>
      <sz val="11"/>
      <color indexed="63"/>
      <name val="Calibri"/>
      <family val="2"/>
    </font>
    <font>
      <sz val="10"/>
      <color indexed="16"/>
      <name val="Helvetica-Black"/>
    </font>
    <font>
      <i/>
      <sz val="8"/>
      <name val="Times New Roman"/>
      <family val="1"/>
    </font>
    <font>
      <i/>
      <sz val="10"/>
      <name val="Times New Roman"/>
      <family val="1"/>
    </font>
    <font>
      <sz val="10"/>
      <name val="KPN Arial"/>
    </font>
    <font>
      <b/>
      <sz val="10"/>
      <color indexed="18"/>
      <name val="Symbol"/>
      <family val="1"/>
      <charset val="2"/>
    </font>
    <font>
      <b/>
      <sz val="9"/>
      <name val="Palatino"/>
      <family val="1"/>
    </font>
    <font>
      <sz val="9"/>
      <color indexed="21"/>
      <name val="Helvetica-Black"/>
    </font>
    <font>
      <sz val="8"/>
      <name val="Helvetica-Narrow"/>
      <family val="2"/>
    </font>
    <font>
      <b/>
      <sz val="7"/>
      <name val="Helvetica-Narrow"/>
      <family val="2"/>
    </font>
    <font>
      <sz val="8.5"/>
      <name val="Franklin Gothic Book"/>
      <family val="2"/>
    </font>
    <font>
      <b/>
      <sz val="18"/>
      <color indexed="62"/>
      <name val="Cambria"/>
      <family val="2"/>
    </font>
    <font>
      <b/>
      <sz val="8"/>
      <color indexed="18"/>
      <name val="Times New Roman"/>
      <family val="1"/>
    </font>
    <font>
      <b/>
      <sz val="11"/>
      <color indexed="8"/>
      <name val="Calibri"/>
      <family val="2"/>
    </font>
    <font>
      <sz val="10"/>
      <name val="Courier"/>
      <family val="3"/>
    </font>
    <font>
      <i/>
      <sz val="10"/>
      <name val="Arial"/>
      <family val="2"/>
    </font>
    <font>
      <sz val="11"/>
      <color indexed="10"/>
      <name val="Calibri"/>
      <family val="2"/>
    </font>
    <font>
      <sz val="8"/>
      <color indexed="12"/>
      <name val="Times New Roman"/>
      <family val="1"/>
    </font>
    <font>
      <b/>
      <sz val="8"/>
      <color indexed="8"/>
      <name val="Wingdings"/>
      <charset val="2"/>
    </font>
    <font>
      <b/>
      <sz val="8"/>
      <color indexed="10"/>
      <name val="Wingdings"/>
      <charset val="2"/>
    </font>
    <font>
      <b/>
      <sz val="8"/>
      <color indexed="9"/>
      <name val="Wingdings"/>
      <charset val="2"/>
    </font>
    <font>
      <b/>
      <sz val="8.5"/>
      <name val="Franklin Gothic Book"/>
      <family val="2"/>
    </font>
    <font>
      <sz val="11"/>
      <name val="ＭＳ Ｐゴシック"/>
      <family val="3"/>
      <charset val="128"/>
    </font>
    <font>
      <b/>
      <sz val="10"/>
      <color theme="1"/>
      <name val="Calibri"/>
      <family val="2"/>
    </font>
    <font>
      <sz val="8"/>
      <color theme="1"/>
      <name val="Arial"/>
      <family val="2"/>
    </font>
    <font>
      <b/>
      <sz val="8"/>
      <color theme="1"/>
      <name val="Arial"/>
      <family val="2"/>
    </font>
    <font>
      <b/>
      <sz val="8"/>
      <color rgb="FF0000FF"/>
      <name val="Arial"/>
      <family val="2"/>
    </font>
    <font>
      <sz val="8"/>
      <color rgb="FF0000FF"/>
      <name val="Arial"/>
      <family val="2"/>
    </font>
    <font>
      <b/>
      <sz val="8"/>
      <color rgb="FF000000"/>
      <name val="Arial"/>
      <family val="2"/>
    </font>
    <font>
      <sz val="9"/>
      <color theme="1"/>
      <name val="Arial"/>
      <family val="2"/>
    </font>
    <font>
      <b/>
      <sz val="9"/>
      <color theme="1"/>
      <name val="Arial"/>
      <family val="2"/>
    </font>
    <font>
      <b/>
      <sz val="9"/>
      <color theme="0"/>
      <name val="Arial"/>
      <family val="2"/>
    </font>
    <font>
      <b/>
      <sz val="9"/>
      <color rgb="FFFF0000"/>
      <name val="Arial"/>
      <family val="2"/>
    </font>
    <font>
      <sz val="10"/>
      <color theme="1"/>
      <name val="Arial"/>
      <family val="2"/>
    </font>
    <font>
      <b/>
      <sz val="10"/>
      <color theme="1"/>
      <name val="Univers LT Std 55"/>
      <family val="2"/>
      <scheme val="minor"/>
    </font>
    <font>
      <sz val="9"/>
      <color theme="0"/>
      <name val="Arial"/>
      <family val="2"/>
    </font>
    <font>
      <b/>
      <sz val="10"/>
      <name val="Univers LT Std 55"/>
      <family val="2"/>
      <scheme val="minor"/>
    </font>
    <font>
      <i/>
      <sz val="9"/>
      <name val="Arial"/>
      <family val="2"/>
    </font>
    <font>
      <b/>
      <sz val="11"/>
      <color theme="0"/>
      <name val="Univers LT Std 55"/>
      <scheme val="minor"/>
    </font>
    <font>
      <b/>
      <sz val="10"/>
      <color rgb="FFF67F26"/>
      <name val="Arial"/>
      <family val="2"/>
    </font>
    <font>
      <b/>
      <sz val="10"/>
      <color rgb="FF0000FF"/>
      <name val="Univers LT Std 55"/>
      <family val="2"/>
      <scheme val="minor"/>
    </font>
    <font>
      <i/>
      <sz val="9"/>
      <color theme="1"/>
      <name val="Arial"/>
      <family val="2"/>
    </font>
    <font>
      <sz val="9"/>
      <color rgb="FF0000FF"/>
      <name val="Arial"/>
      <family val="2"/>
    </font>
    <font>
      <sz val="9"/>
      <color rgb="FFC00000"/>
      <name val="Arial"/>
      <family val="2"/>
    </font>
    <font>
      <b/>
      <sz val="16"/>
      <name val="Calibri"/>
      <family val="2"/>
    </font>
    <font>
      <b/>
      <sz val="10.5"/>
      <color theme="0"/>
      <name val="Calibri"/>
      <family val="2"/>
    </font>
    <font>
      <b/>
      <sz val="11.5"/>
      <color theme="0"/>
      <name val="Calibri"/>
      <family val="2"/>
    </font>
    <font>
      <sz val="10.5"/>
      <color theme="0"/>
      <name val="Calibri"/>
      <family val="2"/>
    </font>
    <font>
      <b/>
      <sz val="10.5"/>
      <name val="Calibri"/>
      <family val="2"/>
    </font>
    <font>
      <b/>
      <i/>
      <sz val="9"/>
      <name val="Calibri"/>
      <family val="2"/>
    </font>
    <font>
      <sz val="10.5"/>
      <color theme="1"/>
      <name val="Calibri"/>
      <family val="2"/>
    </font>
    <font>
      <sz val="10.5"/>
      <name val="Calibri"/>
      <family val="2"/>
    </font>
    <font>
      <sz val="8"/>
      <color rgb="FFC00000"/>
      <name val="Arial"/>
      <family val="2"/>
    </font>
    <font>
      <b/>
      <sz val="8"/>
      <color theme="0"/>
      <name val="Arial"/>
      <family val="2"/>
    </font>
    <font>
      <i/>
      <sz val="8"/>
      <color rgb="FF0000FF"/>
      <name val="Arial"/>
      <family val="2"/>
    </font>
    <font>
      <i/>
      <sz val="8"/>
      <color theme="1"/>
      <name val="Arial"/>
      <family val="2"/>
    </font>
    <font>
      <b/>
      <sz val="8"/>
      <color theme="3"/>
      <name val="Arial"/>
      <family val="2"/>
    </font>
    <font>
      <sz val="8"/>
      <color rgb="FFFF0000"/>
      <name val="Arial"/>
      <family val="2"/>
    </font>
    <font>
      <sz val="8"/>
      <color rgb="FF000000"/>
      <name val="Arial"/>
      <family val="2"/>
    </font>
    <font>
      <b/>
      <i/>
      <sz val="8"/>
      <color rgb="FF0000FF"/>
      <name val="Arial"/>
      <family val="2"/>
    </font>
    <font>
      <sz val="8"/>
      <color theme="3"/>
      <name val="Arial"/>
      <family val="2"/>
    </font>
    <font>
      <sz val="8"/>
      <color theme="0"/>
      <name val="Arial"/>
      <family val="2"/>
    </font>
    <font>
      <i/>
      <sz val="8"/>
      <color rgb="FF000000"/>
      <name val="Arial"/>
      <family val="2"/>
    </font>
    <font>
      <b/>
      <i/>
      <sz val="8"/>
      <color rgb="FF000000"/>
      <name val="Arial"/>
      <family val="2"/>
    </font>
    <font>
      <b/>
      <sz val="9"/>
      <color theme="2"/>
      <name val="Arial"/>
      <family val="2"/>
    </font>
    <font>
      <b/>
      <i/>
      <sz val="8"/>
      <color theme="1"/>
      <name val="Arial"/>
      <family val="2"/>
    </font>
    <font>
      <b/>
      <sz val="9"/>
      <color rgb="FF0000FF"/>
      <name val="Arial"/>
      <family val="2"/>
    </font>
    <font>
      <b/>
      <sz val="11"/>
      <name val="Arial"/>
      <family val="2"/>
    </font>
    <font>
      <b/>
      <sz val="9"/>
      <color rgb="FFC00000"/>
      <name val="Arial"/>
      <family val="2"/>
    </font>
    <font>
      <b/>
      <i/>
      <sz val="9"/>
      <name val="Arial"/>
      <family val="2"/>
    </font>
    <font>
      <i/>
      <sz val="9"/>
      <color theme="0"/>
      <name val="Arial"/>
      <family val="2"/>
    </font>
    <font>
      <b/>
      <i/>
      <sz val="9"/>
      <color theme="0"/>
      <name val="Arial"/>
      <family val="2"/>
    </font>
    <font>
      <sz val="9"/>
      <color theme="2" tint="-0.249977111117893"/>
      <name val="Arial"/>
      <family val="2"/>
    </font>
    <font>
      <b/>
      <sz val="9"/>
      <color theme="2" tint="-0.249977111117893"/>
      <name val="Arial"/>
      <family val="2"/>
    </font>
    <font>
      <sz val="8"/>
      <name val="Univers LT Std 55"/>
      <family val="2"/>
      <scheme val="minor"/>
    </font>
    <font>
      <sz val="10"/>
      <color theme="0"/>
      <name val="Arial"/>
      <family val="2"/>
    </font>
    <font>
      <i/>
      <sz val="9"/>
      <color theme="2" tint="-0.249977111117893"/>
      <name val="Arial"/>
      <family val="2"/>
    </font>
    <font>
      <sz val="11"/>
      <color theme="1"/>
      <name val="Arial"/>
      <family val="2"/>
    </font>
    <font>
      <sz val="10"/>
      <color rgb="FFFF0000"/>
      <name val="Arial"/>
      <family val="2"/>
    </font>
    <font>
      <sz val="10"/>
      <color theme="2"/>
      <name val="Arial"/>
      <family val="2"/>
    </font>
    <font>
      <b/>
      <sz val="10"/>
      <color theme="1"/>
      <name val="Arial"/>
      <family val="2"/>
    </font>
    <font>
      <b/>
      <sz val="11"/>
      <color theme="0"/>
      <name val="Arial"/>
      <family val="2"/>
    </font>
    <font>
      <b/>
      <sz val="9"/>
      <color theme="6" tint="-0.499984740745262"/>
      <name val="Arial"/>
      <family val="2"/>
    </font>
    <font>
      <sz val="9"/>
      <color theme="6" tint="-0.499984740745262"/>
      <name val="Arial"/>
      <family val="2"/>
    </font>
    <font>
      <i/>
      <sz val="9"/>
      <color theme="6" tint="-0.499984740745262"/>
      <name val="Arial"/>
      <family val="2"/>
    </font>
    <font>
      <sz val="10"/>
      <color theme="8"/>
      <name val="Arial"/>
      <family val="2"/>
    </font>
    <font>
      <sz val="10"/>
      <color rgb="FF0000FF"/>
      <name val="Arial"/>
      <family val="2"/>
    </font>
    <font>
      <b/>
      <sz val="10"/>
      <color theme="0"/>
      <name val="Arial"/>
      <family val="2"/>
    </font>
    <font>
      <b/>
      <sz val="11"/>
      <color theme="1"/>
      <name val="Arial"/>
      <family val="2"/>
    </font>
    <font>
      <sz val="10"/>
      <color rgb="FF00355F"/>
      <name val="Arial"/>
      <family val="2"/>
    </font>
    <font>
      <b/>
      <sz val="10"/>
      <color theme="2"/>
      <name val="Arial"/>
      <family val="2"/>
    </font>
    <font>
      <b/>
      <sz val="10"/>
      <color rgb="FFC00000"/>
      <name val="Arial"/>
      <family val="2"/>
    </font>
    <font>
      <sz val="9"/>
      <color rgb="FF000000"/>
      <name val="Arial"/>
      <family val="2"/>
    </font>
    <font>
      <b/>
      <sz val="9"/>
      <color rgb="FF000000"/>
      <name val="Arial"/>
      <family val="2"/>
    </font>
    <font>
      <sz val="9"/>
      <color theme="0" tint="-0.499984740745262"/>
      <name val="Arial"/>
      <family val="2"/>
    </font>
    <font>
      <b/>
      <sz val="9"/>
      <color theme="0" tint="-0.499984740745262"/>
      <name val="Arial"/>
      <family val="2"/>
    </font>
    <font>
      <i/>
      <sz val="9"/>
      <color theme="0" tint="-0.499984740745262"/>
      <name val="Arial"/>
      <family val="2"/>
    </font>
    <font>
      <sz val="8"/>
      <color theme="8"/>
      <name val="Arial"/>
      <family val="2"/>
    </font>
    <font>
      <sz val="9"/>
      <color theme="2" tint="-0.499984740745262"/>
      <name val="Arial"/>
      <family val="2"/>
    </font>
    <font>
      <sz val="8"/>
      <color theme="1"/>
      <name val="Univers LT Std 55"/>
      <family val="2"/>
      <scheme val="minor"/>
    </font>
    <font>
      <sz val="10"/>
      <name val="Calibri"/>
      <family val="2"/>
    </font>
    <font>
      <b/>
      <sz val="11"/>
      <color theme="1"/>
      <name val="Univers LT Std 55"/>
      <family val="2"/>
      <scheme val="minor"/>
    </font>
    <font>
      <i/>
      <sz val="11"/>
      <color theme="1"/>
      <name val="Univers LT Std 55"/>
      <family val="2"/>
      <scheme val="minor"/>
    </font>
    <font>
      <b/>
      <i/>
      <sz val="11"/>
      <color theme="1"/>
      <name val="Univers LT Std 55"/>
      <family val="2"/>
      <scheme val="minor"/>
    </font>
    <font>
      <sz val="11"/>
      <color theme="0"/>
      <name val="Univers LT Std 55"/>
      <family val="2"/>
      <scheme val="minor"/>
    </font>
    <font>
      <b/>
      <sz val="11"/>
      <color theme="1"/>
      <name val="Univers LT Std 55"/>
      <scheme val="minor"/>
    </font>
    <font>
      <b/>
      <sz val="11"/>
      <color rgb="FFF8F8F8"/>
      <name val="Univers LT Std 55"/>
      <family val="2"/>
      <scheme val="minor"/>
    </font>
    <font>
      <sz val="11"/>
      <color rgb="FFF8F8F8"/>
      <name val="Univers LT Std 55"/>
      <family val="2"/>
      <scheme val="minor"/>
    </font>
    <font>
      <sz val="11"/>
      <name val="Univers LT Std 55"/>
      <family val="2"/>
      <scheme val="minor"/>
    </font>
    <font>
      <i/>
      <sz val="10"/>
      <color theme="1"/>
      <name val="Calibri"/>
      <family val="2"/>
    </font>
    <font>
      <b/>
      <u/>
      <sz val="9"/>
      <color theme="1"/>
      <name val="Arial"/>
      <family val="2"/>
    </font>
    <font>
      <u/>
      <sz val="9"/>
      <color theme="1"/>
      <name val="Arial"/>
      <family val="2"/>
    </font>
    <font>
      <b/>
      <sz val="11"/>
      <color theme="0"/>
      <name val="Univers LT Std 55"/>
      <family val="2"/>
      <scheme val="minor"/>
    </font>
    <font>
      <i/>
      <sz val="8"/>
      <color theme="0"/>
      <name val="Arial"/>
      <family val="2"/>
    </font>
    <font>
      <i/>
      <sz val="11"/>
      <color theme="0"/>
      <name val="Univers LT Std 55"/>
      <family val="2"/>
      <scheme val="minor"/>
    </font>
    <font>
      <b/>
      <i/>
      <sz val="8"/>
      <color theme="0"/>
      <name val="Arial"/>
      <family val="2"/>
    </font>
    <font>
      <b/>
      <i/>
      <sz val="11"/>
      <color theme="0"/>
      <name val="Univers LT Std 55"/>
      <family val="2"/>
      <scheme val="minor"/>
    </font>
  </fonts>
  <fills count="77">
    <fill>
      <patternFill patternType="none"/>
    </fill>
    <fill>
      <patternFill patternType="gray125"/>
    </fill>
    <fill>
      <patternFill patternType="solid">
        <fgColor indexed="26"/>
        <bgColor indexed="64"/>
      </patternFill>
    </fill>
    <fill>
      <patternFill patternType="lightGray">
        <fgColor indexed="12"/>
      </patternFill>
    </fill>
    <fill>
      <patternFill patternType="lightGray">
        <fgColor indexed="13"/>
      </patternFill>
    </fill>
    <fill>
      <patternFill patternType="solid">
        <fgColor indexed="13"/>
      </patternFill>
    </fill>
    <fill>
      <patternFill patternType="lightGray">
        <fgColor indexed="10"/>
      </patternFill>
    </fill>
    <fill>
      <patternFill patternType="mediumGray">
        <fgColor indexed="11"/>
      </patternFill>
    </fill>
    <fill>
      <patternFill patternType="lightGray">
        <fgColor indexed="11"/>
      </patternFill>
    </fill>
    <fill>
      <patternFill patternType="solid">
        <fgColor indexed="53"/>
        <bgColor indexed="64"/>
      </patternFill>
    </fill>
    <fill>
      <patternFill patternType="solid">
        <fgColor indexed="24"/>
        <bgColor indexed="64"/>
      </patternFill>
    </fill>
    <fill>
      <patternFill patternType="solid">
        <fgColor indexed="13"/>
        <bgColor indexed="64"/>
      </patternFill>
    </fill>
    <fill>
      <patternFill patternType="solid">
        <fgColor theme="0"/>
        <bgColor indexed="64"/>
      </patternFill>
    </fill>
    <fill>
      <patternFill patternType="solid">
        <fgColor indexed="42"/>
        <bgColor indexed="64"/>
      </patternFill>
    </fill>
    <fill>
      <patternFill patternType="solid">
        <fgColor indexed="25"/>
        <bgColor indexed="64"/>
      </patternFill>
    </fill>
    <fill>
      <patternFill patternType="solid">
        <fgColor indexed="22"/>
        <bgColor indexed="64"/>
      </patternFill>
    </fill>
    <fill>
      <patternFill patternType="solid">
        <fgColor indexed="8"/>
        <bgColor indexed="64"/>
      </patternFill>
    </fill>
    <fill>
      <patternFill patternType="solid">
        <fgColor indexed="11"/>
        <bgColor indexed="64"/>
      </patternFill>
    </fill>
    <fill>
      <patternFill patternType="solid">
        <fgColor theme="5"/>
        <bgColor indexed="64"/>
      </patternFill>
    </fill>
    <fill>
      <patternFill patternType="solid">
        <fgColor theme="0" tint="-0.14999847407452621"/>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2F2F2"/>
      </patternFill>
    </fill>
    <fill>
      <patternFill patternType="solid">
        <fgColor indexed="43"/>
      </patternFill>
    </fill>
    <fill>
      <patternFill patternType="gray0625">
        <fgColor indexed="10"/>
        <bgColor indexed="9"/>
      </patternFill>
    </fill>
    <fill>
      <patternFill patternType="solid">
        <fgColor indexed="18"/>
        <bgColor indexed="64"/>
      </patternFill>
    </fill>
    <fill>
      <patternFill patternType="lightGray">
        <fgColor indexed="14"/>
        <bgColor indexed="9"/>
      </patternFill>
    </fill>
    <fill>
      <patternFill patternType="lightGray">
        <fgColor indexed="15"/>
      </patternFill>
    </fill>
    <fill>
      <patternFill patternType="lightGray">
        <fgColor indexed="12"/>
        <bgColor indexed="9"/>
      </patternFill>
    </fill>
    <fill>
      <patternFill patternType="solid">
        <fgColor indexed="11"/>
        <bgColor indexed="9"/>
      </patternFill>
    </fill>
    <fill>
      <patternFill patternType="solid">
        <fgColor indexed="10"/>
      </patternFill>
    </fill>
    <fill>
      <patternFill patternType="lightGray">
        <fgColor indexed="22"/>
        <bgColor indexed="9"/>
      </patternFill>
    </fill>
    <fill>
      <patternFill patternType="solid">
        <fgColor theme="0" tint="-4.9989318521683403E-2"/>
        <bgColor indexed="64"/>
      </patternFill>
    </fill>
    <fill>
      <patternFill patternType="solid">
        <fgColor indexed="29"/>
      </patternFill>
    </fill>
    <fill>
      <patternFill patternType="solid">
        <fgColor indexed="47"/>
      </patternFill>
    </fill>
    <fill>
      <patternFill patternType="solid">
        <fgColor indexed="41"/>
      </patternFill>
    </fill>
    <fill>
      <patternFill patternType="solid">
        <fgColor indexed="44"/>
      </patternFill>
    </fill>
    <fill>
      <patternFill patternType="solid">
        <fgColor indexed="49"/>
      </patternFill>
    </fill>
    <fill>
      <patternFill patternType="solid">
        <fgColor indexed="22"/>
      </patternFill>
    </fill>
    <fill>
      <patternFill patternType="solid">
        <fgColor indexed="57"/>
      </patternFill>
    </fill>
    <fill>
      <patternFill patternType="solid">
        <fgColor indexed="54"/>
      </patternFill>
    </fill>
    <fill>
      <patternFill patternType="solid">
        <fgColor indexed="53"/>
      </patternFill>
    </fill>
    <fill>
      <patternFill patternType="solid">
        <fgColor indexed="45"/>
      </patternFill>
    </fill>
    <fill>
      <patternFill patternType="solid">
        <fgColor indexed="9"/>
      </patternFill>
    </fill>
    <fill>
      <patternFill patternType="solid">
        <fgColor indexed="55"/>
      </patternFill>
    </fill>
    <fill>
      <patternFill patternType="solid">
        <fgColor indexed="47"/>
        <bgColor indexed="64"/>
      </patternFill>
    </fill>
    <fill>
      <patternFill patternType="gray0625">
        <fgColor indexed="13"/>
        <bgColor indexed="9"/>
      </patternFill>
    </fill>
    <fill>
      <patternFill patternType="solid">
        <fgColor indexed="15"/>
        <bgColor indexed="64"/>
      </patternFill>
    </fill>
    <fill>
      <patternFill patternType="solid">
        <fgColor indexed="42"/>
      </patternFill>
    </fill>
    <fill>
      <patternFill patternType="gray0625">
        <fgColor indexed="22"/>
      </patternFill>
    </fill>
    <fill>
      <patternFill patternType="solid">
        <fgColor indexed="16"/>
        <bgColor indexed="64"/>
      </patternFill>
    </fill>
    <fill>
      <patternFill patternType="solid">
        <fgColor indexed="27"/>
        <bgColor indexed="64"/>
      </patternFill>
    </fill>
    <fill>
      <patternFill patternType="solid">
        <fgColor theme="4" tint="0.89999084444715716"/>
        <bgColor indexed="64"/>
      </patternFill>
    </fill>
    <fill>
      <patternFill patternType="solid">
        <fgColor rgb="FF00355F"/>
        <bgColor indexed="64"/>
      </patternFill>
    </fill>
    <fill>
      <patternFill patternType="solid">
        <fgColor rgb="FFD5ECFF"/>
        <bgColor indexed="64"/>
      </patternFill>
    </fill>
    <fill>
      <patternFill patternType="solid">
        <fgColor rgb="FFF2F2F2"/>
        <bgColor indexed="64"/>
      </patternFill>
    </fill>
    <fill>
      <patternFill patternType="solid">
        <fgColor theme="4"/>
        <bgColor indexed="64"/>
      </patternFill>
    </fill>
    <fill>
      <patternFill patternType="solid">
        <fgColor theme="0" tint="-0.499984740745262"/>
        <bgColor indexed="64"/>
      </patternFill>
    </fill>
    <fill>
      <patternFill patternType="solid">
        <fgColor rgb="FFACD4F1"/>
        <bgColor indexed="64"/>
      </patternFill>
    </fill>
    <fill>
      <patternFill patternType="solid">
        <fgColor rgb="FFFFFFCC"/>
        <bgColor indexed="64"/>
      </patternFill>
    </fill>
    <fill>
      <patternFill patternType="solid">
        <fgColor theme="6" tint="0.59996337778862885"/>
        <bgColor indexed="64"/>
      </patternFill>
    </fill>
    <fill>
      <patternFill patternType="solid">
        <fgColor theme="6" tint="0.59999389629810485"/>
        <bgColor indexed="64"/>
      </patternFill>
    </fill>
    <fill>
      <patternFill patternType="solid">
        <fgColor theme="4" tint="0.89996032593768116"/>
        <bgColor indexed="64"/>
      </patternFill>
    </fill>
    <fill>
      <patternFill patternType="solid">
        <fgColor theme="6" tint="0.79998168889431442"/>
        <bgColor indexed="64"/>
      </patternFill>
    </fill>
    <fill>
      <patternFill patternType="solid">
        <fgColor theme="0" tint="-0.34998626667073579"/>
        <bgColor indexed="64"/>
      </patternFill>
    </fill>
    <fill>
      <patternFill patternType="solid">
        <fgColor theme="9" tint="0.79998168889431442"/>
        <bgColor indexed="64"/>
      </patternFill>
    </fill>
    <fill>
      <patternFill patternType="solid">
        <fgColor theme="2" tint="0.79998168889431442"/>
        <bgColor indexed="64"/>
      </patternFill>
    </fill>
    <fill>
      <patternFill patternType="solid">
        <fgColor theme="1" tint="0.499984740745262"/>
        <bgColor indexed="64"/>
      </patternFill>
    </fill>
    <fill>
      <patternFill patternType="solid">
        <fgColor theme="6" tint="-0.249977111117893"/>
        <bgColor indexed="64"/>
      </patternFill>
    </fill>
    <fill>
      <patternFill patternType="solid">
        <fgColor rgb="FFF67F26"/>
        <bgColor indexed="64"/>
      </patternFill>
    </fill>
    <fill>
      <patternFill patternType="solid">
        <fgColor rgb="FF007D00"/>
        <bgColor indexed="64"/>
      </patternFill>
    </fill>
    <fill>
      <patternFill patternType="solid">
        <fgColor rgb="FFFFFF00"/>
        <bgColor indexed="64"/>
      </patternFill>
    </fill>
    <fill>
      <patternFill patternType="solid">
        <fgColor theme="6"/>
        <bgColor indexed="64"/>
      </patternFill>
    </fill>
    <fill>
      <patternFill patternType="solid">
        <fgColor theme="2"/>
        <bgColor indexed="64"/>
      </patternFill>
    </fill>
    <fill>
      <patternFill patternType="solid">
        <fgColor theme="8"/>
        <bgColor indexed="64"/>
      </patternFill>
    </fill>
    <fill>
      <patternFill patternType="solid">
        <fgColor rgb="FF002060"/>
        <bgColor indexed="64"/>
      </patternFill>
    </fill>
  </fills>
  <borders count="163">
    <border>
      <left/>
      <right/>
      <top/>
      <bottom/>
      <diagonal/>
    </border>
    <border>
      <left/>
      <right/>
      <top/>
      <bottom style="thick">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style="thin">
        <color indexed="8"/>
      </bottom>
      <diagonal/>
    </border>
    <border>
      <left/>
      <right/>
      <top style="thin">
        <color indexed="64"/>
      </top>
      <bottom style="medium">
        <color indexed="64"/>
      </bottom>
      <diagonal/>
    </border>
    <border>
      <left/>
      <right/>
      <top/>
      <bottom style="medium">
        <color indexed="64"/>
      </bottom>
      <diagonal/>
    </border>
    <border>
      <left/>
      <right/>
      <top/>
      <bottom style="thin">
        <color indexed="64"/>
      </bottom>
      <diagonal/>
    </border>
    <border>
      <left/>
      <right/>
      <top style="thin">
        <color indexed="64"/>
      </top>
      <bottom/>
      <diagonal/>
    </border>
    <border>
      <left/>
      <right/>
      <top style="thin">
        <color indexed="64"/>
      </top>
      <bottom style="thin">
        <color indexed="64"/>
      </bottom>
      <diagonal/>
    </border>
    <border>
      <left style="thin">
        <color indexed="64"/>
      </left>
      <right/>
      <top/>
      <bottom style="thin">
        <color indexed="64"/>
      </bottom>
      <diagonal/>
    </border>
    <border>
      <left style="thin">
        <color indexed="64"/>
      </left>
      <right/>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style="medium">
        <color indexed="64"/>
      </top>
      <bottom style="medium">
        <color indexed="64"/>
      </bottom>
      <diagonal/>
    </border>
    <border>
      <left style="thin">
        <color rgb="FF3F3F3F"/>
      </left>
      <right style="thin">
        <color rgb="FF3F3F3F"/>
      </right>
      <top style="thin">
        <color rgb="FF3F3F3F"/>
      </top>
      <bottom style="thin">
        <color rgb="FF3F3F3F"/>
      </bottom>
      <diagonal/>
    </border>
    <border>
      <left/>
      <right/>
      <top/>
      <bottom style="thin">
        <color rgb="FF3F3F3F"/>
      </bottom>
      <diagonal/>
    </border>
    <border>
      <left/>
      <right/>
      <top style="thin">
        <color rgb="FF3F3F3F"/>
      </top>
      <bottom style="thin">
        <color rgb="FF3F3F3F"/>
      </bottom>
      <diagonal/>
    </border>
    <border>
      <left/>
      <right style="thin">
        <color rgb="FF3F3F3F"/>
      </right>
      <top style="thin">
        <color rgb="FF3F3F3F"/>
      </top>
      <bottom style="thin">
        <color rgb="FF3F3F3F"/>
      </bottom>
      <diagonal/>
    </border>
    <border>
      <left style="thin">
        <color rgb="FF3F3F3F"/>
      </left>
      <right/>
      <top style="thin">
        <color rgb="FF3F3F3F"/>
      </top>
      <bottom style="thin">
        <color rgb="FF3F3F3F"/>
      </bottom>
      <diagonal/>
    </border>
    <border>
      <left/>
      <right/>
      <top style="thin">
        <color rgb="FF3F3F3F"/>
      </top>
      <bottom/>
      <diagonal/>
    </border>
    <border>
      <left/>
      <right/>
      <top style="hair">
        <color indexed="8"/>
      </top>
      <bottom style="hair">
        <color indexed="8"/>
      </bottom>
      <diagonal/>
    </border>
    <border>
      <left/>
      <right/>
      <top style="thin">
        <color indexed="8"/>
      </top>
      <bottom style="thin">
        <color indexed="8"/>
      </bottom>
      <diagonal/>
    </border>
    <border>
      <left/>
      <right/>
      <top/>
      <bottom style="medium">
        <color indexed="18"/>
      </bottom>
      <diagonal/>
    </border>
    <border>
      <left style="medium">
        <color indexed="9"/>
      </left>
      <right style="medium">
        <color indexed="9"/>
      </right>
      <top/>
      <bottom/>
      <diagonal/>
    </border>
    <border>
      <left/>
      <right style="thin">
        <color indexed="8"/>
      </right>
      <top style="thin">
        <color indexed="8"/>
      </top>
      <bottom/>
      <diagonal/>
    </border>
    <border>
      <left style="thick">
        <color indexed="9"/>
      </left>
      <right style="thick">
        <color indexed="9"/>
      </right>
      <top/>
      <bottom style="double">
        <color indexed="64"/>
      </bottom>
      <diagonal/>
    </border>
    <border>
      <left/>
      <right/>
      <top style="thin">
        <color auto="1"/>
      </top>
      <bottom style="thin">
        <color auto="1"/>
      </bottom>
      <diagonal/>
    </border>
    <border>
      <left/>
      <right style="thin">
        <color indexed="64"/>
      </right>
      <top/>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right/>
      <top style="thin">
        <color indexed="8"/>
      </top>
      <bottom style="thin">
        <color indexed="8"/>
      </bottom>
      <diagonal/>
    </border>
    <border>
      <left/>
      <right/>
      <top/>
      <bottom style="thin">
        <color indexed="8"/>
      </bottom>
      <diagonal/>
    </border>
    <border>
      <left/>
      <right/>
      <top style="thin">
        <color auto="1"/>
      </top>
      <bottom style="thin">
        <color auto="1"/>
      </bottom>
      <diagonal/>
    </border>
    <border>
      <left style="thin">
        <color indexed="9"/>
      </left>
      <right style="thin">
        <color indexed="9"/>
      </right>
      <top style="thin">
        <color indexed="9"/>
      </top>
      <bottom style="thin">
        <color indexed="9"/>
      </bottom>
      <diagonal/>
    </border>
    <border>
      <left style="medium">
        <color indexed="9"/>
      </left>
      <right style="medium">
        <color indexed="9"/>
      </right>
      <top style="medium">
        <color indexed="9"/>
      </top>
      <bottom style="medium">
        <color indexed="9"/>
      </bottom>
      <diagonal/>
    </border>
    <border>
      <left/>
      <right style="medium">
        <color indexed="9"/>
      </right>
      <top/>
      <bottom style="medium">
        <color indexed="9"/>
      </bottom>
      <diagonal/>
    </border>
    <border>
      <left/>
      <right/>
      <top/>
      <bottom style="thin">
        <color indexed="4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thin">
        <color indexed="64"/>
      </top>
      <bottom/>
      <diagonal/>
    </border>
    <border>
      <left style="hair">
        <color indexed="64"/>
      </left>
      <right style="hair">
        <color indexed="64"/>
      </right>
      <top style="hair">
        <color indexed="64"/>
      </top>
      <bottom style="hair">
        <color indexed="64"/>
      </bottom>
      <diagonal/>
    </border>
    <border>
      <left/>
      <right/>
      <top/>
      <bottom style="dotted">
        <color indexed="64"/>
      </bottom>
      <diagonal/>
    </border>
    <border>
      <left style="thin">
        <color indexed="9"/>
      </left>
      <right style="thin">
        <color indexed="9"/>
      </right>
      <top/>
      <bottom/>
      <diagonal/>
    </border>
    <border>
      <left/>
      <right/>
      <top/>
      <bottom style="thick">
        <color indexed="49"/>
      </bottom>
      <diagonal/>
    </border>
    <border>
      <left/>
      <right/>
      <top/>
      <bottom style="thick">
        <color indexed="22"/>
      </bottom>
      <diagonal/>
    </border>
    <border>
      <left/>
      <right/>
      <top/>
      <bottom style="medium">
        <color indexed="49"/>
      </bottom>
      <diagonal/>
    </border>
    <border>
      <left style="thin">
        <color indexed="23"/>
      </left>
      <right style="thin">
        <color indexed="23"/>
      </right>
      <top style="thin">
        <color indexed="23"/>
      </top>
      <bottom style="thin">
        <color indexed="23"/>
      </bottom>
      <diagonal/>
    </border>
    <border>
      <left/>
      <right/>
      <top/>
      <bottom style="double">
        <color indexed="52"/>
      </bottom>
      <diagonal/>
    </border>
    <border>
      <left style="medium">
        <color indexed="64"/>
      </left>
      <right style="thin">
        <color indexed="64"/>
      </right>
      <top style="thin">
        <color indexed="64"/>
      </top>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23"/>
      </top>
      <bottom style="medium">
        <color indexed="23"/>
      </bottom>
      <diagonal/>
    </border>
    <border>
      <left style="thin">
        <color indexed="9"/>
      </left>
      <right style="thin">
        <color indexed="9"/>
      </right>
      <top style="thin">
        <color indexed="9"/>
      </top>
      <bottom style="thin">
        <color indexed="9"/>
      </bottom>
      <diagonal/>
    </border>
    <border>
      <left/>
      <right/>
      <top style="thin">
        <color indexed="49"/>
      </top>
      <bottom style="double">
        <color indexed="49"/>
      </bottom>
      <diagonal/>
    </border>
    <border>
      <left style="medium">
        <color indexed="9"/>
      </left>
      <right style="medium">
        <color indexed="49"/>
      </right>
      <top/>
      <bottom/>
      <diagonal/>
    </border>
    <border>
      <left/>
      <right/>
      <top style="thin">
        <color indexed="64"/>
      </top>
      <bottom/>
      <diagonal/>
    </border>
    <border>
      <left/>
      <right style="thin">
        <color auto="1"/>
      </right>
      <top style="thin">
        <color auto="1"/>
      </top>
      <bottom/>
      <diagonal/>
    </border>
    <border>
      <left/>
      <right/>
      <top/>
      <bottom style="thin">
        <color auto="1"/>
      </bottom>
      <diagonal/>
    </border>
    <border>
      <left style="thin">
        <color auto="1"/>
      </left>
      <right/>
      <top style="thin">
        <color auto="1"/>
      </top>
      <bottom style="thin">
        <color auto="1"/>
      </bottom>
      <diagonal/>
    </border>
    <border>
      <left style="thin">
        <color indexed="64"/>
      </left>
      <right/>
      <top style="thin">
        <color indexed="64"/>
      </top>
      <bottom/>
      <diagonal/>
    </border>
    <border>
      <left style="dotted">
        <color rgb="FFFF0000"/>
      </left>
      <right style="dotted">
        <color rgb="FFFF0000"/>
      </right>
      <top style="dotted">
        <color rgb="FFFF0000"/>
      </top>
      <bottom style="dotted">
        <color rgb="FFFF0000"/>
      </bottom>
      <diagonal/>
    </border>
    <border>
      <left style="thin">
        <color auto="1"/>
      </left>
      <right style="thin">
        <color auto="1"/>
      </right>
      <top style="thin">
        <color auto="1"/>
      </top>
      <bottom style="medium">
        <color auto="1"/>
      </bottom>
      <diagonal/>
    </border>
    <border>
      <left/>
      <right style="thin">
        <color auto="1"/>
      </right>
      <top style="thin">
        <color auto="1"/>
      </top>
      <bottom style="medium">
        <color auto="1"/>
      </bottom>
      <diagonal/>
    </border>
    <border>
      <left style="dotted">
        <color indexed="64"/>
      </left>
      <right style="dotted">
        <color indexed="64"/>
      </right>
      <top style="dotted">
        <color indexed="64"/>
      </top>
      <bottom/>
      <diagonal/>
    </border>
    <border>
      <left style="dotted">
        <color indexed="64"/>
      </left>
      <right style="dotted">
        <color indexed="64"/>
      </right>
      <top/>
      <bottom/>
      <diagonal/>
    </border>
    <border>
      <left style="dotted">
        <color indexed="64"/>
      </left>
      <right style="dotted">
        <color indexed="64"/>
      </right>
      <top/>
      <bottom style="dotted">
        <color indexed="64"/>
      </bottom>
      <diagonal/>
    </border>
    <border>
      <left/>
      <right/>
      <top/>
      <bottom style="medium">
        <color theme="0"/>
      </bottom>
      <diagonal/>
    </border>
    <border>
      <left/>
      <right/>
      <top/>
      <bottom style="thin">
        <color theme="0"/>
      </bottom>
      <diagonal/>
    </border>
    <border>
      <left/>
      <right style="thin">
        <color theme="0"/>
      </right>
      <top/>
      <bottom/>
      <diagonal/>
    </border>
    <border>
      <left style="medium">
        <color theme="2"/>
      </left>
      <right style="medium">
        <color theme="2"/>
      </right>
      <top style="medium">
        <color theme="2"/>
      </top>
      <bottom style="medium">
        <color theme="2"/>
      </bottom>
      <diagonal/>
    </border>
    <border>
      <left style="medium">
        <color theme="2"/>
      </left>
      <right/>
      <top/>
      <bottom style="thin">
        <color theme="2"/>
      </bottom>
      <diagonal/>
    </border>
    <border>
      <left/>
      <right/>
      <top/>
      <bottom style="thin">
        <color theme="2"/>
      </bottom>
      <diagonal/>
    </border>
    <border>
      <left/>
      <right/>
      <top/>
      <bottom style="thick">
        <color theme="4"/>
      </bottom>
      <diagonal/>
    </border>
    <border>
      <left style="dotted">
        <color theme="2"/>
      </left>
      <right style="dotted">
        <color theme="2"/>
      </right>
      <top style="dotted">
        <color theme="2"/>
      </top>
      <bottom/>
      <diagonal/>
    </border>
    <border>
      <left style="dotted">
        <color theme="2"/>
      </left>
      <right style="dotted">
        <color theme="2"/>
      </right>
      <top/>
      <bottom/>
      <diagonal/>
    </border>
    <border>
      <left style="dotted">
        <color theme="2"/>
      </left>
      <right style="dotted">
        <color theme="2"/>
      </right>
      <top/>
      <bottom style="dotted">
        <color theme="2"/>
      </bottom>
      <diagonal/>
    </border>
    <border>
      <left style="dotted">
        <color theme="1"/>
      </left>
      <right style="dotted">
        <color theme="1"/>
      </right>
      <top/>
      <bottom/>
      <diagonal/>
    </border>
    <border>
      <left style="medium">
        <color indexed="64"/>
      </left>
      <right style="medium">
        <color indexed="64"/>
      </right>
      <top style="medium">
        <color indexed="64"/>
      </top>
      <bottom style="medium">
        <color indexed="64"/>
      </bottom>
      <diagonal/>
    </border>
    <border>
      <left/>
      <right style="dotted">
        <color indexed="64"/>
      </right>
      <top/>
      <bottom/>
      <diagonal/>
    </border>
    <border>
      <left style="dotted">
        <color rgb="FFFF0000"/>
      </left>
      <right/>
      <top style="dotted">
        <color rgb="FFFF0000"/>
      </top>
      <bottom/>
      <diagonal/>
    </border>
    <border>
      <left style="dotted">
        <color rgb="FFFF0000"/>
      </left>
      <right/>
      <top/>
      <bottom/>
      <diagonal/>
    </border>
    <border>
      <left/>
      <right style="dotted">
        <color indexed="64"/>
      </right>
      <top/>
      <bottom style="dotted">
        <color indexed="64"/>
      </bottom>
      <diagonal/>
    </border>
    <border>
      <left style="dotted">
        <color theme="2"/>
      </left>
      <right style="dotted">
        <color theme="2"/>
      </right>
      <top style="dotted">
        <color theme="2"/>
      </top>
      <bottom style="thin">
        <color theme="2"/>
      </bottom>
      <diagonal/>
    </border>
    <border>
      <left/>
      <right style="thin">
        <color theme="0"/>
      </right>
      <top/>
      <bottom style="thin">
        <color theme="0"/>
      </bottom>
      <diagonal/>
    </border>
    <border>
      <left/>
      <right style="dotted">
        <color rgb="FFFF0000"/>
      </right>
      <top style="dotted">
        <color rgb="FFFF0000"/>
      </top>
      <bottom/>
      <diagonal/>
    </border>
    <border>
      <left/>
      <right style="dotted">
        <color rgb="FFFF0000"/>
      </right>
      <top/>
      <bottom/>
      <diagonal/>
    </border>
    <border>
      <left style="dotted">
        <color rgb="FFFF0000"/>
      </left>
      <right/>
      <top/>
      <bottom style="dotted">
        <color rgb="FFFF0000"/>
      </bottom>
      <diagonal/>
    </border>
    <border>
      <left/>
      <right style="dotted">
        <color rgb="FFFF0000"/>
      </right>
      <top/>
      <bottom style="dotted">
        <color rgb="FFFF0000"/>
      </bottom>
      <diagonal/>
    </border>
    <border>
      <left style="dotted">
        <color rgb="FFFF0000"/>
      </left>
      <right style="dotted">
        <color theme="1"/>
      </right>
      <top/>
      <bottom/>
      <diagonal/>
    </border>
    <border>
      <left style="dotted">
        <color rgb="FFFF0000"/>
      </left>
      <right style="dotted">
        <color theme="1"/>
      </right>
      <top/>
      <bottom style="dotted">
        <color theme="1"/>
      </bottom>
      <diagonal/>
    </border>
    <border>
      <left style="dotted">
        <color rgb="FFFF0000"/>
      </left>
      <right style="dotted">
        <color theme="1"/>
      </right>
      <top style="dotted">
        <color auto="1"/>
      </top>
      <bottom/>
      <diagonal/>
    </border>
    <border>
      <left style="dotted">
        <color theme="6"/>
      </left>
      <right style="dotted">
        <color theme="6"/>
      </right>
      <top style="dotted">
        <color theme="6"/>
      </top>
      <bottom/>
      <diagonal/>
    </border>
    <border>
      <left style="dotted">
        <color theme="6"/>
      </left>
      <right style="dotted">
        <color theme="6"/>
      </right>
      <top/>
      <bottom/>
      <diagonal/>
    </border>
    <border>
      <left style="dotted">
        <color theme="6"/>
      </left>
      <right style="dotted">
        <color theme="6"/>
      </right>
      <top/>
      <bottom style="dotted">
        <color theme="6"/>
      </bottom>
      <diagonal/>
    </border>
    <border>
      <left style="dotted">
        <color indexed="64"/>
      </left>
      <right/>
      <top/>
      <bottom/>
      <diagonal/>
    </border>
    <border>
      <left/>
      <right style="dotted">
        <color auto="1"/>
      </right>
      <top style="dotted">
        <color auto="1"/>
      </top>
      <bottom/>
      <diagonal/>
    </border>
    <border>
      <left style="dashed">
        <color auto="1"/>
      </left>
      <right/>
      <top style="dashed">
        <color auto="1"/>
      </top>
      <bottom/>
      <diagonal/>
    </border>
    <border>
      <left/>
      <right style="dashed">
        <color auto="1"/>
      </right>
      <top style="dashed">
        <color auto="1"/>
      </top>
      <bottom/>
      <diagonal/>
    </border>
    <border>
      <left style="dashed">
        <color auto="1"/>
      </left>
      <right/>
      <top/>
      <bottom/>
      <diagonal/>
    </border>
    <border>
      <left/>
      <right style="dashed">
        <color auto="1"/>
      </right>
      <top/>
      <bottom/>
      <diagonal/>
    </border>
    <border>
      <left style="dashed">
        <color auto="1"/>
      </left>
      <right/>
      <top/>
      <bottom style="dashed">
        <color auto="1"/>
      </bottom>
      <diagonal/>
    </border>
    <border>
      <left/>
      <right style="dashed">
        <color auto="1"/>
      </right>
      <top/>
      <bottom style="dashed">
        <color auto="1"/>
      </bottom>
      <diagonal/>
    </border>
    <border>
      <left style="dashed">
        <color auto="1"/>
      </left>
      <right style="dashed">
        <color auto="1"/>
      </right>
      <top style="dashed">
        <color auto="1"/>
      </top>
      <bottom/>
      <diagonal/>
    </border>
    <border>
      <left style="dashed">
        <color auto="1"/>
      </left>
      <right style="dashed">
        <color auto="1"/>
      </right>
      <top/>
      <bottom/>
      <diagonal/>
    </border>
    <border>
      <left style="dashed">
        <color auto="1"/>
      </left>
      <right style="dashed">
        <color auto="1"/>
      </right>
      <top/>
      <bottom style="dashed">
        <color auto="1"/>
      </bottom>
      <diagonal/>
    </border>
    <border>
      <left style="thin">
        <color theme="0"/>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rgb="FFFF0000"/>
      </left>
      <right/>
      <top style="thin">
        <color rgb="FFFF0000"/>
      </top>
      <bottom style="thin">
        <color rgb="FFFF0000"/>
      </bottom>
      <diagonal/>
    </border>
    <border>
      <left/>
      <right style="thin">
        <color rgb="FFFF0000"/>
      </right>
      <top style="thin">
        <color rgb="FFFF0000"/>
      </top>
      <bottom style="thin">
        <color rgb="FFFF0000"/>
      </bottom>
      <diagonal/>
    </border>
    <border>
      <left style="thin">
        <color theme="3"/>
      </left>
      <right style="thin">
        <color theme="3"/>
      </right>
      <top style="thin">
        <color theme="3"/>
      </top>
      <bottom style="thin">
        <color theme="3"/>
      </bottom>
      <diagonal/>
    </border>
    <border>
      <left/>
      <right/>
      <top/>
      <bottom style="dotted">
        <color rgb="FFFF0000"/>
      </bottom>
      <diagonal/>
    </border>
    <border>
      <left style="dotted">
        <color theme="6"/>
      </left>
      <right style="dotted">
        <color theme="2"/>
      </right>
      <top style="dotted">
        <color theme="6"/>
      </top>
      <bottom/>
      <diagonal/>
    </border>
    <border>
      <left style="dotted">
        <color theme="6"/>
      </left>
      <right style="dotted">
        <color theme="2"/>
      </right>
      <top/>
      <bottom/>
      <diagonal/>
    </border>
    <border>
      <left style="dotted">
        <color theme="6"/>
      </left>
      <right/>
      <top/>
      <bottom/>
      <diagonal/>
    </border>
    <border>
      <left style="dotted">
        <color theme="6"/>
      </left>
      <right style="dotted">
        <color theme="2"/>
      </right>
      <top/>
      <bottom style="dotted">
        <color theme="6"/>
      </bottom>
      <diagonal/>
    </border>
    <border>
      <left/>
      <right/>
      <top style="dotted">
        <color rgb="FFFF0000"/>
      </top>
      <bottom/>
      <diagonal/>
    </border>
    <border>
      <left style="medium">
        <color indexed="64"/>
      </left>
      <right/>
      <top style="medium">
        <color indexed="64"/>
      </top>
      <bottom/>
      <diagonal/>
    </border>
    <border>
      <left style="medium">
        <color indexed="64"/>
      </left>
      <right style="medium">
        <color indexed="64"/>
      </right>
      <top style="medium">
        <color indexed="64"/>
      </top>
      <bottom/>
      <diagonal/>
    </border>
    <border>
      <left style="medium">
        <color indexed="64"/>
      </left>
      <right/>
      <top/>
      <bottom/>
      <diagonal/>
    </border>
    <border>
      <left style="medium">
        <color indexed="64"/>
      </left>
      <right style="medium">
        <color indexed="64"/>
      </right>
      <top/>
      <bottom/>
      <diagonal/>
    </border>
    <border>
      <left style="medium">
        <color indexed="64"/>
      </left>
      <right/>
      <top/>
      <bottom style="medium">
        <color indexed="64"/>
      </bottom>
      <diagonal/>
    </border>
    <border>
      <left style="medium">
        <color indexed="64"/>
      </left>
      <right style="medium">
        <color indexed="64"/>
      </right>
      <top/>
      <bottom style="medium">
        <color indexed="64"/>
      </bottom>
      <diagonal/>
    </border>
    <border>
      <left/>
      <right/>
      <top style="thin">
        <color auto="1"/>
      </top>
      <bottom/>
      <diagonal/>
    </border>
    <border>
      <left/>
      <right style="thin">
        <color indexed="64"/>
      </right>
      <top style="thin">
        <color auto="1"/>
      </top>
      <bottom/>
      <diagonal/>
    </border>
    <border>
      <left/>
      <right/>
      <top style="thin">
        <color auto="1"/>
      </top>
      <bottom/>
      <diagonal/>
    </border>
    <border>
      <left/>
      <right style="thin">
        <color indexed="64"/>
      </right>
      <top/>
      <bottom style="thin">
        <color auto="1"/>
      </bottom>
      <diagonal/>
    </border>
    <border>
      <left style="thin">
        <color indexed="64"/>
      </left>
      <right/>
      <top style="thin">
        <color auto="1"/>
      </top>
      <bottom/>
      <diagonal/>
    </border>
    <border>
      <left style="thin">
        <color indexed="64"/>
      </left>
      <right/>
      <top/>
      <bottom style="thin">
        <color auto="1"/>
      </bottom>
      <diagonal/>
    </border>
    <border>
      <left/>
      <right style="medium">
        <color indexed="64"/>
      </right>
      <top/>
      <bottom/>
      <diagonal/>
    </border>
    <border>
      <left/>
      <right style="medium">
        <color indexed="64"/>
      </right>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thin">
        <color indexed="64"/>
      </top>
      <bottom/>
      <diagonal/>
    </border>
    <border>
      <left style="thin">
        <color indexed="64"/>
      </left>
      <right/>
      <top style="medium">
        <color indexed="64"/>
      </top>
      <bottom/>
      <diagonal/>
    </border>
    <border>
      <left/>
      <right/>
      <top style="medium">
        <color indexed="64"/>
      </top>
      <bottom/>
      <diagonal/>
    </border>
    <border>
      <left/>
      <right style="thin">
        <color indexed="64"/>
      </right>
      <top style="medium">
        <color indexed="64"/>
      </top>
      <bottom/>
      <diagonal/>
    </border>
    <border>
      <left style="thin">
        <color auto="1"/>
      </left>
      <right/>
      <top style="thin">
        <color auto="1"/>
      </top>
      <bottom/>
      <diagonal/>
    </border>
    <border>
      <left/>
      <right style="thin">
        <color auto="1"/>
      </right>
      <top style="thin">
        <color auto="1"/>
      </top>
      <bottom/>
      <diagonal/>
    </border>
    <border>
      <left style="thin">
        <color indexed="64"/>
      </left>
      <right/>
      <top/>
      <bottom style="medium">
        <color indexed="64"/>
      </bottom>
      <diagonal/>
    </border>
    <border>
      <left/>
      <right/>
      <top style="thin">
        <color indexed="64"/>
      </top>
      <bottom/>
      <diagonal/>
    </border>
    <border>
      <left/>
      <right/>
      <top style="thin">
        <color indexed="64"/>
      </top>
      <bottom/>
      <diagonal/>
    </border>
    <border>
      <left/>
      <right style="thin">
        <color auto="1"/>
      </right>
      <top style="thin">
        <color auto="1"/>
      </top>
      <bottom/>
      <diagonal/>
    </border>
    <border>
      <left/>
      <right style="thin">
        <color indexed="64"/>
      </right>
      <top style="thin">
        <color auto="1"/>
      </top>
      <bottom style="thin">
        <color auto="1"/>
      </bottom>
      <diagonal/>
    </border>
    <border>
      <left style="thin">
        <color auto="1"/>
      </left>
      <right/>
      <top/>
      <bottom/>
      <diagonal/>
    </border>
    <border>
      <left style="medium">
        <color indexed="64"/>
      </left>
      <right style="thin">
        <color indexed="64"/>
      </right>
      <top style="medium">
        <color indexed="64"/>
      </top>
      <bottom style="medium">
        <color indexed="64"/>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medium">
        <color indexed="64"/>
      </left>
      <right style="thin">
        <color indexed="64"/>
      </right>
      <top style="thin">
        <color auto="1"/>
      </top>
      <bottom style="thin">
        <color indexed="64"/>
      </bottom>
      <diagonal/>
    </border>
    <border>
      <left/>
      <right style="medium">
        <color indexed="64"/>
      </right>
      <top style="thin">
        <color auto="1"/>
      </top>
      <bottom style="thin">
        <color indexed="64"/>
      </bottom>
      <diagonal/>
    </border>
    <border>
      <left/>
      <right/>
      <top style="thin">
        <color indexed="64"/>
      </top>
      <bottom/>
      <diagonal/>
    </border>
    <border>
      <left/>
      <right style="thin">
        <color auto="1"/>
      </right>
      <top style="thin">
        <color auto="1"/>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2527">
    <xf numFmtId="0" fontId="0" fillId="0" borderId="0"/>
    <xf numFmtId="0" fontId="7" fillId="0" borderId="0"/>
    <xf numFmtId="171" fontId="9" fillId="2" borderId="0" applyNumberFormat="0" applyFont="0" applyBorder="0" applyAlignment="0">
      <protection locked="0"/>
    </xf>
    <xf numFmtId="1" fontId="10" fillId="0" borderId="0"/>
    <xf numFmtId="172" fontId="10" fillId="0" borderId="0"/>
    <xf numFmtId="173" fontId="10" fillId="0" borderId="0"/>
    <xf numFmtId="172" fontId="10" fillId="0" borderId="0"/>
    <xf numFmtId="2" fontId="10" fillId="0" borderId="0"/>
    <xf numFmtId="10" fontId="10" fillId="0" borderId="0"/>
    <xf numFmtId="2" fontId="10" fillId="0" borderId="0"/>
    <xf numFmtId="1" fontId="10" fillId="0" borderId="0"/>
    <xf numFmtId="1" fontId="10" fillId="0" borderId="0"/>
    <xf numFmtId="1" fontId="10" fillId="0" borderId="0"/>
    <xf numFmtId="1" fontId="10" fillId="0" borderId="0"/>
    <xf numFmtId="1" fontId="10" fillId="0" borderId="0"/>
    <xf numFmtId="1" fontId="10" fillId="0" borderId="0"/>
    <xf numFmtId="1" fontId="10" fillId="0" borderId="0"/>
    <xf numFmtId="0" fontId="7" fillId="0" borderId="1" applyNumberFormat="0" applyFont="0" applyFill="0" applyBorder="0" applyAlignment="0">
      <alignment horizontal="left"/>
    </xf>
    <xf numFmtId="0" fontId="7" fillId="0" borderId="1" applyNumberFormat="0" applyFont="0" applyFill="0" applyBorder="0" applyAlignment="0">
      <alignment horizontal="left"/>
    </xf>
    <xf numFmtId="0" fontId="7" fillId="0" borderId="1" applyNumberFormat="0" applyFont="0" applyFill="0" applyBorder="0" applyAlignment="0">
      <alignment horizontal="left"/>
    </xf>
    <xf numFmtId="174" fontId="11" fillId="0" borderId="1" applyNumberFormat="0" applyFont="0" applyFill="0" applyBorder="0" applyAlignment="0"/>
    <xf numFmtId="0" fontId="12" fillId="0" borderId="0" applyNumberFormat="0" applyFill="0" applyBorder="0" applyAlignment="0" applyProtection="0"/>
    <xf numFmtId="0" fontId="10" fillId="0" borderId="0">
      <alignment horizontal="center" wrapText="1"/>
      <protection hidden="1"/>
    </xf>
    <xf numFmtId="169" fontId="7" fillId="0" borderId="0" applyFont="0" applyFill="0" applyBorder="0" applyAlignment="0" applyProtection="0"/>
    <xf numFmtId="169" fontId="7" fillId="0" borderId="0" applyFont="0" applyFill="0" applyBorder="0" applyAlignment="0" applyProtection="0"/>
    <xf numFmtId="0" fontId="13" fillId="3" borderId="0">
      <alignment horizontal="center" vertical="center" wrapText="1"/>
    </xf>
    <xf numFmtId="175" fontId="10" fillId="0" borderId="0" applyFill="0" applyBorder="0">
      <alignment horizontal="right"/>
      <protection locked="0"/>
    </xf>
    <xf numFmtId="165" fontId="14" fillId="0" borderId="2" applyBorder="0"/>
    <xf numFmtId="176" fontId="15" fillId="0" borderId="0"/>
    <xf numFmtId="0" fontId="16" fillId="0" borderId="0" applyNumberFormat="0" applyFill="0" applyBorder="0" applyAlignment="0" applyProtection="0"/>
    <xf numFmtId="0" fontId="7" fillId="0" borderId="0" applyNumberFormat="0" applyFill="0" applyBorder="0" applyAlignment="0" applyProtection="0">
      <alignment horizontal="left"/>
    </xf>
    <xf numFmtId="0" fontId="7" fillId="0" borderId="0" applyNumberFormat="0" applyFill="0" applyBorder="0" applyAlignment="0" applyProtection="0">
      <alignment horizontal="left"/>
    </xf>
    <xf numFmtId="0" fontId="7" fillId="0" borderId="0" applyNumberFormat="0" applyFill="0" applyBorder="0" applyAlignment="0" applyProtection="0">
      <alignment horizontal="left"/>
    </xf>
    <xf numFmtId="0" fontId="7" fillId="0" borderId="1" applyNumberFormat="0" applyFill="0" applyBorder="0" applyAlignment="0" applyProtection="0">
      <alignment horizontal="left"/>
    </xf>
    <xf numFmtId="0" fontId="7" fillId="0" borderId="1" applyNumberFormat="0" applyFill="0" applyBorder="0" applyAlignment="0" applyProtection="0">
      <alignment horizontal="left"/>
    </xf>
    <xf numFmtId="0" fontId="7" fillId="0" borderId="1" applyNumberFormat="0" applyFill="0" applyBorder="0" applyAlignment="0" applyProtection="0">
      <alignment horizontal="left"/>
    </xf>
    <xf numFmtId="0" fontId="10" fillId="0" borderId="0" applyFill="0" applyBorder="0">
      <alignment horizontal="right"/>
      <protection locked="0"/>
    </xf>
    <xf numFmtId="174" fontId="17" fillId="4" borderId="3" applyNumberFormat="0" applyAlignment="0">
      <alignment horizontal="right"/>
    </xf>
    <xf numFmtId="174" fontId="18" fillId="4" borderId="3" applyNumberFormat="0" applyAlignment="0">
      <alignment horizontal="right"/>
    </xf>
    <xf numFmtId="177" fontId="10" fillId="0" borderId="0" applyFill="0" applyBorder="0">
      <alignment horizontal="right"/>
      <protection locked="0"/>
    </xf>
    <xf numFmtId="0" fontId="19" fillId="5" borderId="4">
      <alignment horizontal="left" vertical="center" wrapText="1"/>
    </xf>
    <xf numFmtId="37" fontId="14" fillId="0" borderId="0"/>
    <xf numFmtId="38" fontId="20" fillId="0" borderId="0"/>
    <xf numFmtId="0" fontId="6" fillId="0" borderId="0"/>
    <xf numFmtId="178" fontId="21" fillId="0" borderId="0"/>
    <xf numFmtId="9" fontId="7" fillId="0" borderId="0" applyFont="0" applyFill="0" applyBorder="0" applyAlignment="0" applyProtection="0"/>
    <xf numFmtId="9" fontId="7" fillId="0" borderId="0" applyFont="0" applyFill="0" applyBorder="0" applyAlignment="0" applyProtection="0"/>
    <xf numFmtId="179" fontId="10" fillId="0" borderId="0" applyFill="0" applyBorder="0">
      <alignment horizontal="right"/>
      <protection locked="0"/>
    </xf>
    <xf numFmtId="180" fontId="18" fillId="6" borderId="3">
      <alignment horizontal="right"/>
    </xf>
    <xf numFmtId="181" fontId="10" fillId="0" borderId="0">
      <alignment horizontal="right"/>
      <protection locked="0"/>
    </xf>
    <xf numFmtId="182" fontId="22" fillId="0" borderId="5" applyNumberFormat="0" applyFont="0" applyFill="0" applyBorder="0" applyAlignment="0" applyProtection="0">
      <alignment horizontal="right" vertical="center"/>
      <protection locked="0"/>
    </xf>
    <xf numFmtId="183" fontId="23" fillId="0" borderId="0" applyFill="0" applyBorder="0">
      <alignment horizontal="right"/>
      <protection hidden="1"/>
    </xf>
    <xf numFmtId="0" fontId="24" fillId="3" borderId="3">
      <alignment horizontal="center" vertical="center" wrapText="1"/>
      <protection hidden="1"/>
    </xf>
    <xf numFmtId="0" fontId="25" fillId="0" borderId="0" applyNumberFormat="0" applyFill="0" applyBorder="0" applyAlignment="0" applyProtection="0">
      <alignment horizontal="left"/>
    </xf>
    <xf numFmtId="0" fontId="10" fillId="0" borderId="0" applyBorder="0"/>
    <xf numFmtId="0" fontId="26" fillId="7" borderId="0" applyNumberFormat="0" applyProtection="0">
      <alignment horizontal="left"/>
    </xf>
    <xf numFmtId="174" fontId="17" fillId="8" borderId="3" applyNumberFormat="0" applyAlignment="0">
      <alignment horizontal="right"/>
    </xf>
    <xf numFmtId="174" fontId="18" fillId="8" borderId="3" applyNumberFormat="0" applyAlignment="0">
      <alignment horizontal="right"/>
    </xf>
    <xf numFmtId="0" fontId="27" fillId="0" borderId="0"/>
    <xf numFmtId="0" fontId="49" fillId="20" borderId="0" applyNumberFormat="0" applyBorder="0" applyAlignment="0" applyProtection="0"/>
    <xf numFmtId="0" fontId="50" fillId="21" borderId="0" applyNumberFormat="0" applyBorder="0" applyAlignment="0" applyProtection="0"/>
    <xf numFmtId="0" fontId="51" fillId="22" borderId="0" applyNumberFormat="0" applyBorder="0" applyAlignment="0" applyProtection="0"/>
    <xf numFmtId="0" fontId="52" fillId="23" borderId="15" applyNumberFormat="0" applyAlignment="0" applyProtection="0"/>
    <xf numFmtId="195" fontId="56" fillId="0" borderId="0" applyFont="0" applyFill="0" applyBorder="0" applyAlignment="0" applyProtection="0"/>
    <xf numFmtId="196" fontId="56" fillId="0" borderId="0" applyFont="0" applyFill="0" applyBorder="0" applyAlignment="0" applyProtection="0"/>
    <xf numFmtId="197" fontId="56" fillId="0" borderId="0" applyFont="0" applyFill="0" applyBorder="0" applyAlignment="0" applyProtection="0"/>
    <xf numFmtId="197" fontId="7" fillId="0" borderId="0" applyFont="0" applyFill="0" applyBorder="0" applyAlignment="0" applyProtection="0"/>
    <xf numFmtId="197" fontId="7" fillId="0" borderId="0" applyFont="0" applyFill="0" applyBorder="0" applyAlignment="0" applyProtection="0"/>
    <xf numFmtId="197" fontId="56" fillId="0" borderId="0" applyFont="0" applyFill="0" applyBorder="0" applyAlignment="0" applyProtection="0"/>
    <xf numFmtId="197" fontId="56" fillId="0" borderId="0" applyFont="0" applyFill="0" applyBorder="0" applyAlignment="0" applyProtection="0"/>
    <xf numFmtId="197" fontId="56" fillId="0" borderId="0" applyFont="0" applyFill="0" applyBorder="0" applyAlignment="0" applyProtection="0"/>
    <xf numFmtId="197" fontId="57" fillId="0" borderId="0" applyFont="0" applyFill="0" applyBorder="0" applyAlignment="0" applyProtection="0"/>
    <xf numFmtId="197" fontId="7" fillId="0" borderId="0" applyFont="0" applyFill="0" applyBorder="0" applyAlignment="0" applyProtection="0"/>
    <xf numFmtId="197" fontId="7" fillId="0" borderId="0" applyFont="0" applyFill="0" applyBorder="0" applyAlignment="0" applyProtection="0"/>
    <xf numFmtId="198" fontId="7" fillId="0" borderId="0" applyFont="0" applyFill="0" applyBorder="0" applyAlignment="0" applyProtection="0"/>
    <xf numFmtId="198" fontId="7" fillId="0" borderId="0" applyFont="0" applyFill="0" applyBorder="0" applyAlignment="0" applyProtection="0"/>
    <xf numFmtId="197" fontId="7" fillId="0" borderId="0" applyFont="0" applyFill="0" applyBorder="0" applyAlignment="0" applyProtection="0"/>
    <xf numFmtId="197" fontId="19" fillId="0" borderId="0" applyFont="0" applyFill="0" applyBorder="0" applyAlignment="0" applyProtection="0"/>
    <xf numFmtId="197" fontId="7" fillId="0" borderId="0" applyFont="0" applyFill="0" applyBorder="0" applyAlignment="0" applyProtection="0"/>
    <xf numFmtId="197" fontId="7" fillId="0" borderId="0" applyFont="0" applyFill="0" applyBorder="0" applyAlignment="0" applyProtection="0"/>
    <xf numFmtId="197" fontId="7" fillId="0" borderId="0" applyFont="0" applyFill="0" applyBorder="0" applyAlignment="0" applyProtection="0"/>
    <xf numFmtId="197" fontId="56" fillId="0" borderId="0" applyFont="0" applyFill="0" applyBorder="0" applyAlignment="0" applyProtection="0"/>
    <xf numFmtId="198" fontId="7" fillId="0" borderId="0" applyFont="0" applyFill="0" applyBorder="0" applyAlignment="0" applyProtection="0"/>
    <xf numFmtId="198" fontId="7" fillId="0" borderId="0" applyFont="0" applyFill="0" applyBorder="0" applyAlignment="0" applyProtection="0"/>
    <xf numFmtId="198" fontId="7" fillId="0" borderId="0" applyFont="0" applyFill="0" applyBorder="0" applyAlignment="0" applyProtection="0"/>
    <xf numFmtId="197" fontId="56" fillId="0" borderId="0" applyFont="0" applyFill="0" applyBorder="0" applyAlignment="0" applyProtection="0"/>
    <xf numFmtId="197" fontId="7" fillId="0" borderId="0" applyFont="0" applyFill="0" applyBorder="0" applyAlignment="0" applyProtection="0"/>
    <xf numFmtId="197" fontId="7" fillId="0" borderId="0" applyFont="0" applyFill="0" applyBorder="0" applyAlignment="0" applyProtection="0"/>
    <xf numFmtId="197" fontId="56" fillId="0" borderId="0" applyFont="0" applyFill="0" applyBorder="0" applyAlignment="0" applyProtection="0"/>
    <xf numFmtId="198" fontId="7" fillId="0" borderId="0" applyFont="0" applyFill="0" applyBorder="0" applyAlignment="0" applyProtection="0"/>
    <xf numFmtId="198" fontId="7" fillId="0" borderId="0" applyFont="0" applyFill="0" applyBorder="0" applyAlignment="0" applyProtection="0"/>
    <xf numFmtId="198" fontId="7" fillId="0" borderId="0" applyFont="0" applyFill="0" applyBorder="0" applyAlignment="0" applyProtection="0"/>
    <xf numFmtId="197" fontId="56" fillId="0" borderId="0" applyFont="0" applyFill="0" applyBorder="0" applyAlignment="0" applyProtection="0"/>
    <xf numFmtId="197" fontId="7" fillId="0" borderId="0" applyFont="0" applyFill="0" applyBorder="0" applyAlignment="0" applyProtection="0"/>
    <xf numFmtId="197" fontId="7" fillId="0" borderId="0" applyFont="0" applyFill="0" applyBorder="0" applyAlignment="0" applyProtection="0"/>
    <xf numFmtId="197" fontId="7" fillId="0" borderId="0" applyFont="0" applyFill="0" applyBorder="0" applyAlignment="0" applyProtection="0"/>
    <xf numFmtId="199" fontId="7" fillId="0" borderId="0" applyFont="0" applyFill="0" applyBorder="0" applyAlignment="0" applyProtection="0"/>
    <xf numFmtId="200" fontId="7" fillId="0" borderId="0" applyFont="0" applyFill="0" applyBorder="0" applyAlignment="0" applyProtection="0"/>
    <xf numFmtId="200" fontId="7" fillId="0" borderId="0" applyFont="0" applyFill="0" applyBorder="0" applyAlignment="0" applyProtection="0"/>
    <xf numFmtId="199" fontId="7" fillId="0" borderId="0" applyFont="0" applyFill="0" applyBorder="0" applyAlignment="0" applyProtection="0"/>
    <xf numFmtId="199" fontId="7" fillId="0" borderId="0" applyFont="0" applyFill="0" applyBorder="0" applyAlignment="0" applyProtection="0"/>
    <xf numFmtId="200" fontId="57" fillId="0" borderId="0" applyFont="0" applyFill="0" applyBorder="0" applyAlignment="0" applyProtection="0"/>
    <xf numFmtId="199" fontId="7" fillId="0" borderId="0" applyFont="0" applyFill="0" applyBorder="0" applyAlignment="0" applyProtection="0"/>
    <xf numFmtId="200" fontId="7" fillId="0" borderId="0" applyFont="0" applyFill="0" applyBorder="0" applyAlignment="0" applyProtection="0"/>
    <xf numFmtId="199" fontId="7" fillId="0" borderId="0" applyFont="0" applyFill="0" applyBorder="0" applyAlignment="0" applyProtection="0"/>
    <xf numFmtId="200" fontId="7" fillId="0" borderId="0" applyFont="0" applyFill="0" applyBorder="0" applyAlignment="0" applyProtection="0"/>
    <xf numFmtId="199" fontId="7" fillId="0" borderId="0" applyFont="0" applyFill="0" applyBorder="0" applyAlignment="0" applyProtection="0"/>
    <xf numFmtId="199" fontId="7" fillId="0" borderId="0" applyFont="0" applyFill="0" applyBorder="0" applyAlignment="0" applyProtection="0"/>
    <xf numFmtId="200" fontId="7" fillId="0" borderId="0" applyFont="0" applyFill="0" applyBorder="0" applyAlignment="0" applyProtection="0"/>
    <xf numFmtId="200" fontId="19" fillId="0" borderId="0" applyFont="0" applyFill="0" applyBorder="0" applyAlignment="0" applyProtection="0"/>
    <xf numFmtId="200" fontId="7" fillId="0" borderId="0" applyFont="0" applyFill="0" applyBorder="0" applyAlignment="0" applyProtection="0"/>
    <xf numFmtId="200" fontId="7" fillId="0" borderId="0" applyFont="0" applyFill="0" applyBorder="0" applyAlignment="0" applyProtection="0"/>
    <xf numFmtId="200" fontId="7" fillId="0" borderId="0" applyFont="0" applyFill="0" applyBorder="0" applyAlignment="0" applyProtection="0"/>
    <xf numFmtId="199" fontId="7" fillId="0" borderId="0" applyFont="0" applyFill="0" applyBorder="0" applyAlignment="0" applyProtection="0"/>
    <xf numFmtId="199" fontId="7" fillId="0" borderId="0" applyFont="0" applyFill="0" applyBorder="0" applyAlignment="0" applyProtection="0"/>
    <xf numFmtId="199" fontId="7" fillId="0" borderId="0" applyFont="0" applyFill="0" applyBorder="0" applyAlignment="0" applyProtection="0"/>
    <xf numFmtId="199" fontId="7" fillId="0" borderId="0" applyFont="0" applyFill="0" applyBorder="0" applyAlignment="0" applyProtection="0"/>
    <xf numFmtId="199" fontId="7" fillId="0" borderId="0" applyFont="0" applyFill="0" applyBorder="0" applyAlignment="0" applyProtection="0"/>
    <xf numFmtId="200" fontId="56" fillId="0" borderId="0" applyFont="0" applyFill="0" applyBorder="0" applyAlignment="0" applyProtection="0"/>
    <xf numFmtId="199" fontId="7" fillId="0" borderId="0" applyFont="0" applyFill="0" applyBorder="0" applyAlignment="0" applyProtection="0"/>
    <xf numFmtId="200" fontId="7" fillId="0" borderId="0" applyFont="0" applyFill="0" applyBorder="0" applyAlignment="0" applyProtection="0"/>
    <xf numFmtId="200" fontId="7" fillId="0" borderId="0" applyFont="0" applyFill="0" applyBorder="0" applyAlignment="0" applyProtection="0"/>
    <xf numFmtId="200" fontId="56" fillId="0" borderId="0" applyFont="0" applyFill="0" applyBorder="0" applyAlignment="0" applyProtection="0"/>
    <xf numFmtId="200" fontId="56" fillId="0" borderId="0" applyFont="0" applyFill="0" applyBorder="0" applyAlignment="0" applyProtection="0"/>
    <xf numFmtId="200" fontId="56" fillId="0" borderId="0" applyFont="0" applyFill="0" applyBorder="0" applyAlignment="0" applyProtection="0"/>
    <xf numFmtId="199" fontId="7" fillId="0" borderId="0" applyFont="0" applyFill="0" applyBorder="0" applyAlignment="0" applyProtection="0"/>
    <xf numFmtId="200" fontId="56" fillId="0" borderId="0" applyFont="0" applyFill="0" applyBorder="0" applyAlignment="0" applyProtection="0"/>
    <xf numFmtId="199" fontId="7" fillId="0" borderId="0" applyFont="0" applyFill="0" applyBorder="0" applyAlignment="0" applyProtection="0"/>
    <xf numFmtId="200" fontId="56" fillId="0" borderId="0" applyFont="0" applyFill="0" applyBorder="0" applyAlignment="0" applyProtection="0"/>
    <xf numFmtId="199" fontId="7" fillId="0" borderId="0" applyFont="0" applyFill="0" applyBorder="0" applyAlignment="0" applyProtection="0"/>
    <xf numFmtId="200" fontId="7" fillId="0" borderId="0" applyFont="0" applyFill="0" applyBorder="0" applyAlignment="0" applyProtection="0"/>
    <xf numFmtId="200" fontId="7" fillId="0" borderId="0" applyFont="0" applyFill="0" applyBorder="0" applyAlignment="0" applyProtection="0"/>
    <xf numFmtId="200" fontId="7" fillId="0" borderId="0" applyFont="0" applyFill="0" applyBorder="0" applyAlignment="0" applyProtection="0"/>
    <xf numFmtId="39" fontId="7" fillId="0" borderId="0" applyFont="0" applyFill="0" applyBorder="0" applyAlignment="0" applyProtection="0"/>
    <xf numFmtId="201" fontId="7" fillId="0" borderId="0" applyFont="0" applyFill="0" applyBorder="0" applyAlignment="0" applyProtection="0"/>
    <xf numFmtId="201" fontId="7" fillId="0" borderId="0" applyFont="0" applyFill="0" applyBorder="0" applyAlignment="0" applyProtection="0"/>
    <xf numFmtId="39" fontId="7" fillId="0" borderId="0" applyFont="0" applyFill="0" applyBorder="0" applyAlignment="0" applyProtection="0"/>
    <xf numFmtId="39" fontId="7" fillId="0" borderId="0" applyFont="0" applyFill="0" applyBorder="0" applyAlignment="0" applyProtection="0"/>
    <xf numFmtId="201" fontId="57" fillId="0" borderId="0" applyFont="0" applyFill="0" applyBorder="0" applyAlignment="0" applyProtection="0"/>
    <xf numFmtId="39" fontId="7" fillId="0" borderId="0" applyFont="0" applyFill="0" applyBorder="0" applyAlignment="0" applyProtection="0"/>
    <xf numFmtId="201" fontId="7" fillId="0" borderId="0" applyFont="0" applyFill="0" applyBorder="0" applyAlignment="0" applyProtection="0"/>
    <xf numFmtId="39" fontId="7" fillId="0" borderId="0" applyFont="0" applyFill="0" applyBorder="0" applyAlignment="0" applyProtection="0"/>
    <xf numFmtId="201" fontId="7" fillId="0" borderId="0" applyFont="0" applyFill="0" applyBorder="0" applyAlignment="0" applyProtection="0"/>
    <xf numFmtId="39" fontId="7" fillId="0" borderId="0" applyFont="0" applyFill="0" applyBorder="0" applyAlignment="0" applyProtection="0"/>
    <xf numFmtId="39" fontId="7" fillId="0" borderId="0" applyFont="0" applyFill="0" applyBorder="0" applyAlignment="0" applyProtection="0"/>
    <xf numFmtId="201" fontId="7" fillId="0" borderId="0" applyFont="0" applyFill="0" applyBorder="0" applyAlignment="0" applyProtection="0"/>
    <xf numFmtId="201" fontId="19" fillId="0" borderId="0" applyFont="0" applyFill="0" applyBorder="0" applyAlignment="0" applyProtection="0"/>
    <xf numFmtId="201" fontId="7" fillId="0" borderId="0" applyFont="0" applyFill="0" applyBorder="0" applyAlignment="0" applyProtection="0"/>
    <xf numFmtId="201" fontId="7" fillId="0" borderId="0" applyFont="0" applyFill="0" applyBorder="0" applyAlignment="0" applyProtection="0"/>
    <xf numFmtId="201" fontId="7" fillId="0" borderId="0" applyFont="0" applyFill="0" applyBorder="0" applyAlignment="0" applyProtection="0"/>
    <xf numFmtId="39" fontId="7" fillId="0" borderId="0" applyFont="0" applyFill="0" applyBorder="0" applyAlignment="0" applyProtection="0"/>
    <xf numFmtId="39" fontId="7" fillId="0" borderId="0" applyFont="0" applyFill="0" applyBorder="0" applyAlignment="0" applyProtection="0"/>
    <xf numFmtId="39" fontId="7" fillId="0" borderId="0" applyFont="0" applyFill="0" applyBorder="0" applyAlignment="0" applyProtection="0"/>
    <xf numFmtId="39" fontId="7" fillId="0" borderId="0" applyFont="0" applyFill="0" applyBorder="0" applyAlignment="0" applyProtection="0"/>
    <xf numFmtId="39" fontId="7" fillId="0" borderId="0" applyFont="0" applyFill="0" applyBorder="0" applyAlignment="0" applyProtection="0"/>
    <xf numFmtId="201" fontId="56" fillId="0" borderId="0" applyFont="0" applyFill="0" applyBorder="0" applyAlignment="0" applyProtection="0"/>
    <xf numFmtId="39" fontId="7" fillId="0" borderId="0" applyFont="0" applyFill="0" applyBorder="0" applyAlignment="0" applyProtection="0"/>
    <xf numFmtId="201" fontId="7" fillId="0" borderId="0" applyFont="0" applyFill="0" applyBorder="0" applyAlignment="0" applyProtection="0"/>
    <xf numFmtId="201" fontId="7" fillId="0" borderId="0" applyFont="0" applyFill="0" applyBorder="0" applyAlignment="0" applyProtection="0"/>
    <xf numFmtId="201" fontId="56" fillId="0" borderId="0" applyFont="0" applyFill="0" applyBorder="0" applyAlignment="0" applyProtection="0"/>
    <xf numFmtId="201" fontId="56" fillId="0" borderId="0" applyFont="0" applyFill="0" applyBorder="0" applyAlignment="0" applyProtection="0"/>
    <xf numFmtId="201" fontId="56" fillId="0" borderId="0" applyFont="0" applyFill="0" applyBorder="0" applyAlignment="0" applyProtection="0"/>
    <xf numFmtId="39" fontId="7" fillId="0" borderId="0" applyFont="0" applyFill="0" applyBorder="0" applyAlignment="0" applyProtection="0"/>
    <xf numFmtId="201" fontId="56" fillId="0" borderId="0" applyFont="0" applyFill="0" applyBorder="0" applyAlignment="0" applyProtection="0"/>
    <xf numFmtId="39" fontId="7" fillId="0" borderId="0" applyFont="0" applyFill="0" applyBorder="0" applyAlignment="0" applyProtection="0"/>
    <xf numFmtId="201" fontId="56" fillId="0" borderId="0" applyFont="0" applyFill="0" applyBorder="0" applyAlignment="0" applyProtection="0"/>
    <xf numFmtId="39" fontId="7" fillId="0" borderId="0" applyFont="0" applyFill="0" applyBorder="0" applyAlignment="0" applyProtection="0"/>
    <xf numFmtId="201" fontId="7" fillId="0" borderId="0" applyFont="0" applyFill="0" applyBorder="0" applyAlignment="0" applyProtection="0"/>
    <xf numFmtId="201" fontId="7" fillId="0" borderId="0" applyFont="0" applyFill="0" applyBorder="0" applyAlignment="0" applyProtection="0"/>
    <xf numFmtId="201" fontId="7" fillId="0" borderId="0" applyFont="0" applyFill="0" applyBorder="0" applyAlignment="0" applyProtection="0"/>
    <xf numFmtId="199" fontId="7" fillId="0" borderId="0" applyFont="0" applyFill="0" applyBorder="0" applyAlignment="0" applyProtection="0"/>
    <xf numFmtId="202" fontId="56" fillId="0" borderId="0" applyFon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6" fillId="24" borderId="0" applyNumberFormat="0" applyFont="0" applyAlignment="0" applyProtection="0"/>
    <xf numFmtId="203" fontId="7" fillId="0" borderId="0" applyFont="0" applyFill="0" applyBorder="0" applyAlignment="0" applyProtection="0"/>
    <xf numFmtId="204" fontId="7" fillId="0" borderId="0" applyFont="0" applyFill="0" applyBorder="0" applyAlignment="0" applyProtection="0"/>
    <xf numFmtId="204" fontId="7" fillId="0" borderId="0" applyFont="0" applyFill="0" applyBorder="0" applyAlignment="0" applyProtection="0"/>
    <xf numFmtId="203" fontId="7" fillId="0" borderId="0" applyFont="0" applyFill="0" applyBorder="0" applyAlignment="0" applyProtection="0"/>
    <xf numFmtId="203" fontId="7" fillId="0" borderId="0" applyFont="0" applyFill="0" applyBorder="0" applyAlignment="0" applyProtection="0"/>
    <xf numFmtId="204" fontId="57" fillId="0" borderId="0" applyFont="0" applyFill="0" applyBorder="0" applyAlignment="0" applyProtection="0"/>
    <xf numFmtId="203" fontId="7" fillId="0" borderId="0" applyFont="0" applyFill="0" applyBorder="0" applyAlignment="0" applyProtection="0"/>
    <xf numFmtId="204" fontId="7" fillId="0" borderId="0" applyFont="0" applyFill="0" applyBorder="0" applyAlignment="0" applyProtection="0"/>
    <xf numFmtId="203" fontId="7" fillId="0" borderId="0" applyFont="0" applyFill="0" applyBorder="0" applyAlignment="0" applyProtection="0"/>
    <xf numFmtId="204" fontId="7" fillId="0" borderId="0" applyFont="0" applyFill="0" applyBorder="0" applyAlignment="0" applyProtection="0"/>
    <xf numFmtId="203" fontId="7" fillId="0" borderId="0" applyFont="0" applyFill="0" applyBorder="0" applyAlignment="0" applyProtection="0"/>
    <xf numFmtId="203" fontId="7" fillId="0" borderId="0" applyFont="0" applyFill="0" applyBorder="0" applyAlignment="0" applyProtection="0"/>
    <xf numFmtId="204" fontId="7" fillId="0" borderId="0" applyFont="0" applyFill="0" applyBorder="0" applyAlignment="0" applyProtection="0"/>
    <xf numFmtId="204" fontId="19" fillId="0" borderId="0" applyFont="0" applyFill="0" applyBorder="0" applyAlignment="0" applyProtection="0"/>
    <xf numFmtId="205" fontId="7" fillId="0" borderId="0" applyFont="0" applyFill="0" applyBorder="0" applyAlignment="0" applyProtection="0"/>
    <xf numFmtId="205" fontId="7" fillId="0" borderId="0" applyFont="0" applyFill="0" applyBorder="0" applyAlignment="0" applyProtection="0"/>
    <xf numFmtId="205" fontId="7" fillId="0" borderId="0" applyFont="0" applyFill="0" applyBorder="0" applyAlignment="0" applyProtection="0"/>
    <xf numFmtId="203" fontId="7" fillId="0" borderId="0" applyFont="0" applyFill="0" applyBorder="0" applyAlignment="0" applyProtection="0"/>
    <xf numFmtId="203" fontId="7" fillId="0" borderId="0" applyFont="0" applyFill="0" applyBorder="0" applyAlignment="0" applyProtection="0"/>
    <xf numFmtId="203" fontId="7" fillId="0" borderId="0" applyFont="0" applyFill="0" applyBorder="0" applyAlignment="0" applyProtection="0"/>
    <xf numFmtId="203" fontId="7" fillId="0" borderId="0" applyFont="0" applyFill="0" applyBorder="0" applyAlignment="0" applyProtection="0"/>
    <xf numFmtId="203" fontId="7" fillId="0" borderId="0" applyFont="0" applyFill="0" applyBorder="0" applyAlignment="0" applyProtection="0"/>
    <xf numFmtId="204" fontId="56" fillId="0" borderId="0" applyFont="0" applyFill="0" applyBorder="0" applyAlignment="0" applyProtection="0"/>
    <xf numFmtId="203" fontId="7" fillId="0" borderId="0" applyFont="0" applyFill="0" applyBorder="0" applyAlignment="0" applyProtection="0"/>
    <xf numFmtId="204" fontId="7" fillId="0" borderId="0" applyFont="0" applyFill="0" applyBorder="0" applyAlignment="0" applyProtection="0"/>
    <xf numFmtId="204" fontId="7" fillId="0" borderId="0" applyFont="0" applyFill="0" applyBorder="0" applyAlignment="0" applyProtection="0"/>
    <xf numFmtId="204" fontId="56" fillId="0" borderId="0" applyFont="0" applyFill="0" applyBorder="0" applyAlignment="0" applyProtection="0"/>
    <xf numFmtId="204" fontId="56" fillId="0" borderId="0" applyFont="0" applyFill="0" applyBorder="0" applyAlignment="0" applyProtection="0"/>
    <xf numFmtId="204" fontId="56" fillId="0" borderId="0" applyFont="0" applyFill="0" applyBorder="0" applyAlignment="0" applyProtection="0"/>
    <xf numFmtId="203" fontId="7" fillId="0" borderId="0" applyFont="0" applyFill="0" applyBorder="0" applyAlignment="0" applyProtection="0"/>
    <xf numFmtId="204" fontId="56" fillId="0" borderId="0" applyFont="0" applyFill="0" applyBorder="0" applyAlignment="0" applyProtection="0"/>
    <xf numFmtId="203" fontId="7" fillId="0" borderId="0" applyFont="0" applyFill="0" applyBorder="0" applyAlignment="0" applyProtection="0"/>
    <xf numFmtId="204" fontId="56" fillId="0" borderId="0" applyFont="0" applyFill="0" applyBorder="0" applyAlignment="0" applyProtection="0"/>
    <xf numFmtId="203" fontId="7" fillId="0" borderId="0" applyFont="0" applyFill="0" applyBorder="0" applyAlignment="0" applyProtection="0"/>
    <xf numFmtId="204" fontId="7" fillId="0" borderId="0" applyFont="0" applyFill="0" applyBorder="0" applyAlignment="0" applyProtection="0"/>
    <xf numFmtId="204" fontId="7" fillId="0" borderId="0" applyFont="0" applyFill="0" applyBorder="0" applyAlignment="0" applyProtection="0"/>
    <xf numFmtId="204" fontId="7" fillId="0" borderId="0" applyFont="0" applyFill="0" applyBorder="0" applyAlignment="0" applyProtection="0"/>
    <xf numFmtId="206" fontId="7" fillId="0" borderId="0" applyFont="0" applyFill="0" applyBorder="0" applyAlignment="0" applyProtection="0"/>
    <xf numFmtId="207" fontId="7" fillId="0" borderId="0" applyFont="0" applyFill="0" applyBorder="0" applyProtection="0">
      <alignment horizontal="right"/>
    </xf>
    <xf numFmtId="207" fontId="7" fillId="0" borderId="0" applyFont="0" applyFill="0" applyBorder="0" applyProtection="0">
      <alignment horizontal="right"/>
    </xf>
    <xf numFmtId="206" fontId="7" fillId="0" borderId="0" applyFont="0" applyFill="0" applyBorder="0" applyAlignment="0" applyProtection="0"/>
    <xf numFmtId="206" fontId="7" fillId="0" borderId="0" applyFont="0" applyFill="0" applyBorder="0" applyAlignment="0" applyProtection="0"/>
    <xf numFmtId="207" fontId="57" fillId="0" borderId="0" applyFont="0" applyFill="0" applyBorder="0" applyProtection="0">
      <alignment horizontal="right"/>
    </xf>
    <xf numFmtId="206" fontId="7" fillId="0" borderId="0" applyFont="0" applyFill="0" applyBorder="0" applyAlignment="0" applyProtection="0"/>
    <xf numFmtId="207" fontId="7" fillId="0" borderId="0" applyFont="0" applyFill="0" applyBorder="0" applyProtection="0">
      <alignment horizontal="right"/>
    </xf>
    <xf numFmtId="206" fontId="7" fillId="0" borderId="0" applyFont="0" applyFill="0" applyBorder="0" applyAlignment="0" applyProtection="0"/>
    <xf numFmtId="207" fontId="7" fillId="0" borderId="0" applyFont="0" applyFill="0" applyBorder="0" applyProtection="0">
      <alignment horizontal="right"/>
    </xf>
    <xf numFmtId="206" fontId="7" fillId="0" borderId="0" applyFont="0" applyFill="0" applyBorder="0" applyAlignment="0" applyProtection="0"/>
    <xf numFmtId="206" fontId="7" fillId="0" borderId="0" applyFont="0" applyFill="0" applyBorder="0" applyAlignment="0" applyProtection="0"/>
    <xf numFmtId="207" fontId="7" fillId="0" borderId="0" applyFont="0" applyFill="0" applyBorder="0" applyProtection="0">
      <alignment horizontal="right"/>
    </xf>
    <xf numFmtId="207" fontId="19" fillId="0" borderId="0" applyFont="0" applyFill="0" applyBorder="0" applyProtection="0">
      <alignment horizontal="right"/>
    </xf>
    <xf numFmtId="208" fontId="7" fillId="0" borderId="0" applyFont="0" applyFill="0" applyBorder="0" applyAlignment="0" applyProtection="0"/>
    <xf numFmtId="208" fontId="7" fillId="0" borderId="0" applyFont="0" applyFill="0" applyBorder="0" applyAlignment="0" applyProtection="0"/>
    <xf numFmtId="208" fontId="7" fillId="0" borderId="0" applyFont="0" applyFill="0" applyBorder="0" applyAlignment="0" applyProtection="0"/>
    <xf numFmtId="206" fontId="7" fillId="0" borderId="0" applyFont="0" applyFill="0" applyBorder="0" applyAlignment="0" applyProtection="0"/>
    <xf numFmtId="206" fontId="7" fillId="0" borderId="0" applyFont="0" applyFill="0" applyBorder="0" applyAlignment="0" applyProtection="0"/>
    <xf numFmtId="206" fontId="7" fillId="0" borderId="0" applyFont="0" applyFill="0" applyBorder="0" applyAlignment="0" applyProtection="0"/>
    <xf numFmtId="206" fontId="7" fillId="0" borderId="0" applyFont="0" applyFill="0" applyBorder="0" applyAlignment="0" applyProtection="0"/>
    <xf numFmtId="206" fontId="7" fillId="0" borderId="0" applyFont="0" applyFill="0" applyBorder="0" applyAlignment="0" applyProtection="0"/>
    <xf numFmtId="207" fontId="56" fillId="0" borderId="0" applyFont="0" applyFill="0" applyBorder="0" applyProtection="0">
      <alignment horizontal="right"/>
    </xf>
    <xf numFmtId="206" fontId="7" fillId="0" borderId="0" applyFont="0" applyFill="0" applyBorder="0" applyAlignment="0" applyProtection="0"/>
    <xf numFmtId="207" fontId="7" fillId="0" borderId="0" applyFont="0" applyFill="0" applyBorder="0" applyProtection="0">
      <alignment horizontal="right"/>
    </xf>
    <xf numFmtId="207" fontId="7" fillId="0" borderId="0" applyFont="0" applyFill="0" applyBorder="0" applyProtection="0">
      <alignment horizontal="right"/>
    </xf>
    <xf numFmtId="207" fontId="56" fillId="0" borderId="0" applyFont="0" applyFill="0" applyBorder="0" applyProtection="0">
      <alignment horizontal="right"/>
    </xf>
    <xf numFmtId="207" fontId="56" fillId="0" borderId="0" applyFont="0" applyFill="0" applyBorder="0" applyProtection="0">
      <alignment horizontal="right"/>
    </xf>
    <xf numFmtId="207" fontId="56" fillId="0" borderId="0" applyFont="0" applyFill="0" applyBorder="0" applyProtection="0">
      <alignment horizontal="right"/>
    </xf>
    <xf numFmtId="206" fontId="7" fillId="0" borderId="0" applyFont="0" applyFill="0" applyBorder="0" applyAlignment="0" applyProtection="0"/>
    <xf numFmtId="207" fontId="56" fillId="0" borderId="0" applyFont="0" applyFill="0" applyBorder="0" applyProtection="0">
      <alignment horizontal="right"/>
    </xf>
    <xf numFmtId="206" fontId="7" fillId="0" borderId="0" applyFont="0" applyFill="0" applyBorder="0" applyAlignment="0" applyProtection="0"/>
    <xf numFmtId="207" fontId="56" fillId="0" borderId="0" applyFont="0" applyFill="0" applyBorder="0" applyProtection="0">
      <alignment horizontal="right"/>
    </xf>
    <xf numFmtId="206" fontId="7" fillId="0" borderId="0" applyFont="0" applyFill="0" applyBorder="0" applyAlignment="0" applyProtection="0"/>
    <xf numFmtId="207" fontId="7" fillId="0" borderId="0" applyFont="0" applyFill="0" applyBorder="0" applyProtection="0">
      <alignment horizontal="right"/>
    </xf>
    <xf numFmtId="207" fontId="7" fillId="0" borderId="0" applyFont="0" applyFill="0" applyBorder="0" applyProtection="0">
      <alignment horizontal="right"/>
    </xf>
    <xf numFmtId="207" fontId="7" fillId="0" borderId="0" applyFont="0" applyFill="0" applyBorder="0" applyProtection="0">
      <alignment horizontal="right"/>
    </xf>
    <xf numFmtId="209" fontId="7" fillId="0" borderId="0" applyFont="0" applyFill="0" applyBorder="0" applyAlignment="0" applyProtection="0"/>
    <xf numFmtId="195" fontId="7" fillId="0" borderId="0" applyFont="0" applyFill="0" applyBorder="0" applyProtection="0">
      <alignment horizontal="right"/>
    </xf>
    <xf numFmtId="195" fontId="7" fillId="0" borderId="0" applyFont="0" applyFill="0" applyBorder="0" applyAlignment="0" applyProtection="0"/>
    <xf numFmtId="195" fontId="7" fillId="0" borderId="0" applyFont="0" applyFill="0" applyBorder="0" applyAlignment="0" applyProtection="0"/>
    <xf numFmtId="195" fontId="7" fillId="0" borderId="0" applyFont="0" applyFill="0" applyBorder="0" applyAlignment="0" applyProtection="0"/>
    <xf numFmtId="210" fontId="7" fillId="0" borderId="0" applyFont="0" applyFill="0" applyBorder="0" applyAlignment="0" applyProtection="0"/>
    <xf numFmtId="196" fontId="7" fillId="0" borderId="0" applyFont="0" applyFill="0" applyBorder="0" applyProtection="0">
      <alignment horizontal="right"/>
    </xf>
    <xf numFmtId="196" fontId="7" fillId="0" borderId="0" applyFont="0" applyFill="0" applyBorder="0" applyProtection="0">
      <alignment horizontal="right"/>
    </xf>
    <xf numFmtId="196" fontId="7" fillId="0" borderId="0" applyFont="0" applyFill="0" applyBorder="0" applyAlignment="0" applyProtection="0"/>
    <xf numFmtId="196" fontId="7" fillId="0" borderId="0" applyFont="0" applyFill="0" applyBorder="0" applyAlignment="0" applyProtection="0"/>
    <xf numFmtId="196" fontId="7" fillId="0" borderId="0" applyFont="0" applyFill="0" applyBorder="0" applyAlignment="0" applyProtection="0"/>
    <xf numFmtId="0" fontId="59" fillId="0" borderId="0" applyNumberFormat="0" applyFill="0" applyBorder="0" applyProtection="0">
      <alignment vertical="top"/>
    </xf>
    <xf numFmtId="0" fontId="59" fillId="0" borderId="0" applyNumberFormat="0" applyFill="0" applyBorder="0" applyProtection="0">
      <alignment vertical="top"/>
    </xf>
    <xf numFmtId="0" fontId="59" fillId="0" borderId="0" applyNumberFormat="0" applyFill="0" applyBorder="0" applyAlignment="0" applyProtection="0">
      <alignment vertical="top"/>
    </xf>
    <xf numFmtId="0" fontId="59" fillId="0" borderId="0" applyNumberFormat="0" applyFill="0" applyBorder="0" applyProtection="0">
      <alignment vertical="top"/>
    </xf>
    <xf numFmtId="0" fontId="59" fillId="0" borderId="0" applyNumberFormat="0" applyFill="0" applyBorder="0" applyProtection="0">
      <alignment vertical="top"/>
    </xf>
    <xf numFmtId="0" fontId="59" fillId="0" borderId="0" applyNumberFormat="0" applyFill="0" applyBorder="0" applyProtection="0">
      <alignment vertical="top"/>
    </xf>
    <xf numFmtId="0" fontId="59" fillId="0" borderId="0" applyNumberFormat="0" applyFill="0" applyBorder="0" applyProtection="0">
      <alignment vertical="top"/>
    </xf>
    <xf numFmtId="0" fontId="59" fillId="0" borderId="0" applyNumberFormat="0" applyFill="0" applyBorder="0" applyProtection="0">
      <alignment vertical="top"/>
    </xf>
    <xf numFmtId="0" fontId="59" fillId="0" borderId="0" applyNumberFormat="0" applyFill="0" applyBorder="0" applyProtection="0">
      <alignment vertical="top"/>
    </xf>
    <xf numFmtId="0" fontId="59" fillId="0" borderId="0" applyNumberFormat="0" applyFill="0" applyBorder="0" applyProtection="0">
      <alignment vertical="top"/>
    </xf>
    <xf numFmtId="0" fontId="59" fillId="0" borderId="0" applyNumberFormat="0" applyFill="0" applyBorder="0" applyProtection="0">
      <alignment vertical="top"/>
    </xf>
    <xf numFmtId="0" fontId="59" fillId="0" borderId="0" applyNumberFormat="0" applyFill="0" applyBorder="0" applyProtection="0">
      <alignment vertical="top"/>
    </xf>
    <xf numFmtId="0" fontId="60" fillId="0" borderId="21" applyNumberFormat="0" applyFill="0" applyAlignment="0" applyProtection="0"/>
    <xf numFmtId="0" fontId="60" fillId="0" borderId="21" applyNumberFormat="0" applyFill="0" applyAlignment="0" applyProtection="0"/>
    <xf numFmtId="0" fontId="60" fillId="0" borderId="22" applyNumberFormat="0" applyFill="0" applyAlignment="0" applyProtection="0"/>
    <xf numFmtId="0" fontId="60" fillId="0" borderId="21" applyNumberFormat="0" applyFill="0" applyAlignment="0" applyProtection="0"/>
    <xf numFmtId="0" fontId="60" fillId="0" borderId="21" applyNumberFormat="0" applyFill="0" applyAlignment="0" applyProtection="0"/>
    <xf numFmtId="0" fontId="61" fillId="0" borderId="23" applyNumberFormat="0" applyFill="0" applyProtection="0">
      <alignment horizontal="center"/>
    </xf>
    <xf numFmtId="0" fontId="61" fillId="0" borderId="0" applyNumberFormat="0" applyFill="0" applyBorder="0" applyProtection="0">
      <alignment horizontal="left"/>
    </xf>
    <xf numFmtId="0" fontId="62" fillId="0" borderId="0" applyNumberFormat="0" applyFill="0" applyBorder="0" applyProtection="0">
      <alignment horizontal="centerContinuous"/>
    </xf>
    <xf numFmtId="0" fontId="62" fillId="0" borderId="0" applyNumberFormat="0" applyFill="0" applyBorder="0" applyProtection="0">
      <alignment horizontal="centerContinuous"/>
    </xf>
    <xf numFmtId="0" fontId="62" fillId="0" borderId="0" applyNumberFormat="0" applyFill="0" applyProtection="0">
      <alignment horizontal="centerContinuous"/>
    </xf>
    <xf numFmtId="0" fontId="62" fillId="0" borderId="0" applyNumberFormat="0" applyFill="0" applyBorder="0" applyProtection="0">
      <alignment horizontal="centerContinuous"/>
    </xf>
    <xf numFmtId="0" fontId="62" fillId="0" borderId="0" applyNumberFormat="0" applyFill="0" applyBorder="0" applyProtection="0">
      <alignment horizontal="centerContinuous"/>
    </xf>
    <xf numFmtId="176" fontId="63" fillId="25" borderId="0" applyNumberFormat="0" applyFont="0" applyBorder="0" applyAlignment="0">
      <alignment horizontal="right"/>
    </xf>
    <xf numFmtId="211" fontId="64" fillId="25" borderId="9" applyFont="0">
      <alignment horizontal="right"/>
    </xf>
    <xf numFmtId="0" fontId="28" fillId="0" borderId="0" applyNumberFormat="0" applyFill="0" applyBorder="0" applyAlignment="0" applyProtection="0"/>
    <xf numFmtId="0" fontId="65" fillId="0" borderId="0"/>
    <xf numFmtId="2" fontId="66" fillId="0" borderId="0" applyNumberFormat="0" applyBorder="0" applyAlignment="0"/>
    <xf numFmtId="180" fontId="67" fillId="0" borderId="0"/>
    <xf numFmtId="0" fontId="68" fillId="0" borderId="0" applyNumberFormat="0" applyFill="0" applyBorder="0" applyAlignment="0"/>
    <xf numFmtId="0" fontId="69" fillId="0" borderId="0" applyNumberFormat="0" applyFill="0" applyBorder="0" applyAlignment="0" applyProtection="0"/>
    <xf numFmtId="0" fontId="70" fillId="26" borderId="24">
      <alignment horizontal="center"/>
    </xf>
    <xf numFmtId="2" fontId="28" fillId="27" borderId="0" applyNumberFormat="0" applyFont="0" applyBorder="0" applyAlignment="0" applyProtection="0"/>
    <xf numFmtId="212" fontId="28" fillId="28" borderId="0" applyNumberFormat="0" applyFont="0" applyBorder="0" applyAlignment="0">
      <protection locked="0"/>
    </xf>
    <xf numFmtId="0" fontId="28" fillId="0" borderId="0" applyNumberFormat="0" applyFill="0" applyBorder="0" applyAlignment="0" applyProtection="0"/>
    <xf numFmtId="0" fontId="42" fillId="0" borderId="0" applyNumberFormat="0" applyFill="0" applyBorder="0" applyAlignment="0" applyProtection="0"/>
    <xf numFmtId="0" fontId="28" fillId="0" borderId="0" applyNumberFormat="0" applyFill="0" applyBorder="0" applyAlignment="0" applyProtection="0"/>
    <xf numFmtId="212" fontId="71" fillId="0" borderId="0" applyNumberFormat="0" applyFill="0" applyBorder="0" applyProtection="0">
      <alignment horizontal="right"/>
    </xf>
    <xf numFmtId="213" fontId="7" fillId="0" borderId="0">
      <protection locked="0"/>
    </xf>
    <xf numFmtId="0" fontId="72" fillId="0" borderId="0" applyNumberFormat="0" applyFill="0" applyBorder="0">
      <alignment horizontal="right"/>
    </xf>
    <xf numFmtId="38" fontId="73" fillId="0" borderId="0" applyNumberFormat="0" applyFill="0" applyBorder="0">
      <alignment vertical="center"/>
    </xf>
    <xf numFmtId="167" fontId="74" fillId="0" borderId="25">
      <protection locked="0"/>
    </xf>
    <xf numFmtId="213" fontId="7" fillId="0" borderId="0">
      <protection locked="0"/>
    </xf>
    <xf numFmtId="14" fontId="75" fillId="0" borderId="0">
      <alignment horizontal="right"/>
    </xf>
    <xf numFmtId="0" fontId="45" fillId="0" borderId="0"/>
    <xf numFmtId="214" fontId="11" fillId="0" borderId="0" applyFont="0" applyFill="0" applyBorder="0" applyAlignment="0" applyProtection="0">
      <alignment horizontal="right"/>
    </xf>
    <xf numFmtId="0" fontId="66" fillId="0" borderId="0" applyNumberFormat="0" applyAlignment="0"/>
    <xf numFmtId="215" fontId="28" fillId="29" borderId="8" applyNumberFormat="0" applyFont="0" applyBorder="0" applyAlignment="0" applyProtection="0">
      <alignment horizontal="right"/>
    </xf>
    <xf numFmtId="173" fontId="76" fillId="0" borderId="0" applyNumberFormat="0" applyFont="0" applyAlignment="0">
      <alignment vertical="center"/>
    </xf>
    <xf numFmtId="213" fontId="7" fillId="0" borderId="0">
      <protection locked="0"/>
    </xf>
    <xf numFmtId="0" fontId="39" fillId="0" borderId="0" applyNumberFormat="0" applyFill="0" applyBorder="0" applyAlignment="0" applyProtection="0"/>
    <xf numFmtId="1" fontId="28" fillId="0" borderId="0" applyNumberFormat="0" applyBorder="0" applyAlignment="0" applyProtection="0"/>
    <xf numFmtId="216" fontId="77" fillId="0" borderId="0">
      <alignment vertical="center"/>
    </xf>
    <xf numFmtId="49" fontId="39" fillId="0" borderId="0">
      <alignment horizontal="right"/>
    </xf>
    <xf numFmtId="49" fontId="78" fillId="0" borderId="0">
      <alignment horizontal="right"/>
    </xf>
    <xf numFmtId="216" fontId="79" fillId="0" borderId="0">
      <alignment vertical="center"/>
    </xf>
    <xf numFmtId="173" fontId="80" fillId="0" borderId="0" applyNumberFormat="0" applyFill="0" applyBorder="0">
      <alignment horizontal="left" vertical="center"/>
    </xf>
    <xf numFmtId="0" fontId="10" fillId="30" borderId="0" applyNumberFormat="0" applyFont="0" applyBorder="0" applyAlignment="0" applyProtection="0"/>
    <xf numFmtId="217" fontId="7" fillId="0" borderId="0" applyNumberFormat="0" applyFill="0" applyBorder="0" applyAlignment="0" applyProtection="0"/>
    <xf numFmtId="0" fontId="81" fillId="0" borderId="0"/>
    <xf numFmtId="0" fontId="48" fillId="0" borderId="0"/>
    <xf numFmtId="38" fontId="82" fillId="0" borderId="0" applyNumberFormat="0" applyFill="0" applyBorder="0">
      <alignment horizontal="left" vertical="center"/>
    </xf>
    <xf numFmtId="173" fontId="83" fillId="0" borderId="0" applyFill="0" applyBorder="0">
      <alignment vertical="center"/>
    </xf>
    <xf numFmtId="0" fontId="34" fillId="16" borderId="0"/>
    <xf numFmtId="218" fontId="7" fillId="0" borderId="0" applyFont="0" applyFill="0" applyBorder="0" applyAlignment="0" applyProtection="0"/>
    <xf numFmtId="212" fontId="84" fillId="0" borderId="0"/>
    <xf numFmtId="2" fontId="10" fillId="0" borderId="0" applyBorder="0" applyProtection="0"/>
    <xf numFmtId="0" fontId="7" fillId="0" borderId="0"/>
    <xf numFmtId="0" fontId="28" fillId="0" borderId="0" applyNumberFormat="0" applyFill="0" applyBorder="0" applyAlignment="0" applyProtection="0"/>
    <xf numFmtId="0" fontId="32" fillId="0" borderId="0" applyNumberFormat="0" applyFill="0" applyBorder="0" applyAlignment="0" applyProtection="0"/>
    <xf numFmtId="217" fontId="7" fillId="0" borderId="0" applyNumberFormat="0" applyFill="0" applyBorder="0" applyAlignment="0" applyProtection="0"/>
    <xf numFmtId="0" fontId="32" fillId="0" borderId="0" applyNumberFormat="0" applyFill="0" applyBorder="0" applyAlignment="0" applyProtection="0"/>
    <xf numFmtId="0" fontId="82" fillId="0" borderId="0" applyNumberFormat="0" applyFill="0" applyBorder="0" applyAlignment="0" applyProtection="0"/>
    <xf numFmtId="0" fontId="28" fillId="0" borderId="0" applyNumberFormat="0" applyFill="0" applyBorder="0" applyAlignment="0" applyProtection="0"/>
    <xf numFmtId="0" fontId="85" fillId="0" borderId="0">
      <alignment horizontal="left" vertical="top"/>
      <protection locked="0"/>
    </xf>
    <xf numFmtId="219" fontId="7" fillId="0" borderId="0" applyFill="0">
      <alignment horizontal="center" vertical="center"/>
    </xf>
    <xf numFmtId="0" fontId="86" fillId="0" borderId="0" applyNumberFormat="0" applyFill="0" applyBorder="0">
      <alignment horizontal="left"/>
    </xf>
    <xf numFmtId="220" fontId="7" fillId="0" borderId="0"/>
    <xf numFmtId="166" fontId="87" fillId="0" borderId="0" applyFont="0" applyFill="0" applyBorder="0" applyAlignment="0" applyProtection="0"/>
    <xf numFmtId="0" fontId="88" fillId="0" borderId="0" applyNumberFormat="0" applyAlignment="0"/>
    <xf numFmtId="180" fontId="7" fillId="0" borderId="0" applyFill="0" applyBorder="0" applyAlignment="0" applyProtection="0"/>
    <xf numFmtId="198" fontId="89" fillId="0" borderId="0">
      <alignment vertical="top"/>
    </xf>
    <xf numFmtId="172" fontId="10" fillId="31" borderId="12" applyNumberFormat="0" applyFont="0" applyBorder="0" applyAlignment="0" applyProtection="0">
      <alignment horizontal="center"/>
    </xf>
    <xf numFmtId="37" fontId="90" fillId="1" borderId="0">
      <alignment horizontal="right"/>
    </xf>
    <xf numFmtId="1" fontId="91" fillId="32" borderId="0" applyNumberFormat="0" applyFont="0" applyBorder="0" applyAlignment="0">
      <alignment horizontal="left"/>
    </xf>
    <xf numFmtId="2" fontId="92" fillId="0" borderId="0"/>
    <xf numFmtId="1" fontId="7" fillId="0" borderId="0"/>
    <xf numFmtId="0" fontId="7" fillId="0" borderId="0" applyFont="0" applyFill="0" applyBorder="0" applyAlignment="0" applyProtection="0"/>
    <xf numFmtId="0" fontId="7" fillId="0" borderId="0">
      <alignment vertical="top"/>
    </xf>
    <xf numFmtId="0" fontId="7" fillId="0" borderId="0">
      <alignment vertical="top"/>
    </xf>
    <xf numFmtId="221" fontId="93" fillId="0" borderId="0" applyNumberFormat="0" applyFill="0" applyBorder="0" applyAlignment="0" applyProtection="0">
      <alignment horizontal="right" vertical="center" wrapText="1"/>
    </xf>
    <xf numFmtId="0" fontId="94" fillId="0" borderId="0" applyNumberFormat="0" applyFill="0" applyBorder="0" applyAlignment="0" applyProtection="0"/>
    <xf numFmtId="0" fontId="95" fillId="0" borderId="0" applyNumberFormat="0" applyFill="0" applyBorder="0" applyAlignment="0" applyProtection="0">
      <protection locked="0"/>
    </xf>
    <xf numFmtId="0" fontId="96" fillId="0" borderId="8" applyNumberFormat="0" applyFill="0" applyProtection="0">
      <alignment horizontal="right"/>
    </xf>
    <xf numFmtId="165" fontId="82" fillId="0" borderId="26" applyFill="0">
      <alignment vertical="center"/>
    </xf>
    <xf numFmtId="222" fontId="28" fillId="0" borderId="0"/>
    <xf numFmtId="39" fontId="43" fillId="0" borderId="9" applyNumberFormat="0" applyBorder="0">
      <alignment horizontal="right"/>
    </xf>
    <xf numFmtId="0" fontId="96" fillId="0" borderId="5" applyNumberFormat="0" applyProtection="0">
      <alignment horizontal="right"/>
    </xf>
    <xf numFmtId="0" fontId="97" fillId="0" borderId="7" applyNumberFormat="0" applyFill="0" applyProtection="0"/>
    <xf numFmtId="0" fontId="98" fillId="0" borderId="0">
      <alignment vertical="center"/>
    </xf>
    <xf numFmtId="0" fontId="77" fillId="0" borderId="0">
      <alignment vertical="center"/>
    </xf>
    <xf numFmtId="0" fontId="79" fillId="0" borderId="0">
      <alignment vertical="center"/>
    </xf>
    <xf numFmtId="0" fontId="99" fillId="0" borderId="0" applyNumberFormat="0">
      <alignment horizontal="left"/>
    </xf>
    <xf numFmtId="0" fontId="100" fillId="0" borderId="0" applyFill="0" applyBorder="0" applyProtection="0">
      <alignment horizontal="left" vertical="top"/>
    </xf>
    <xf numFmtId="14" fontId="7" fillId="0" borderId="0" applyFill="0" applyBorder="0">
      <alignment vertical="center"/>
    </xf>
    <xf numFmtId="0" fontId="8" fillId="0" borderId="0" applyNumberFormat="0" applyFill="0" applyBorder="0" applyAlignment="0" applyProtection="0"/>
    <xf numFmtId="0" fontId="101" fillId="0" borderId="0" applyNumberFormat="0" applyFill="0" applyBorder="0" applyAlignment="0" applyProtection="0"/>
    <xf numFmtId="38" fontId="102" fillId="0" borderId="0" applyNumberFormat="0" applyFill="0" applyBorder="0">
      <alignment horizontal="left" vertical="center"/>
    </xf>
    <xf numFmtId="38" fontId="103" fillId="0" borderId="0" applyNumberFormat="0" applyFill="0" applyBorder="0">
      <alignment horizontal="centerContinuous" vertical="center"/>
    </xf>
    <xf numFmtId="0" fontId="40" fillId="0" borderId="0" applyNumberFormat="0" applyFill="0" applyBorder="0" applyAlignment="0" applyProtection="0"/>
    <xf numFmtId="0" fontId="46" fillId="0" borderId="0" applyNumberFormat="0" applyFill="0" applyBorder="0" applyAlignment="0" applyProtection="0"/>
    <xf numFmtId="172" fontId="66" fillId="0" borderId="0" applyNumberFormat="0" applyBorder="0" applyAlignment="0"/>
    <xf numFmtId="1" fontId="25" fillId="0" borderId="9" applyFill="0" applyProtection="0">
      <alignment horizontal="right"/>
    </xf>
    <xf numFmtId="0" fontId="104" fillId="0" borderId="0" applyNumberFormat="0" applyFill="0" applyBorder="0" applyAlignment="0" applyProtection="0"/>
    <xf numFmtId="0" fontId="7" fillId="0" borderId="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169" fontId="6" fillId="0" borderId="0" applyFont="0" applyFill="0" applyBorder="0" applyAlignment="0" applyProtection="0"/>
    <xf numFmtId="9" fontId="6" fillId="0" borderId="0" applyFont="0" applyFill="0" applyBorder="0" applyAlignment="0" applyProtection="0"/>
    <xf numFmtId="223" fontId="45" fillId="0" borderId="0"/>
    <xf numFmtId="223" fontId="45" fillId="0" borderId="0"/>
    <xf numFmtId="224" fontId="45" fillId="0" borderId="0"/>
    <xf numFmtId="0" fontId="108" fillId="0" borderId="0"/>
    <xf numFmtId="225" fontId="109" fillId="0" borderId="0"/>
    <xf numFmtId="167" fontId="65" fillId="0" borderId="0"/>
    <xf numFmtId="197" fontId="45" fillId="0" borderId="0"/>
    <xf numFmtId="226" fontId="90" fillId="0" borderId="0"/>
    <xf numFmtId="200" fontId="108" fillId="0" borderId="0">
      <alignment horizontal="right"/>
    </xf>
    <xf numFmtId="201" fontId="108" fillId="15" borderId="0"/>
    <xf numFmtId="204" fontId="108" fillId="15" borderId="0"/>
    <xf numFmtId="227" fontId="108" fillId="15" borderId="0"/>
    <xf numFmtId="207" fontId="108" fillId="15" borderId="0"/>
    <xf numFmtId="0" fontId="108" fillId="15" borderId="0">
      <alignment horizontal="right"/>
    </xf>
    <xf numFmtId="228" fontId="110" fillId="0" borderId="0" applyFont="0" applyFill="0" applyBorder="0" applyAlignment="0" applyProtection="0"/>
    <xf numFmtId="0" fontId="110" fillId="0" borderId="0" applyFont="0" applyFill="0" applyBorder="0" applyAlignment="0" applyProtection="0"/>
    <xf numFmtId="229" fontId="110" fillId="0" borderId="0" applyFont="0" applyFill="0" applyBorder="0" applyAlignment="0" applyProtection="0"/>
    <xf numFmtId="0" fontId="111" fillId="0" borderId="0" applyNumberFormat="0" applyFont="0" applyFill="0" applyBorder="0" applyAlignment="0" applyProtection="0"/>
    <xf numFmtId="0" fontId="111" fillId="0" borderId="0" applyNumberFormat="0" applyFont="0" applyFill="0" applyBorder="0" applyAlignment="0" applyProtection="0"/>
    <xf numFmtId="14" fontId="10" fillId="0" borderId="0"/>
    <xf numFmtId="195" fontId="7" fillId="0" borderId="0" applyFont="0" applyFill="0" applyBorder="0" applyAlignment="0" applyProtection="0"/>
    <xf numFmtId="195" fontId="7" fillId="0" borderId="0" applyFont="0" applyFill="0" applyBorder="0" applyAlignment="0" applyProtection="0"/>
    <xf numFmtId="195" fontId="7" fillId="0" borderId="0" applyFont="0" applyFill="0" applyBorder="0" applyAlignment="0" applyProtection="0"/>
    <xf numFmtId="195" fontId="7" fillId="0" borderId="0" applyFont="0" applyFill="0" applyBorder="0" applyAlignment="0" applyProtection="0"/>
    <xf numFmtId="195" fontId="7" fillId="0" borderId="0" applyFont="0" applyFill="0" applyBorder="0" applyAlignment="0" applyProtection="0"/>
    <xf numFmtId="192" fontId="7" fillId="0" borderId="0" applyFont="0" applyFill="0" applyBorder="0" applyAlignment="0" applyProtection="0"/>
    <xf numFmtId="192" fontId="7" fillId="0" borderId="0" applyFont="0" applyFill="0" applyBorder="0" applyAlignment="0" applyProtection="0"/>
    <xf numFmtId="195" fontId="7" fillId="0" borderId="0" applyFont="0" applyFill="0" applyBorder="0" applyAlignment="0" applyProtection="0"/>
    <xf numFmtId="195" fontId="7" fillId="0" borderId="0" applyFont="0" applyFill="0" applyBorder="0" applyAlignment="0" applyProtection="0"/>
    <xf numFmtId="196" fontId="7" fillId="0" borderId="0" applyFont="0" applyFill="0" applyBorder="0" applyAlignment="0" applyProtection="0"/>
    <xf numFmtId="196" fontId="7" fillId="0" borderId="0" applyFont="0" applyFill="0" applyBorder="0" applyAlignment="0" applyProtection="0"/>
    <xf numFmtId="196" fontId="7" fillId="0" borderId="0" applyFont="0" applyFill="0" applyBorder="0" applyAlignment="0" applyProtection="0"/>
    <xf numFmtId="196" fontId="7" fillId="0" borderId="0" applyFont="0" applyFill="0" applyBorder="0" applyAlignment="0" applyProtection="0"/>
    <xf numFmtId="196" fontId="7" fillId="0" borderId="0" applyFont="0" applyFill="0" applyBorder="0" applyAlignment="0" applyProtection="0"/>
    <xf numFmtId="230" fontId="7" fillId="0" borderId="0" applyFont="0" applyFill="0" applyBorder="0" applyAlignment="0" applyProtection="0"/>
    <xf numFmtId="230" fontId="7" fillId="0" borderId="0" applyFont="0" applyFill="0" applyBorder="0" applyAlignment="0" applyProtection="0"/>
    <xf numFmtId="196" fontId="7" fillId="0" borderId="0" applyFont="0" applyFill="0" applyBorder="0" applyAlignment="0" applyProtection="0"/>
    <xf numFmtId="196"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198" fontId="7" fillId="0" borderId="0" applyFont="0" applyFill="0" applyBorder="0" applyAlignment="0" applyProtection="0"/>
    <xf numFmtId="198" fontId="7" fillId="0" borderId="0" applyFont="0" applyFill="0" applyBorder="0" applyAlignment="0" applyProtection="0"/>
    <xf numFmtId="197" fontId="7" fillId="0" borderId="0" applyFont="0" applyFill="0" applyBorder="0" applyAlignment="0" applyProtection="0"/>
    <xf numFmtId="197" fontId="7" fillId="0" borderId="0" applyFont="0" applyFill="0" applyBorder="0" applyAlignment="0" applyProtection="0"/>
    <xf numFmtId="197" fontId="7" fillId="0" borderId="0" applyFont="0" applyFill="0" applyBorder="0" applyAlignment="0" applyProtection="0"/>
    <xf numFmtId="197" fontId="7" fillId="0" borderId="0" applyFont="0" applyFill="0" applyBorder="0" applyAlignment="0" applyProtection="0"/>
    <xf numFmtId="197" fontId="7" fillId="0" borderId="0" applyFont="0" applyFill="0" applyBorder="0" applyAlignment="0" applyProtection="0"/>
    <xf numFmtId="197" fontId="7" fillId="0" borderId="0" applyFont="0" applyFill="0" applyBorder="0" applyAlignment="0" applyProtection="0"/>
    <xf numFmtId="198" fontId="7" fillId="0" borderId="0" applyFont="0" applyFill="0" applyBorder="0" applyAlignment="0" applyProtection="0"/>
    <xf numFmtId="198" fontId="7" fillId="0" borderId="0" applyFont="0" applyFill="0" applyBorder="0" applyAlignment="0" applyProtection="0"/>
    <xf numFmtId="198" fontId="7" fillId="0" borderId="0" applyFont="0" applyFill="0" applyBorder="0" applyAlignment="0" applyProtection="0"/>
    <xf numFmtId="198" fontId="7" fillId="0" borderId="0" applyFont="0" applyFill="0" applyBorder="0" applyAlignment="0" applyProtection="0"/>
    <xf numFmtId="198" fontId="7" fillId="0" borderId="0" applyFont="0" applyFill="0" applyBorder="0" applyAlignment="0" applyProtection="0"/>
    <xf numFmtId="197" fontId="7" fillId="0" borderId="0" applyFont="0" applyFill="0" applyBorder="0" applyAlignment="0" applyProtection="0"/>
    <xf numFmtId="197" fontId="7" fillId="0" borderId="0" applyFont="0" applyFill="0" applyBorder="0" applyAlignment="0" applyProtection="0"/>
    <xf numFmtId="197" fontId="7" fillId="0" borderId="0" applyFont="0" applyFill="0" applyBorder="0" applyAlignment="0" applyProtection="0"/>
    <xf numFmtId="197" fontId="7" fillId="0" borderId="0" applyFont="0" applyFill="0" applyBorder="0" applyAlignment="0" applyProtection="0"/>
    <xf numFmtId="197" fontId="7" fillId="0" borderId="0" applyFont="0" applyFill="0" applyBorder="0" applyAlignment="0" applyProtection="0"/>
    <xf numFmtId="197" fontId="7" fillId="0" borderId="0" applyFont="0" applyFill="0" applyBorder="0" applyAlignment="0" applyProtection="0"/>
    <xf numFmtId="198" fontId="7" fillId="0" borderId="0" applyFont="0" applyFill="0" applyBorder="0" applyAlignment="0" applyProtection="0"/>
    <xf numFmtId="198" fontId="7" fillId="0" borderId="0" applyFont="0" applyFill="0" applyBorder="0" applyAlignment="0" applyProtection="0"/>
    <xf numFmtId="198" fontId="7" fillId="0" borderId="0" applyFont="0" applyFill="0" applyBorder="0" applyAlignment="0" applyProtection="0"/>
    <xf numFmtId="198" fontId="7" fillId="0" borderId="0" applyFont="0" applyFill="0" applyBorder="0" applyAlignment="0" applyProtection="0"/>
    <xf numFmtId="198" fontId="7" fillId="0" borderId="0" applyFont="0" applyFill="0" applyBorder="0" applyAlignment="0" applyProtection="0"/>
    <xf numFmtId="198" fontId="7" fillId="0" borderId="0" applyFont="0" applyFill="0" applyBorder="0" applyAlignment="0" applyProtection="0"/>
    <xf numFmtId="198" fontId="7" fillId="0" borderId="0" applyFont="0" applyFill="0" applyBorder="0" applyAlignment="0" applyProtection="0"/>
    <xf numFmtId="198" fontId="7" fillId="0" borderId="0" applyFont="0" applyFill="0" applyBorder="0" applyAlignment="0" applyProtection="0"/>
    <xf numFmtId="198" fontId="7" fillId="0" borderId="0" applyFont="0" applyFill="0" applyBorder="0" applyAlignment="0" applyProtection="0"/>
    <xf numFmtId="198" fontId="7" fillId="0" borderId="0" applyFont="0" applyFill="0" applyBorder="0" applyAlignment="0" applyProtection="0"/>
    <xf numFmtId="198" fontId="7" fillId="0" borderId="0" applyFont="0" applyFill="0" applyBorder="0" applyAlignment="0" applyProtection="0"/>
    <xf numFmtId="198" fontId="7" fillId="0" borderId="0" applyFont="0" applyFill="0" applyBorder="0" applyAlignment="0" applyProtection="0"/>
    <xf numFmtId="198" fontId="7" fillId="0" borderId="0" applyFont="0" applyFill="0" applyBorder="0" applyAlignment="0" applyProtection="0"/>
    <xf numFmtId="198" fontId="7" fillId="0" borderId="0" applyFont="0" applyFill="0" applyBorder="0" applyAlignment="0" applyProtection="0"/>
    <xf numFmtId="197" fontId="7" fillId="0" borderId="0" applyFont="0" applyFill="0" applyBorder="0" applyAlignment="0" applyProtection="0"/>
    <xf numFmtId="197" fontId="7" fillId="0" borderId="0" applyFont="0" applyFill="0" applyBorder="0" applyAlignment="0" applyProtection="0"/>
    <xf numFmtId="197" fontId="7" fillId="0" borderId="0" applyFont="0" applyFill="0" applyBorder="0" applyAlignment="0" applyProtection="0"/>
    <xf numFmtId="231" fontId="7" fillId="0" borderId="0" applyFont="0" applyFill="0" applyBorder="0" applyAlignment="0" applyProtection="0"/>
    <xf numFmtId="197" fontId="7" fillId="0" borderId="0" applyFont="0" applyFill="0" applyBorder="0" applyAlignment="0" applyProtection="0"/>
    <xf numFmtId="198" fontId="7" fillId="0" borderId="0" applyFont="0" applyFill="0" applyBorder="0" applyAlignment="0" applyProtection="0"/>
    <xf numFmtId="198" fontId="7" fillId="0" borderId="0" applyFont="0" applyFill="0" applyBorder="0" applyAlignment="0" applyProtection="0"/>
    <xf numFmtId="197" fontId="7" fillId="0" borderId="0" applyFont="0" applyFill="0" applyBorder="0" applyAlignment="0" applyProtection="0"/>
    <xf numFmtId="197" fontId="7" fillId="0" borderId="0" applyFont="0" applyFill="0" applyBorder="0" applyAlignment="0" applyProtection="0"/>
    <xf numFmtId="197" fontId="7" fillId="0" borderId="0" applyFont="0" applyFill="0" applyBorder="0" applyAlignment="0" applyProtection="0"/>
    <xf numFmtId="231" fontId="7" fillId="0" borderId="0" applyFont="0" applyFill="0" applyBorder="0" applyAlignment="0" applyProtection="0"/>
    <xf numFmtId="197" fontId="7" fillId="0" borderId="0" applyFont="0" applyFill="0" applyBorder="0" applyAlignment="0" applyProtection="0"/>
    <xf numFmtId="37" fontId="7" fillId="0" borderId="0" applyFont="0" applyFill="0" applyBorder="0" applyAlignment="0" applyProtection="0"/>
    <xf numFmtId="37" fontId="7" fillId="0" borderId="0" applyFont="0" applyFill="0" applyBorder="0" applyAlignment="0" applyProtection="0"/>
    <xf numFmtId="37" fontId="7" fillId="0" borderId="0" applyFont="0" applyFill="0" applyBorder="0" applyAlignment="0" applyProtection="0"/>
    <xf numFmtId="198" fontId="7" fillId="0" borderId="0" applyFont="0" applyFill="0" applyBorder="0" applyAlignment="0" applyProtection="0"/>
    <xf numFmtId="198" fontId="7" fillId="0" borderId="0" applyFont="0" applyFill="0" applyBorder="0" applyAlignment="0" applyProtection="0"/>
    <xf numFmtId="198" fontId="7" fillId="0" borderId="0" applyFont="0" applyFill="0" applyBorder="0" applyAlignment="0" applyProtection="0"/>
    <xf numFmtId="197" fontId="7" fillId="0" borderId="0" applyFont="0" applyFill="0" applyBorder="0" applyAlignment="0" applyProtection="0"/>
    <xf numFmtId="197" fontId="7" fillId="0" borderId="0" applyFont="0" applyFill="0" applyBorder="0" applyAlignment="0" applyProtection="0"/>
    <xf numFmtId="197" fontId="7" fillId="0" borderId="0" applyFont="0" applyFill="0" applyBorder="0" applyAlignment="0" applyProtection="0"/>
    <xf numFmtId="198" fontId="7" fillId="0" borderId="0" applyFont="0" applyFill="0" applyBorder="0" applyAlignment="0" applyProtection="0"/>
    <xf numFmtId="198" fontId="7" fillId="0" borderId="0" applyFont="0" applyFill="0" applyBorder="0" applyAlignment="0" applyProtection="0"/>
    <xf numFmtId="198" fontId="7" fillId="0" borderId="0" applyFont="0" applyFill="0" applyBorder="0" applyAlignment="0" applyProtection="0"/>
    <xf numFmtId="0" fontId="45" fillId="0" borderId="0" applyFont="0" applyFill="0" applyBorder="0" applyAlignment="0" applyProtection="0"/>
    <xf numFmtId="198" fontId="7" fillId="0" borderId="0" applyFont="0" applyFill="0" applyBorder="0" applyAlignment="0" applyProtection="0"/>
    <xf numFmtId="198" fontId="7" fillId="0" borderId="0" applyFont="0" applyFill="0" applyBorder="0" applyAlignment="0" applyProtection="0"/>
    <xf numFmtId="197" fontId="7" fillId="0" borderId="0" applyFont="0" applyFill="0" applyBorder="0" applyAlignment="0" applyProtection="0"/>
    <xf numFmtId="197" fontId="7" fillId="0" borderId="0" applyFont="0" applyFill="0" applyBorder="0" applyAlignment="0" applyProtection="0"/>
    <xf numFmtId="197" fontId="7" fillId="0" borderId="0" applyFont="0" applyFill="0" applyBorder="0" applyAlignment="0" applyProtection="0"/>
    <xf numFmtId="206" fontId="7" fillId="0" borderId="0" applyFont="0" applyFill="0" applyBorder="0" applyAlignment="0" applyProtection="0"/>
    <xf numFmtId="206" fontId="7" fillId="0" borderId="0" applyFont="0" applyFill="0" applyBorder="0" applyAlignment="0" applyProtection="0"/>
    <xf numFmtId="198" fontId="7" fillId="0" borderId="0" applyFont="0" applyFill="0" applyBorder="0" applyAlignment="0" applyProtection="0"/>
    <xf numFmtId="198" fontId="7" fillId="0" borderId="0" applyFont="0" applyFill="0" applyBorder="0" applyAlignment="0" applyProtection="0"/>
    <xf numFmtId="198" fontId="7" fillId="0" borderId="0" applyFont="0" applyFill="0" applyBorder="0" applyAlignment="0" applyProtection="0"/>
    <xf numFmtId="197" fontId="7" fillId="0" borderId="0" applyFont="0" applyFill="0" applyBorder="0" applyAlignment="0" applyProtection="0"/>
    <xf numFmtId="197" fontId="7" fillId="0" borderId="0" applyFont="0" applyFill="0" applyBorder="0" applyAlignment="0" applyProtection="0"/>
    <xf numFmtId="197" fontId="7" fillId="0" borderId="0" applyFont="0" applyFill="0" applyBorder="0" applyAlignment="0" applyProtection="0"/>
    <xf numFmtId="198" fontId="7" fillId="0" borderId="0" applyFont="0" applyFill="0" applyBorder="0" applyAlignment="0" applyProtection="0"/>
    <xf numFmtId="198" fontId="7" fillId="0" borderId="0" applyFont="0" applyFill="0" applyBorder="0" applyAlignment="0" applyProtection="0"/>
    <xf numFmtId="197" fontId="7" fillId="0" borderId="0" applyFont="0" applyFill="0" applyBorder="0" applyAlignment="0" applyProtection="0"/>
    <xf numFmtId="197" fontId="7" fillId="0" borderId="0" applyFont="0" applyFill="0" applyBorder="0" applyAlignment="0" applyProtection="0"/>
    <xf numFmtId="198" fontId="7" fillId="0" borderId="0" applyFont="0" applyFill="0" applyBorder="0" applyAlignment="0" applyProtection="0"/>
    <xf numFmtId="198" fontId="7" fillId="0" borderId="0" applyFont="0" applyFill="0" applyBorder="0" applyAlignment="0" applyProtection="0"/>
    <xf numFmtId="197" fontId="7" fillId="0" borderId="0" applyFont="0" applyFill="0" applyBorder="0" applyAlignment="0" applyProtection="0"/>
    <xf numFmtId="197" fontId="7" fillId="0" borderId="0" applyFont="0" applyFill="0" applyBorder="0" applyAlignment="0" applyProtection="0"/>
    <xf numFmtId="197" fontId="7" fillId="0" borderId="0" applyFont="0" applyFill="0" applyBorder="0" applyAlignment="0" applyProtection="0"/>
    <xf numFmtId="197" fontId="7" fillId="0" borderId="0" applyFont="0" applyFill="0" applyBorder="0" applyAlignment="0" applyProtection="0"/>
    <xf numFmtId="198" fontId="7" fillId="0" borderId="0" applyFont="0" applyFill="0" applyBorder="0" applyAlignment="0" applyProtection="0"/>
    <xf numFmtId="198" fontId="7" fillId="0" borderId="0" applyFont="0" applyFill="0" applyBorder="0" applyAlignment="0" applyProtection="0"/>
    <xf numFmtId="198" fontId="7" fillId="0" borderId="0" applyFont="0" applyFill="0" applyBorder="0" applyAlignment="0" applyProtection="0"/>
    <xf numFmtId="197" fontId="109" fillId="0" borderId="0" applyFont="0" applyFill="0" applyBorder="0" applyAlignment="0" applyProtection="0"/>
    <xf numFmtId="197" fontId="109" fillId="0" borderId="0" applyFont="0" applyFill="0" applyBorder="0" applyAlignment="0" applyProtection="0"/>
    <xf numFmtId="232" fontId="7" fillId="0" borderId="0" applyFont="0" applyFill="0" applyBorder="0" applyAlignment="0" applyProtection="0"/>
    <xf numFmtId="232" fontId="7" fillId="0" borderId="0" applyFont="0" applyFill="0" applyBorder="0" applyAlignment="0" applyProtection="0"/>
    <xf numFmtId="233" fontId="7" fillId="0" borderId="0" applyFont="0" applyFill="0" applyBorder="0" applyAlignment="0" applyProtection="0"/>
    <xf numFmtId="233" fontId="7" fillId="0" borderId="0" applyFont="0" applyFill="0" applyBorder="0" applyAlignment="0" applyProtection="0"/>
    <xf numFmtId="198" fontId="7" fillId="0" borderId="0" applyFont="0" applyFill="0" applyBorder="0" applyAlignment="0" applyProtection="0"/>
    <xf numFmtId="198" fontId="7" fillId="0" borderId="0" applyFont="0" applyFill="0" applyBorder="0" applyAlignment="0" applyProtection="0"/>
    <xf numFmtId="198" fontId="7" fillId="0" borderId="0" applyFont="0" applyFill="0" applyBorder="0" applyAlignment="0" applyProtection="0"/>
    <xf numFmtId="198" fontId="7" fillId="0" borderId="0" applyFont="0" applyFill="0" applyBorder="0" applyAlignment="0" applyProtection="0"/>
    <xf numFmtId="198" fontId="7" fillId="0" borderId="0" applyFont="0" applyFill="0" applyBorder="0" applyAlignment="0" applyProtection="0"/>
    <xf numFmtId="198" fontId="7" fillId="0" borderId="0" applyFont="0" applyFill="0" applyBorder="0" applyAlignment="0" applyProtection="0"/>
    <xf numFmtId="197" fontId="7" fillId="0" borderId="0" applyFont="0" applyFill="0" applyBorder="0" applyAlignment="0" applyProtection="0"/>
    <xf numFmtId="197" fontId="7" fillId="0" borderId="0" applyFont="0" applyFill="0" applyBorder="0" applyAlignment="0" applyProtection="0"/>
    <xf numFmtId="197" fontId="7" fillId="0" borderId="0" applyFont="0" applyFill="0" applyBorder="0" applyAlignment="0" applyProtection="0"/>
    <xf numFmtId="198" fontId="7" fillId="0" borderId="0" applyFont="0" applyFill="0" applyBorder="0" applyAlignment="0" applyProtection="0"/>
    <xf numFmtId="198" fontId="7" fillId="0" borderId="0" applyFont="0" applyFill="0" applyBorder="0" applyAlignment="0" applyProtection="0"/>
    <xf numFmtId="198" fontId="7" fillId="0" borderId="0" applyFont="0" applyFill="0" applyBorder="0" applyAlignment="0" applyProtection="0"/>
    <xf numFmtId="198" fontId="7" fillId="0" borderId="0" applyFont="0" applyFill="0" applyBorder="0" applyAlignment="0" applyProtection="0"/>
    <xf numFmtId="198" fontId="7" fillId="0" borderId="0" applyFont="0" applyFill="0" applyBorder="0" applyAlignment="0" applyProtection="0"/>
    <xf numFmtId="198" fontId="7" fillId="0" borderId="0" applyFont="0" applyFill="0" applyBorder="0" applyAlignment="0" applyProtection="0"/>
    <xf numFmtId="198" fontId="7" fillId="0" borderId="0" applyFont="0" applyFill="0" applyBorder="0" applyAlignment="0" applyProtection="0"/>
    <xf numFmtId="198" fontId="7" fillId="0" borderId="0" applyFont="0" applyFill="0" applyBorder="0" applyAlignment="0" applyProtection="0"/>
    <xf numFmtId="198" fontId="7" fillId="0" borderId="0" applyFont="0" applyFill="0" applyBorder="0" applyAlignment="0" applyProtection="0"/>
    <xf numFmtId="197" fontId="7" fillId="0" borderId="0" applyFont="0" applyFill="0" applyBorder="0" applyAlignment="0" applyProtection="0"/>
    <xf numFmtId="197" fontId="7" fillId="0" borderId="0" applyFont="0" applyFill="0" applyBorder="0" applyAlignment="0" applyProtection="0"/>
    <xf numFmtId="197" fontId="7" fillId="0" borderId="0" applyFont="0" applyFill="0" applyBorder="0" applyAlignment="0" applyProtection="0"/>
    <xf numFmtId="231" fontId="7" fillId="0" borderId="0" applyFont="0" applyFill="0" applyBorder="0" applyAlignment="0" applyProtection="0"/>
    <xf numFmtId="197" fontId="7" fillId="0" borderId="0" applyFont="0" applyFill="0" applyBorder="0" applyAlignment="0" applyProtection="0"/>
    <xf numFmtId="197" fontId="109" fillId="0" borderId="0" applyFont="0" applyFill="0" applyBorder="0" applyAlignment="0" applyProtection="0"/>
    <xf numFmtId="198" fontId="7" fillId="0" borderId="0" applyFont="0" applyFill="0" applyBorder="0" applyAlignment="0" applyProtection="0"/>
    <xf numFmtId="198" fontId="7" fillId="0" borderId="0" applyFont="0" applyFill="0" applyBorder="0" applyAlignment="0" applyProtection="0"/>
    <xf numFmtId="198" fontId="7" fillId="0" borderId="0" applyFont="0" applyFill="0" applyBorder="0" applyAlignment="0" applyProtection="0"/>
    <xf numFmtId="197" fontId="109" fillId="0" borderId="0" applyFont="0" applyFill="0" applyBorder="0" applyAlignment="0" applyProtection="0"/>
    <xf numFmtId="198" fontId="7" fillId="0" borderId="0" applyFont="0" applyFill="0" applyBorder="0" applyAlignment="0" applyProtection="0"/>
    <xf numFmtId="198" fontId="7" fillId="0" borderId="0" applyFont="0" applyFill="0" applyBorder="0" applyAlignment="0" applyProtection="0"/>
    <xf numFmtId="198" fontId="7" fillId="0" borderId="0" applyFont="0" applyFill="0" applyBorder="0" applyAlignment="0" applyProtection="0"/>
    <xf numFmtId="197" fontId="109" fillId="0" borderId="0" applyFont="0" applyFill="0" applyBorder="0" applyAlignment="0" applyProtection="0"/>
    <xf numFmtId="197" fontId="7" fillId="0" borderId="0" applyFont="0" applyFill="0" applyBorder="0" applyAlignment="0" applyProtection="0"/>
    <xf numFmtId="197" fontId="7" fillId="0" borderId="0" applyFont="0" applyFill="0" applyBorder="0" applyAlignment="0" applyProtection="0"/>
    <xf numFmtId="197" fontId="7" fillId="0" borderId="0" applyFont="0" applyFill="0" applyBorder="0" applyAlignment="0" applyProtection="0"/>
    <xf numFmtId="197" fontId="7" fillId="0" borderId="0" applyFont="0" applyFill="0" applyBorder="0" applyAlignment="0" applyProtection="0"/>
    <xf numFmtId="197" fontId="7" fillId="0" borderId="0" applyFont="0" applyFill="0" applyBorder="0" applyAlignment="0" applyProtection="0"/>
    <xf numFmtId="197" fontId="7" fillId="0" borderId="0" applyFont="0" applyFill="0" applyBorder="0" applyAlignment="0" applyProtection="0"/>
    <xf numFmtId="197" fontId="7" fillId="0" borderId="0" applyFont="0" applyFill="0" applyBorder="0" applyAlignment="0" applyProtection="0"/>
    <xf numFmtId="197" fontId="7" fillId="0" borderId="0" applyFont="0" applyFill="0" applyBorder="0" applyAlignment="0" applyProtection="0"/>
    <xf numFmtId="197" fontId="7" fillId="0" borderId="0" applyFont="0" applyFill="0" applyBorder="0" applyAlignment="0" applyProtection="0"/>
    <xf numFmtId="197" fontId="109" fillId="0" borderId="0" applyFont="0" applyFill="0" applyBorder="0" applyAlignment="0" applyProtection="0"/>
    <xf numFmtId="198" fontId="7" fillId="0" borderId="0" applyFont="0" applyFill="0" applyBorder="0" applyAlignment="0" applyProtection="0"/>
    <xf numFmtId="198" fontId="7" fillId="0" borderId="0" applyFont="0" applyFill="0" applyBorder="0" applyAlignment="0" applyProtection="0"/>
    <xf numFmtId="198" fontId="7" fillId="0" borderId="0" applyFont="0" applyFill="0" applyBorder="0" applyAlignment="0" applyProtection="0"/>
    <xf numFmtId="197" fontId="7" fillId="0" borderId="0" applyFont="0" applyFill="0" applyBorder="0" applyAlignment="0" applyProtection="0"/>
    <xf numFmtId="197" fontId="7" fillId="0" borderId="0" applyFont="0" applyFill="0" applyBorder="0" applyAlignment="0" applyProtection="0"/>
    <xf numFmtId="197" fontId="7" fillId="0" borderId="0" applyFont="0" applyFill="0" applyBorder="0" applyAlignment="0" applyProtection="0"/>
    <xf numFmtId="197" fontId="109" fillId="0" borderId="0" applyFont="0" applyFill="0" applyBorder="0" applyAlignment="0" applyProtection="0"/>
    <xf numFmtId="198" fontId="7" fillId="0" borderId="0" applyFont="0" applyFill="0" applyBorder="0" applyAlignment="0" applyProtection="0"/>
    <xf numFmtId="198" fontId="7" fillId="0" borderId="0" applyFont="0" applyFill="0" applyBorder="0" applyAlignment="0" applyProtection="0"/>
    <xf numFmtId="198" fontId="7" fillId="0" borderId="0" applyFont="0" applyFill="0" applyBorder="0" applyAlignment="0" applyProtection="0"/>
    <xf numFmtId="197" fontId="109" fillId="0" borderId="0" applyFont="0" applyFill="0" applyBorder="0" applyAlignment="0" applyProtection="0"/>
    <xf numFmtId="197" fontId="109" fillId="0" borderId="0" applyFont="0" applyFill="0" applyBorder="0" applyAlignment="0" applyProtection="0"/>
    <xf numFmtId="231" fontId="7" fillId="0" borderId="0" applyFont="0" applyFill="0" applyBorder="0" applyAlignment="0" applyProtection="0"/>
    <xf numFmtId="197" fontId="7" fillId="0" borderId="0" applyFont="0" applyFill="0" applyBorder="0" applyAlignment="0" applyProtection="0"/>
    <xf numFmtId="198" fontId="7" fillId="0" borderId="0" applyFont="0" applyFill="0" applyBorder="0" applyAlignment="0" applyProtection="0"/>
    <xf numFmtId="198" fontId="7" fillId="0" borderId="0" applyFont="0" applyFill="0" applyBorder="0" applyAlignment="0" applyProtection="0"/>
    <xf numFmtId="198" fontId="7" fillId="0" borderId="0" applyFont="0" applyFill="0" applyBorder="0" applyAlignment="0" applyProtection="0"/>
    <xf numFmtId="197" fontId="89" fillId="0" borderId="0" applyFont="0" applyFill="0" applyBorder="0" applyAlignment="0" applyProtection="0"/>
    <xf numFmtId="198" fontId="7" fillId="0" borderId="0" applyFont="0" applyFill="0" applyBorder="0" applyAlignment="0" applyProtection="0"/>
    <xf numFmtId="198" fontId="7" fillId="0" borderId="0" applyFont="0" applyFill="0" applyBorder="0" applyAlignment="0" applyProtection="0"/>
    <xf numFmtId="198" fontId="7" fillId="0" borderId="0" applyFont="0" applyFill="0" applyBorder="0" applyAlignment="0" applyProtection="0"/>
    <xf numFmtId="3" fontId="45" fillId="0" borderId="0"/>
    <xf numFmtId="3" fontId="45" fillId="0" borderId="0"/>
    <xf numFmtId="199" fontId="7" fillId="0" borderId="0" applyFont="0" applyFill="0" applyBorder="0" applyAlignment="0" applyProtection="0"/>
    <xf numFmtId="199" fontId="7" fillId="0" borderId="0" applyFont="0" applyFill="0" applyBorder="0" applyAlignment="0" applyProtection="0"/>
    <xf numFmtId="234" fontId="7" fillId="0" borderId="0" applyFont="0" applyFill="0" applyBorder="0" applyAlignment="0" applyProtection="0"/>
    <xf numFmtId="234" fontId="7" fillId="0" borderId="0" applyFont="0" applyFill="0" applyBorder="0" applyAlignment="0" applyProtection="0"/>
    <xf numFmtId="234" fontId="7" fillId="0" borderId="0" applyFont="0" applyFill="0" applyBorder="0" applyAlignment="0" applyProtection="0"/>
    <xf numFmtId="234" fontId="7" fillId="0" borderId="0" applyFont="0" applyFill="0" applyBorder="0" applyAlignment="0" applyProtection="0"/>
    <xf numFmtId="234" fontId="7" fillId="0" borderId="0" applyFont="0" applyFill="0" applyBorder="0" applyAlignment="0" applyProtection="0"/>
    <xf numFmtId="234" fontId="7" fillId="0" borderId="0" applyFont="0" applyFill="0" applyBorder="0" applyAlignment="0" applyProtection="0"/>
    <xf numFmtId="199" fontId="7" fillId="0" borderId="0" applyFont="0" applyFill="0" applyBorder="0" applyAlignment="0" applyProtection="0"/>
    <xf numFmtId="199" fontId="7" fillId="0" borderId="0" applyFont="0" applyFill="0" applyBorder="0" applyAlignment="0" applyProtection="0"/>
    <xf numFmtId="199" fontId="7" fillId="0" borderId="0" applyFont="0" applyFill="0" applyBorder="0" applyAlignment="0" applyProtection="0"/>
    <xf numFmtId="234" fontId="7" fillId="0" borderId="0" applyFont="0" applyFill="0" applyBorder="0" applyAlignment="0" applyProtection="0"/>
    <xf numFmtId="234" fontId="7" fillId="0" borderId="0" applyFont="0" applyFill="0" applyBorder="0" applyAlignment="0" applyProtection="0"/>
    <xf numFmtId="234" fontId="7" fillId="0" borderId="0" applyFont="0" applyFill="0" applyBorder="0" applyAlignment="0" applyProtection="0"/>
    <xf numFmtId="234" fontId="7" fillId="0" borderId="0" applyFont="0" applyFill="0" applyBorder="0" applyAlignment="0" applyProtection="0"/>
    <xf numFmtId="234" fontId="7" fillId="0" borderId="0" applyFont="0" applyFill="0" applyBorder="0" applyAlignment="0" applyProtection="0"/>
    <xf numFmtId="234"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199" fontId="7" fillId="0" borderId="0" applyFont="0" applyFill="0" applyBorder="0" applyAlignment="0" applyProtection="0"/>
    <xf numFmtId="199" fontId="7" fillId="0" borderId="0" applyFont="0" applyFill="0" applyBorder="0" applyAlignment="0" applyProtection="0"/>
    <xf numFmtId="234" fontId="7" fillId="0" borderId="0" applyFont="0" applyFill="0" applyBorder="0" applyAlignment="0" applyProtection="0"/>
    <xf numFmtId="234" fontId="7" fillId="0" borderId="0" applyFont="0" applyFill="0" applyBorder="0" applyAlignment="0" applyProtection="0"/>
    <xf numFmtId="234" fontId="7" fillId="0" borderId="0" applyFont="0" applyFill="0" applyBorder="0" applyAlignment="0" applyProtection="0"/>
    <xf numFmtId="234" fontId="7" fillId="0" borderId="0" applyFont="0" applyFill="0" applyBorder="0" applyAlignment="0" applyProtection="0"/>
    <xf numFmtId="234" fontId="7" fillId="0" borderId="0" applyFont="0" applyFill="0" applyBorder="0" applyAlignment="0" applyProtection="0"/>
    <xf numFmtId="234" fontId="7" fillId="0" borderId="0" applyFont="0" applyFill="0" applyBorder="0" applyAlignment="0" applyProtection="0"/>
    <xf numFmtId="199" fontId="7" fillId="0" borderId="0" applyFont="0" applyFill="0" applyBorder="0" applyAlignment="0" applyProtection="0"/>
    <xf numFmtId="199" fontId="7" fillId="0" borderId="0" applyFont="0" applyFill="0" applyBorder="0" applyAlignment="0" applyProtection="0"/>
    <xf numFmtId="199" fontId="7" fillId="0" borderId="0" applyFont="0" applyFill="0" applyBorder="0" applyAlignment="0" applyProtection="0"/>
    <xf numFmtId="199" fontId="7" fillId="0" borderId="0" applyFont="0" applyFill="0" applyBorder="0" applyAlignment="0" applyProtection="0"/>
    <xf numFmtId="199" fontId="7" fillId="0" borderId="0" applyFont="0" applyFill="0" applyBorder="0" applyAlignment="0" applyProtection="0"/>
    <xf numFmtId="199" fontId="7" fillId="0" borderId="0" applyFont="0" applyFill="0" applyBorder="0" applyAlignment="0" applyProtection="0"/>
    <xf numFmtId="199" fontId="7" fillId="0" borderId="0" applyFont="0" applyFill="0" applyBorder="0" applyAlignment="0" applyProtection="0"/>
    <xf numFmtId="199" fontId="7" fillId="0" borderId="0" applyFont="0" applyFill="0" applyBorder="0" applyAlignment="0" applyProtection="0"/>
    <xf numFmtId="199" fontId="7" fillId="0" borderId="0" applyFont="0" applyFill="0" applyBorder="0" applyAlignment="0" applyProtection="0"/>
    <xf numFmtId="235" fontId="7" fillId="0" borderId="0" applyFont="0" applyFill="0" applyBorder="0" applyAlignment="0" applyProtection="0"/>
    <xf numFmtId="226" fontId="7" fillId="0" borderId="0" applyFont="0" applyFill="0" applyBorder="0" applyAlignment="0" applyProtection="0"/>
    <xf numFmtId="199" fontId="7" fillId="0" borderId="0" applyFont="0" applyFill="0" applyBorder="0" applyAlignment="0" applyProtection="0"/>
    <xf numFmtId="199" fontId="7" fillId="0" borderId="0" applyFont="0" applyFill="0" applyBorder="0" applyAlignment="0" applyProtection="0"/>
    <xf numFmtId="199" fontId="7" fillId="0" borderId="0" applyFont="0" applyFill="0" applyBorder="0" applyAlignment="0" applyProtection="0"/>
    <xf numFmtId="199" fontId="7" fillId="0" borderId="0" applyFont="0" applyFill="0" applyBorder="0" applyAlignment="0" applyProtection="0"/>
    <xf numFmtId="199" fontId="7" fillId="0" borderId="0" applyFont="0" applyFill="0" applyBorder="0" applyAlignment="0" applyProtection="0"/>
    <xf numFmtId="235" fontId="7" fillId="0" borderId="0" applyFont="0" applyFill="0" applyBorder="0" applyAlignment="0" applyProtection="0"/>
    <xf numFmtId="226"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234" fontId="7" fillId="0" borderId="0" applyFont="0" applyFill="0" applyBorder="0" applyAlignment="0" applyProtection="0"/>
    <xf numFmtId="234" fontId="7" fillId="0" borderId="0" applyFont="0" applyFill="0" applyBorder="0" applyAlignment="0" applyProtection="0"/>
    <xf numFmtId="234" fontId="7" fillId="0" borderId="0" applyFont="0" applyFill="0" applyBorder="0" applyAlignment="0" applyProtection="0"/>
    <xf numFmtId="235" fontId="7" fillId="0" borderId="0" applyFont="0" applyFill="0" applyBorder="0" applyAlignment="0" applyProtection="0"/>
    <xf numFmtId="226" fontId="7" fillId="0" borderId="0" applyFont="0" applyFill="0" applyBorder="0" applyAlignment="0" applyProtection="0"/>
    <xf numFmtId="235" fontId="7" fillId="0" borderId="0" applyFont="0" applyFill="0" applyBorder="0" applyAlignment="0" applyProtection="0"/>
    <xf numFmtId="219" fontId="7" fillId="0" borderId="0" applyFont="0" applyFill="0" applyBorder="0" applyAlignment="0" applyProtection="0"/>
    <xf numFmtId="200" fontId="7" fillId="0" borderId="0" applyFont="0" applyFill="0" applyBorder="0" applyAlignment="0" applyProtection="0"/>
    <xf numFmtId="226" fontId="7" fillId="0" borderId="0" applyFont="0" applyFill="0" applyBorder="0" applyAlignment="0" applyProtection="0"/>
    <xf numFmtId="199" fontId="7" fillId="0" borderId="0" applyFont="0" applyFill="0" applyBorder="0" applyAlignment="0" applyProtection="0"/>
    <xf numFmtId="199" fontId="7" fillId="0" borderId="0" applyFont="0" applyFill="0" applyBorder="0" applyAlignment="0" applyProtection="0"/>
    <xf numFmtId="234" fontId="7" fillId="0" borderId="0" applyFont="0" applyFill="0" applyBorder="0" applyAlignment="0" applyProtection="0"/>
    <xf numFmtId="234" fontId="7" fillId="0" borderId="0" applyFont="0" applyFill="0" applyBorder="0" applyAlignment="0" applyProtection="0"/>
    <xf numFmtId="234" fontId="7" fillId="0" borderId="0" applyFont="0" applyFill="0" applyBorder="0" applyAlignment="0" applyProtection="0"/>
    <xf numFmtId="219" fontId="7" fillId="0" borderId="0" applyFont="0" applyFill="0" applyBorder="0" applyAlignment="0" applyProtection="0"/>
    <xf numFmtId="200" fontId="7" fillId="0" borderId="0" applyFont="0" applyFill="0" applyBorder="0" applyAlignment="0" applyProtection="0"/>
    <xf numFmtId="219" fontId="7" fillId="0" borderId="0" applyFont="0" applyFill="0" applyBorder="0" applyAlignment="0" applyProtection="0"/>
    <xf numFmtId="200" fontId="7" fillId="0" borderId="0" applyFont="0" applyFill="0" applyBorder="0" applyAlignment="0" applyProtection="0"/>
    <xf numFmtId="219" fontId="7" fillId="0" borderId="0" applyFont="0" applyFill="0" applyBorder="0" applyAlignment="0" applyProtection="0"/>
    <xf numFmtId="200" fontId="7" fillId="0" borderId="0" applyFont="0" applyFill="0" applyBorder="0" applyAlignment="0" applyProtection="0"/>
    <xf numFmtId="236" fontId="7" fillId="0" borderId="0" applyFont="0" applyFill="0" applyBorder="0" applyAlignment="0" applyProtection="0"/>
    <xf numFmtId="236" fontId="7" fillId="0" borderId="0" applyFont="0" applyFill="0" applyBorder="0" applyAlignment="0" applyProtection="0"/>
    <xf numFmtId="236" fontId="7" fillId="0" borderId="0" applyFont="0" applyFill="0" applyBorder="0" applyAlignment="0" applyProtection="0"/>
    <xf numFmtId="199" fontId="7" fillId="0" borderId="0" applyFont="0" applyFill="0" applyBorder="0" applyAlignment="0" applyProtection="0"/>
    <xf numFmtId="199" fontId="7" fillId="0" borderId="0" applyFont="0" applyFill="0" applyBorder="0" applyAlignment="0" applyProtection="0"/>
    <xf numFmtId="199" fontId="7" fillId="0" borderId="0" applyFont="0" applyFill="0" applyBorder="0" applyAlignment="0" applyProtection="0"/>
    <xf numFmtId="219" fontId="7" fillId="0" borderId="0" applyFont="0" applyFill="0" applyBorder="0" applyAlignment="0" applyProtection="0"/>
    <xf numFmtId="200" fontId="7" fillId="0" borderId="0" applyFont="0" applyFill="0" applyBorder="0" applyAlignment="0" applyProtection="0"/>
    <xf numFmtId="234" fontId="7" fillId="0" borderId="0" applyFont="0" applyFill="0" applyBorder="0" applyAlignment="0" applyProtection="0"/>
    <xf numFmtId="234" fontId="7" fillId="0" borderId="0" applyFont="0" applyFill="0" applyBorder="0" applyAlignment="0" applyProtection="0"/>
    <xf numFmtId="234" fontId="7" fillId="0" borderId="0" applyFont="0" applyFill="0" applyBorder="0" applyAlignment="0" applyProtection="0"/>
    <xf numFmtId="199" fontId="7" fillId="0" borderId="0" applyFont="0" applyFill="0" applyBorder="0" applyAlignment="0" applyProtection="0"/>
    <xf numFmtId="199" fontId="7" fillId="0" borderId="0" applyFont="0" applyFill="0" applyBorder="0" applyAlignment="0" applyProtection="0"/>
    <xf numFmtId="199" fontId="7" fillId="0" borderId="0" applyFont="0" applyFill="0" applyBorder="0" applyAlignment="0" applyProtection="0"/>
    <xf numFmtId="0" fontId="45" fillId="0" borderId="0" applyFont="0" applyFill="0" applyBorder="0" applyAlignment="0" applyProtection="0"/>
    <xf numFmtId="237" fontId="7" fillId="0" borderId="0" applyFont="0" applyFill="0" applyBorder="0" applyAlignment="0" applyProtection="0"/>
    <xf numFmtId="237" fontId="7" fillId="0" borderId="0" applyFont="0" applyFill="0" applyBorder="0" applyAlignment="0" applyProtection="0"/>
    <xf numFmtId="238" fontId="7" fillId="0" borderId="0" applyFont="0" applyFill="0" applyBorder="0" applyAlignment="0" applyProtection="0"/>
    <xf numFmtId="238" fontId="7" fillId="0" borderId="0" applyFont="0" applyFill="0" applyBorder="0" applyAlignment="0" applyProtection="0"/>
    <xf numFmtId="234" fontId="7" fillId="0" borderId="0" applyFont="0" applyFill="0" applyBorder="0" applyAlignment="0" applyProtection="0"/>
    <xf numFmtId="234" fontId="7" fillId="0" borderId="0" applyFont="0" applyFill="0" applyBorder="0" applyAlignment="0" applyProtection="0"/>
    <xf numFmtId="234" fontId="7" fillId="0" borderId="0" applyFont="0" applyFill="0" applyBorder="0" applyAlignment="0" applyProtection="0"/>
    <xf numFmtId="209" fontId="7" fillId="0" borderId="0" applyFont="0" applyFill="0" applyBorder="0" applyAlignment="0" applyProtection="0"/>
    <xf numFmtId="209" fontId="7" fillId="0" borderId="0" applyFont="0" applyFill="0" applyBorder="0" applyAlignment="0" applyProtection="0"/>
    <xf numFmtId="199" fontId="7" fillId="0" borderId="0" applyFont="0" applyFill="0" applyBorder="0" applyAlignment="0" applyProtection="0"/>
    <xf numFmtId="199" fontId="7" fillId="0" borderId="0" applyFont="0" applyFill="0" applyBorder="0" applyAlignment="0" applyProtection="0"/>
    <xf numFmtId="199" fontId="7" fillId="0" borderId="0" applyFont="0" applyFill="0" applyBorder="0" applyAlignment="0" applyProtection="0"/>
    <xf numFmtId="236" fontId="7" fillId="0" borderId="0" applyFont="0" applyFill="0" applyBorder="0" applyAlignment="0" applyProtection="0"/>
    <xf numFmtId="236" fontId="7" fillId="0" borderId="0" applyFont="0" applyFill="0" applyBorder="0" applyAlignment="0" applyProtection="0"/>
    <xf numFmtId="236" fontId="7" fillId="0" borderId="0" applyFont="0" applyFill="0" applyBorder="0" applyAlignment="0" applyProtection="0"/>
    <xf numFmtId="236" fontId="7" fillId="0" borderId="0" applyFont="0" applyFill="0" applyBorder="0" applyAlignment="0" applyProtection="0"/>
    <xf numFmtId="236" fontId="7" fillId="0" borderId="0" applyFont="0" applyFill="0" applyBorder="0" applyAlignment="0" applyProtection="0"/>
    <xf numFmtId="236" fontId="7" fillId="0" borderId="0" applyFont="0" applyFill="0" applyBorder="0" applyAlignment="0" applyProtection="0"/>
    <xf numFmtId="234" fontId="7" fillId="0" borderId="0" applyFont="0" applyFill="0" applyBorder="0" applyAlignment="0" applyProtection="0"/>
    <xf numFmtId="234" fontId="7" fillId="0" borderId="0" applyFont="0" applyFill="0" applyBorder="0" applyAlignment="0" applyProtection="0"/>
    <xf numFmtId="234" fontId="7" fillId="0" borderId="0" applyFont="0" applyFill="0" applyBorder="0" applyAlignment="0" applyProtection="0"/>
    <xf numFmtId="234" fontId="7" fillId="0" borderId="0" applyFont="0" applyFill="0" applyBorder="0" applyAlignment="0" applyProtection="0"/>
    <xf numFmtId="234" fontId="7" fillId="0" borderId="0" applyFont="0" applyFill="0" applyBorder="0" applyAlignment="0" applyProtection="0"/>
    <xf numFmtId="234" fontId="7" fillId="0" borderId="0" applyFont="0" applyFill="0" applyBorder="0" applyAlignment="0" applyProtection="0"/>
    <xf numFmtId="234" fontId="7" fillId="0" borderId="0" applyFont="0" applyFill="0" applyBorder="0" applyAlignment="0" applyProtection="0"/>
    <xf numFmtId="234" fontId="7" fillId="0" borderId="0" applyFont="0" applyFill="0" applyBorder="0" applyAlignment="0" applyProtection="0"/>
    <xf numFmtId="234" fontId="7" fillId="0" borderId="0" applyFont="0" applyFill="0" applyBorder="0" applyAlignment="0" applyProtection="0"/>
    <xf numFmtId="236" fontId="7" fillId="0" borderId="0" applyFont="0" applyFill="0" applyBorder="0" applyAlignment="0" applyProtection="0"/>
    <xf numFmtId="236" fontId="7" fillId="0" borderId="0" applyFont="0" applyFill="0" applyBorder="0" applyAlignment="0" applyProtection="0"/>
    <xf numFmtId="236" fontId="7" fillId="0" borderId="0" applyFont="0" applyFill="0" applyBorder="0" applyAlignment="0" applyProtection="0"/>
    <xf numFmtId="199" fontId="7" fillId="0" borderId="0" applyFont="0" applyFill="0" applyBorder="0" applyAlignment="0" applyProtection="0"/>
    <xf numFmtId="199" fontId="7" fillId="0" borderId="0" applyFont="0" applyFill="0" applyBorder="0" applyAlignment="0" applyProtection="0"/>
    <xf numFmtId="234" fontId="7" fillId="0" borderId="0" applyFont="0" applyFill="0" applyBorder="0" applyAlignment="0" applyProtection="0"/>
    <xf numFmtId="234" fontId="7" fillId="0" borderId="0" applyFont="0" applyFill="0" applyBorder="0" applyAlignment="0" applyProtection="0"/>
    <xf numFmtId="199" fontId="7" fillId="0" borderId="0" applyFont="0" applyFill="0" applyBorder="0" applyAlignment="0" applyProtection="0"/>
    <xf numFmtId="199" fontId="7" fillId="0" borderId="0" applyFont="0" applyFill="0" applyBorder="0" applyAlignment="0" applyProtection="0"/>
    <xf numFmtId="234" fontId="7" fillId="0" borderId="0" applyFont="0" applyFill="0" applyBorder="0" applyAlignment="0" applyProtection="0"/>
    <xf numFmtId="234" fontId="7" fillId="0" borderId="0" applyFont="0" applyFill="0" applyBorder="0" applyAlignment="0" applyProtection="0"/>
    <xf numFmtId="234" fontId="7" fillId="0" borderId="0" applyFont="0" applyFill="0" applyBorder="0" applyAlignment="0" applyProtection="0"/>
    <xf numFmtId="234" fontId="7" fillId="0" borderId="0" applyFont="0" applyFill="0" applyBorder="0" applyAlignment="0" applyProtection="0"/>
    <xf numFmtId="199" fontId="7" fillId="0" borderId="0" applyFont="0" applyFill="0" applyBorder="0" applyAlignment="0" applyProtection="0"/>
    <xf numFmtId="199" fontId="7" fillId="0" borderId="0" applyFont="0" applyFill="0" applyBorder="0" applyAlignment="0" applyProtection="0"/>
    <xf numFmtId="199" fontId="7" fillId="0" borderId="0" applyFont="0" applyFill="0" applyBorder="0" applyAlignment="0" applyProtection="0"/>
    <xf numFmtId="234" fontId="47" fillId="0" borderId="0" applyFont="0" applyFill="0" applyBorder="0" applyAlignment="0" applyProtection="0"/>
    <xf numFmtId="236" fontId="7" fillId="0" borderId="0" applyFont="0" applyFill="0" applyBorder="0" applyAlignment="0" applyProtection="0"/>
    <xf numFmtId="236" fontId="7" fillId="0" borderId="0" applyFont="0" applyFill="0" applyBorder="0" applyAlignment="0" applyProtection="0"/>
    <xf numFmtId="236" fontId="7" fillId="0" borderId="0" applyFont="0" applyFill="0" applyBorder="0" applyAlignment="0" applyProtection="0"/>
    <xf numFmtId="234" fontId="109" fillId="0" borderId="0" applyFont="0" applyFill="0" applyBorder="0" applyAlignment="0" applyProtection="0"/>
    <xf numFmtId="234" fontId="109" fillId="0" borderId="0" applyFont="0" applyFill="0" applyBorder="0" applyAlignment="0" applyProtection="0"/>
    <xf numFmtId="199" fontId="7" fillId="0" borderId="0" applyFont="0" applyFill="0" applyBorder="0" applyAlignment="0" applyProtection="0"/>
    <xf numFmtId="199" fontId="7" fillId="0" borderId="0" applyFont="0" applyFill="0" applyBorder="0" applyAlignment="0" applyProtection="0"/>
    <xf numFmtId="199" fontId="7" fillId="0" borderId="0" applyFont="0" applyFill="0" applyBorder="0" applyAlignment="0" applyProtection="0"/>
    <xf numFmtId="235" fontId="7" fillId="0" borderId="0" applyFont="0" applyFill="0" applyBorder="0" applyAlignment="0" applyProtection="0"/>
    <xf numFmtId="226" fontId="7" fillId="0" borderId="0" applyFont="0" applyFill="0" applyBorder="0" applyAlignment="0" applyProtection="0"/>
    <xf numFmtId="239" fontId="7" fillId="0" borderId="0" applyFont="0" applyFill="0" applyBorder="0" applyAlignment="0" applyProtection="0"/>
    <xf numFmtId="239" fontId="7" fillId="0" borderId="0" applyFont="0" applyFill="0" applyBorder="0" applyAlignment="0" applyProtection="0"/>
    <xf numFmtId="221" fontId="7" fillId="0" borderId="0" applyFont="0" applyFill="0" applyBorder="0" applyAlignment="0" applyProtection="0"/>
    <xf numFmtId="221" fontId="7" fillId="0" borderId="0" applyFont="0" applyFill="0" applyBorder="0" applyAlignment="0" applyProtection="0"/>
    <xf numFmtId="234" fontId="89" fillId="0" borderId="0" applyFont="0" applyFill="0" applyBorder="0" applyAlignment="0" applyProtection="0"/>
    <xf numFmtId="200" fontId="89" fillId="0" borderId="0" applyFont="0" applyFill="0" applyBorder="0" applyAlignment="0" applyProtection="0"/>
    <xf numFmtId="236" fontId="7" fillId="0" borderId="0" applyFont="0" applyFill="0" applyBorder="0" applyAlignment="0" applyProtection="0"/>
    <xf numFmtId="236" fontId="7" fillId="0" borderId="0" applyFont="0" applyFill="0" applyBorder="0" applyAlignment="0" applyProtection="0"/>
    <xf numFmtId="236" fontId="7" fillId="0" borderId="0" applyFont="0" applyFill="0" applyBorder="0" applyAlignment="0" applyProtection="0"/>
    <xf numFmtId="236" fontId="7" fillId="0" borderId="0" applyFont="0" applyFill="0" applyBorder="0" applyAlignment="0" applyProtection="0"/>
    <xf numFmtId="236" fontId="7" fillId="0" borderId="0" applyFont="0" applyFill="0" applyBorder="0" applyAlignment="0" applyProtection="0"/>
    <xf numFmtId="196" fontId="7" fillId="0" borderId="0" applyFont="0" applyFill="0" applyBorder="0" applyAlignment="0" applyProtection="0"/>
    <xf numFmtId="196" fontId="7" fillId="0" borderId="0" applyFont="0" applyFill="0" applyBorder="0" applyAlignment="0" applyProtection="0"/>
    <xf numFmtId="236" fontId="7" fillId="0" borderId="0" applyFont="0" applyFill="0" applyBorder="0" applyAlignment="0" applyProtection="0"/>
    <xf numFmtId="236" fontId="7" fillId="0" borderId="0" applyFont="0" applyFill="0" applyBorder="0" applyAlignment="0" applyProtection="0"/>
    <xf numFmtId="199" fontId="7" fillId="0" borderId="0" applyFont="0" applyFill="0" applyBorder="0" applyAlignment="0" applyProtection="0"/>
    <xf numFmtId="199" fontId="7" fillId="0" borderId="0" applyFont="0" applyFill="0" applyBorder="0" applyAlignment="0" applyProtection="0"/>
    <xf numFmtId="199" fontId="7" fillId="0" borderId="0" applyFont="0" applyFill="0" applyBorder="0" applyAlignment="0" applyProtection="0"/>
    <xf numFmtId="240" fontId="7" fillId="0" borderId="0" applyFont="0" applyFill="0" applyBorder="0" applyAlignment="0" applyProtection="0"/>
    <xf numFmtId="240" fontId="7" fillId="0" borderId="0" applyFont="0" applyFill="0" applyBorder="0" applyAlignment="0" applyProtection="0"/>
    <xf numFmtId="240" fontId="7" fillId="0" borderId="0" applyFont="0" applyFill="0" applyBorder="0" applyAlignment="0" applyProtection="0"/>
    <xf numFmtId="234" fontId="7" fillId="0" borderId="0" applyFont="0" applyFill="0" applyBorder="0" applyAlignment="0" applyProtection="0"/>
    <xf numFmtId="234" fontId="7" fillId="0" borderId="0" applyFont="0" applyFill="0" applyBorder="0" applyAlignment="0" applyProtection="0"/>
    <xf numFmtId="234"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234" fontId="89" fillId="0" borderId="0" applyFont="0" applyFill="0" applyBorder="0" applyAlignment="0" applyProtection="0"/>
    <xf numFmtId="236" fontId="7" fillId="0" borderId="0" applyFont="0" applyFill="0" applyBorder="0" applyAlignment="0" applyProtection="0"/>
    <xf numFmtId="236" fontId="7" fillId="0" borderId="0" applyFont="0" applyFill="0" applyBorder="0" applyAlignment="0" applyProtection="0"/>
    <xf numFmtId="236" fontId="7" fillId="0" borderId="0" applyFont="0" applyFill="0" applyBorder="0" applyAlignment="0" applyProtection="0"/>
    <xf numFmtId="199" fontId="7" fillId="0" borderId="0" applyFont="0" applyFill="0" applyBorder="0" applyAlignment="0" applyProtection="0"/>
    <xf numFmtId="199" fontId="7" fillId="0" borderId="0" applyFont="0" applyFill="0" applyBorder="0" applyAlignment="0" applyProtection="0"/>
    <xf numFmtId="199" fontId="7" fillId="0" borderId="0" applyFont="0" applyFill="0" applyBorder="0" applyAlignment="0" applyProtection="0"/>
    <xf numFmtId="199" fontId="7" fillId="0" borderId="0" applyFont="0" applyFill="0" applyBorder="0" applyAlignment="0" applyProtection="0"/>
    <xf numFmtId="199" fontId="7" fillId="0" borderId="0" applyFont="0" applyFill="0" applyBorder="0" applyAlignment="0" applyProtection="0"/>
    <xf numFmtId="199" fontId="7" fillId="0" borderId="0" applyFont="0" applyFill="0" applyBorder="0" applyAlignment="0" applyProtection="0"/>
    <xf numFmtId="234" fontId="7" fillId="0" borderId="0" applyFont="0" applyFill="0" applyBorder="0" applyAlignment="0" applyProtection="0"/>
    <xf numFmtId="234" fontId="7" fillId="0" borderId="0" applyFont="0" applyFill="0" applyBorder="0" applyAlignment="0" applyProtection="0"/>
    <xf numFmtId="234" fontId="7" fillId="0" borderId="0" applyFont="0" applyFill="0" applyBorder="0" applyAlignment="0" applyProtection="0"/>
    <xf numFmtId="234" fontId="7" fillId="0" borderId="0" applyFont="0" applyFill="0" applyBorder="0" applyAlignment="0" applyProtection="0"/>
    <xf numFmtId="234" fontId="7" fillId="0" borderId="0" applyFont="0" applyFill="0" applyBorder="0" applyAlignment="0" applyProtection="0"/>
    <xf numFmtId="234" fontId="7" fillId="0" borderId="0" applyFont="0" applyFill="0" applyBorder="0" applyAlignment="0" applyProtection="0"/>
    <xf numFmtId="200" fontId="7" fillId="0" borderId="0" applyFont="0" applyFill="0" applyBorder="0" applyAlignment="0" applyProtection="0"/>
    <xf numFmtId="200" fontId="7" fillId="0" borderId="0" applyFont="0" applyFill="0" applyBorder="0" applyAlignment="0" applyProtection="0"/>
    <xf numFmtId="200" fontId="7" fillId="0" borderId="0" applyFont="0" applyFill="0" applyBorder="0" applyAlignment="0" applyProtection="0"/>
    <xf numFmtId="199" fontId="7" fillId="0" borderId="0" applyFont="0" applyFill="0" applyBorder="0" applyAlignment="0" applyProtection="0"/>
    <xf numFmtId="199" fontId="7" fillId="0" borderId="0" applyFont="0" applyFill="0" applyBorder="0" applyAlignment="0" applyProtection="0"/>
    <xf numFmtId="199" fontId="7" fillId="0" borderId="0" applyFont="0" applyFill="0" applyBorder="0" applyAlignment="0" applyProtection="0"/>
    <xf numFmtId="199" fontId="7" fillId="0" borderId="0" applyFont="0" applyFill="0" applyBorder="0" applyAlignment="0" applyProtection="0"/>
    <xf numFmtId="199" fontId="7" fillId="0" borderId="0" applyFont="0" applyFill="0" applyBorder="0" applyAlignment="0" applyProtection="0"/>
    <xf numFmtId="199" fontId="7" fillId="0" borderId="0" applyFont="0" applyFill="0" applyBorder="0" applyAlignment="0" applyProtection="0"/>
    <xf numFmtId="199" fontId="7" fillId="0" borderId="0" applyFont="0" applyFill="0" applyBorder="0" applyAlignment="0" applyProtection="0"/>
    <xf numFmtId="199" fontId="7" fillId="0" borderId="0" applyFont="0" applyFill="0" applyBorder="0" applyAlignment="0" applyProtection="0"/>
    <xf numFmtId="199" fontId="7" fillId="0" borderId="0" applyFont="0" applyFill="0" applyBorder="0" applyAlignment="0" applyProtection="0"/>
    <xf numFmtId="219" fontId="7" fillId="0" borderId="0" applyFont="0" applyFill="0" applyBorder="0" applyAlignment="0" applyProtection="0"/>
    <xf numFmtId="200" fontId="7" fillId="0" borderId="0" applyFont="0" applyFill="0" applyBorder="0" applyAlignment="0" applyProtection="0"/>
    <xf numFmtId="234" fontId="7" fillId="0" borderId="0" applyFont="0" applyFill="0" applyBorder="0" applyAlignment="0" applyProtection="0"/>
    <xf numFmtId="234" fontId="7" fillId="0" borderId="0" applyFont="0" applyFill="0" applyBorder="0" applyAlignment="0" applyProtection="0"/>
    <xf numFmtId="234" fontId="7" fillId="0" borderId="0" applyFont="0" applyFill="0" applyBorder="0" applyAlignment="0" applyProtection="0"/>
    <xf numFmtId="219" fontId="7" fillId="0" borderId="0" applyFont="0" applyFill="0" applyBorder="0" applyAlignment="0" applyProtection="0"/>
    <xf numFmtId="200" fontId="7" fillId="0" borderId="0" applyFont="0" applyFill="0" applyBorder="0" applyAlignment="0" applyProtection="0"/>
    <xf numFmtId="209" fontId="7" fillId="0" borderId="0" applyFont="0" applyFill="0" applyBorder="0" applyAlignment="0" applyProtection="0"/>
    <xf numFmtId="209" fontId="7" fillId="0" borderId="0" applyFont="0" applyFill="0" applyBorder="0" applyAlignment="0" applyProtection="0"/>
    <xf numFmtId="199" fontId="7" fillId="0" borderId="0" applyFont="0" applyFill="0" applyBorder="0" applyAlignment="0" applyProtection="0"/>
    <xf numFmtId="199" fontId="7" fillId="0" borderId="0" applyFont="0" applyFill="0" applyBorder="0" applyAlignment="0" applyProtection="0"/>
    <xf numFmtId="219" fontId="7" fillId="0" borderId="0" applyFont="0" applyFill="0" applyBorder="0" applyAlignment="0" applyProtection="0"/>
    <xf numFmtId="200" fontId="7" fillId="0" borderId="0" applyFont="0" applyFill="0" applyBorder="0" applyAlignment="0" applyProtection="0"/>
    <xf numFmtId="199" fontId="7" fillId="0" borderId="0" applyFont="0" applyFill="0" applyBorder="0" applyAlignment="0" applyProtection="0"/>
    <xf numFmtId="199" fontId="7" fillId="0" borderId="0" applyFont="0" applyFill="0" applyBorder="0" applyAlignment="0" applyProtection="0"/>
    <xf numFmtId="199" fontId="7" fillId="0" borderId="0" applyFont="0" applyFill="0" applyBorder="0" applyAlignment="0" applyProtection="0"/>
    <xf numFmtId="234" fontId="109" fillId="0" borderId="0" applyFont="0" applyFill="0" applyBorder="0" applyAlignment="0" applyProtection="0"/>
    <xf numFmtId="199" fontId="7" fillId="0" borderId="0" applyFont="0" applyFill="0" applyBorder="0" applyAlignment="0" applyProtection="0"/>
    <xf numFmtId="199" fontId="7" fillId="0" borderId="0" applyFont="0" applyFill="0" applyBorder="0" applyAlignment="0" applyProtection="0"/>
    <xf numFmtId="199" fontId="7" fillId="0" borderId="0" applyFont="0" applyFill="0" applyBorder="0" applyAlignment="0" applyProtection="0"/>
    <xf numFmtId="234" fontId="109" fillId="0" borderId="0" applyFont="0" applyFill="0" applyBorder="0" applyAlignment="0" applyProtection="0"/>
    <xf numFmtId="199" fontId="7" fillId="0" borderId="0" applyFont="0" applyFill="0" applyBorder="0" applyAlignment="0" applyProtection="0"/>
    <xf numFmtId="199" fontId="7" fillId="0" borderId="0" applyFont="0" applyFill="0" applyBorder="0" applyAlignment="0" applyProtection="0"/>
    <xf numFmtId="199" fontId="7" fillId="0" borderId="0" applyFont="0" applyFill="0" applyBorder="0" applyAlignment="0" applyProtection="0"/>
    <xf numFmtId="234" fontId="109" fillId="0" borderId="0" applyFont="0" applyFill="0" applyBorder="0" applyAlignment="0" applyProtection="0"/>
    <xf numFmtId="234" fontId="7" fillId="0" borderId="0" applyFont="0" applyFill="0" applyBorder="0" applyAlignment="0" applyProtection="0"/>
    <xf numFmtId="234" fontId="7" fillId="0" borderId="0" applyFont="0" applyFill="0" applyBorder="0" applyAlignment="0" applyProtection="0"/>
    <xf numFmtId="234" fontId="7" fillId="0" borderId="0" applyFont="0" applyFill="0" applyBorder="0" applyAlignment="0" applyProtection="0"/>
    <xf numFmtId="234" fontId="7" fillId="0" borderId="0" applyFont="0" applyFill="0" applyBorder="0" applyAlignment="0" applyProtection="0"/>
    <xf numFmtId="234" fontId="7" fillId="0" borderId="0" applyFont="0" applyFill="0" applyBorder="0" applyAlignment="0" applyProtection="0"/>
    <xf numFmtId="234" fontId="7" fillId="0" borderId="0" applyFont="0" applyFill="0" applyBorder="0" applyAlignment="0" applyProtection="0"/>
    <xf numFmtId="199" fontId="7" fillId="0" borderId="0" applyFont="0" applyFill="0" applyBorder="0" applyAlignment="0" applyProtection="0"/>
    <xf numFmtId="199" fontId="7" fillId="0" borderId="0" applyFont="0" applyFill="0" applyBorder="0" applyAlignment="0" applyProtection="0"/>
    <xf numFmtId="199" fontId="7" fillId="0" borderId="0" applyFont="0" applyFill="0" applyBorder="0" applyAlignment="0" applyProtection="0"/>
    <xf numFmtId="234" fontId="7" fillId="0" borderId="0" applyFont="0" applyFill="0" applyBorder="0" applyAlignment="0" applyProtection="0"/>
    <xf numFmtId="234" fontId="7" fillId="0" borderId="0" applyFont="0" applyFill="0" applyBorder="0" applyAlignment="0" applyProtection="0"/>
    <xf numFmtId="234" fontId="7" fillId="0" borderId="0" applyFont="0" applyFill="0" applyBorder="0" applyAlignment="0" applyProtection="0"/>
    <xf numFmtId="234" fontId="109" fillId="0" borderId="0" applyFont="0" applyFill="0" applyBorder="0" applyAlignment="0" applyProtection="0"/>
    <xf numFmtId="199" fontId="7" fillId="0" borderId="0" applyFont="0" applyFill="0" applyBorder="0" applyAlignment="0" applyProtection="0"/>
    <xf numFmtId="199" fontId="7" fillId="0" borderId="0" applyFont="0" applyFill="0" applyBorder="0" applyAlignment="0" applyProtection="0"/>
    <xf numFmtId="199" fontId="7" fillId="0" borderId="0" applyFont="0" applyFill="0" applyBorder="0" applyAlignment="0" applyProtection="0"/>
    <xf numFmtId="200" fontId="7" fillId="0" borderId="0" applyFont="0" applyFill="0" applyBorder="0" applyAlignment="0" applyProtection="0"/>
    <xf numFmtId="200" fontId="7" fillId="0" borderId="0" applyFont="0" applyFill="0" applyBorder="0" applyAlignment="0" applyProtection="0"/>
    <xf numFmtId="200" fontId="7" fillId="0" borderId="0" applyFont="0" applyFill="0" applyBorder="0" applyAlignment="0" applyProtection="0"/>
    <xf numFmtId="234" fontId="109" fillId="0" borderId="0" applyFont="0" applyFill="0" applyBorder="0" applyAlignment="0" applyProtection="0"/>
    <xf numFmtId="199" fontId="7" fillId="0" borderId="0" applyFont="0" applyFill="0" applyBorder="0" applyAlignment="0" applyProtection="0"/>
    <xf numFmtId="199" fontId="7" fillId="0" borderId="0" applyFont="0" applyFill="0" applyBorder="0" applyAlignment="0" applyProtection="0"/>
    <xf numFmtId="199" fontId="7" fillId="0" borderId="0" applyFont="0" applyFill="0" applyBorder="0" applyAlignment="0" applyProtection="0"/>
    <xf numFmtId="199" fontId="7" fillId="0" borderId="0" applyFont="0" applyFill="0" applyBorder="0" applyAlignment="0" applyProtection="0"/>
    <xf numFmtId="199" fontId="7" fillId="0" borderId="0" applyFont="0" applyFill="0" applyBorder="0" applyAlignment="0" applyProtection="0"/>
    <xf numFmtId="199" fontId="7" fillId="0" borderId="0" applyFont="0" applyFill="0" applyBorder="0" applyAlignment="0" applyProtection="0"/>
    <xf numFmtId="234" fontId="109" fillId="0" borderId="0" applyFont="0" applyFill="0" applyBorder="0" applyAlignment="0" applyProtection="0"/>
    <xf numFmtId="234" fontId="109" fillId="0" borderId="0" applyFont="0" applyFill="0" applyBorder="0" applyAlignment="0" applyProtection="0"/>
    <xf numFmtId="236" fontId="7" fillId="0" borderId="0" applyFont="0" applyFill="0" applyBorder="0" applyAlignment="0" applyProtection="0"/>
    <xf numFmtId="236" fontId="7" fillId="0" borderId="0" applyFont="0" applyFill="0" applyBorder="0" applyAlignment="0" applyProtection="0"/>
    <xf numFmtId="236" fontId="7" fillId="0" borderId="0" applyFont="0" applyFill="0" applyBorder="0" applyAlignment="0" applyProtection="0"/>
    <xf numFmtId="219" fontId="7" fillId="0" borderId="0" applyFont="0" applyFill="0" applyBorder="0" applyAlignment="0" applyProtection="0"/>
    <xf numFmtId="200" fontId="7" fillId="0" borderId="0" applyFont="0" applyFill="0" applyBorder="0" applyAlignment="0" applyProtection="0"/>
    <xf numFmtId="236" fontId="7" fillId="0" borderId="0" applyFont="0" applyFill="0" applyBorder="0" applyAlignment="0" applyProtection="0"/>
    <xf numFmtId="236" fontId="7" fillId="0" borderId="0" applyFont="0" applyFill="0" applyBorder="0" applyAlignment="0" applyProtection="0"/>
    <xf numFmtId="236" fontId="7" fillId="0" borderId="0" applyFont="0" applyFill="0" applyBorder="0" applyAlignment="0" applyProtection="0"/>
    <xf numFmtId="234" fontId="7" fillId="0" borderId="0" applyFont="0" applyFill="0" applyBorder="0" applyAlignment="0" applyProtection="0"/>
    <xf numFmtId="234" fontId="7" fillId="0" borderId="0" applyFont="0" applyFill="0" applyBorder="0" applyAlignment="0" applyProtection="0"/>
    <xf numFmtId="234" fontId="7" fillId="0" borderId="0" applyFont="0" applyFill="0" applyBorder="0" applyAlignment="0" applyProtection="0"/>
    <xf numFmtId="234" fontId="89" fillId="0" borderId="0" applyFont="0" applyFill="0" applyBorder="0" applyAlignment="0" applyProtection="0"/>
    <xf numFmtId="235" fontId="7" fillId="0" borderId="0" applyFont="0" applyFill="0" applyBorder="0" applyAlignment="0" applyProtection="0"/>
    <xf numFmtId="226" fontId="7" fillId="0" borderId="0" applyFont="0" applyFill="0" applyBorder="0" applyAlignment="0" applyProtection="0"/>
    <xf numFmtId="219" fontId="7" fillId="0" borderId="0" applyFont="0" applyFill="0" applyBorder="0" applyAlignment="0" applyProtection="0"/>
    <xf numFmtId="200" fontId="7" fillId="0" borderId="0" applyFont="0" applyFill="0" applyBorder="0" applyAlignment="0" applyProtection="0"/>
    <xf numFmtId="234" fontId="7" fillId="0" borderId="0" applyFont="0" applyFill="0" applyBorder="0" applyAlignment="0" applyProtection="0"/>
    <xf numFmtId="234" fontId="7" fillId="0" borderId="0" applyFont="0" applyFill="0" applyBorder="0" applyAlignment="0" applyProtection="0"/>
    <xf numFmtId="234" fontId="7" fillId="0" borderId="0" applyFont="0" applyFill="0" applyBorder="0" applyAlignment="0" applyProtection="0"/>
    <xf numFmtId="39" fontId="7" fillId="0" borderId="0" applyFont="0" applyFill="0" applyBorder="0" applyAlignment="0" applyProtection="0"/>
    <xf numFmtId="39" fontId="7" fillId="0" borderId="0" applyFont="0" applyFill="0" applyBorder="0" applyAlignment="0" applyProtection="0"/>
    <xf numFmtId="201" fontId="7" fillId="0" borderId="0" applyFont="0" applyFill="0" applyBorder="0" applyAlignment="0" applyProtection="0"/>
    <xf numFmtId="201" fontId="7" fillId="0" borderId="0" applyFont="0" applyFill="0" applyBorder="0" applyAlignment="0" applyProtection="0"/>
    <xf numFmtId="201" fontId="7" fillId="0" borderId="0" applyFont="0" applyFill="0" applyBorder="0" applyAlignment="0" applyProtection="0"/>
    <xf numFmtId="201" fontId="7" fillId="0" borderId="0" applyFont="0" applyFill="0" applyBorder="0" applyAlignment="0" applyProtection="0"/>
    <xf numFmtId="201" fontId="7" fillId="0" borderId="0" applyFont="0" applyFill="0" applyBorder="0" applyAlignment="0" applyProtection="0"/>
    <xf numFmtId="201" fontId="7" fillId="0" borderId="0" applyFont="0" applyFill="0" applyBorder="0" applyAlignment="0" applyProtection="0"/>
    <xf numFmtId="39" fontId="7" fillId="0" borderId="0" applyFont="0" applyFill="0" applyBorder="0" applyAlignment="0" applyProtection="0"/>
    <xf numFmtId="39" fontId="7" fillId="0" borderId="0" applyFont="0" applyFill="0" applyBorder="0" applyAlignment="0" applyProtection="0"/>
    <xf numFmtId="39" fontId="7" fillId="0" borderId="0" applyFont="0" applyFill="0" applyBorder="0" applyAlignment="0" applyProtection="0"/>
    <xf numFmtId="39" fontId="7" fillId="0" borderId="0" applyFont="0" applyFill="0" applyBorder="0" applyAlignment="0" applyProtection="0"/>
    <xf numFmtId="39" fontId="7" fillId="0" borderId="0" applyFont="0" applyFill="0" applyBorder="0" applyAlignment="0" applyProtection="0"/>
    <xf numFmtId="201" fontId="7" fillId="0" borderId="0" applyFont="0" applyFill="0" applyBorder="0" applyAlignment="0" applyProtection="0"/>
    <xf numFmtId="201" fontId="7" fillId="0" borderId="0" applyFont="0" applyFill="0" applyBorder="0" applyAlignment="0" applyProtection="0"/>
    <xf numFmtId="201" fontId="7" fillId="0" borderId="0" applyFont="0" applyFill="0" applyBorder="0" applyAlignment="0" applyProtection="0"/>
    <xf numFmtId="201" fontId="7" fillId="0" borderId="0" applyFont="0" applyFill="0" applyBorder="0" applyAlignment="0" applyProtection="0"/>
    <xf numFmtId="201" fontId="7" fillId="0" borderId="0" applyFont="0" applyFill="0" applyBorder="0" applyAlignment="0" applyProtection="0"/>
    <xf numFmtId="201" fontId="7" fillId="0" borderId="0" applyFont="0" applyFill="0" applyBorder="0" applyAlignment="0" applyProtection="0"/>
    <xf numFmtId="39" fontId="7" fillId="0" borderId="0" applyFont="0" applyFill="0" applyBorder="0" applyAlignment="0" applyProtection="0"/>
    <xf numFmtId="39" fontId="7" fillId="0" borderId="0" applyFont="0" applyFill="0" applyBorder="0" applyAlignment="0" applyProtection="0"/>
    <xf numFmtId="39" fontId="7" fillId="0" borderId="0" applyFont="0" applyFill="0" applyBorder="0" applyAlignment="0" applyProtection="0"/>
    <xf numFmtId="39" fontId="7" fillId="0" borderId="0" applyFont="0" applyFill="0" applyBorder="0" applyAlignment="0" applyProtection="0"/>
    <xf numFmtId="39" fontId="7" fillId="0" borderId="0" applyFont="0" applyFill="0" applyBorder="0" applyAlignment="0" applyProtection="0"/>
    <xf numFmtId="39" fontId="7" fillId="0" borderId="0" applyFont="0" applyFill="0" applyBorder="0" applyAlignment="0" applyProtection="0"/>
    <xf numFmtId="39" fontId="7" fillId="0" borderId="0" applyFont="0" applyFill="0" applyBorder="0" applyAlignment="0" applyProtection="0"/>
    <xf numFmtId="39" fontId="7" fillId="0" borderId="0" applyFont="0" applyFill="0" applyBorder="0" applyAlignment="0" applyProtection="0"/>
    <xf numFmtId="39" fontId="7" fillId="0" borderId="0" applyFont="0" applyFill="0" applyBorder="0" applyAlignment="0" applyProtection="0"/>
    <xf numFmtId="39" fontId="7" fillId="0" borderId="0" applyFont="0" applyFill="0" applyBorder="0" applyAlignment="0" applyProtection="0"/>
    <xf numFmtId="39" fontId="7" fillId="0" borderId="0" applyFont="0" applyFill="0" applyBorder="0" applyAlignment="0" applyProtection="0"/>
    <xf numFmtId="39" fontId="7" fillId="0" borderId="0" applyFont="0" applyFill="0" applyBorder="0" applyAlignment="0" applyProtection="0"/>
    <xf numFmtId="201" fontId="7" fillId="0" borderId="0" applyFont="0" applyFill="0" applyBorder="0" applyAlignment="0" applyProtection="0"/>
    <xf numFmtId="201" fontId="7" fillId="0" borderId="0" applyFont="0" applyFill="0" applyBorder="0" applyAlignment="0" applyProtection="0"/>
    <xf numFmtId="201" fontId="7" fillId="0" borderId="0" applyFont="0" applyFill="0" applyBorder="0" applyAlignment="0" applyProtection="0"/>
    <xf numFmtId="206" fontId="7" fillId="0" borderId="0" applyFont="0" applyFill="0" applyBorder="0" applyAlignment="0" applyProtection="0"/>
    <xf numFmtId="198" fontId="7" fillId="0" borderId="0" applyFont="0" applyFill="0" applyBorder="0" applyAlignment="0" applyProtection="0"/>
    <xf numFmtId="241" fontId="7" fillId="0" borderId="0" applyFont="0" applyFill="0" applyBorder="0" applyAlignment="0" applyProtection="0"/>
    <xf numFmtId="201" fontId="7" fillId="0" borderId="0" applyFont="0" applyFill="0" applyBorder="0" applyAlignment="0" applyProtection="0"/>
    <xf numFmtId="39" fontId="7" fillId="0" borderId="0" applyFont="0" applyFill="0" applyBorder="0" applyAlignment="0" applyProtection="0"/>
    <xf numFmtId="39" fontId="7" fillId="0" borderId="0" applyFont="0" applyFill="0" applyBorder="0" applyAlignment="0" applyProtection="0"/>
    <xf numFmtId="198" fontId="7" fillId="0" borderId="0" applyFont="0" applyFill="0" applyBorder="0" applyAlignment="0" applyProtection="0"/>
    <xf numFmtId="198" fontId="7" fillId="0" borderId="0" applyFont="0" applyFill="0" applyBorder="0" applyAlignment="0" applyProtection="0"/>
    <xf numFmtId="198" fontId="7" fillId="0" borderId="0" applyFont="0" applyFill="0" applyBorder="0" applyAlignment="0" applyProtection="0"/>
    <xf numFmtId="201" fontId="7" fillId="0" borderId="0" applyFont="0" applyFill="0" applyBorder="0" applyAlignment="0" applyProtection="0"/>
    <xf numFmtId="201" fontId="7" fillId="0" borderId="0" applyFont="0" applyFill="0" applyBorder="0" applyAlignment="0" applyProtection="0"/>
    <xf numFmtId="201" fontId="7" fillId="0" borderId="0" applyFont="0" applyFill="0" applyBorder="0" applyAlignment="0" applyProtection="0"/>
    <xf numFmtId="241" fontId="7" fillId="0" borderId="0" applyFont="0" applyFill="0" applyBorder="0" applyAlignment="0" applyProtection="0"/>
    <xf numFmtId="201" fontId="7" fillId="0" borderId="0" applyFont="0" applyFill="0" applyBorder="0" applyAlignment="0" applyProtection="0"/>
    <xf numFmtId="201" fontId="7" fillId="0" borderId="0" applyFont="0" applyFill="0" applyBorder="0" applyAlignment="0" applyProtection="0"/>
    <xf numFmtId="201" fontId="7" fillId="0" borderId="0" applyFont="0" applyFill="0" applyBorder="0" applyAlignment="0" applyProtection="0"/>
    <xf numFmtId="201" fontId="7" fillId="0" borderId="0" applyFont="0" applyFill="0" applyBorder="0" applyAlignment="0" applyProtection="0"/>
    <xf numFmtId="39" fontId="7" fillId="0" borderId="0" applyFont="0" applyFill="0" applyBorder="0" applyAlignment="0" applyProtection="0"/>
    <xf numFmtId="39" fontId="7" fillId="0" borderId="0" applyFont="0" applyFill="0" applyBorder="0" applyAlignment="0" applyProtection="0"/>
    <xf numFmtId="39" fontId="7" fillId="0" borderId="0" applyFont="0" applyFill="0" applyBorder="0" applyAlignment="0" applyProtection="0"/>
    <xf numFmtId="0" fontId="45" fillId="0" borderId="0" applyFont="0" applyFill="0" applyBorder="0" applyAlignment="0" applyProtection="0"/>
    <xf numFmtId="201" fontId="7" fillId="0" borderId="0" applyFont="0" applyFill="0" applyBorder="0" applyAlignment="0" applyProtection="0"/>
    <xf numFmtId="201" fontId="7" fillId="0" borderId="0" applyFont="0" applyFill="0" applyBorder="0" applyAlignment="0" applyProtection="0"/>
    <xf numFmtId="201" fontId="7" fillId="0" borderId="0" applyFont="0" applyFill="0" applyBorder="0" applyAlignment="0" applyProtection="0"/>
    <xf numFmtId="39" fontId="7" fillId="0" borderId="0" applyFont="0" applyFill="0" applyBorder="0" applyAlignment="0" applyProtection="0"/>
    <xf numFmtId="39" fontId="7" fillId="0" borderId="0" applyFont="0" applyFill="0" applyBorder="0" applyAlignment="0" applyProtection="0"/>
    <xf numFmtId="39" fontId="7" fillId="0" borderId="0" applyFont="0" applyFill="0" applyBorder="0" applyAlignment="0" applyProtection="0"/>
    <xf numFmtId="39" fontId="7" fillId="0" borderId="0" applyFont="0" applyFill="0" applyBorder="0" applyAlignment="0" applyProtection="0"/>
    <xf numFmtId="39" fontId="7" fillId="0" borderId="0" applyFont="0" applyFill="0" applyBorder="0" applyAlignment="0" applyProtection="0"/>
    <xf numFmtId="39" fontId="7" fillId="0" borderId="0" applyFont="0" applyFill="0" applyBorder="0" applyAlignment="0" applyProtection="0"/>
    <xf numFmtId="198" fontId="7" fillId="0" borderId="0" applyFont="0" applyFill="0" applyBorder="0" applyAlignment="0" applyProtection="0"/>
    <xf numFmtId="198" fontId="7" fillId="0" borderId="0" applyFont="0" applyFill="0" applyBorder="0" applyAlignment="0" applyProtection="0"/>
    <xf numFmtId="198" fontId="7" fillId="0" borderId="0" applyFont="0" applyFill="0" applyBorder="0" applyAlignment="0" applyProtection="0"/>
    <xf numFmtId="201" fontId="7" fillId="0" borderId="0" applyFont="0" applyFill="0" applyBorder="0" applyAlignment="0" applyProtection="0"/>
    <xf numFmtId="201" fontId="7" fillId="0" borderId="0" applyFont="0" applyFill="0" applyBorder="0" applyAlignment="0" applyProtection="0"/>
    <xf numFmtId="201" fontId="7" fillId="0" borderId="0" applyFont="0" applyFill="0" applyBorder="0" applyAlignment="0" applyProtection="0"/>
    <xf numFmtId="198" fontId="7" fillId="0" borderId="0" applyFont="0" applyFill="0" applyBorder="0" applyAlignment="0" applyProtection="0"/>
    <xf numFmtId="198" fontId="7" fillId="0" borderId="0" applyFont="0" applyFill="0" applyBorder="0" applyAlignment="0" applyProtection="0"/>
    <xf numFmtId="198" fontId="7" fillId="0" borderId="0" applyFont="0" applyFill="0" applyBorder="0" applyAlignment="0" applyProtection="0"/>
    <xf numFmtId="201" fontId="7" fillId="0" borderId="0" applyFont="0" applyFill="0" applyBorder="0" applyAlignment="0" applyProtection="0"/>
    <xf numFmtId="201" fontId="7" fillId="0" borderId="0" applyFont="0" applyFill="0" applyBorder="0" applyAlignment="0" applyProtection="0"/>
    <xf numFmtId="39" fontId="7" fillId="0" borderId="0" applyFont="0" applyFill="0" applyBorder="0" applyAlignment="0" applyProtection="0"/>
    <xf numFmtId="39" fontId="7" fillId="0" borderId="0" applyFont="0" applyFill="0" applyBorder="0" applyAlignment="0" applyProtection="0"/>
    <xf numFmtId="201" fontId="7" fillId="0" borderId="0" applyFont="0" applyFill="0" applyBorder="0" applyAlignment="0" applyProtection="0"/>
    <xf numFmtId="201" fontId="7" fillId="0" borderId="0" applyFont="0" applyFill="0" applyBorder="0" applyAlignment="0" applyProtection="0"/>
    <xf numFmtId="201" fontId="7" fillId="0" borderId="0" applyFont="0" applyFill="0" applyBorder="0" applyAlignment="0" applyProtection="0"/>
    <xf numFmtId="201" fontId="7" fillId="0" borderId="0" applyFont="0" applyFill="0" applyBorder="0" applyAlignment="0" applyProtection="0"/>
    <xf numFmtId="39" fontId="7" fillId="0" borderId="0" applyFont="0" applyFill="0" applyBorder="0" applyAlignment="0" applyProtection="0"/>
    <xf numFmtId="39" fontId="7" fillId="0" borderId="0" applyFont="0" applyFill="0" applyBorder="0" applyAlignment="0" applyProtection="0"/>
    <xf numFmtId="39" fontId="7" fillId="0" borderId="0" applyFont="0" applyFill="0" applyBorder="0" applyAlignment="0" applyProtection="0"/>
    <xf numFmtId="201" fontId="109" fillId="0" borderId="0" applyFont="0" applyFill="0" applyBorder="0" applyAlignment="0" applyProtection="0"/>
    <xf numFmtId="201" fontId="109" fillId="0" borderId="0" applyFont="0" applyFill="0" applyBorder="0" applyAlignment="0" applyProtection="0"/>
    <xf numFmtId="39" fontId="7" fillId="0" borderId="0" applyFont="0" applyFill="0" applyBorder="0" applyAlignment="0" applyProtection="0"/>
    <xf numFmtId="39" fontId="7" fillId="0" borderId="0" applyFont="0" applyFill="0" applyBorder="0" applyAlignment="0" applyProtection="0"/>
    <xf numFmtId="39" fontId="7" fillId="0" borderId="0" applyFont="0" applyFill="0" applyBorder="0" applyAlignment="0" applyProtection="0"/>
    <xf numFmtId="39" fontId="7" fillId="0" borderId="0" applyFont="0" applyFill="0" applyBorder="0" applyAlignment="0" applyProtection="0"/>
    <xf numFmtId="39" fontId="7" fillId="0" borderId="0" applyFont="0" applyFill="0" applyBorder="0" applyAlignment="0" applyProtection="0"/>
    <xf numFmtId="39" fontId="7" fillId="0" borderId="0" applyFont="0" applyFill="0" applyBorder="0" applyAlignment="0" applyProtection="0"/>
    <xf numFmtId="201" fontId="7" fillId="0" borderId="0" applyFont="0" applyFill="0" applyBorder="0" applyAlignment="0" applyProtection="0"/>
    <xf numFmtId="201" fontId="7" fillId="0" borderId="0" applyFont="0" applyFill="0" applyBorder="0" applyAlignment="0" applyProtection="0"/>
    <xf numFmtId="201" fontId="7" fillId="0" borderId="0" applyFont="0" applyFill="0" applyBorder="0" applyAlignment="0" applyProtection="0"/>
    <xf numFmtId="39" fontId="7" fillId="0" borderId="0" applyFont="0" applyFill="0" applyBorder="0" applyAlignment="0" applyProtection="0"/>
    <xf numFmtId="39" fontId="7" fillId="0" borderId="0" applyFont="0" applyFill="0" applyBorder="0" applyAlignment="0" applyProtection="0"/>
    <xf numFmtId="39" fontId="7" fillId="0" borderId="0" applyFont="0" applyFill="0" applyBorder="0" applyAlignment="0" applyProtection="0"/>
    <xf numFmtId="39" fontId="7" fillId="0" borderId="0" applyFont="0" applyFill="0" applyBorder="0" applyAlignment="0" applyProtection="0"/>
    <xf numFmtId="39" fontId="7" fillId="0" borderId="0" applyFont="0" applyFill="0" applyBorder="0" applyAlignment="0" applyProtection="0"/>
    <xf numFmtId="39" fontId="7" fillId="0" borderId="0" applyFont="0" applyFill="0" applyBorder="0" applyAlignment="0" applyProtection="0"/>
    <xf numFmtId="39" fontId="7" fillId="0" borderId="0" applyFont="0" applyFill="0" applyBorder="0" applyAlignment="0" applyProtection="0"/>
    <xf numFmtId="39" fontId="7" fillId="0" borderId="0" applyFont="0" applyFill="0" applyBorder="0" applyAlignment="0" applyProtection="0"/>
    <xf numFmtId="39" fontId="7" fillId="0" borderId="0" applyFont="0" applyFill="0" applyBorder="0" applyAlignment="0" applyProtection="0"/>
    <xf numFmtId="201" fontId="7" fillId="0" borderId="0" applyFont="0" applyFill="0" applyBorder="0" applyAlignment="0" applyProtection="0"/>
    <xf numFmtId="201" fontId="7" fillId="0" borderId="0" applyFont="0" applyFill="0" applyBorder="0" applyAlignment="0" applyProtection="0"/>
    <xf numFmtId="201" fontId="7" fillId="0" borderId="0" applyFont="0" applyFill="0" applyBorder="0" applyAlignment="0" applyProtection="0"/>
    <xf numFmtId="241" fontId="7" fillId="0" borderId="0" applyFont="0" applyFill="0" applyBorder="0" applyAlignment="0" applyProtection="0"/>
    <xf numFmtId="201" fontId="7" fillId="0" borderId="0" applyFont="0" applyFill="0" applyBorder="0" applyAlignment="0" applyProtection="0"/>
    <xf numFmtId="201" fontId="109" fillId="0" borderId="0" applyFont="0" applyFill="0" applyBorder="0" applyAlignment="0" applyProtection="0"/>
    <xf numFmtId="39" fontId="7" fillId="0" borderId="0" applyFont="0" applyFill="0" applyBorder="0" applyAlignment="0" applyProtection="0"/>
    <xf numFmtId="39" fontId="7" fillId="0" borderId="0" applyFont="0" applyFill="0" applyBorder="0" applyAlignment="0" applyProtection="0"/>
    <xf numFmtId="39" fontId="7" fillId="0" borderId="0" applyFont="0" applyFill="0" applyBorder="0" applyAlignment="0" applyProtection="0"/>
    <xf numFmtId="201" fontId="109" fillId="0" borderId="0" applyFont="0" applyFill="0" applyBorder="0" applyAlignment="0" applyProtection="0"/>
    <xf numFmtId="39" fontId="7" fillId="0" borderId="0" applyFont="0" applyFill="0" applyBorder="0" applyAlignment="0" applyProtection="0"/>
    <xf numFmtId="39" fontId="7" fillId="0" borderId="0" applyFont="0" applyFill="0" applyBorder="0" applyAlignment="0" applyProtection="0"/>
    <xf numFmtId="39" fontId="7" fillId="0" borderId="0" applyFont="0" applyFill="0" applyBorder="0" applyAlignment="0" applyProtection="0"/>
    <xf numFmtId="201" fontId="109" fillId="0" borderId="0" applyFont="0" applyFill="0" applyBorder="0" applyAlignment="0" applyProtection="0"/>
    <xf numFmtId="201" fontId="7" fillId="0" borderId="0" applyFont="0" applyFill="0" applyBorder="0" applyAlignment="0" applyProtection="0"/>
    <xf numFmtId="201" fontId="7" fillId="0" borderId="0" applyFont="0" applyFill="0" applyBorder="0" applyAlignment="0" applyProtection="0"/>
    <xf numFmtId="201" fontId="7" fillId="0" borderId="0" applyFont="0" applyFill="0" applyBorder="0" applyAlignment="0" applyProtection="0"/>
    <xf numFmtId="201" fontId="7" fillId="0" borderId="0" applyFont="0" applyFill="0" applyBorder="0" applyAlignment="0" applyProtection="0"/>
    <xf numFmtId="201" fontId="7" fillId="0" borderId="0" applyFont="0" applyFill="0" applyBorder="0" applyAlignment="0" applyProtection="0"/>
    <xf numFmtId="201" fontId="7" fillId="0" borderId="0" applyFont="0" applyFill="0" applyBorder="0" applyAlignment="0" applyProtection="0"/>
    <xf numFmtId="201" fontId="7" fillId="0" borderId="0" applyFont="0" applyFill="0" applyBorder="0" applyAlignment="0" applyProtection="0"/>
    <xf numFmtId="201" fontId="7" fillId="0" borderId="0" applyFont="0" applyFill="0" applyBorder="0" applyAlignment="0" applyProtection="0"/>
    <xf numFmtId="201" fontId="7" fillId="0" borderId="0" applyFont="0" applyFill="0" applyBorder="0" applyAlignment="0" applyProtection="0"/>
    <xf numFmtId="201" fontId="109" fillId="0" borderId="0" applyFont="0" applyFill="0" applyBorder="0" applyAlignment="0" applyProtection="0"/>
    <xf numFmtId="39" fontId="7" fillId="0" borderId="0" applyFont="0" applyFill="0" applyBorder="0" applyAlignment="0" applyProtection="0"/>
    <xf numFmtId="39" fontId="7" fillId="0" borderId="0" applyFont="0" applyFill="0" applyBorder="0" applyAlignment="0" applyProtection="0"/>
    <xf numFmtId="39" fontId="7" fillId="0" borderId="0" applyFont="0" applyFill="0" applyBorder="0" applyAlignment="0" applyProtection="0"/>
    <xf numFmtId="201" fontId="7" fillId="0" borderId="0" applyFont="0" applyFill="0" applyBorder="0" applyAlignment="0" applyProtection="0"/>
    <xf numFmtId="201" fontId="7" fillId="0" borderId="0" applyFont="0" applyFill="0" applyBorder="0" applyAlignment="0" applyProtection="0"/>
    <xf numFmtId="201" fontId="7" fillId="0" borderId="0" applyFont="0" applyFill="0" applyBorder="0" applyAlignment="0" applyProtection="0"/>
    <xf numFmtId="201" fontId="109" fillId="0" borderId="0" applyFont="0" applyFill="0" applyBorder="0" applyAlignment="0" applyProtection="0"/>
    <xf numFmtId="39" fontId="7" fillId="0" borderId="0" applyFont="0" applyFill="0" applyBorder="0" applyAlignment="0" applyProtection="0"/>
    <xf numFmtId="39" fontId="7" fillId="0" borderId="0" applyFont="0" applyFill="0" applyBorder="0" applyAlignment="0" applyProtection="0"/>
    <xf numFmtId="39" fontId="7" fillId="0" borderId="0" applyFont="0" applyFill="0" applyBorder="0" applyAlignment="0" applyProtection="0"/>
    <xf numFmtId="201" fontId="109" fillId="0" borderId="0" applyFont="0" applyFill="0" applyBorder="0" applyAlignment="0" applyProtection="0"/>
    <xf numFmtId="201" fontId="109" fillId="0" borderId="0" applyFont="0" applyFill="0" applyBorder="0" applyAlignment="0" applyProtection="0"/>
    <xf numFmtId="198" fontId="7" fillId="0" borderId="0" applyFont="0" applyFill="0" applyBorder="0" applyAlignment="0" applyProtection="0"/>
    <xf numFmtId="198" fontId="7" fillId="0" borderId="0" applyFont="0" applyFill="0" applyBorder="0" applyAlignment="0" applyProtection="0"/>
    <xf numFmtId="198" fontId="7" fillId="0" borderId="0" applyFont="0" applyFill="0" applyBorder="0" applyAlignment="0" applyProtection="0"/>
    <xf numFmtId="241" fontId="7" fillId="0" borderId="0" applyFont="0" applyFill="0" applyBorder="0" applyAlignment="0" applyProtection="0"/>
    <xf numFmtId="201" fontId="7" fillId="0" borderId="0" applyFont="0" applyFill="0" applyBorder="0" applyAlignment="0" applyProtection="0"/>
    <xf numFmtId="39" fontId="7" fillId="0" borderId="0" applyFont="0" applyFill="0" applyBorder="0" applyAlignment="0" applyProtection="0"/>
    <xf numFmtId="39" fontId="7" fillId="0" borderId="0" applyFont="0" applyFill="0" applyBorder="0" applyAlignment="0" applyProtection="0"/>
    <xf numFmtId="39" fontId="7" fillId="0" borderId="0" applyFont="0" applyFill="0" applyBorder="0" applyAlignment="0" applyProtection="0"/>
    <xf numFmtId="198" fontId="7" fillId="0" borderId="0" applyFont="0" applyFill="0" applyBorder="0" applyAlignment="0" applyProtection="0"/>
    <xf numFmtId="198" fontId="7" fillId="0" borderId="0" applyFont="0" applyFill="0" applyBorder="0" applyAlignment="0" applyProtection="0"/>
    <xf numFmtId="198" fontId="7" fillId="0" borderId="0" applyFont="0" applyFill="0" applyBorder="0" applyAlignment="0" applyProtection="0"/>
    <xf numFmtId="201" fontId="89" fillId="0" borderId="0" applyFont="0" applyFill="0" applyBorder="0" applyAlignment="0" applyProtection="0"/>
    <xf numFmtId="39" fontId="7" fillId="0" borderId="0" applyFont="0" applyFill="0" applyBorder="0" applyAlignment="0" applyProtection="0"/>
    <xf numFmtId="39" fontId="7" fillId="0" borderId="0" applyFont="0" applyFill="0" applyBorder="0" applyAlignment="0" applyProtection="0"/>
    <xf numFmtId="39" fontId="7" fillId="0" borderId="0" applyFont="0" applyFill="0" applyBorder="0" applyAlignment="0" applyProtection="0"/>
    <xf numFmtId="3" fontId="45" fillId="0" borderId="0"/>
    <xf numFmtId="236" fontId="7" fillId="0" borderId="0" applyFont="0" applyFill="0" applyBorder="0" applyAlignment="0" applyProtection="0"/>
    <xf numFmtId="236" fontId="7" fillId="0" borderId="0" applyFont="0" applyFill="0" applyBorder="0" applyAlignment="0" applyProtection="0"/>
    <xf numFmtId="199" fontId="7" fillId="0" borderId="0" applyFont="0" applyFill="0" applyBorder="0" applyAlignment="0" applyProtection="0"/>
    <xf numFmtId="199" fontId="7" fillId="0" borderId="0" applyFont="0" applyFill="0" applyBorder="0" applyAlignment="0" applyProtection="0"/>
    <xf numFmtId="199"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7" fillId="0" borderId="0"/>
    <xf numFmtId="0" fontId="7" fillId="0" borderId="0"/>
    <xf numFmtId="0" fontId="7" fillId="0" borderId="0"/>
    <xf numFmtId="202" fontId="7" fillId="0" borderId="0" applyFont="0" applyFill="0" applyBorder="0" applyAlignment="0" applyProtection="0"/>
    <xf numFmtId="202" fontId="7" fillId="0" borderId="0" applyFont="0" applyFill="0" applyBorder="0" applyAlignment="0" applyProtection="0"/>
    <xf numFmtId="202" fontId="7" fillId="0" borderId="0" applyFont="0" applyFill="0" applyBorder="0" applyAlignment="0" applyProtection="0"/>
    <xf numFmtId="202" fontId="7" fillId="0" borderId="0" applyFont="0" applyFill="0" applyBorder="0" applyAlignment="0" applyProtection="0"/>
    <xf numFmtId="202" fontId="7" fillId="0" borderId="0" applyFont="0" applyFill="0" applyBorder="0" applyAlignment="0" applyProtection="0"/>
    <xf numFmtId="242" fontId="7" fillId="0" borderId="0" applyFont="0" applyFill="0" applyBorder="0" applyAlignment="0" applyProtection="0"/>
    <xf numFmtId="242" fontId="7" fillId="0" borderId="0" applyFont="0" applyFill="0" applyBorder="0" applyAlignment="0" applyProtection="0"/>
    <xf numFmtId="202" fontId="7" fillId="0" borderId="0" applyFont="0" applyFill="0" applyBorder="0" applyAlignment="0" applyProtection="0"/>
    <xf numFmtId="202"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7"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7"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7"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7"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7" fillId="24" borderId="0" applyNumberFormat="0" applyFont="0" applyAlignment="0" applyProtection="0"/>
    <xf numFmtId="0" fontId="7" fillId="24" borderId="0" applyNumberFormat="0" applyFont="0" applyAlignment="0" applyProtection="0"/>
    <xf numFmtId="38" fontId="10" fillId="0" borderId="0" applyFont="0" applyFill="0" applyBorder="0" applyAlignment="0" applyProtection="0"/>
    <xf numFmtId="3" fontId="45" fillId="0" borderId="0"/>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203" fontId="7" fillId="0" borderId="0" applyFont="0" applyFill="0" applyBorder="0" applyAlignment="0" applyProtection="0"/>
    <xf numFmtId="203" fontId="7" fillId="0" borderId="0" applyFont="0" applyFill="0" applyBorder="0" applyAlignment="0" applyProtection="0"/>
    <xf numFmtId="205" fontId="7" fillId="0" borderId="0" applyFont="0" applyFill="0" applyBorder="0" applyAlignment="0" applyProtection="0"/>
    <xf numFmtId="205" fontId="7" fillId="0" borderId="0" applyFont="0" applyFill="0" applyBorder="0" applyAlignment="0" applyProtection="0"/>
    <xf numFmtId="205" fontId="7" fillId="0" borderId="0" applyFont="0" applyFill="0" applyBorder="0" applyAlignment="0" applyProtection="0"/>
    <xf numFmtId="204" fontId="7" fillId="0" borderId="0" applyFont="0" applyFill="0" applyBorder="0" applyAlignment="0" applyProtection="0"/>
    <xf numFmtId="204" fontId="7" fillId="0" borderId="0" applyFont="0" applyFill="0" applyBorder="0" applyAlignment="0" applyProtection="0"/>
    <xf numFmtId="204" fontId="7" fillId="0" borderId="0" applyFont="0" applyFill="0" applyBorder="0" applyAlignment="0" applyProtection="0"/>
    <xf numFmtId="204" fontId="7" fillId="0" borderId="0" applyFont="0" applyFill="0" applyBorder="0" applyAlignment="0" applyProtection="0"/>
    <xf numFmtId="204" fontId="7" fillId="0" borderId="0" applyFont="0" applyFill="0" applyBorder="0" applyAlignment="0" applyProtection="0"/>
    <xf numFmtId="204" fontId="7" fillId="0" borderId="0" applyFont="0" applyFill="0" applyBorder="0" applyAlignment="0" applyProtection="0"/>
    <xf numFmtId="203" fontId="7" fillId="0" borderId="0" applyFont="0" applyFill="0" applyBorder="0" applyAlignment="0" applyProtection="0"/>
    <xf numFmtId="203" fontId="7" fillId="0" borderId="0" applyFont="0" applyFill="0" applyBorder="0" applyAlignment="0" applyProtection="0"/>
    <xf numFmtId="203" fontId="7" fillId="0" borderId="0" applyFont="0" applyFill="0" applyBorder="0" applyAlignment="0" applyProtection="0"/>
    <xf numFmtId="203" fontId="7" fillId="0" borderId="0" applyFont="0" applyFill="0" applyBorder="0" applyAlignment="0" applyProtection="0"/>
    <xf numFmtId="203" fontId="7" fillId="0" borderId="0" applyFont="0" applyFill="0" applyBorder="0" applyAlignment="0" applyProtection="0"/>
    <xf numFmtId="204" fontId="7" fillId="0" borderId="0" applyFont="0" applyFill="0" applyBorder="0" applyAlignment="0" applyProtection="0"/>
    <xf numFmtId="204" fontId="7" fillId="0" borderId="0" applyFont="0" applyFill="0" applyBorder="0" applyAlignment="0" applyProtection="0"/>
    <xf numFmtId="204" fontId="7" fillId="0" borderId="0" applyFont="0" applyFill="0" applyBorder="0" applyAlignment="0" applyProtection="0"/>
    <xf numFmtId="204" fontId="7" fillId="0" borderId="0" applyFont="0" applyFill="0" applyBorder="0" applyAlignment="0" applyProtection="0"/>
    <xf numFmtId="204" fontId="7" fillId="0" borderId="0" applyFont="0" applyFill="0" applyBorder="0" applyAlignment="0" applyProtection="0"/>
    <xf numFmtId="204" fontId="7" fillId="0" borderId="0" applyFont="0" applyFill="0" applyBorder="0" applyAlignment="0" applyProtection="0"/>
    <xf numFmtId="203" fontId="7" fillId="0" borderId="0" applyFont="0" applyFill="0" applyBorder="0" applyAlignment="0" applyProtection="0"/>
    <xf numFmtId="203" fontId="7" fillId="0" borderId="0" applyFont="0" applyFill="0" applyBorder="0" applyAlignment="0" applyProtection="0"/>
    <xf numFmtId="203" fontId="7" fillId="0" borderId="0" applyFont="0" applyFill="0" applyBorder="0" applyAlignment="0" applyProtection="0"/>
    <xf numFmtId="203" fontId="7" fillId="0" borderId="0" applyFont="0" applyFill="0" applyBorder="0" applyAlignment="0" applyProtection="0"/>
    <xf numFmtId="203" fontId="7" fillId="0" borderId="0" applyFont="0" applyFill="0" applyBorder="0" applyAlignment="0" applyProtection="0"/>
    <xf numFmtId="203" fontId="7" fillId="0" borderId="0" applyFont="0" applyFill="0" applyBorder="0" applyAlignment="0" applyProtection="0"/>
    <xf numFmtId="203" fontId="7" fillId="0" borderId="0" applyFont="0" applyFill="0" applyBorder="0" applyAlignment="0" applyProtection="0"/>
    <xf numFmtId="203" fontId="7" fillId="0" borderId="0" applyFont="0" applyFill="0" applyBorder="0" applyAlignment="0" applyProtection="0"/>
    <xf numFmtId="203" fontId="7" fillId="0" borderId="0" applyFont="0" applyFill="0" applyBorder="0" applyAlignment="0" applyProtection="0"/>
    <xf numFmtId="203" fontId="7" fillId="0" borderId="0" applyFont="0" applyFill="0" applyBorder="0" applyAlignment="0" applyProtection="0"/>
    <xf numFmtId="203" fontId="7" fillId="0" borderId="0" applyFont="0" applyFill="0" applyBorder="0" applyAlignment="0" applyProtection="0"/>
    <xf numFmtId="203" fontId="7" fillId="0" borderId="0" applyFont="0" applyFill="0" applyBorder="0" applyAlignment="0" applyProtection="0"/>
    <xf numFmtId="203" fontId="7" fillId="0" borderId="0" applyFont="0" applyFill="0" applyBorder="0" applyAlignment="0" applyProtection="0"/>
    <xf numFmtId="203" fontId="7" fillId="0" borderId="0" applyFont="0" applyFill="0" applyBorder="0" applyAlignment="0" applyProtection="0"/>
    <xf numFmtId="204" fontId="7" fillId="0" borderId="0" applyFont="0" applyFill="0" applyBorder="0" applyAlignment="0" applyProtection="0"/>
    <xf numFmtId="204" fontId="7" fillId="0" borderId="0" applyFont="0" applyFill="0" applyBorder="0" applyAlignment="0" applyProtection="0"/>
    <xf numFmtId="204" fontId="7" fillId="0" borderId="0" applyFont="0" applyFill="0" applyBorder="0" applyAlignment="0" applyProtection="0"/>
    <xf numFmtId="243" fontId="7" fillId="0" borderId="0" applyFont="0" applyFill="0" applyBorder="0" applyAlignment="0" applyProtection="0"/>
    <xf numFmtId="244" fontId="7" fillId="0" borderId="0" applyFont="0" applyFill="0" applyBorder="0" applyAlignment="0" applyProtection="0"/>
    <xf numFmtId="245" fontId="7" fillId="0" borderId="0" applyFont="0" applyFill="0" applyBorder="0" applyAlignment="0" applyProtection="0"/>
    <xf numFmtId="204" fontId="7" fillId="0" borderId="0" applyFont="0" applyFill="0" applyBorder="0" applyAlignment="0" applyProtection="0"/>
    <xf numFmtId="203" fontId="7" fillId="0" borderId="0" applyFont="0" applyFill="0" applyBorder="0" applyAlignment="0" applyProtection="0"/>
    <xf numFmtId="203" fontId="7" fillId="0" borderId="0" applyFont="0" applyFill="0" applyBorder="0" applyAlignment="0" applyProtection="0"/>
    <xf numFmtId="204" fontId="7" fillId="0" borderId="0" applyFont="0" applyFill="0" applyBorder="0" applyAlignment="0" applyProtection="0"/>
    <xf numFmtId="204" fontId="7" fillId="0" borderId="0" applyFont="0" applyFill="0" applyBorder="0" applyAlignment="0" applyProtection="0"/>
    <xf numFmtId="204" fontId="7" fillId="0" borderId="0" applyFont="0" applyFill="0" applyBorder="0" applyAlignment="0" applyProtection="0"/>
    <xf numFmtId="245" fontId="7" fillId="0" borderId="0" applyFont="0" applyFill="0" applyBorder="0" applyAlignment="0" applyProtection="0"/>
    <xf numFmtId="204" fontId="7" fillId="0" borderId="0" applyFont="0" applyFill="0" applyBorder="0" applyAlignment="0" applyProtection="0"/>
    <xf numFmtId="205" fontId="7" fillId="0" borderId="0" applyFont="0" applyFill="0" applyBorder="0" applyAlignment="0" applyProtection="0"/>
    <xf numFmtId="205" fontId="7" fillId="0" borderId="0" applyFont="0" applyFill="0" applyBorder="0" applyAlignment="0" applyProtection="0"/>
    <xf numFmtId="205" fontId="7" fillId="0" borderId="0" applyFont="0" applyFill="0" applyBorder="0" applyAlignment="0" applyProtection="0"/>
    <xf numFmtId="203" fontId="7" fillId="0" borderId="0" applyFont="0" applyFill="0" applyBorder="0" applyAlignment="0" applyProtection="0"/>
    <xf numFmtId="203" fontId="7" fillId="0" borderId="0" applyFont="0" applyFill="0" applyBorder="0" applyAlignment="0" applyProtection="0"/>
    <xf numFmtId="203" fontId="7" fillId="0" borderId="0" applyFont="0" applyFill="0" applyBorder="0" applyAlignment="0" applyProtection="0"/>
    <xf numFmtId="0" fontId="45" fillId="0" borderId="0" applyFont="0" applyFill="0" applyBorder="0" applyAlignment="0" applyProtection="0"/>
    <xf numFmtId="178" fontId="7" fillId="0" borderId="0" applyFont="0" applyFill="0" applyBorder="0" applyAlignment="0" applyProtection="0"/>
    <xf numFmtId="178" fontId="7" fillId="0" borderId="0" applyFont="0" applyFill="0" applyBorder="0" applyAlignment="0" applyProtection="0"/>
    <xf numFmtId="232" fontId="7" fillId="0" borderId="0" applyFont="0" applyFill="0" applyBorder="0" applyAlignment="0" applyProtection="0"/>
    <xf numFmtId="232" fontId="7" fillId="0" borderId="0" applyFont="0" applyFill="0" applyBorder="0" applyAlignment="0" applyProtection="0"/>
    <xf numFmtId="204" fontId="7" fillId="0" borderId="0" applyFont="0" applyFill="0" applyBorder="0" applyAlignment="0" applyProtection="0"/>
    <xf numFmtId="204" fontId="7" fillId="0" borderId="0" applyFont="0" applyFill="0" applyBorder="0" applyAlignment="0" applyProtection="0"/>
    <xf numFmtId="204" fontId="7" fillId="0" borderId="0" applyFont="0" applyFill="0" applyBorder="0" applyAlignment="0" applyProtection="0"/>
    <xf numFmtId="210" fontId="7" fillId="0" borderId="0" applyFont="0" applyFill="0" applyBorder="0" applyAlignment="0" applyProtection="0"/>
    <xf numFmtId="210" fontId="7" fillId="0" borderId="0" applyFont="0" applyFill="0" applyBorder="0" applyAlignment="0" applyProtection="0"/>
    <xf numFmtId="205" fontId="7" fillId="0" borderId="0" applyFont="0" applyFill="0" applyBorder="0" applyAlignment="0" applyProtection="0"/>
    <xf numFmtId="205" fontId="7" fillId="0" borderId="0" applyFont="0" applyFill="0" applyBorder="0" applyAlignment="0" applyProtection="0"/>
    <xf numFmtId="205" fontId="7" fillId="0" borderId="0" applyFont="0" applyFill="0" applyBorder="0" applyAlignment="0" applyProtection="0"/>
    <xf numFmtId="203" fontId="7" fillId="0" borderId="0" applyFont="0" applyFill="0" applyBorder="0" applyAlignment="0" applyProtection="0"/>
    <xf numFmtId="203" fontId="7" fillId="0" borderId="0" applyFont="0" applyFill="0" applyBorder="0" applyAlignment="0" applyProtection="0"/>
    <xf numFmtId="203" fontId="7" fillId="0" borderId="0" applyFont="0" applyFill="0" applyBorder="0" applyAlignment="0" applyProtection="0"/>
    <xf numFmtId="205" fontId="7" fillId="0" borderId="0" applyFont="0" applyFill="0" applyBorder="0" applyAlignment="0" applyProtection="0"/>
    <xf numFmtId="205" fontId="7" fillId="0" borderId="0" applyFont="0" applyFill="0" applyBorder="0" applyAlignment="0" applyProtection="0"/>
    <xf numFmtId="205" fontId="7" fillId="0" borderId="0" applyFont="0" applyFill="0" applyBorder="0" applyAlignment="0" applyProtection="0"/>
    <xf numFmtId="205" fontId="7" fillId="0" borderId="0" applyFont="0" applyFill="0" applyBorder="0" applyAlignment="0" applyProtection="0"/>
    <xf numFmtId="205" fontId="7" fillId="0" borderId="0" applyFont="0" applyFill="0" applyBorder="0" applyAlignment="0" applyProtection="0"/>
    <xf numFmtId="205" fontId="7" fillId="0" borderId="0" applyFont="0" applyFill="0" applyBorder="0" applyAlignment="0" applyProtection="0"/>
    <xf numFmtId="203" fontId="7" fillId="0" borderId="0" applyFont="0" applyFill="0" applyBorder="0" applyAlignment="0" applyProtection="0"/>
    <xf numFmtId="203" fontId="7" fillId="0" borderId="0" applyFont="0" applyFill="0" applyBorder="0" applyAlignment="0" applyProtection="0"/>
    <xf numFmtId="204" fontId="7" fillId="0" borderId="0" applyFont="0" applyFill="0" applyBorder="0" applyAlignment="0" applyProtection="0"/>
    <xf numFmtId="204" fontId="7" fillId="0" borderId="0" applyFont="0" applyFill="0" applyBorder="0" applyAlignment="0" applyProtection="0"/>
    <xf numFmtId="203" fontId="7" fillId="0" borderId="0" applyFont="0" applyFill="0" applyBorder="0" applyAlignment="0" applyProtection="0"/>
    <xf numFmtId="203" fontId="7" fillId="0" borderId="0" applyFont="0" applyFill="0" applyBorder="0" applyAlignment="0" applyProtection="0"/>
    <xf numFmtId="204" fontId="7" fillId="0" borderId="0" applyFont="0" applyFill="0" applyBorder="0" applyAlignment="0" applyProtection="0"/>
    <xf numFmtId="204" fontId="7" fillId="0" borderId="0" applyFont="0" applyFill="0" applyBorder="0" applyAlignment="0" applyProtection="0"/>
    <xf numFmtId="204" fontId="7" fillId="0" borderId="0" applyFont="0" applyFill="0" applyBorder="0" applyAlignment="0" applyProtection="0"/>
    <xf numFmtId="204" fontId="7" fillId="0" borderId="0" applyFont="0" applyFill="0" applyBorder="0" applyAlignment="0" applyProtection="0"/>
    <xf numFmtId="203" fontId="7" fillId="0" borderId="0" applyFont="0" applyFill="0" applyBorder="0" applyAlignment="0" applyProtection="0"/>
    <xf numFmtId="203" fontId="7" fillId="0" borderId="0" applyFont="0" applyFill="0" applyBorder="0" applyAlignment="0" applyProtection="0"/>
    <xf numFmtId="203" fontId="7" fillId="0" borderId="0" applyFont="0" applyFill="0" applyBorder="0" applyAlignment="0" applyProtection="0"/>
    <xf numFmtId="204" fontId="109" fillId="0" borderId="0" applyFont="0" applyFill="0" applyBorder="0" applyAlignment="0" applyProtection="0"/>
    <xf numFmtId="204" fontId="109" fillId="0" borderId="0" applyFont="0" applyFill="0" applyBorder="0" applyAlignment="0" applyProtection="0"/>
    <xf numFmtId="223" fontId="7" fillId="0" borderId="0" applyFont="0" applyFill="0" applyBorder="0" applyAlignment="0" applyProtection="0"/>
    <xf numFmtId="223"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203" fontId="7" fillId="0" borderId="0" applyFont="0" applyFill="0" applyBorder="0" applyAlignment="0" applyProtection="0"/>
    <xf numFmtId="203" fontId="7" fillId="0" borderId="0" applyFont="0" applyFill="0" applyBorder="0" applyAlignment="0" applyProtection="0"/>
    <xf numFmtId="203" fontId="7" fillId="0" borderId="0" applyFont="0" applyFill="0" applyBorder="0" applyAlignment="0" applyProtection="0"/>
    <xf numFmtId="203" fontId="7" fillId="0" borderId="0" applyFont="0" applyFill="0" applyBorder="0" applyAlignment="0" applyProtection="0"/>
    <xf numFmtId="203" fontId="7" fillId="0" borderId="0" applyFont="0" applyFill="0" applyBorder="0" applyAlignment="0" applyProtection="0"/>
    <xf numFmtId="203" fontId="7" fillId="0" borderId="0" applyFont="0" applyFill="0" applyBorder="0" applyAlignment="0" applyProtection="0"/>
    <xf numFmtId="204" fontId="7" fillId="0" borderId="0" applyFont="0" applyFill="0" applyBorder="0" applyAlignment="0" applyProtection="0"/>
    <xf numFmtId="204" fontId="7" fillId="0" borderId="0" applyFont="0" applyFill="0" applyBorder="0" applyAlignment="0" applyProtection="0"/>
    <xf numFmtId="204" fontId="7" fillId="0" borderId="0" applyFont="0" applyFill="0" applyBorder="0" applyAlignment="0" applyProtection="0"/>
    <xf numFmtId="203" fontId="7" fillId="0" borderId="0" applyFont="0" applyFill="0" applyBorder="0" applyAlignment="0" applyProtection="0"/>
    <xf numFmtId="203" fontId="7" fillId="0" borderId="0" applyFont="0" applyFill="0" applyBorder="0" applyAlignment="0" applyProtection="0"/>
    <xf numFmtId="203" fontId="7" fillId="0" borderId="0" applyFont="0" applyFill="0" applyBorder="0" applyAlignment="0" applyProtection="0"/>
    <xf numFmtId="203" fontId="7" fillId="0" borderId="0" applyFont="0" applyFill="0" applyBorder="0" applyAlignment="0" applyProtection="0"/>
    <xf numFmtId="203" fontId="7" fillId="0" borderId="0" applyFont="0" applyFill="0" applyBorder="0" applyAlignment="0" applyProtection="0"/>
    <xf numFmtId="203" fontId="7" fillId="0" borderId="0" applyFont="0" applyFill="0" applyBorder="0" applyAlignment="0" applyProtection="0"/>
    <xf numFmtId="203" fontId="7" fillId="0" borderId="0" applyFont="0" applyFill="0" applyBorder="0" applyAlignment="0" applyProtection="0"/>
    <xf numFmtId="203" fontId="7" fillId="0" borderId="0" applyFont="0" applyFill="0" applyBorder="0" applyAlignment="0" applyProtection="0"/>
    <xf numFmtId="203" fontId="7" fillId="0" borderId="0" applyFont="0" applyFill="0" applyBorder="0" applyAlignment="0" applyProtection="0"/>
    <xf numFmtId="204" fontId="7" fillId="0" borderId="0" applyFont="0" applyFill="0" applyBorder="0" applyAlignment="0" applyProtection="0"/>
    <xf numFmtId="204" fontId="7" fillId="0" borderId="0" applyFont="0" applyFill="0" applyBorder="0" applyAlignment="0" applyProtection="0"/>
    <xf numFmtId="204" fontId="7" fillId="0" borderId="0" applyFont="0" applyFill="0" applyBorder="0" applyAlignment="0" applyProtection="0"/>
    <xf numFmtId="210" fontId="7" fillId="0" borderId="0" applyFont="0" applyFill="0" applyBorder="0" applyAlignment="0" applyProtection="0"/>
    <xf numFmtId="210" fontId="7" fillId="0" borderId="0" applyFont="0" applyFill="0" applyBorder="0" applyAlignment="0" applyProtection="0"/>
    <xf numFmtId="203" fontId="7" fillId="0" borderId="0" applyFont="0" applyFill="0" applyBorder="0" applyAlignment="0" applyProtection="0"/>
    <xf numFmtId="203" fontId="7" fillId="0" borderId="0" applyFont="0" applyFill="0" applyBorder="0" applyAlignment="0" applyProtection="0"/>
    <xf numFmtId="245" fontId="7" fillId="0" borderId="0" applyFont="0" applyFill="0" applyBorder="0" applyAlignment="0" applyProtection="0"/>
    <xf numFmtId="204" fontId="7" fillId="0" borderId="0" applyFont="0" applyFill="0" applyBorder="0" applyAlignment="0" applyProtection="0"/>
    <xf numFmtId="204" fontId="109" fillId="0" borderId="0" applyFont="0" applyFill="0" applyBorder="0" applyAlignment="0" applyProtection="0"/>
    <xf numFmtId="203" fontId="7" fillId="0" borderId="0" applyFont="0" applyFill="0" applyBorder="0" applyAlignment="0" applyProtection="0"/>
    <xf numFmtId="203" fontId="7" fillId="0" borderId="0" applyFont="0" applyFill="0" applyBorder="0" applyAlignment="0" applyProtection="0"/>
    <xf numFmtId="203" fontId="7" fillId="0" borderId="0" applyFont="0" applyFill="0" applyBorder="0" applyAlignment="0" applyProtection="0"/>
    <xf numFmtId="204" fontId="109" fillId="0" borderId="0" applyFont="0" applyFill="0" applyBorder="0" applyAlignment="0" applyProtection="0"/>
    <xf numFmtId="203" fontId="7" fillId="0" borderId="0" applyFont="0" applyFill="0" applyBorder="0" applyAlignment="0" applyProtection="0"/>
    <xf numFmtId="203" fontId="7" fillId="0" borderId="0" applyFont="0" applyFill="0" applyBorder="0" applyAlignment="0" applyProtection="0"/>
    <xf numFmtId="203" fontId="7" fillId="0" borderId="0" applyFont="0" applyFill="0" applyBorder="0" applyAlignment="0" applyProtection="0"/>
    <xf numFmtId="204" fontId="109" fillId="0" borderId="0" applyFont="0" applyFill="0" applyBorder="0" applyAlignment="0" applyProtection="0"/>
    <xf numFmtId="204" fontId="7" fillId="0" borderId="0" applyFont="0" applyFill="0" applyBorder="0" applyAlignment="0" applyProtection="0"/>
    <xf numFmtId="204" fontId="7" fillId="0" borderId="0" applyFont="0" applyFill="0" applyBorder="0" applyAlignment="0" applyProtection="0"/>
    <xf numFmtId="204" fontId="7" fillId="0" borderId="0" applyFont="0" applyFill="0" applyBorder="0" applyAlignment="0" applyProtection="0"/>
    <xf numFmtId="204" fontId="7" fillId="0" borderId="0" applyFont="0" applyFill="0" applyBorder="0" applyAlignment="0" applyProtection="0"/>
    <xf numFmtId="204" fontId="7" fillId="0" borderId="0" applyFont="0" applyFill="0" applyBorder="0" applyAlignment="0" applyProtection="0"/>
    <xf numFmtId="204" fontId="7" fillId="0" borderId="0" applyFont="0" applyFill="0" applyBorder="0" applyAlignment="0" applyProtection="0"/>
    <xf numFmtId="204" fontId="7" fillId="0" borderId="0" applyFont="0" applyFill="0" applyBorder="0" applyAlignment="0" applyProtection="0"/>
    <xf numFmtId="204" fontId="7" fillId="0" borderId="0" applyFont="0" applyFill="0" applyBorder="0" applyAlignment="0" applyProtection="0"/>
    <xf numFmtId="204" fontId="7" fillId="0" borderId="0" applyFont="0" applyFill="0" applyBorder="0" applyAlignment="0" applyProtection="0"/>
    <xf numFmtId="204" fontId="109" fillId="0" borderId="0" applyFont="0" applyFill="0" applyBorder="0" applyAlignment="0" applyProtection="0"/>
    <xf numFmtId="203" fontId="7" fillId="0" borderId="0" applyFont="0" applyFill="0" applyBorder="0" applyAlignment="0" applyProtection="0"/>
    <xf numFmtId="203" fontId="7" fillId="0" borderId="0" applyFont="0" applyFill="0" applyBorder="0" applyAlignment="0" applyProtection="0"/>
    <xf numFmtId="203" fontId="7" fillId="0" borderId="0" applyFont="0" applyFill="0" applyBorder="0" applyAlignment="0" applyProtection="0"/>
    <xf numFmtId="204" fontId="7" fillId="0" borderId="0" applyFont="0" applyFill="0" applyBorder="0" applyAlignment="0" applyProtection="0"/>
    <xf numFmtId="204" fontId="7" fillId="0" borderId="0" applyFont="0" applyFill="0" applyBorder="0" applyAlignment="0" applyProtection="0"/>
    <xf numFmtId="204" fontId="7" fillId="0" borderId="0" applyFont="0" applyFill="0" applyBorder="0" applyAlignment="0" applyProtection="0"/>
    <xf numFmtId="204" fontId="109" fillId="0" borderId="0" applyFont="0" applyFill="0" applyBorder="0" applyAlignment="0" applyProtection="0"/>
    <xf numFmtId="203" fontId="7" fillId="0" borderId="0" applyFont="0" applyFill="0" applyBorder="0" applyAlignment="0" applyProtection="0"/>
    <xf numFmtId="203" fontId="7" fillId="0" borderId="0" applyFont="0" applyFill="0" applyBorder="0" applyAlignment="0" applyProtection="0"/>
    <xf numFmtId="203" fontId="7" fillId="0" borderId="0" applyFont="0" applyFill="0" applyBorder="0" applyAlignment="0" applyProtection="0"/>
    <xf numFmtId="204" fontId="109" fillId="0" borderId="0" applyFont="0" applyFill="0" applyBorder="0" applyAlignment="0" applyProtection="0"/>
    <xf numFmtId="204" fontId="109" fillId="0" borderId="0" applyFont="0" applyFill="0" applyBorder="0" applyAlignment="0" applyProtection="0"/>
    <xf numFmtId="245" fontId="7" fillId="0" borderId="0" applyFont="0" applyFill="0" applyBorder="0" applyAlignment="0" applyProtection="0"/>
    <xf numFmtId="204" fontId="7" fillId="0" borderId="0" applyFont="0" applyFill="0" applyBorder="0" applyAlignment="0" applyProtection="0"/>
    <xf numFmtId="203" fontId="7" fillId="0" borderId="0" applyFont="0" applyFill="0" applyBorder="0" applyAlignment="0" applyProtection="0"/>
    <xf numFmtId="203" fontId="7" fillId="0" borderId="0" applyFont="0" applyFill="0" applyBorder="0" applyAlignment="0" applyProtection="0"/>
    <xf numFmtId="203" fontId="7" fillId="0" borderId="0" applyFont="0" applyFill="0" applyBorder="0" applyAlignment="0" applyProtection="0"/>
    <xf numFmtId="204" fontId="89" fillId="0" borderId="0" applyFont="0" applyFill="0" applyBorder="0" applyAlignment="0" applyProtection="0"/>
    <xf numFmtId="203" fontId="7" fillId="0" borderId="0" applyFont="0" applyFill="0" applyBorder="0" applyAlignment="0" applyProtection="0"/>
    <xf numFmtId="203" fontId="7" fillId="0" borderId="0" applyFont="0" applyFill="0" applyBorder="0" applyAlignment="0" applyProtection="0"/>
    <xf numFmtId="203" fontId="7" fillId="0" borderId="0" applyFont="0" applyFill="0" applyBorder="0" applyAlignment="0" applyProtection="0"/>
    <xf numFmtId="206" fontId="7" fillId="0" borderId="0" applyFont="0" applyFill="0" applyBorder="0" applyAlignment="0" applyProtection="0"/>
    <xf numFmtId="206" fontId="7" fillId="0" borderId="0" applyFont="0" applyFill="0" applyBorder="0" applyAlignment="0" applyProtection="0"/>
    <xf numFmtId="208" fontId="7" fillId="0" borderId="0" applyFont="0" applyFill="0" applyBorder="0" applyProtection="0">
      <alignment horizontal="right"/>
    </xf>
    <xf numFmtId="208" fontId="7" fillId="0" borderId="0" applyFont="0" applyFill="0" applyBorder="0" applyProtection="0">
      <alignment horizontal="right"/>
    </xf>
    <xf numFmtId="208" fontId="7" fillId="0" borderId="0" applyFont="0" applyFill="0" applyBorder="0" applyProtection="0">
      <alignment horizontal="right"/>
    </xf>
    <xf numFmtId="207" fontId="7" fillId="0" borderId="0" applyFont="0" applyFill="0" applyBorder="0" applyProtection="0">
      <alignment horizontal="right"/>
    </xf>
    <xf numFmtId="207" fontId="7" fillId="0" borderId="0" applyFont="0" applyFill="0" applyBorder="0" applyProtection="0">
      <alignment horizontal="right"/>
    </xf>
    <xf numFmtId="207" fontId="7" fillId="0" borderId="0" applyFont="0" applyFill="0" applyBorder="0" applyProtection="0">
      <alignment horizontal="right"/>
    </xf>
    <xf numFmtId="207" fontId="7" fillId="0" borderId="0" applyFont="0" applyFill="0" applyBorder="0" applyProtection="0">
      <alignment horizontal="right"/>
    </xf>
    <xf numFmtId="207" fontId="7" fillId="0" borderId="0" applyFont="0" applyFill="0" applyBorder="0" applyProtection="0">
      <alignment horizontal="right"/>
    </xf>
    <xf numFmtId="207" fontId="7" fillId="0" borderId="0" applyFont="0" applyFill="0" applyBorder="0" applyProtection="0">
      <alignment horizontal="right"/>
    </xf>
    <xf numFmtId="206" fontId="7" fillId="0" borderId="0" applyFont="0" applyFill="0" applyBorder="0" applyAlignment="0" applyProtection="0"/>
    <xf numFmtId="206" fontId="7" fillId="0" borderId="0" applyFont="0" applyFill="0" applyBorder="0" applyAlignment="0" applyProtection="0"/>
    <xf numFmtId="206" fontId="7" fillId="0" borderId="0" applyFont="0" applyFill="0" applyBorder="0" applyAlignment="0" applyProtection="0"/>
    <xf numFmtId="206" fontId="7" fillId="0" borderId="0" applyFont="0" applyFill="0" applyBorder="0" applyAlignment="0" applyProtection="0"/>
    <xf numFmtId="206" fontId="7" fillId="0" borderId="0" applyFont="0" applyFill="0" applyBorder="0" applyAlignment="0" applyProtection="0"/>
    <xf numFmtId="207" fontId="7" fillId="0" borderId="0" applyFont="0" applyFill="0" applyBorder="0" applyProtection="0">
      <alignment horizontal="right"/>
    </xf>
    <xf numFmtId="207" fontId="7" fillId="0" borderId="0" applyFont="0" applyFill="0" applyBorder="0" applyProtection="0">
      <alignment horizontal="right"/>
    </xf>
    <xf numFmtId="207" fontId="7" fillId="0" borderId="0" applyFont="0" applyFill="0" applyBorder="0" applyProtection="0">
      <alignment horizontal="right"/>
    </xf>
    <xf numFmtId="207" fontId="7" fillId="0" borderId="0" applyFont="0" applyFill="0" applyBorder="0" applyProtection="0">
      <alignment horizontal="right"/>
    </xf>
    <xf numFmtId="207" fontId="7" fillId="0" borderId="0" applyFont="0" applyFill="0" applyBorder="0" applyProtection="0">
      <alignment horizontal="right"/>
    </xf>
    <xf numFmtId="207" fontId="7" fillId="0" borderId="0" applyFont="0" applyFill="0" applyBorder="0" applyProtection="0">
      <alignment horizontal="right"/>
    </xf>
    <xf numFmtId="206" fontId="7" fillId="0" borderId="0" applyFont="0" applyFill="0" applyBorder="0" applyAlignment="0" applyProtection="0"/>
    <xf numFmtId="206" fontId="7" fillId="0" borderId="0" applyFont="0" applyFill="0" applyBorder="0" applyAlignment="0" applyProtection="0"/>
    <xf numFmtId="206" fontId="7" fillId="0" borderId="0" applyFont="0" applyFill="0" applyBorder="0" applyAlignment="0" applyProtection="0"/>
    <xf numFmtId="206" fontId="7" fillId="0" borderId="0" applyFont="0" applyFill="0" applyBorder="0" applyAlignment="0" applyProtection="0"/>
    <xf numFmtId="206" fontId="7" fillId="0" borderId="0" applyFont="0" applyFill="0" applyBorder="0" applyAlignment="0" applyProtection="0"/>
    <xf numFmtId="206" fontId="7" fillId="0" borderId="0" applyFont="0" applyFill="0" applyBorder="0" applyAlignment="0" applyProtection="0"/>
    <xf numFmtId="206" fontId="7" fillId="0" borderId="0" applyFont="0" applyFill="0" applyBorder="0" applyAlignment="0" applyProtection="0"/>
    <xf numFmtId="206" fontId="7" fillId="0" borderId="0" applyFont="0" applyFill="0" applyBorder="0" applyAlignment="0" applyProtection="0"/>
    <xf numFmtId="206" fontId="7" fillId="0" borderId="0" applyFont="0" applyFill="0" applyBorder="0" applyAlignment="0" applyProtection="0"/>
    <xf numFmtId="206" fontId="7" fillId="0" borderId="0" applyFont="0" applyFill="0" applyBorder="0" applyAlignment="0" applyProtection="0"/>
    <xf numFmtId="206" fontId="7" fillId="0" borderId="0" applyFont="0" applyFill="0" applyBorder="0" applyAlignment="0" applyProtection="0"/>
    <xf numFmtId="206" fontId="7" fillId="0" borderId="0" applyFont="0" applyFill="0" applyBorder="0" applyAlignment="0" applyProtection="0"/>
    <xf numFmtId="206" fontId="7" fillId="0" borderId="0" applyFont="0" applyFill="0" applyBorder="0" applyAlignment="0" applyProtection="0"/>
    <xf numFmtId="206" fontId="7" fillId="0" borderId="0" applyFont="0" applyFill="0" applyBorder="0" applyAlignment="0" applyProtection="0"/>
    <xf numFmtId="207" fontId="7" fillId="0" borderId="0" applyFont="0" applyFill="0" applyBorder="0" applyProtection="0">
      <alignment horizontal="right"/>
    </xf>
    <xf numFmtId="207" fontId="7" fillId="0" borderId="0" applyFont="0" applyFill="0" applyBorder="0" applyProtection="0">
      <alignment horizontal="right"/>
    </xf>
    <xf numFmtId="207" fontId="7" fillId="0" borderId="0" applyFont="0" applyFill="0" applyBorder="0" applyProtection="0">
      <alignment horizontal="right"/>
    </xf>
    <xf numFmtId="197" fontId="7" fillId="0" borderId="0" applyFont="0" applyFill="0" applyBorder="0" applyAlignment="0" applyProtection="0"/>
    <xf numFmtId="246" fontId="7" fillId="0" borderId="0" applyFont="0" applyFill="0" applyBorder="0" applyAlignment="0" applyProtection="0"/>
    <xf numFmtId="247" fontId="7" fillId="0" borderId="0" applyFont="0" applyFill="0" applyBorder="0" applyProtection="0">
      <alignment horizontal="right"/>
    </xf>
    <xf numFmtId="207" fontId="7" fillId="0" borderId="0" applyFont="0" applyFill="0" applyBorder="0" applyProtection="0">
      <alignment horizontal="right"/>
    </xf>
    <xf numFmtId="206" fontId="7" fillId="0" borderId="0" applyFont="0" applyFill="0" applyBorder="0" applyAlignment="0" applyProtection="0"/>
    <xf numFmtId="206" fontId="7" fillId="0" borderId="0" applyFont="0" applyFill="0" applyBorder="0" applyAlignment="0" applyProtection="0"/>
    <xf numFmtId="207" fontId="7" fillId="0" borderId="0" applyFont="0" applyFill="0" applyBorder="0" applyProtection="0">
      <alignment horizontal="right"/>
    </xf>
    <xf numFmtId="207" fontId="7" fillId="0" borderId="0" applyFont="0" applyFill="0" applyBorder="0" applyProtection="0">
      <alignment horizontal="right"/>
    </xf>
    <xf numFmtId="207" fontId="7" fillId="0" borderId="0" applyFont="0" applyFill="0" applyBorder="0" applyProtection="0">
      <alignment horizontal="right"/>
    </xf>
    <xf numFmtId="247" fontId="7" fillId="0" borderId="0" applyFont="0" applyFill="0" applyBorder="0" applyProtection="0">
      <alignment horizontal="right"/>
    </xf>
    <xf numFmtId="207" fontId="7" fillId="0" borderId="0" applyFont="0" applyFill="0" applyBorder="0" applyProtection="0">
      <alignment horizontal="right"/>
    </xf>
    <xf numFmtId="208" fontId="7" fillId="0" borderId="0" applyFont="0" applyFill="0" applyBorder="0" applyAlignment="0" applyProtection="0"/>
    <xf numFmtId="208" fontId="7" fillId="0" borderId="0" applyFont="0" applyFill="0" applyBorder="0" applyAlignment="0" applyProtection="0"/>
    <xf numFmtId="208" fontId="7" fillId="0" borderId="0" applyFont="0" applyFill="0" applyBorder="0" applyAlignment="0" applyProtection="0"/>
    <xf numFmtId="0" fontId="45" fillId="0" borderId="0" applyFont="0" applyFill="0" applyBorder="0" applyAlignment="0" applyProtection="0"/>
    <xf numFmtId="232" fontId="7" fillId="0" borderId="0" applyFont="0" applyFill="0" applyBorder="0" applyAlignment="0" applyProtection="0"/>
    <xf numFmtId="232" fontId="7" fillId="0" borderId="0" applyFont="0" applyFill="0" applyBorder="0" applyAlignment="0" applyProtection="0"/>
    <xf numFmtId="233" fontId="7" fillId="0" borderId="0" applyFont="0" applyFill="0" applyBorder="0" applyAlignment="0" applyProtection="0"/>
    <xf numFmtId="233" fontId="7" fillId="0" borderId="0" applyFont="0" applyFill="0" applyBorder="0" applyAlignment="0" applyProtection="0"/>
    <xf numFmtId="207" fontId="7" fillId="0" borderId="0" applyFont="0" applyFill="0" applyBorder="0" applyProtection="0">
      <alignment horizontal="right"/>
    </xf>
    <xf numFmtId="207" fontId="7" fillId="0" borderId="0" applyFont="0" applyFill="0" applyBorder="0" applyProtection="0">
      <alignment horizontal="right"/>
    </xf>
    <xf numFmtId="207" fontId="7" fillId="0" borderId="0" applyFont="0" applyFill="0" applyBorder="0" applyProtection="0">
      <alignment horizontal="right"/>
    </xf>
    <xf numFmtId="236" fontId="7" fillId="0" borderId="0" applyFont="0" applyFill="0" applyBorder="0" applyAlignment="0" applyProtection="0"/>
    <xf numFmtId="236" fontId="7" fillId="0" borderId="0" applyFont="0" applyFill="0" applyBorder="0" applyAlignment="0" applyProtection="0"/>
    <xf numFmtId="208" fontId="7" fillId="0" borderId="0" applyFont="0" applyFill="0" applyBorder="0" applyProtection="0">
      <alignment horizontal="right"/>
    </xf>
    <xf numFmtId="208" fontId="7" fillId="0" borderId="0" applyFont="0" applyFill="0" applyBorder="0" applyProtection="0">
      <alignment horizontal="right"/>
    </xf>
    <xf numFmtId="208" fontId="7" fillId="0" borderId="0" applyFont="0" applyFill="0" applyBorder="0" applyProtection="0">
      <alignment horizontal="right"/>
    </xf>
    <xf numFmtId="206" fontId="7" fillId="0" borderId="0" applyFont="0" applyFill="0" applyBorder="0" applyAlignment="0" applyProtection="0"/>
    <xf numFmtId="206" fontId="7" fillId="0" borderId="0" applyFont="0" applyFill="0" applyBorder="0" applyAlignment="0" applyProtection="0"/>
    <xf numFmtId="206" fontId="7" fillId="0" borderId="0" applyFont="0" applyFill="0" applyBorder="0" applyAlignment="0" applyProtection="0"/>
    <xf numFmtId="208" fontId="7" fillId="0" borderId="0" applyFont="0" applyFill="0" applyBorder="0" applyAlignment="0" applyProtection="0"/>
    <xf numFmtId="208" fontId="7" fillId="0" borderId="0" applyFont="0" applyFill="0" applyBorder="0" applyAlignment="0" applyProtection="0"/>
    <xf numFmtId="208" fontId="7" fillId="0" borderId="0" applyFont="0" applyFill="0" applyBorder="0" applyAlignment="0" applyProtection="0"/>
    <xf numFmtId="208" fontId="7" fillId="0" borderId="0" applyFont="0" applyFill="0" applyBorder="0" applyAlignment="0" applyProtection="0"/>
    <xf numFmtId="208" fontId="7" fillId="0" borderId="0" applyFont="0" applyFill="0" applyBorder="0" applyAlignment="0" applyProtection="0"/>
    <xf numFmtId="208" fontId="7" fillId="0" borderId="0" applyFont="0" applyFill="0" applyBorder="0" applyAlignment="0" applyProtection="0"/>
    <xf numFmtId="206" fontId="7" fillId="0" borderId="0" applyFont="0" applyFill="0" applyBorder="0" applyAlignment="0" applyProtection="0"/>
    <xf numFmtId="206" fontId="7" fillId="0" borderId="0" applyFont="0" applyFill="0" applyBorder="0" applyAlignment="0" applyProtection="0"/>
    <xf numFmtId="206" fontId="7" fillId="0" borderId="0" applyFont="0" applyFill="0" applyBorder="0" applyAlignment="0" applyProtection="0"/>
    <xf numFmtId="206" fontId="7" fillId="0" borderId="0" applyFont="0" applyFill="0" applyBorder="0" applyAlignment="0" applyProtection="0"/>
    <xf numFmtId="206" fontId="7" fillId="0" borderId="0" applyFont="0" applyFill="0" applyBorder="0" applyAlignment="0" applyProtection="0"/>
    <xf numFmtId="207" fontId="7" fillId="0" borderId="0" applyFont="0" applyFill="0" applyBorder="0" applyProtection="0">
      <alignment horizontal="right"/>
    </xf>
    <xf numFmtId="207" fontId="7" fillId="0" borderId="0" applyFont="0" applyFill="0" applyBorder="0" applyProtection="0">
      <alignment horizontal="right"/>
    </xf>
    <xf numFmtId="206" fontId="7" fillId="0" borderId="0" applyFont="0" applyFill="0" applyBorder="0" applyAlignment="0" applyProtection="0"/>
    <xf numFmtId="206" fontId="7" fillId="0" borderId="0" applyFont="0" applyFill="0" applyBorder="0" applyAlignment="0" applyProtection="0"/>
    <xf numFmtId="207" fontId="7" fillId="0" borderId="0" applyFont="0" applyFill="0" applyBorder="0" applyProtection="0">
      <alignment horizontal="right"/>
    </xf>
    <xf numFmtId="207" fontId="7" fillId="0" borderId="0" applyFont="0" applyFill="0" applyBorder="0" applyProtection="0">
      <alignment horizontal="right"/>
    </xf>
    <xf numFmtId="207" fontId="7" fillId="0" borderId="0" applyFont="0" applyFill="0" applyBorder="0" applyProtection="0">
      <alignment horizontal="right"/>
    </xf>
    <xf numFmtId="207" fontId="7" fillId="0" borderId="0" applyFont="0" applyFill="0" applyBorder="0" applyProtection="0">
      <alignment horizontal="right"/>
    </xf>
    <xf numFmtId="206" fontId="7" fillId="0" borderId="0" applyFont="0" applyFill="0" applyBorder="0" applyAlignment="0" applyProtection="0"/>
    <xf numFmtId="206" fontId="7" fillId="0" borderId="0" applyFont="0" applyFill="0" applyBorder="0" applyAlignment="0" applyProtection="0"/>
    <xf numFmtId="206" fontId="7" fillId="0" borderId="0" applyFont="0" applyFill="0" applyBorder="0" applyAlignment="0" applyProtection="0"/>
    <xf numFmtId="207" fontId="109" fillId="0" borderId="0" applyFont="0" applyFill="0" applyBorder="0" applyProtection="0">
      <alignment horizontal="right"/>
    </xf>
    <xf numFmtId="207" fontId="109" fillId="0" borderId="0" applyFont="0" applyFill="0" applyBorder="0" applyProtection="0">
      <alignment horizontal="right"/>
    </xf>
    <xf numFmtId="243" fontId="7" fillId="0" borderId="0" applyFont="0" applyFill="0" applyBorder="0" applyAlignment="0" applyProtection="0"/>
    <xf numFmtId="243" fontId="7" fillId="0" borderId="0" applyFont="0" applyFill="0" applyBorder="0" applyAlignment="0" applyProtection="0"/>
    <xf numFmtId="244" fontId="7" fillId="0" borderId="0" applyFont="0" applyFill="0" applyBorder="0" applyAlignment="0" applyProtection="0"/>
    <xf numFmtId="244" fontId="7" fillId="0" borderId="0" applyFont="0" applyFill="0" applyBorder="0" applyAlignment="0" applyProtection="0"/>
    <xf numFmtId="206" fontId="7" fillId="0" borderId="0" applyFont="0" applyFill="0" applyBorder="0" applyAlignment="0" applyProtection="0"/>
    <xf numFmtId="206" fontId="7" fillId="0" borderId="0" applyFont="0" applyFill="0" applyBorder="0" applyAlignment="0" applyProtection="0"/>
    <xf numFmtId="206" fontId="7" fillId="0" borderId="0" applyFont="0" applyFill="0" applyBorder="0" applyAlignment="0" applyProtection="0"/>
    <xf numFmtId="206" fontId="7" fillId="0" borderId="0" applyFont="0" applyFill="0" applyBorder="0" applyAlignment="0" applyProtection="0"/>
    <xf numFmtId="206" fontId="7" fillId="0" borderId="0" applyFont="0" applyFill="0" applyBorder="0" applyAlignment="0" applyProtection="0"/>
    <xf numFmtId="206" fontId="7" fillId="0" borderId="0" applyFont="0" applyFill="0" applyBorder="0" applyAlignment="0" applyProtection="0"/>
    <xf numFmtId="207" fontId="7" fillId="0" borderId="0" applyFont="0" applyFill="0" applyBorder="0" applyProtection="0">
      <alignment horizontal="right"/>
    </xf>
    <xf numFmtId="207" fontId="7" fillId="0" borderId="0" applyFont="0" applyFill="0" applyBorder="0" applyProtection="0">
      <alignment horizontal="right"/>
    </xf>
    <xf numFmtId="207" fontId="7" fillId="0" borderId="0" applyFont="0" applyFill="0" applyBorder="0" applyProtection="0">
      <alignment horizontal="right"/>
    </xf>
    <xf numFmtId="206" fontId="7" fillId="0" borderId="0" applyFont="0" applyFill="0" applyBorder="0" applyAlignment="0" applyProtection="0"/>
    <xf numFmtId="206" fontId="7" fillId="0" borderId="0" applyFont="0" applyFill="0" applyBorder="0" applyAlignment="0" applyProtection="0"/>
    <xf numFmtId="206" fontId="7" fillId="0" borderId="0" applyFont="0" applyFill="0" applyBorder="0" applyAlignment="0" applyProtection="0"/>
    <xf numFmtId="206" fontId="7" fillId="0" borderId="0" applyFont="0" applyFill="0" applyBorder="0" applyAlignment="0" applyProtection="0"/>
    <xf numFmtId="206" fontId="7" fillId="0" borderId="0" applyFont="0" applyFill="0" applyBorder="0" applyAlignment="0" applyProtection="0"/>
    <xf numFmtId="206" fontId="7" fillId="0" borderId="0" applyFont="0" applyFill="0" applyBorder="0" applyAlignment="0" applyProtection="0"/>
    <xf numFmtId="206" fontId="7" fillId="0" borderId="0" applyFont="0" applyFill="0" applyBorder="0" applyAlignment="0" applyProtection="0"/>
    <xf numFmtId="206" fontId="7" fillId="0" borderId="0" applyFont="0" applyFill="0" applyBorder="0" applyAlignment="0" applyProtection="0"/>
    <xf numFmtId="206" fontId="7" fillId="0" borderId="0" applyFont="0" applyFill="0" applyBorder="0" applyAlignment="0" applyProtection="0"/>
    <xf numFmtId="207" fontId="7" fillId="0" borderId="0" applyFont="0" applyFill="0" applyBorder="0" applyProtection="0">
      <alignment horizontal="right"/>
    </xf>
    <xf numFmtId="207" fontId="7" fillId="0" borderId="0" applyFont="0" applyFill="0" applyBorder="0" applyProtection="0">
      <alignment horizontal="right"/>
    </xf>
    <xf numFmtId="207" fontId="7" fillId="0" borderId="0" applyFont="0" applyFill="0" applyBorder="0" applyProtection="0">
      <alignment horizontal="right"/>
    </xf>
    <xf numFmtId="236" fontId="7" fillId="0" borderId="0" applyFont="0" applyFill="0" applyBorder="0" applyAlignment="0" applyProtection="0"/>
    <xf numFmtId="236" fontId="7" fillId="0" borderId="0" applyFont="0" applyFill="0" applyBorder="0" applyAlignment="0" applyProtection="0"/>
    <xf numFmtId="206" fontId="7" fillId="0" borderId="0" applyFont="0" applyFill="0" applyBorder="0" applyAlignment="0" applyProtection="0"/>
    <xf numFmtId="206" fontId="7" fillId="0" borderId="0" applyFont="0" applyFill="0" applyBorder="0" applyAlignment="0" applyProtection="0"/>
    <xf numFmtId="247" fontId="7" fillId="0" borderId="0" applyFont="0" applyFill="0" applyBorder="0" applyProtection="0">
      <alignment horizontal="right"/>
    </xf>
    <xf numFmtId="207" fontId="7" fillId="0" borderId="0" applyFont="0" applyFill="0" applyBorder="0" applyProtection="0">
      <alignment horizontal="right"/>
    </xf>
    <xf numFmtId="207" fontId="109" fillId="0" borderId="0" applyFont="0" applyFill="0" applyBorder="0" applyProtection="0">
      <alignment horizontal="right"/>
    </xf>
    <xf numFmtId="206" fontId="7" fillId="0" borderId="0" applyFont="0" applyFill="0" applyBorder="0" applyAlignment="0" applyProtection="0"/>
    <xf numFmtId="206" fontId="7" fillId="0" borderId="0" applyFont="0" applyFill="0" applyBorder="0" applyAlignment="0" applyProtection="0"/>
    <xf numFmtId="206" fontId="7" fillId="0" borderId="0" applyFont="0" applyFill="0" applyBorder="0" applyAlignment="0" applyProtection="0"/>
    <xf numFmtId="207" fontId="109" fillId="0" borderId="0" applyFont="0" applyFill="0" applyBorder="0" applyProtection="0">
      <alignment horizontal="right"/>
    </xf>
    <xf numFmtId="206" fontId="7" fillId="0" borderId="0" applyFont="0" applyFill="0" applyBorder="0" applyAlignment="0" applyProtection="0"/>
    <xf numFmtId="206" fontId="7" fillId="0" borderId="0" applyFont="0" applyFill="0" applyBorder="0" applyAlignment="0" applyProtection="0"/>
    <xf numFmtId="206" fontId="7" fillId="0" borderId="0" applyFont="0" applyFill="0" applyBorder="0" applyAlignment="0" applyProtection="0"/>
    <xf numFmtId="207" fontId="109" fillId="0" borderId="0" applyFont="0" applyFill="0" applyBorder="0" applyProtection="0">
      <alignment horizontal="right"/>
    </xf>
    <xf numFmtId="207" fontId="7" fillId="0" borderId="0" applyFont="0" applyFill="0" applyBorder="0" applyProtection="0">
      <alignment horizontal="right"/>
    </xf>
    <xf numFmtId="207" fontId="7" fillId="0" borderId="0" applyFont="0" applyFill="0" applyBorder="0" applyProtection="0">
      <alignment horizontal="right"/>
    </xf>
    <xf numFmtId="207" fontId="7" fillId="0" borderId="0" applyFont="0" applyFill="0" applyBorder="0" applyProtection="0">
      <alignment horizontal="right"/>
    </xf>
    <xf numFmtId="207" fontId="7" fillId="0" borderId="0" applyFont="0" applyFill="0" applyBorder="0" applyProtection="0">
      <alignment horizontal="right"/>
    </xf>
    <xf numFmtId="207" fontId="7" fillId="0" borderId="0" applyFont="0" applyFill="0" applyBorder="0" applyProtection="0">
      <alignment horizontal="right"/>
    </xf>
    <xf numFmtId="207" fontId="7" fillId="0" borderId="0" applyFont="0" applyFill="0" applyBorder="0" applyProtection="0">
      <alignment horizontal="right"/>
    </xf>
    <xf numFmtId="207" fontId="7" fillId="0" borderId="0" applyFont="0" applyFill="0" applyBorder="0" applyProtection="0">
      <alignment horizontal="right"/>
    </xf>
    <xf numFmtId="207" fontId="7" fillId="0" borderId="0" applyFont="0" applyFill="0" applyBorder="0" applyProtection="0">
      <alignment horizontal="right"/>
    </xf>
    <xf numFmtId="207" fontId="7" fillId="0" borderId="0" applyFont="0" applyFill="0" applyBorder="0" applyProtection="0">
      <alignment horizontal="right"/>
    </xf>
    <xf numFmtId="207" fontId="109" fillId="0" borderId="0" applyFont="0" applyFill="0" applyBorder="0" applyProtection="0">
      <alignment horizontal="right"/>
    </xf>
    <xf numFmtId="206" fontId="7" fillId="0" borderId="0" applyFont="0" applyFill="0" applyBorder="0" applyAlignment="0" applyProtection="0"/>
    <xf numFmtId="206" fontId="7" fillId="0" borderId="0" applyFont="0" applyFill="0" applyBorder="0" applyAlignment="0" applyProtection="0"/>
    <xf numFmtId="206" fontId="7" fillId="0" borderId="0" applyFont="0" applyFill="0" applyBorder="0" applyAlignment="0" applyProtection="0"/>
    <xf numFmtId="207" fontId="7" fillId="0" borderId="0" applyFont="0" applyFill="0" applyBorder="0" applyProtection="0">
      <alignment horizontal="right"/>
    </xf>
    <xf numFmtId="207" fontId="7" fillId="0" borderId="0" applyFont="0" applyFill="0" applyBorder="0" applyProtection="0">
      <alignment horizontal="right"/>
    </xf>
    <xf numFmtId="207" fontId="7" fillId="0" borderId="0" applyFont="0" applyFill="0" applyBorder="0" applyProtection="0">
      <alignment horizontal="right"/>
    </xf>
    <xf numFmtId="207" fontId="109" fillId="0" borderId="0" applyFont="0" applyFill="0" applyBorder="0" applyProtection="0">
      <alignment horizontal="right"/>
    </xf>
    <xf numFmtId="206" fontId="7" fillId="0" borderId="0" applyFont="0" applyFill="0" applyBorder="0" applyAlignment="0" applyProtection="0"/>
    <xf numFmtId="206" fontId="7" fillId="0" borderId="0" applyFont="0" applyFill="0" applyBorder="0" applyAlignment="0" applyProtection="0"/>
    <xf numFmtId="206" fontId="7" fillId="0" borderId="0" applyFont="0" applyFill="0" applyBorder="0" applyAlignment="0" applyProtection="0"/>
    <xf numFmtId="207" fontId="109" fillId="0" borderId="0" applyFont="0" applyFill="0" applyBorder="0" applyProtection="0">
      <alignment horizontal="right"/>
    </xf>
    <xf numFmtId="207" fontId="109" fillId="0" borderId="0" applyFont="0" applyFill="0" applyBorder="0" applyProtection="0">
      <alignment horizontal="right"/>
    </xf>
    <xf numFmtId="247" fontId="7" fillId="0" borderId="0" applyFont="0" applyFill="0" applyBorder="0" applyProtection="0">
      <alignment horizontal="right"/>
    </xf>
    <xf numFmtId="207" fontId="7" fillId="0" borderId="0" applyFont="0" applyFill="0" applyBorder="0" applyProtection="0">
      <alignment horizontal="right"/>
    </xf>
    <xf numFmtId="206" fontId="7" fillId="0" borderId="0" applyFont="0" applyFill="0" applyBorder="0" applyAlignment="0" applyProtection="0"/>
    <xf numFmtId="206" fontId="7" fillId="0" borderId="0" applyFont="0" applyFill="0" applyBorder="0" applyAlignment="0" applyProtection="0"/>
    <xf numFmtId="206" fontId="7" fillId="0" borderId="0" applyFont="0" applyFill="0" applyBorder="0" applyAlignment="0" applyProtection="0"/>
    <xf numFmtId="207" fontId="89" fillId="0" borderId="0" applyFont="0" applyFill="0" applyBorder="0" applyProtection="0">
      <alignment horizontal="right"/>
    </xf>
    <xf numFmtId="208" fontId="7" fillId="0" borderId="0" applyFont="0" applyFill="0" applyBorder="0" applyAlignment="0" applyProtection="0"/>
    <xf numFmtId="208" fontId="7" fillId="0" borderId="0" applyFont="0" applyFill="0" applyBorder="0" applyAlignment="0" applyProtection="0"/>
    <xf numFmtId="208" fontId="7" fillId="0" borderId="0" applyFont="0" applyFill="0" applyBorder="0" applyAlignment="0" applyProtection="0"/>
    <xf numFmtId="206" fontId="7" fillId="0" borderId="0" applyFont="0" applyFill="0" applyBorder="0" applyAlignment="0" applyProtection="0"/>
    <xf numFmtId="206" fontId="7" fillId="0" borderId="0" applyFont="0" applyFill="0" applyBorder="0" applyAlignment="0" applyProtection="0"/>
    <xf numFmtId="206" fontId="7" fillId="0" borderId="0" applyFont="0" applyFill="0" applyBorder="0" applyAlignment="0" applyProtection="0"/>
    <xf numFmtId="3" fontId="45" fillId="0" borderId="0"/>
    <xf numFmtId="209" fontId="7" fillId="0" borderId="0" applyFont="0" applyFill="0" applyBorder="0" applyAlignment="0" applyProtection="0"/>
    <xf numFmtId="209" fontId="7" fillId="0" borderId="0" applyFont="0" applyFill="0" applyBorder="0" applyAlignment="0" applyProtection="0"/>
    <xf numFmtId="209" fontId="7" fillId="0" borderId="0" applyFont="0" applyFill="0" applyBorder="0" applyAlignment="0" applyProtection="0"/>
    <xf numFmtId="209" fontId="7" fillId="0" borderId="0" applyFont="0" applyFill="0" applyBorder="0" applyAlignment="0" applyProtection="0"/>
    <xf numFmtId="209" fontId="7" fillId="0" borderId="0" applyFont="0" applyFill="0" applyBorder="0" applyAlignment="0" applyProtection="0"/>
    <xf numFmtId="209" fontId="7" fillId="0" borderId="0" applyFont="0" applyFill="0" applyBorder="0" applyAlignment="0" applyProtection="0"/>
    <xf numFmtId="209" fontId="7" fillId="0" borderId="0" applyFont="0" applyFill="0" applyBorder="0" applyAlignment="0" applyProtection="0"/>
    <xf numFmtId="209"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209" fontId="7" fillId="0" borderId="0" applyFont="0" applyFill="0" applyBorder="0" applyAlignment="0" applyProtection="0"/>
    <xf numFmtId="209" fontId="7" fillId="0" borderId="0" applyFont="0" applyFill="0" applyBorder="0" applyAlignment="0" applyProtection="0"/>
    <xf numFmtId="209" fontId="7" fillId="0" borderId="0" applyFont="0" applyFill="0" applyBorder="0" applyAlignment="0" applyProtection="0"/>
    <xf numFmtId="209" fontId="7" fillId="0" borderId="0" applyFont="0" applyFill="0" applyBorder="0" applyAlignment="0" applyProtection="0"/>
    <xf numFmtId="209" fontId="7" fillId="0" borderId="0" applyFont="0" applyFill="0" applyBorder="0" applyAlignment="0" applyProtection="0"/>
    <xf numFmtId="209" fontId="7" fillId="0" borderId="0" applyFont="0" applyFill="0" applyBorder="0" applyAlignment="0" applyProtection="0"/>
    <xf numFmtId="209" fontId="7" fillId="0" borderId="0" applyFont="0" applyFill="0" applyBorder="0" applyAlignment="0" applyProtection="0"/>
    <xf numFmtId="209" fontId="7" fillId="0" borderId="0" applyFont="0" applyFill="0" applyBorder="0" applyAlignment="0" applyProtection="0"/>
    <xf numFmtId="209" fontId="7" fillId="0" borderId="0" applyFont="0" applyFill="0" applyBorder="0" applyAlignment="0" applyProtection="0"/>
    <xf numFmtId="209" fontId="7" fillId="0" borderId="0" applyFont="0" applyFill="0" applyBorder="0" applyAlignment="0" applyProtection="0"/>
    <xf numFmtId="209" fontId="7" fillId="0" borderId="0" applyFont="0" applyFill="0" applyBorder="0" applyAlignment="0" applyProtection="0"/>
    <xf numFmtId="209" fontId="7" fillId="0" borderId="0" applyFont="0" applyFill="0" applyBorder="0" applyAlignment="0" applyProtection="0"/>
    <xf numFmtId="209" fontId="7" fillId="0" borderId="0" applyFont="0" applyFill="0" applyBorder="0" applyAlignment="0" applyProtection="0"/>
    <xf numFmtId="209"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248" fontId="7" fillId="0" borderId="0" applyFont="0" applyFill="0" applyBorder="0" applyAlignment="0" applyProtection="0"/>
    <xf numFmtId="229" fontId="7" fillId="0" borderId="0" applyFont="0" applyFill="0" applyBorder="0" applyAlignment="0" applyProtection="0"/>
    <xf numFmtId="209" fontId="7" fillId="0" borderId="0" applyFont="0" applyFill="0" applyBorder="0" applyAlignment="0" applyProtection="0"/>
    <xf numFmtId="209" fontId="7" fillId="0" borderId="0" applyFont="0" applyFill="0" applyBorder="0" applyAlignment="0" applyProtection="0"/>
    <xf numFmtId="209" fontId="7" fillId="0" borderId="0" applyFont="0" applyFill="0" applyBorder="0" applyAlignment="0" applyProtection="0"/>
    <xf numFmtId="195" fontId="7" fillId="0" borderId="0" applyFont="0" applyFill="0" applyBorder="0" applyAlignment="0" applyProtection="0"/>
    <xf numFmtId="195" fontId="7" fillId="0" borderId="0" applyFont="0" applyFill="0" applyBorder="0" applyAlignment="0" applyProtection="0"/>
    <xf numFmtId="195" fontId="7" fillId="0" borderId="0" applyFont="0" applyFill="0" applyBorder="0" applyAlignment="0" applyProtection="0"/>
    <xf numFmtId="209" fontId="7" fillId="0" borderId="0" applyFont="0" applyFill="0" applyBorder="0" applyAlignment="0" applyProtection="0"/>
    <xf numFmtId="209" fontId="7" fillId="0" borderId="0" applyFont="0" applyFill="0" applyBorder="0" applyAlignment="0" applyProtection="0"/>
    <xf numFmtId="209" fontId="7" fillId="0" borderId="0" applyFont="0" applyFill="0" applyBorder="0" applyAlignment="0" applyProtection="0"/>
    <xf numFmtId="0" fontId="45" fillId="0" borderId="0" applyFont="0" applyFill="0" applyBorder="0" applyAlignment="0" applyProtection="0"/>
    <xf numFmtId="249" fontId="7" fillId="0" borderId="0" applyFont="0" applyFill="0" applyBorder="0" applyAlignment="0" applyProtection="0"/>
    <xf numFmtId="249" fontId="7" fillId="0" borderId="0" applyFont="0" applyFill="0" applyBorder="0" applyAlignment="0" applyProtection="0"/>
    <xf numFmtId="237" fontId="7" fillId="0" borderId="0" applyFont="0" applyFill="0" applyBorder="0" applyAlignment="0" applyProtection="0"/>
    <xf numFmtId="237"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202" fontId="7" fillId="0" borderId="0" applyFont="0" applyFill="0" applyBorder="0" applyAlignment="0" applyProtection="0"/>
    <xf numFmtId="202" fontId="7" fillId="0" borderId="0" applyFont="0" applyFill="0" applyBorder="0" applyAlignment="0" applyProtection="0"/>
    <xf numFmtId="195" fontId="7" fillId="0" borderId="0" applyFont="0" applyFill="0" applyBorder="0" applyAlignment="0" applyProtection="0"/>
    <xf numFmtId="195" fontId="7" fillId="0" borderId="0" applyFont="0" applyFill="0" applyBorder="0" applyAlignment="0" applyProtection="0"/>
    <xf numFmtId="195" fontId="7" fillId="0" borderId="0" applyFont="0" applyFill="0" applyBorder="0" applyAlignment="0" applyProtection="0"/>
    <xf numFmtId="209" fontId="7" fillId="0" borderId="0" applyFont="0" applyFill="0" applyBorder="0" applyAlignment="0" applyProtection="0"/>
    <xf numFmtId="209" fontId="7" fillId="0" borderId="0" applyFont="0" applyFill="0" applyBorder="0" applyAlignment="0" applyProtection="0"/>
    <xf numFmtId="209" fontId="7" fillId="0" borderId="0" applyFont="0" applyFill="0" applyBorder="0" applyAlignment="0" applyProtection="0"/>
    <xf numFmtId="209" fontId="7" fillId="0" borderId="0" applyFont="0" applyFill="0" applyBorder="0" applyAlignment="0" applyProtection="0"/>
    <xf numFmtId="209" fontId="7" fillId="0" borderId="0" applyFont="0" applyFill="0" applyBorder="0" applyAlignment="0" applyProtection="0"/>
    <xf numFmtId="250" fontId="7" fillId="0" borderId="0" applyFont="0" applyFill="0" applyBorder="0" applyAlignment="0" applyProtection="0"/>
    <xf numFmtId="250" fontId="7" fillId="0" borderId="0" applyFont="0" applyFill="0" applyBorder="0" applyAlignment="0" applyProtection="0"/>
    <xf numFmtId="239" fontId="7" fillId="0" borderId="0" applyFont="0" applyFill="0" applyBorder="0" applyAlignment="0" applyProtection="0"/>
    <xf numFmtId="239" fontId="7" fillId="0" borderId="0" applyFont="0" applyFill="0" applyBorder="0" applyAlignment="0" applyProtection="0"/>
    <xf numFmtId="209" fontId="7" fillId="0" borderId="0" applyFont="0" applyFill="0" applyBorder="0" applyAlignment="0" applyProtection="0"/>
    <xf numFmtId="209" fontId="7" fillId="0" borderId="0" applyFont="0" applyFill="0" applyBorder="0" applyAlignment="0" applyProtection="0"/>
    <xf numFmtId="209" fontId="7" fillId="0" borderId="0" applyFont="0" applyFill="0" applyBorder="0" applyAlignment="0" applyProtection="0"/>
    <xf numFmtId="195" fontId="7" fillId="0" borderId="0" applyFont="0" applyFill="0" applyBorder="0" applyAlignment="0" applyProtection="0"/>
    <xf numFmtId="195" fontId="7" fillId="0" borderId="0" applyFont="0" applyFill="0" applyBorder="0" applyAlignment="0" applyProtection="0"/>
    <xf numFmtId="195" fontId="7" fillId="0" borderId="0" applyFont="0" applyFill="0" applyBorder="0" applyAlignment="0" applyProtection="0"/>
    <xf numFmtId="209" fontId="7" fillId="0" borderId="0" applyFont="0" applyFill="0" applyBorder="0" applyAlignment="0" applyProtection="0"/>
    <xf numFmtId="209" fontId="7" fillId="0" borderId="0" applyFont="0" applyFill="0" applyBorder="0" applyAlignment="0" applyProtection="0"/>
    <xf numFmtId="209" fontId="7" fillId="0" borderId="0" applyFont="0" applyFill="0" applyBorder="0" applyAlignment="0" applyProtection="0"/>
    <xf numFmtId="209" fontId="7" fillId="0" borderId="0" applyFont="0" applyFill="0" applyBorder="0" applyAlignment="0" applyProtection="0"/>
    <xf numFmtId="209" fontId="7" fillId="0" borderId="0" applyFont="0" applyFill="0" applyBorder="0" applyAlignment="0" applyProtection="0"/>
    <xf numFmtId="209" fontId="7" fillId="0" borderId="0" applyFont="0" applyFill="0" applyBorder="0" applyAlignment="0" applyProtection="0"/>
    <xf numFmtId="209" fontId="7" fillId="0" borderId="0" applyFont="0" applyFill="0" applyBorder="0" applyAlignment="0" applyProtection="0"/>
    <xf numFmtId="209" fontId="7" fillId="0" borderId="0" applyFont="0" applyFill="0" applyBorder="0" applyAlignment="0" applyProtection="0"/>
    <xf numFmtId="209" fontId="7" fillId="0" borderId="0" applyFont="0" applyFill="0" applyBorder="0" applyAlignment="0" applyProtection="0"/>
    <xf numFmtId="202" fontId="7" fillId="0" borderId="0" applyFont="0" applyFill="0" applyBorder="0" applyAlignment="0" applyProtection="0"/>
    <xf numFmtId="202" fontId="7" fillId="0" borderId="0" applyFont="0" applyFill="0" applyBorder="0" applyAlignment="0" applyProtection="0"/>
    <xf numFmtId="209" fontId="7" fillId="0" borderId="0" applyFont="0" applyFill="0" applyBorder="0" applyAlignment="0" applyProtection="0"/>
    <xf numFmtId="209" fontId="7" fillId="0" borderId="0" applyFont="0" applyFill="0" applyBorder="0" applyAlignment="0" applyProtection="0"/>
    <xf numFmtId="209" fontId="7" fillId="0" borderId="0" applyFont="0" applyFill="0" applyBorder="0" applyAlignment="0" applyProtection="0"/>
    <xf numFmtId="209" fontId="7" fillId="0" borderId="0" applyFont="0" applyFill="0" applyBorder="0" applyAlignment="0" applyProtection="0"/>
    <xf numFmtId="209" fontId="7" fillId="0" borderId="0" applyFont="0" applyFill="0" applyBorder="0" applyAlignment="0" applyProtection="0"/>
    <xf numFmtId="209" fontId="7" fillId="0" borderId="0" applyFont="0" applyFill="0" applyBorder="0" applyAlignment="0" applyProtection="0"/>
    <xf numFmtId="209" fontId="7" fillId="0" borderId="0" applyFont="0" applyFill="0" applyBorder="0" applyAlignment="0" applyProtection="0"/>
    <xf numFmtId="209"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209" fontId="7" fillId="0" borderId="0" applyFont="0" applyFill="0" applyBorder="0" applyAlignment="0" applyProtection="0"/>
    <xf numFmtId="209" fontId="7" fillId="0" borderId="0" applyFont="0" applyFill="0" applyBorder="0" applyAlignment="0" applyProtection="0"/>
    <xf numFmtId="209" fontId="7" fillId="0" borderId="0" applyFont="0" applyFill="0" applyBorder="0" applyAlignment="0" applyProtection="0"/>
    <xf numFmtId="195" fontId="7" fillId="0" borderId="0" applyFont="0" applyFill="0" applyBorder="0" applyProtection="0">
      <alignment horizontal="right"/>
    </xf>
    <xf numFmtId="195" fontId="7" fillId="0" borderId="0" applyFont="0" applyFill="0" applyBorder="0" applyProtection="0">
      <alignment horizontal="right"/>
    </xf>
    <xf numFmtId="195" fontId="7" fillId="0" borderId="0" applyFont="0" applyFill="0" applyBorder="0" applyProtection="0">
      <alignment horizontal="right"/>
    </xf>
    <xf numFmtId="195" fontId="7" fillId="0" borderId="0" applyFont="0" applyFill="0" applyBorder="0" applyAlignment="0" applyProtection="0"/>
    <xf numFmtId="195" fontId="7" fillId="0" borderId="0" applyFont="0" applyFill="0" applyBorder="0" applyAlignment="0" applyProtection="0"/>
    <xf numFmtId="195" fontId="7" fillId="0" borderId="0" applyFont="0" applyFill="0" applyBorder="0" applyAlignment="0" applyProtection="0"/>
    <xf numFmtId="210" fontId="7" fillId="0" borderId="0" applyFont="0" applyFill="0" applyBorder="0" applyAlignment="0" applyProtection="0"/>
    <xf numFmtId="210" fontId="7" fillId="0" borderId="0" applyFont="0" applyFill="0" applyBorder="0" applyAlignment="0" applyProtection="0"/>
    <xf numFmtId="210" fontId="7" fillId="0" borderId="0" applyFont="0" applyFill="0" applyBorder="0" applyAlignment="0" applyProtection="0"/>
    <xf numFmtId="210" fontId="7" fillId="0" borderId="0" applyFont="0" applyFill="0" applyBorder="0" applyAlignment="0" applyProtection="0"/>
    <xf numFmtId="210" fontId="7" fillId="0" borderId="0" applyFont="0" applyFill="0" applyBorder="0" applyAlignment="0" applyProtection="0"/>
    <xf numFmtId="210" fontId="7" fillId="0" borderId="0" applyFont="0" applyFill="0" applyBorder="0" applyAlignment="0" applyProtection="0"/>
    <xf numFmtId="210" fontId="7" fillId="0" borderId="0" applyFont="0" applyFill="0" applyBorder="0" applyAlignment="0" applyProtection="0"/>
    <xf numFmtId="251" fontId="7" fillId="0" borderId="0" applyFont="0" applyFill="0" applyBorder="0" applyAlignment="0" applyProtection="0"/>
    <xf numFmtId="0" fontId="7" fillId="0" borderId="0" applyFont="0" applyFill="0" applyBorder="0" applyAlignment="0" applyProtection="0"/>
    <xf numFmtId="210" fontId="7" fillId="0" borderId="0" applyFont="0" applyFill="0" applyBorder="0" applyAlignment="0" applyProtection="0"/>
    <xf numFmtId="210" fontId="7" fillId="0" borderId="0" applyFont="0" applyFill="0" applyBorder="0" applyAlignment="0" applyProtection="0"/>
    <xf numFmtId="210" fontId="7" fillId="0" borderId="0" applyFont="0" applyFill="0" applyBorder="0" applyAlignment="0" applyProtection="0"/>
    <xf numFmtId="196" fontId="7" fillId="0" borderId="0" applyFont="0" applyFill="0" applyBorder="0" applyAlignment="0" applyProtection="0"/>
    <xf numFmtId="196" fontId="7" fillId="0" borderId="0" applyFont="0" applyFill="0" applyBorder="0" applyAlignment="0" applyProtection="0"/>
    <xf numFmtId="196" fontId="7" fillId="0" borderId="0" applyFont="0" applyFill="0" applyBorder="0" applyAlignment="0" applyProtection="0"/>
    <xf numFmtId="210" fontId="7" fillId="0" borderId="0" applyFont="0" applyFill="0" applyBorder="0" applyAlignment="0" applyProtection="0"/>
    <xf numFmtId="210" fontId="7" fillId="0" borderId="0" applyFont="0" applyFill="0" applyBorder="0" applyAlignment="0" applyProtection="0"/>
    <xf numFmtId="210" fontId="7" fillId="0" borderId="0" applyFont="0" applyFill="0" applyBorder="0" applyAlignment="0" applyProtection="0"/>
    <xf numFmtId="0" fontId="45" fillId="0" borderId="0" applyFont="0" applyFill="0" applyBorder="0" applyAlignment="0" applyProtection="0"/>
    <xf numFmtId="252" fontId="7" fillId="0" borderId="0" applyFont="0" applyFill="0" applyBorder="0" applyAlignment="0" applyProtection="0"/>
    <xf numFmtId="252" fontId="7" fillId="0" borderId="0" applyFont="0" applyFill="0" applyBorder="0" applyAlignment="0" applyProtection="0"/>
    <xf numFmtId="192" fontId="7" fillId="0" borderId="0" applyFont="0" applyFill="0" applyBorder="0" applyAlignment="0" applyProtection="0"/>
    <xf numFmtId="192" fontId="7" fillId="0" borderId="0" applyFont="0" applyFill="0" applyBorder="0" applyAlignment="0" applyProtection="0"/>
    <xf numFmtId="195" fontId="7" fillId="0" borderId="0" applyFont="0" applyFill="0" applyBorder="0" applyAlignment="0" applyProtection="0"/>
    <xf numFmtId="195" fontId="7" fillId="0" borderId="0" applyFont="0" applyFill="0" applyBorder="0" applyAlignment="0" applyProtection="0"/>
    <xf numFmtId="196" fontId="7" fillId="0" borderId="0" applyFont="0" applyFill="0" applyBorder="0" applyAlignment="0" applyProtection="0"/>
    <xf numFmtId="196" fontId="7" fillId="0" borderId="0" applyFont="0" applyFill="0" applyBorder="0" applyAlignment="0" applyProtection="0"/>
    <xf numFmtId="196" fontId="7" fillId="0" borderId="0" applyFont="0" applyFill="0" applyBorder="0" applyAlignment="0" applyProtection="0"/>
    <xf numFmtId="210" fontId="7" fillId="0" borderId="0" applyFont="0" applyFill="0" applyBorder="0" applyAlignment="0" applyProtection="0"/>
    <xf numFmtId="210" fontId="7" fillId="0" borderId="0" applyFont="0" applyFill="0" applyBorder="0" applyAlignment="0" applyProtection="0"/>
    <xf numFmtId="210" fontId="7" fillId="0" borderId="0" applyFont="0" applyFill="0" applyBorder="0" applyAlignment="0" applyProtection="0"/>
    <xf numFmtId="210" fontId="7" fillId="0" borderId="0" applyFont="0" applyFill="0" applyBorder="0" applyAlignment="0" applyProtection="0"/>
    <xf numFmtId="210" fontId="7" fillId="0" borderId="0" applyFont="0" applyFill="0" applyBorder="0" applyAlignment="0" applyProtection="0"/>
    <xf numFmtId="196" fontId="7" fillId="0" borderId="0" applyFont="0" applyFill="0" applyBorder="0" applyAlignment="0" applyProtection="0"/>
    <xf numFmtId="196" fontId="7" fillId="0" borderId="0" applyFont="0" applyFill="0" applyBorder="0" applyAlignment="0" applyProtection="0"/>
    <xf numFmtId="196" fontId="7" fillId="0" borderId="0" applyFont="0" applyFill="0" applyBorder="0" applyAlignment="0" applyProtection="0"/>
    <xf numFmtId="195" fontId="7" fillId="0" borderId="0" applyFont="0" applyFill="0" applyBorder="0" applyAlignment="0" applyProtection="0"/>
    <xf numFmtId="195" fontId="7" fillId="0" borderId="0" applyFont="0" applyFill="0" applyBorder="0" applyAlignment="0" applyProtection="0"/>
    <xf numFmtId="210" fontId="7" fillId="0" borderId="0" applyFont="0" applyFill="0" applyBorder="0" applyAlignment="0" applyProtection="0"/>
    <xf numFmtId="210" fontId="7" fillId="0" borderId="0" applyFont="0" applyFill="0" applyBorder="0" applyAlignment="0" applyProtection="0"/>
    <xf numFmtId="196" fontId="7" fillId="0" borderId="0" applyFont="0" applyFill="0" applyBorder="0" applyAlignment="0" applyProtection="0"/>
    <xf numFmtId="196" fontId="7" fillId="0" borderId="0" applyFont="0" applyFill="0" applyBorder="0" applyAlignment="0" applyProtection="0"/>
    <xf numFmtId="196"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3" fontId="45" fillId="0" borderId="0"/>
    <xf numFmtId="3" fontId="45" fillId="0" borderId="0"/>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3" fontId="45" fillId="0" borderId="0"/>
    <xf numFmtId="3" fontId="45" fillId="0" borderId="0"/>
    <xf numFmtId="3" fontId="45" fillId="0" borderId="0"/>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59" fillId="0" borderId="0" applyNumberFormat="0" applyFill="0" applyBorder="0" applyProtection="0">
      <alignment vertical="top"/>
    </xf>
    <xf numFmtId="0" fontId="59" fillId="0" borderId="0" applyNumberFormat="0" applyFill="0" applyBorder="0" applyProtection="0">
      <alignment vertical="top"/>
    </xf>
    <xf numFmtId="0" fontId="59" fillId="0" borderId="0" applyNumberFormat="0" applyFill="0" applyBorder="0" applyProtection="0">
      <alignment vertical="top"/>
    </xf>
    <xf numFmtId="0" fontId="59" fillId="0" borderId="0" applyNumberFormat="0" applyFill="0" applyBorder="0" applyProtection="0">
      <alignment vertical="top"/>
    </xf>
    <xf numFmtId="0" fontId="59" fillId="0" borderId="0" applyNumberFormat="0" applyFill="0" applyBorder="0" applyProtection="0">
      <alignment vertical="top"/>
    </xf>
    <xf numFmtId="0" fontId="59" fillId="0" borderId="0" applyNumberFormat="0" applyFill="0" applyBorder="0" applyProtection="0">
      <alignment vertical="top"/>
    </xf>
    <xf numFmtId="0" fontId="59" fillId="0" borderId="0" applyNumberFormat="0" applyFill="0" applyBorder="0" applyProtection="0">
      <alignment vertical="top"/>
    </xf>
    <xf numFmtId="0" fontId="59" fillId="0" borderId="0" applyNumberFormat="0" applyFill="0" applyBorder="0" applyProtection="0">
      <alignment vertical="top"/>
    </xf>
    <xf numFmtId="0" fontId="59" fillId="0" borderId="0" applyNumberFormat="0" applyFill="0" applyBorder="0" applyProtection="0">
      <alignment vertical="top"/>
    </xf>
    <xf numFmtId="0" fontId="59" fillId="0" borderId="0" applyNumberFormat="0" applyFill="0" applyBorder="0" applyProtection="0">
      <alignment vertical="top"/>
    </xf>
    <xf numFmtId="0" fontId="59" fillId="0" borderId="0" applyNumberFormat="0" applyFill="0" applyBorder="0" applyProtection="0">
      <alignment vertical="top"/>
    </xf>
    <xf numFmtId="0" fontId="59" fillId="0" borderId="0" applyNumberFormat="0" applyFill="0" applyBorder="0" applyProtection="0">
      <alignment vertical="top"/>
    </xf>
    <xf numFmtId="0" fontId="59" fillId="0" borderId="0" applyNumberFormat="0" applyFill="0" applyBorder="0" applyProtection="0">
      <alignment vertical="top"/>
    </xf>
    <xf numFmtId="0" fontId="59" fillId="0" borderId="0" applyNumberFormat="0" applyFill="0" applyBorder="0" applyProtection="0">
      <alignment vertical="top"/>
    </xf>
    <xf numFmtId="0" fontId="7" fillId="0" borderId="0" applyNumberFormat="0" applyFill="0" applyBorder="0" applyAlignment="0" applyProtection="0"/>
    <xf numFmtId="0" fontId="59" fillId="0" borderId="0" applyNumberFormat="0" applyFill="0" applyBorder="0" applyProtection="0">
      <alignment vertical="top"/>
    </xf>
    <xf numFmtId="0" fontId="59" fillId="0" borderId="0" applyNumberFormat="0" applyFill="0" applyBorder="0" applyProtection="0">
      <alignment vertical="top"/>
    </xf>
    <xf numFmtId="0" fontId="7" fillId="0" borderId="0" applyNumberFormat="0" applyFill="0" applyBorder="0" applyAlignment="0" applyProtection="0"/>
    <xf numFmtId="0" fontId="7" fillId="0" borderId="0" applyNumberFormat="0" applyFill="0" applyBorder="0" applyAlignment="0" applyProtection="0"/>
    <xf numFmtId="0" fontId="59" fillId="0" borderId="0" applyNumberFormat="0" applyFill="0" applyBorder="0" applyProtection="0">
      <alignment vertical="top"/>
    </xf>
    <xf numFmtId="0" fontId="59" fillId="0" borderId="0" applyNumberFormat="0" applyFill="0" applyBorder="0" applyProtection="0">
      <alignment vertical="top"/>
    </xf>
    <xf numFmtId="0" fontId="59" fillId="0" borderId="0" applyNumberFormat="0" applyFill="0" applyBorder="0" applyProtection="0">
      <alignment vertical="top"/>
    </xf>
    <xf numFmtId="0" fontId="59" fillId="0" borderId="0" applyNumberFormat="0" applyFill="0" applyBorder="0" applyProtection="0">
      <alignment vertical="top"/>
    </xf>
    <xf numFmtId="0" fontId="59" fillId="0" borderId="0" applyNumberFormat="0" applyFill="0" applyBorder="0" applyProtection="0">
      <alignment vertical="top"/>
    </xf>
    <xf numFmtId="0" fontId="7" fillId="0" borderId="0" applyNumberFormat="0" applyFill="0" applyBorder="0" applyAlignment="0" applyProtection="0"/>
    <xf numFmtId="0" fontId="59" fillId="0" borderId="0" applyNumberFormat="0" applyFill="0" applyBorder="0" applyProtection="0">
      <alignment vertical="top"/>
    </xf>
    <xf numFmtId="0" fontId="59" fillId="0" borderId="0" applyNumberFormat="0" applyFill="0" applyBorder="0" applyProtection="0">
      <alignment vertical="top"/>
    </xf>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7" fillId="0" borderId="0" applyNumberFormat="0" applyFill="0" applyBorder="0" applyAlignment="0" applyProtection="0"/>
    <xf numFmtId="0" fontId="59" fillId="0" borderId="0" applyNumberFormat="0" applyFill="0" applyBorder="0" applyProtection="0">
      <alignment vertical="top"/>
    </xf>
    <xf numFmtId="0" fontId="59" fillId="0" borderId="0" applyNumberFormat="0" applyFill="0" applyBorder="0" applyProtection="0">
      <alignment vertical="top"/>
    </xf>
    <xf numFmtId="0" fontId="59" fillId="0" borderId="0" applyNumberFormat="0" applyFill="0" applyBorder="0" applyProtection="0">
      <alignment vertical="top"/>
    </xf>
    <xf numFmtId="0" fontId="59" fillId="0" borderId="0" applyNumberFormat="0" applyFill="0" applyBorder="0" applyProtection="0">
      <alignment vertical="top"/>
    </xf>
    <xf numFmtId="0" fontId="59" fillId="0" borderId="0" applyNumberFormat="0" applyFill="0" applyBorder="0" applyProtection="0">
      <alignment vertical="top"/>
    </xf>
    <xf numFmtId="0" fontId="59" fillId="0" borderId="0" applyNumberFormat="0" applyFill="0" applyBorder="0" applyProtection="0">
      <alignment vertical="top"/>
    </xf>
    <xf numFmtId="0" fontId="59" fillId="0" borderId="0" applyNumberFormat="0" applyFill="0" applyBorder="0" applyProtection="0">
      <alignment vertical="top"/>
    </xf>
    <xf numFmtId="0" fontId="59" fillId="0" borderId="0" applyNumberFormat="0" applyFill="0" applyBorder="0" applyProtection="0">
      <alignment vertical="top"/>
    </xf>
    <xf numFmtId="0" fontId="59" fillId="0" borderId="0" applyNumberFormat="0" applyFill="0" applyBorder="0" applyProtection="0">
      <alignment vertical="top"/>
    </xf>
    <xf numFmtId="0" fontId="59" fillId="0" borderId="0" applyNumberFormat="0" applyFill="0" applyBorder="0" applyProtection="0">
      <alignment vertical="top"/>
    </xf>
    <xf numFmtId="0" fontId="59" fillId="0" borderId="0" applyNumberFormat="0" applyFill="0" applyBorder="0" applyProtection="0">
      <alignment vertical="top"/>
    </xf>
    <xf numFmtId="0" fontId="59" fillId="0" borderId="0" applyNumberFormat="0" applyFill="0" applyBorder="0" applyProtection="0">
      <alignment vertical="top"/>
    </xf>
    <xf numFmtId="0" fontId="59" fillId="0" borderId="0" applyNumberFormat="0" applyFill="0" applyBorder="0" applyProtection="0">
      <alignment vertical="top"/>
    </xf>
    <xf numFmtId="0" fontId="59" fillId="0" borderId="0" applyNumberFormat="0" applyFill="0" applyBorder="0" applyProtection="0">
      <alignment vertical="top"/>
    </xf>
    <xf numFmtId="0" fontId="59" fillId="0" borderId="0" applyNumberFormat="0" applyFill="0" applyBorder="0" applyProtection="0">
      <alignment vertical="top"/>
    </xf>
    <xf numFmtId="0" fontId="59" fillId="0" borderId="0" applyNumberFormat="0" applyFill="0" applyBorder="0" applyAlignment="0" applyProtection="0">
      <alignment vertical="top"/>
    </xf>
    <xf numFmtId="0" fontId="59" fillId="0" borderId="0" applyNumberFormat="0" applyFill="0" applyBorder="0" applyAlignment="0" applyProtection="0">
      <alignment vertical="top"/>
    </xf>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59" fillId="0" borderId="0" applyNumberFormat="0" applyFill="0" applyBorder="0" applyProtection="0">
      <alignment vertical="top"/>
    </xf>
    <xf numFmtId="0" fontId="59" fillId="0" borderId="0" applyNumberFormat="0" applyFill="0" applyBorder="0" applyProtection="0">
      <alignment vertical="top"/>
    </xf>
    <xf numFmtId="0" fontId="59" fillId="0" borderId="0" applyNumberFormat="0" applyFill="0" applyBorder="0" applyProtection="0">
      <alignment vertical="top"/>
    </xf>
    <xf numFmtId="0" fontId="59" fillId="0" borderId="0" applyNumberFormat="0" applyFill="0" applyBorder="0" applyProtection="0">
      <alignment vertical="top"/>
    </xf>
    <xf numFmtId="0" fontId="59" fillId="0" borderId="0" applyNumberFormat="0" applyFill="0" applyBorder="0" applyProtection="0">
      <alignment vertical="top"/>
    </xf>
    <xf numFmtId="0" fontId="59" fillId="0" borderId="0" applyNumberFormat="0" applyFill="0" applyBorder="0" applyProtection="0">
      <alignment vertical="top"/>
    </xf>
    <xf numFmtId="0" fontId="59" fillId="0" borderId="0" applyNumberFormat="0" applyFill="0" applyBorder="0" applyProtection="0">
      <alignment vertical="top"/>
    </xf>
    <xf numFmtId="0" fontId="59" fillId="0" borderId="0" applyNumberFormat="0" applyFill="0" applyBorder="0" applyProtection="0">
      <alignment vertical="top"/>
    </xf>
    <xf numFmtId="0" fontId="59" fillId="0" borderId="0" applyNumberFormat="0" applyFill="0" applyBorder="0" applyProtection="0">
      <alignment vertical="top"/>
    </xf>
    <xf numFmtId="0" fontId="59" fillId="0" borderId="0" applyNumberFormat="0" applyFill="0" applyBorder="0" applyProtection="0">
      <alignment vertical="top"/>
    </xf>
    <xf numFmtId="0" fontId="59" fillId="0" borderId="0" applyNumberFormat="0" applyFill="0" applyBorder="0" applyProtection="0">
      <alignment vertical="top"/>
    </xf>
    <xf numFmtId="0" fontId="59" fillId="0" borderId="0" applyNumberFormat="0" applyFill="0" applyBorder="0" applyProtection="0">
      <alignment vertical="top"/>
    </xf>
    <xf numFmtId="0" fontId="59" fillId="0" borderId="0" applyNumberFormat="0" applyFill="0" applyBorder="0" applyProtection="0">
      <alignment vertical="top"/>
    </xf>
    <xf numFmtId="0" fontId="59" fillId="0" borderId="0" applyNumberFormat="0" applyFill="0" applyBorder="0" applyProtection="0">
      <alignment vertical="top"/>
    </xf>
    <xf numFmtId="0" fontId="59" fillId="0" borderId="0" applyNumberFormat="0" applyFill="0" applyBorder="0" applyProtection="0">
      <alignment vertical="top"/>
    </xf>
    <xf numFmtId="0" fontId="59" fillId="0" borderId="0" applyNumberFormat="0" applyFill="0" applyBorder="0" applyProtection="0">
      <alignment vertical="top"/>
    </xf>
    <xf numFmtId="0" fontId="59" fillId="0" borderId="0" applyNumberFormat="0" applyFill="0" applyBorder="0" applyProtection="0">
      <alignment vertical="top"/>
    </xf>
    <xf numFmtId="0" fontId="59" fillId="0" borderId="0" applyNumberFormat="0" applyFill="0" applyBorder="0" applyProtection="0">
      <alignment vertical="top"/>
    </xf>
    <xf numFmtId="0" fontId="59" fillId="0" borderId="0" applyNumberFormat="0" applyFill="0" applyBorder="0" applyProtection="0">
      <alignment vertical="top"/>
    </xf>
    <xf numFmtId="0" fontId="59" fillId="0" borderId="0" applyNumberFormat="0" applyFill="0" applyBorder="0" applyProtection="0">
      <alignment vertical="top"/>
    </xf>
    <xf numFmtId="0" fontId="59" fillId="0" borderId="0" applyNumberFormat="0" applyFill="0" applyBorder="0" applyProtection="0">
      <alignment vertical="top"/>
    </xf>
    <xf numFmtId="0" fontId="59" fillId="0" borderId="0" applyNumberFormat="0" applyFill="0" applyBorder="0" applyProtection="0">
      <alignment vertical="top"/>
    </xf>
    <xf numFmtId="0" fontId="59" fillId="0" borderId="0" applyNumberFormat="0" applyFill="0" applyBorder="0" applyProtection="0">
      <alignment vertical="top"/>
    </xf>
    <xf numFmtId="0" fontId="59" fillId="0" borderId="0" applyNumberFormat="0" applyFill="0" applyBorder="0" applyProtection="0">
      <alignment vertical="top"/>
    </xf>
    <xf numFmtId="0" fontId="59" fillId="0" borderId="0" applyNumberFormat="0" applyFill="0" applyBorder="0" applyProtection="0">
      <alignment vertical="top"/>
    </xf>
    <xf numFmtId="0" fontId="59" fillId="0" borderId="0" applyNumberFormat="0" applyFill="0" applyBorder="0" applyProtection="0">
      <alignment vertical="top"/>
    </xf>
    <xf numFmtId="0" fontId="59" fillId="0" borderId="0" applyNumberFormat="0" applyFill="0" applyBorder="0" applyProtection="0">
      <alignment vertical="top"/>
    </xf>
    <xf numFmtId="0" fontId="59" fillId="0" borderId="0" applyNumberFormat="0" applyFill="0" applyBorder="0" applyProtection="0">
      <alignment vertical="top"/>
    </xf>
    <xf numFmtId="0" fontId="59" fillId="0" borderId="0" applyNumberFormat="0" applyFill="0" applyBorder="0" applyProtection="0">
      <alignment vertical="top"/>
    </xf>
    <xf numFmtId="0" fontId="59" fillId="0" borderId="0" applyNumberFormat="0" applyFill="0" applyBorder="0" applyProtection="0">
      <alignment vertical="top"/>
    </xf>
    <xf numFmtId="0" fontId="59" fillId="0" borderId="0" applyNumberFormat="0" applyFill="0" applyBorder="0" applyProtection="0">
      <alignment vertical="top"/>
    </xf>
    <xf numFmtId="0" fontId="59" fillId="0" borderId="0" applyNumberFormat="0" applyFill="0" applyBorder="0" applyProtection="0">
      <alignment vertical="top"/>
    </xf>
    <xf numFmtId="0" fontId="59" fillId="0" borderId="0" applyNumberFormat="0" applyFill="0" applyBorder="0" applyProtection="0">
      <alignment vertical="top"/>
    </xf>
    <xf numFmtId="0" fontId="59" fillId="0" borderId="0" applyNumberFormat="0" applyFill="0" applyBorder="0" applyProtection="0">
      <alignment vertical="top"/>
    </xf>
    <xf numFmtId="0" fontId="59" fillId="0" borderId="0" applyNumberFormat="0" applyFill="0" applyBorder="0" applyProtection="0">
      <alignment vertical="top"/>
    </xf>
    <xf numFmtId="0" fontId="59" fillId="0" borderId="0" applyNumberFormat="0" applyFill="0" applyBorder="0" applyProtection="0">
      <alignment vertical="top"/>
    </xf>
    <xf numFmtId="0" fontId="59" fillId="0" borderId="0" applyNumberFormat="0" applyFill="0" applyBorder="0" applyProtection="0">
      <alignment vertical="top"/>
    </xf>
    <xf numFmtId="0" fontId="59" fillId="0" borderId="0" applyNumberFormat="0" applyFill="0" applyBorder="0" applyProtection="0">
      <alignment vertical="top"/>
    </xf>
    <xf numFmtId="0" fontId="59" fillId="0" borderId="0" applyNumberFormat="0" applyFill="0" applyBorder="0" applyProtection="0">
      <alignment vertical="top"/>
    </xf>
    <xf numFmtId="0" fontId="59" fillId="0" borderId="0" applyNumberFormat="0" applyFill="0" applyBorder="0" applyProtection="0">
      <alignment vertical="top"/>
    </xf>
    <xf numFmtId="0" fontId="59" fillId="0" borderId="0" applyNumberFormat="0" applyFill="0" applyBorder="0" applyProtection="0">
      <alignment vertical="top"/>
    </xf>
    <xf numFmtId="0" fontId="59" fillId="0" borderId="0" applyNumberFormat="0" applyFill="0" applyBorder="0" applyProtection="0">
      <alignment vertical="top"/>
    </xf>
    <xf numFmtId="0" fontId="59" fillId="0" borderId="0" applyNumberFormat="0" applyFill="0" applyBorder="0" applyProtection="0">
      <alignment vertical="top"/>
    </xf>
    <xf numFmtId="0" fontId="59" fillId="0" borderId="0" applyNumberFormat="0" applyFill="0" applyBorder="0" applyProtection="0">
      <alignment vertical="top"/>
    </xf>
    <xf numFmtId="0" fontId="7" fillId="0" borderId="0" applyNumberFormat="0" applyFill="0" applyBorder="0" applyAlignment="0" applyProtection="0"/>
    <xf numFmtId="0" fontId="7" fillId="0" borderId="0" applyNumberFormat="0" applyFill="0" applyBorder="0" applyAlignment="0" applyProtection="0"/>
    <xf numFmtId="0" fontId="60" fillId="0" borderId="21" applyNumberFormat="0" applyFill="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60" fillId="0" borderId="21" applyNumberFormat="0" applyFill="0" applyAlignment="0" applyProtection="0"/>
    <xf numFmtId="0" fontId="7" fillId="0" borderId="0" applyNumberFormat="0" applyFill="0" applyBorder="0" applyAlignment="0" applyProtection="0"/>
    <xf numFmtId="0" fontId="60" fillId="0" borderId="0" applyNumberFormat="0" applyFill="0" applyBorder="0" applyAlignment="0" applyProtection="0"/>
    <xf numFmtId="0" fontId="7" fillId="0" borderId="0" applyNumberFormat="0" applyFill="0" applyBorder="0" applyAlignment="0" applyProtection="0"/>
    <xf numFmtId="0" fontId="60" fillId="0" borderId="21" applyNumberFormat="0" applyFill="0" applyAlignment="0" applyProtection="0"/>
    <xf numFmtId="0" fontId="60" fillId="0" borderId="21" applyNumberFormat="0" applyFill="0" applyAlignment="0" applyProtection="0"/>
    <xf numFmtId="0" fontId="60" fillId="0" borderId="21" applyNumberFormat="0" applyFill="0" applyAlignment="0" applyProtection="0"/>
    <xf numFmtId="0" fontId="60" fillId="0" borderId="31" applyNumberFormat="0" applyFill="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60" fillId="0" borderId="21" applyNumberFormat="0" applyFill="0" applyAlignment="0" applyProtection="0"/>
    <xf numFmtId="0" fontId="60" fillId="0" borderId="21" applyNumberFormat="0" applyFill="0" applyAlignment="0" applyProtection="0"/>
    <xf numFmtId="253" fontId="60" fillId="0" borderId="21" applyNumberFormat="0" applyFill="0" applyAlignment="0" applyProtection="0"/>
    <xf numFmtId="0" fontId="7" fillId="0" borderId="0" applyNumberFormat="0" applyFill="0" applyBorder="0" applyAlignment="0" applyProtection="0"/>
    <xf numFmtId="0" fontId="60" fillId="0" borderId="31" applyNumberFormat="0" applyFill="0" applyAlignment="0" applyProtection="0"/>
    <xf numFmtId="0" fontId="7" fillId="0" borderId="23" applyNumberFormat="0" applyFill="0" applyProtection="0">
      <alignment horizontal="center"/>
    </xf>
    <xf numFmtId="0" fontId="61" fillId="0" borderId="23" applyNumberFormat="0" applyFill="0" applyProtection="0">
      <alignment horizontal="center"/>
    </xf>
    <xf numFmtId="0" fontId="7" fillId="0" borderId="23" applyNumberFormat="0" applyFill="0" applyProtection="0">
      <alignment horizontal="center"/>
    </xf>
    <xf numFmtId="0" fontId="7" fillId="0" borderId="23" applyNumberFormat="0" applyFill="0" applyProtection="0">
      <alignment horizontal="center"/>
    </xf>
    <xf numFmtId="0" fontId="61" fillId="0" borderId="23" applyNumberFormat="0" applyFill="0" applyProtection="0">
      <alignment horizontal="center"/>
    </xf>
    <xf numFmtId="0" fontId="7" fillId="0" borderId="23" applyNumberFormat="0" applyFill="0" applyProtection="0">
      <alignment horizontal="center"/>
    </xf>
    <xf numFmtId="0" fontId="7" fillId="0" borderId="23" applyNumberFormat="0" applyFill="0" applyProtection="0">
      <alignment horizontal="center"/>
    </xf>
    <xf numFmtId="0" fontId="61" fillId="0" borderId="23" applyNumberFormat="0" applyFill="0" applyProtection="0">
      <alignment horizontal="center"/>
    </xf>
    <xf numFmtId="0" fontId="61" fillId="0" borderId="23" applyNumberFormat="0" applyFill="0" applyProtection="0">
      <alignment horizontal="center"/>
    </xf>
    <xf numFmtId="0" fontId="61" fillId="0" borderId="23" applyNumberFormat="0" applyFill="0" applyProtection="0">
      <alignment horizontal="center"/>
    </xf>
    <xf numFmtId="0" fontId="7" fillId="0" borderId="23" applyNumberFormat="0" applyFill="0" applyProtection="0">
      <alignment horizontal="center"/>
    </xf>
    <xf numFmtId="0" fontId="7" fillId="0" borderId="23" applyNumberFormat="0" applyFill="0" applyProtection="0">
      <alignment horizontal="center"/>
    </xf>
    <xf numFmtId="0" fontId="7" fillId="0" borderId="23" applyNumberFormat="0" applyFill="0" applyProtection="0">
      <alignment horizontal="center"/>
    </xf>
    <xf numFmtId="0" fontId="7" fillId="0" borderId="23" applyNumberFormat="0" applyFill="0" applyProtection="0">
      <alignment horizontal="center"/>
    </xf>
    <xf numFmtId="0" fontId="7" fillId="0" borderId="23" applyNumberFormat="0" applyFill="0" applyProtection="0">
      <alignment horizontal="center"/>
    </xf>
    <xf numFmtId="0" fontId="61" fillId="0" borderId="23" applyNumberFormat="0" applyFill="0" applyProtection="0">
      <alignment horizontal="center"/>
    </xf>
    <xf numFmtId="0" fontId="7" fillId="0" borderId="23" applyNumberFormat="0" applyFill="0" applyProtection="0">
      <alignment horizontal="center"/>
    </xf>
    <xf numFmtId="0" fontId="61" fillId="0" borderId="23" applyNumberFormat="0" applyFill="0" applyProtection="0">
      <alignment horizontal="center"/>
    </xf>
    <xf numFmtId="0" fontId="61" fillId="0" borderId="23" applyNumberFormat="0" applyFill="0" applyProtection="0">
      <alignment horizontal="center"/>
    </xf>
    <xf numFmtId="0" fontId="7" fillId="0" borderId="23" applyNumberFormat="0" applyFill="0" applyProtection="0">
      <alignment horizontal="center"/>
    </xf>
    <xf numFmtId="0" fontId="61" fillId="0" borderId="23" applyNumberFormat="0" applyFill="0" applyProtection="0">
      <alignment horizontal="center"/>
    </xf>
    <xf numFmtId="0" fontId="7" fillId="0" borderId="32" applyNumberFormat="0" applyFont="0" applyFill="0" applyAlignment="0" applyProtection="0"/>
    <xf numFmtId="0" fontId="7" fillId="0" borderId="32" applyNumberFormat="0" applyFont="0" applyFill="0" applyAlignment="0" applyProtection="0"/>
    <xf numFmtId="0" fontId="7" fillId="0" borderId="32" applyNumberFormat="0" applyFont="0" applyFill="0" applyAlignment="0" applyProtection="0"/>
    <xf numFmtId="0" fontId="7" fillId="0" borderId="0" applyNumberFormat="0" applyFill="0" applyBorder="0" applyProtection="0">
      <alignment horizontal="left"/>
    </xf>
    <xf numFmtId="0" fontId="61" fillId="0" borderId="0" applyNumberFormat="0" applyFill="0" applyBorder="0" applyProtection="0">
      <alignment horizontal="left"/>
    </xf>
    <xf numFmtId="0" fontId="7" fillId="0" borderId="0" applyNumberFormat="0" applyFill="0" applyBorder="0" applyProtection="0">
      <alignment horizontal="left"/>
    </xf>
    <xf numFmtId="0" fontId="7" fillId="0" borderId="0" applyNumberFormat="0" applyFill="0" applyBorder="0" applyProtection="0">
      <alignment horizontal="left"/>
    </xf>
    <xf numFmtId="0" fontId="61" fillId="0" borderId="0" applyNumberFormat="0" applyFill="0" applyBorder="0" applyProtection="0">
      <alignment horizontal="left"/>
    </xf>
    <xf numFmtId="0" fontId="7" fillId="0" borderId="0" applyNumberFormat="0" applyFill="0" applyBorder="0" applyProtection="0">
      <alignment horizontal="left"/>
    </xf>
    <xf numFmtId="0" fontId="7" fillId="0" borderId="0" applyNumberFormat="0" applyFill="0" applyBorder="0" applyProtection="0">
      <alignment horizontal="left"/>
    </xf>
    <xf numFmtId="0" fontId="61" fillId="0" borderId="0" applyNumberFormat="0" applyFill="0" applyBorder="0" applyProtection="0">
      <alignment horizontal="left"/>
    </xf>
    <xf numFmtId="0" fontId="61" fillId="0" borderId="0" applyNumberFormat="0" applyFill="0" applyBorder="0" applyProtection="0">
      <alignment horizontal="left"/>
    </xf>
    <xf numFmtId="0" fontId="61" fillId="0" borderId="0" applyNumberFormat="0" applyFill="0" applyBorder="0" applyProtection="0">
      <alignment horizontal="left"/>
    </xf>
    <xf numFmtId="0" fontId="7" fillId="0" borderId="0" applyNumberFormat="0" applyFill="0" applyBorder="0" applyProtection="0">
      <alignment horizontal="left"/>
    </xf>
    <xf numFmtId="0" fontId="7" fillId="0" borderId="0" applyNumberFormat="0" applyFill="0" applyBorder="0" applyProtection="0">
      <alignment horizontal="left"/>
    </xf>
    <xf numFmtId="0" fontId="7" fillId="0" borderId="0" applyNumberFormat="0" applyFill="0" applyBorder="0" applyProtection="0">
      <alignment horizontal="left"/>
    </xf>
    <xf numFmtId="0" fontId="7" fillId="0" borderId="0" applyNumberFormat="0" applyFill="0" applyBorder="0" applyProtection="0">
      <alignment horizontal="left"/>
    </xf>
    <xf numFmtId="0" fontId="7" fillId="0" borderId="0" applyNumberFormat="0" applyFill="0" applyBorder="0" applyProtection="0">
      <alignment horizontal="left"/>
    </xf>
    <xf numFmtId="0" fontId="61" fillId="0" borderId="0" applyNumberFormat="0" applyFill="0" applyBorder="0" applyProtection="0">
      <alignment horizontal="left"/>
    </xf>
    <xf numFmtId="0" fontId="7" fillId="0" borderId="0" applyNumberFormat="0" applyFill="0" applyBorder="0" applyProtection="0">
      <alignment horizontal="left"/>
    </xf>
    <xf numFmtId="0" fontId="61" fillId="0" borderId="0" applyNumberFormat="0" applyFill="0" applyBorder="0" applyProtection="0">
      <alignment horizontal="left"/>
    </xf>
    <xf numFmtId="0" fontId="61" fillId="0" borderId="0" applyNumberFormat="0" applyFill="0" applyBorder="0" applyProtection="0">
      <alignment horizontal="left"/>
    </xf>
    <xf numFmtId="0" fontId="7" fillId="0" borderId="0" applyNumberFormat="0" applyFill="0" applyBorder="0" applyProtection="0">
      <alignment horizontal="left"/>
    </xf>
    <xf numFmtId="0" fontId="61" fillId="0" borderId="0" applyNumberFormat="0" applyFill="0" applyBorder="0" applyProtection="0">
      <alignment horizontal="left"/>
    </xf>
    <xf numFmtId="0" fontId="7" fillId="0" borderId="0" applyNumberFormat="0" applyFill="0" applyBorder="0" applyProtection="0">
      <alignment horizontal="centerContinuous"/>
    </xf>
    <xf numFmtId="0" fontId="62" fillId="0" borderId="0" applyNumberFormat="0" applyFill="0" applyBorder="0" applyProtection="0">
      <alignment horizontal="centerContinuous"/>
    </xf>
    <xf numFmtId="0" fontId="7" fillId="0" borderId="0" applyNumberFormat="0" applyFill="0" applyBorder="0" applyProtection="0">
      <alignment horizontal="centerContinuous"/>
    </xf>
    <xf numFmtId="0" fontId="7" fillId="0" borderId="0" applyNumberFormat="0" applyFill="0" applyBorder="0" applyProtection="0">
      <alignment horizontal="centerContinuous"/>
    </xf>
    <xf numFmtId="0" fontId="62" fillId="0" borderId="0" applyNumberFormat="0" applyFill="0" applyBorder="0" applyProtection="0">
      <alignment horizontal="centerContinuous"/>
    </xf>
    <xf numFmtId="0" fontId="7" fillId="0" borderId="0" applyNumberFormat="0" applyFill="0" applyBorder="0" applyProtection="0">
      <alignment horizontal="centerContinuous"/>
    </xf>
    <xf numFmtId="0" fontId="7" fillId="0" borderId="0" applyNumberFormat="0" applyFill="0" applyBorder="0" applyProtection="0">
      <alignment horizontal="centerContinuous"/>
    </xf>
    <xf numFmtId="0" fontId="62" fillId="0" borderId="0" applyNumberFormat="0" applyFill="0" applyBorder="0" applyProtection="0">
      <alignment horizontal="centerContinuous"/>
    </xf>
    <xf numFmtId="0" fontId="62" fillId="0" borderId="0" applyNumberFormat="0" applyFill="0" applyBorder="0" applyProtection="0">
      <alignment horizontal="centerContinuous"/>
    </xf>
    <xf numFmtId="0" fontId="62" fillId="0" borderId="0" applyNumberFormat="0" applyFill="0" applyBorder="0" applyProtection="0">
      <alignment horizontal="centerContinuous"/>
    </xf>
    <xf numFmtId="0" fontId="62" fillId="0" borderId="0" applyNumberFormat="0" applyFill="0" applyProtection="0">
      <alignment horizontal="centerContinuous"/>
    </xf>
    <xf numFmtId="0" fontId="7" fillId="0" borderId="0" applyNumberFormat="0" applyFill="0" applyBorder="0" applyProtection="0">
      <alignment horizontal="centerContinuous"/>
    </xf>
    <xf numFmtId="0" fontId="7" fillId="0" borderId="0" applyNumberFormat="0" applyFill="0" applyBorder="0" applyProtection="0">
      <alignment horizontal="centerContinuous"/>
    </xf>
    <xf numFmtId="0" fontId="7" fillId="0" borderId="0" applyNumberFormat="0" applyFill="0" applyBorder="0" applyProtection="0">
      <alignment horizontal="centerContinuous"/>
    </xf>
    <xf numFmtId="0" fontId="7" fillId="0" borderId="0" applyNumberFormat="0" applyFill="0" applyBorder="0" applyProtection="0">
      <alignment horizontal="centerContinuous"/>
    </xf>
    <xf numFmtId="0" fontId="7" fillId="0" borderId="0" applyNumberFormat="0" applyFill="0" applyBorder="0" applyProtection="0">
      <alignment horizontal="centerContinuous"/>
    </xf>
    <xf numFmtId="0" fontId="7" fillId="0" borderId="0" applyNumberFormat="0" applyFill="0" applyBorder="0" applyProtection="0">
      <alignment horizontal="centerContinuous"/>
    </xf>
    <xf numFmtId="0" fontId="62" fillId="0" borderId="0" applyNumberFormat="0" applyFill="0" applyBorder="0" applyProtection="0">
      <alignment horizontal="centerContinuous"/>
    </xf>
    <xf numFmtId="0" fontId="62" fillId="0" borderId="0" applyNumberFormat="0" applyFill="0" applyBorder="0" applyProtection="0">
      <alignment horizontal="centerContinuous"/>
    </xf>
    <xf numFmtId="253" fontId="62" fillId="0" borderId="0" applyNumberFormat="0" applyFill="0" applyBorder="0" applyProtection="0">
      <alignment horizontal="centerContinuous"/>
    </xf>
    <xf numFmtId="0" fontId="7" fillId="0" borderId="0" applyNumberFormat="0" applyFill="0" applyBorder="0" applyProtection="0">
      <alignment horizontal="centerContinuous"/>
    </xf>
    <xf numFmtId="0" fontId="62" fillId="0" borderId="0" applyNumberFormat="0" applyFill="0" applyProtection="0">
      <alignment horizontal="centerContinuous"/>
    </xf>
    <xf numFmtId="0" fontId="62" fillId="0" borderId="0" applyNumberFormat="0" applyFill="0" applyBorder="0" applyProtection="0">
      <alignment horizontal="centerContinuous"/>
    </xf>
    <xf numFmtId="0" fontId="60" fillId="0" borderId="0" applyNumberFormat="0" applyFill="0" applyBorder="0" applyAlignment="0" applyProtection="0"/>
    <xf numFmtId="254" fontId="109" fillId="0" borderId="0"/>
    <xf numFmtId="225" fontId="109" fillId="0" borderId="0"/>
    <xf numFmtId="1" fontId="10" fillId="0" borderId="0"/>
    <xf numFmtId="1" fontId="10" fillId="0" borderId="0"/>
    <xf numFmtId="1" fontId="10" fillId="0" borderId="0"/>
    <xf numFmtId="0" fontId="7" fillId="0" borderId="1" applyNumberFormat="0" applyFont="0" applyFill="0" applyBorder="0" applyAlignment="0">
      <alignment horizontal="left"/>
    </xf>
    <xf numFmtId="0" fontId="112" fillId="34" borderId="0" applyNumberFormat="0" applyBorder="0" applyAlignment="0" applyProtection="0"/>
    <xf numFmtId="0" fontId="112" fillId="35" borderId="0" applyNumberFormat="0" applyBorder="0" applyAlignment="0" applyProtection="0"/>
    <xf numFmtId="0" fontId="112" fillId="24" borderId="0" applyNumberFormat="0" applyBorder="0" applyAlignment="0" applyProtection="0"/>
    <xf numFmtId="0" fontId="112" fillId="34" borderId="0" applyNumberFormat="0" applyBorder="0" applyAlignment="0" applyProtection="0"/>
    <xf numFmtId="0" fontId="112" fillId="36" borderId="0" applyNumberFormat="0" applyBorder="0" applyAlignment="0" applyProtection="0"/>
    <xf numFmtId="0" fontId="112" fillId="35" borderId="0" applyNumberFormat="0" applyBorder="0" applyAlignment="0" applyProtection="0"/>
    <xf numFmtId="174" fontId="11" fillId="0" borderId="1" applyNumberFormat="0" applyFont="0" applyFill="0" applyBorder="0" applyAlignment="0"/>
    <xf numFmtId="0" fontId="112" fillId="34" borderId="0" applyNumberFormat="0" applyBorder="0" applyAlignment="0" applyProtection="0"/>
    <xf numFmtId="0" fontId="112" fillId="35" borderId="0" applyNumberFormat="0" applyBorder="0" applyAlignment="0" applyProtection="0"/>
    <xf numFmtId="0" fontId="112" fillId="24" borderId="0" applyNumberFormat="0" applyBorder="0" applyAlignment="0" applyProtection="0"/>
    <xf numFmtId="0" fontId="112" fillId="34" borderId="0" applyNumberFormat="0" applyBorder="0" applyAlignment="0" applyProtection="0"/>
    <xf numFmtId="0" fontId="112" fillId="37" borderId="0" applyNumberFormat="0" applyBorder="0" applyAlignment="0" applyProtection="0"/>
    <xf numFmtId="0" fontId="112" fillId="35" borderId="0" applyNumberFormat="0" applyBorder="0" applyAlignment="0" applyProtection="0"/>
    <xf numFmtId="0" fontId="113" fillId="38" borderId="0" applyNumberFormat="0" applyBorder="0" applyAlignment="0" applyProtection="0"/>
    <xf numFmtId="0" fontId="113" fillId="35" borderId="0" applyNumberFormat="0" applyBorder="0" applyAlignment="0" applyProtection="0"/>
    <xf numFmtId="0" fontId="113" fillId="24" borderId="0" applyNumberFormat="0" applyBorder="0" applyAlignment="0" applyProtection="0"/>
    <xf numFmtId="0" fontId="113" fillId="39" borderId="0" applyNumberFormat="0" applyBorder="0" applyAlignment="0" applyProtection="0"/>
    <xf numFmtId="0" fontId="113" fillId="38" borderId="0" applyNumberFormat="0" applyBorder="0" applyAlignment="0" applyProtection="0"/>
    <xf numFmtId="0" fontId="113" fillId="35" borderId="0" applyNumberFormat="0" applyBorder="0" applyAlignment="0" applyProtection="0"/>
    <xf numFmtId="0" fontId="109" fillId="0" borderId="0"/>
    <xf numFmtId="254" fontId="109" fillId="0" borderId="0"/>
    <xf numFmtId="0" fontId="113" fillId="38" borderId="0" applyNumberFormat="0" applyBorder="0" applyAlignment="0" applyProtection="0"/>
    <xf numFmtId="0" fontId="113" fillId="31" borderId="0" applyNumberFormat="0" applyBorder="0" applyAlignment="0" applyProtection="0"/>
    <xf numFmtId="0" fontId="113" fillId="40" borderId="0" applyNumberFormat="0" applyBorder="0" applyAlignment="0" applyProtection="0"/>
    <xf numFmtId="0" fontId="113" fillId="41" borderId="0" applyNumberFormat="0" applyBorder="0" applyAlignment="0" applyProtection="0"/>
    <xf numFmtId="0" fontId="113" fillId="38" borderId="0" applyNumberFormat="0" applyBorder="0" applyAlignment="0" applyProtection="0"/>
    <xf numFmtId="0" fontId="113" fillId="42" borderId="0" applyNumberFormat="0" applyBorder="0" applyAlignment="0" applyProtection="0"/>
    <xf numFmtId="255" fontId="45" fillId="0" borderId="0" applyFont="0" applyFill="0" applyBorder="0" applyAlignment="0">
      <alignment vertical="center"/>
    </xf>
    <xf numFmtId="255" fontId="45" fillId="0" borderId="0" applyFont="0" applyFill="0" applyBorder="0" applyAlignment="0">
      <alignment vertical="center"/>
    </xf>
    <xf numFmtId="255" fontId="45" fillId="0" borderId="0" applyFont="0" applyFill="0" applyBorder="0" applyAlignment="0">
      <alignment vertical="center"/>
    </xf>
    <xf numFmtId="256" fontId="7" fillId="25" borderId="33" applyFont="0">
      <alignment horizontal="right"/>
    </xf>
    <xf numFmtId="256" fontId="7" fillId="25" borderId="33" applyFont="0">
      <alignment horizontal="right"/>
    </xf>
    <xf numFmtId="0" fontId="109" fillId="0" borderId="0" applyNumberFormat="0" applyAlignment="0"/>
    <xf numFmtId="0" fontId="109" fillId="0" borderId="0" applyNumberFormat="0" applyAlignment="0"/>
    <xf numFmtId="0" fontId="109" fillId="0" borderId="0" applyNumberFormat="0" applyAlignment="0"/>
    <xf numFmtId="0" fontId="109" fillId="0" borderId="0" applyNumberFormat="0" applyAlignment="0"/>
    <xf numFmtId="189" fontId="45" fillId="0" borderId="0"/>
    <xf numFmtId="0" fontId="114" fillId="0" borderId="0"/>
    <xf numFmtId="164" fontId="12" fillId="0" borderId="6">
      <alignment horizontal="right"/>
    </xf>
    <xf numFmtId="0" fontId="44" fillId="0" borderId="34" applyNumberFormat="0" applyFill="0" applyBorder="0" applyAlignment="0" applyProtection="0"/>
    <xf numFmtId="0" fontId="32" fillId="0" borderId="34" applyNumberFormat="0" applyFill="0" applyBorder="0" applyAlignment="0" applyProtection="0"/>
    <xf numFmtId="0" fontId="32" fillId="0" borderId="34" applyNumberFormat="0" applyFill="0" applyBorder="0" applyAlignment="0" applyProtection="0"/>
    <xf numFmtId="0" fontId="33" fillId="0" borderId="34" applyNumberFormat="0" applyFill="0" applyBorder="0" applyAlignment="0" applyProtection="0"/>
    <xf numFmtId="0" fontId="33" fillId="0" borderId="34" applyNumberFormat="0" applyFill="0" applyBorder="0" applyAlignment="0" applyProtection="0"/>
    <xf numFmtId="0" fontId="28" fillId="0" borderId="34" applyNumberFormat="0" applyFill="0" applyAlignment="0" applyProtection="0"/>
    <xf numFmtId="0" fontId="28" fillId="0" borderId="34" applyNumberFormat="0" applyFill="0" applyAlignment="0" applyProtection="0"/>
    <xf numFmtId="0" fontId="28" fillId="0" borderId="34" applyNumberFormat="0" applyFill="0" applyAlignment="0" applyProtection="0"/>
    <xf numFmtId="0" fontId="115" fillId="43" borderId="0" applyNumberFormat="0" applyBorder="0" applyAlignment="0" applyProtection="0"/>
    <xf numFmtId="219" fontId="109" fillId="0" borderId="0" applyFill="0" applyBorder="0" applyAlignment="0" applyProtection="0">
      <protection locked="0"/>
    </xf>
    <xf numFmtId="0" fontId="70" fillId="26" borderId="35" applyNumberFormat="0" applyAlignment="0" applyProtection="0"/>
    <xf numFmtId="257" fontId="31" fillId="26" borderId="0" applyNumberFormat="0" applyBorder="0">
      <alignment horizontal="center" vertical="center"/>
    </xf>
    <xf numFmtId="0" fontId="70" fillId="26" borderId="36">
      <alignment horizontal="center" vertical="center"/>
    </xf>
    <xf numFmtId="0" fontId="109" fillId="0" borderId="0" applyNumberFormat="0" applyFill="0" applyBorder="0" applyAlignment="0" applyProtection="0"/>
    <xf numFmtId="258" fontId="116" fillId="0" borderId="0"/>
    <xf numFmtId="259" fontId="45" fillId="0" borderId="35" applyNumberFormat="0" applyFont="0" applyFill="0" applyAlignment="0">
      <alignment vertical="center"/>
    </xf>
    <xf numFmtId="259" fontId="45" fillId="0" borderId="35" applyNumberFormat="0" applyFont="0" applyFill="0" applyAlignment="0">
      <alignment vertical="center"/>
    </xf>
    <xf numFmtId="259" fontId="45" fillId="0" borderId="35" applyNumberFormat="0" applyFont="0" applyFill="0" applyAlignment="0">
      <alignment vertical="center"/>
    </xf>
    <xf numFmtId="0" fontId="109" fillId="0" borderId="6" applyNumberFormat="0" applyFont="0" applyFill="0" applyAlignment="0" applyProtection="0"/>
    <xf numFmtId="0" fontId="109" fillId="0" borderId="6" applyNumberFormat="0" applyFont="0" applyFill="0" applyAlignment="0" applyProtection="0"/>
    <xf numFmtId="0" fontId="109" fillId="0" borderId="6" applyNumberFormat="0" applyFont="0" applyFill="0" applyAlignment="0" applyProtection="0"/>
    <xf numFmtId="0" fontId="109" fillId="0" borderId="37" applyNumberFormat="0" applyFont="0" applyFill="0" applyAlignment="0" applyProtection="0"/>
    <xf numFmtId="0" fontId="109" fillId="0" borderId="37" applyNumberFormat="0" applyFont="0" applyFill="0" applyAlignment="0" applyProtection="0"/>
    <xf numFmtId="0" fontId="109" fillId="0" borderId="37" applyNumberFormat="0" applyFont="0" applyFill="0" applyAlignment="0" applyProtection="0"/>
    <xf numFmtId="0" fontId="109" fillId="0" borderId="0"/>
    <xf numFmtId="0" fontId="109" fillId="0" borderId="0"/>
    <xf numFmtId="168" fontId="7" fillId="0" borderId="0" applyFont="0" applyFill="0" applyBorder="0" applyAlignment="0" applyProtection="0"/>
    <xf numFmtId="168" fontId="7" fillId="0" borderId="0" applyFont="0" applyFill="0" applyBorder="0" applyAlignment="0" applyProtection="0"/>
    <xf numFmtId="168" fontId="7" fillId="0" borderId="0" applyFont="0" applyFill="0" applyBorder="0" applyAlignment="0" applyProtection="0"/>
    <xf numFmtId="0" fontId="117"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7" fillId="0" borderId="0" applyFill="0" applyBorder="0" applyAlignment="0"/>
    <xf numFmtId="0" fontId="7" fillId="0" borderId="0" applyFill="0" applyBorder="0" applyAlignment="0"/>
    <xf numFmtId="0" fontId="118" fillId="44" borderId="38" applyNumberFormat="0" applyAlignment="0" applyProtection="0"/>
    <xf numFmtId="219" fontId="109" fillId="0" borderId="0" applyFont="0" applyFill="0" applyBorder="0" applyAlignment="0" applyProtection="0">
      <protection locked="0"/>
    </xf>
    <xf numFmtId="0" fontId="7" fillId="0" borderId="0" applyNumberFormat="0" applyFont="0" applyFill="0" applyBorder="0" applyProtection="0">
      <alignment horizontal="centerContinuous"/>
    </xf>
    <xf numFmtId="0" fontId="7" fillId="0" borderId="0" applyNumberFormat="0" applyFont="0" applyFill="0" applyBorder="0" applyProtection="0">
      <alignment horizontal="centerContinuous"/>
    </xf>
    <xf numFmtId="0" fontId="7" fillId="0" borderId="0" applyNumberFormat="0" applyFont="0" applyFill="0" applyBorder="0" applyProtection="0">
      <alignment horizontal="centerContinuous"/>
    </xf>
    <xf numFmtId="1" fontId="119" fillId="0" borderId="0"/>
    <xf numFmtId="172" fontId="120" fillId="0" borderId="0"/>
    <xf numFmtId="0" fontId="121" fillId="45" borderId="39" applyNumberFormat="0" applyAlignment="0" applyProtection="0"/>
    <xf numFmtId="260" fontId="7" fillId="0" borderId="0"/>
    <xf numFmtId="260" fontId="7" fillId="0" borderId="0"/>
    <xf numFmtId="260" fontId="7" fillId="0" borderId="0"/>
    <xf numFmtId="261" fontId="109" fillId="0" borderId="0"/>
    <xf numFmtId="38" fontId="122" fillId="0" borderId="0">
      <alignment horizontal="center"/>
      <protection locked="0"/>
    </xf>
    <xf numFmtId="0" fontId="116" fillId="0" borderId="0" applyFont="0" applyFill="0" applyBorder="0" applyAlignment="0" applyProtection="0">
      <alignment horizontal="right"/>
    </xf>
    <xf numFmtId="262" fontId="116" fillId="0" borderId="0" applyFont="0" applyFill="0" applyBorder="0" applyAlignment="0" applyProtection="0"/>
    <xf numFmtId="0" fontId="109" fillId="0" borderId="0" applyFill="0" applyBorder="0" applyProtection="0"/>
    <xf numFmtId="206" fontId="10" fillId="0" borderId="0" applyFont="0" applyFill="0" applyBorder="0" applyAlignment="0" applyProtection="0"/>
    <xf numFmtId="169" fontId="7" fillId="0" borderId="0" applyFont="0" applyFill="0" applyBorder="0" applyAlignment="0" applyProtection="0"/>
    <xf numFmtId="169" fontId="7" fillId="0" borderId="0" applyFont="0" applyFill="0" applyBorder="0" applyAlignment="0" applyProtection="0"/>
    <xf numFmtId="169" fontId="7" fillId="0" borderId="0" applyFont="0" applyFill="0" applyBorder="0" applyAlignment="0" applyProtection="0"/>
    <xf numFmtId="169" fontId="7" fillId="0" borderId="0" applyFont="0" applyFill="0" applyBorder="0" applyAlignment="0" applyProtection="0"/>
    <xf numFmtId="169" fontId="7" fillId="0" borderId="0" applyFont="0" applyFill="0" applyBorder="0" applyAlignment="0" applyProtection="0"/>
    <xf numFmtId="169" fontId="7" fillId="0" borderId="0" applyFont="0" applyFill="0" applyBorder="0" applyAlignment="0" applyProtection="0"/>
    <xf numFmtId="169" fontId="7" fillId="0" borderId="0" applyFont="0" applyFill="0" applyBorder="0" applyAlignment="0" applyProtection="0"/>
    <xf numFmtId="169" fontId="7" fillId="0" borderId="0" applyFont="0" applyFill="0" applyBorder="0" applyAlignment="0" applyProtection="0"/>
    <xf numFmtId="169" fontId="7" fillId="0" borderId="0" applyFont="0" applyFill="0" applyBorder="0" applyAlignment="0" applyProtection="0"/>
    <xf numFmtId="169" fontId="7" fillId="0" borderId="0" applyFont="0" applyFill="0" applyBorder="0" applyAlignment="0" applyProtection="0"/>
    <xf numFmtId="0" fontId="109" fillId="0" borderId="0" applyFont="0" applyFill="0" applyBorder="0" applyAlignment="0" applyProtection="0"/>
    <xf numFmtId="169" fontId="7" fillId="0" borderId="0" applyFont="0" applyFill="0" applyBorder="0" applyAlignment="0" applyProtection="0"/>
    <xf numFmtId="169" fontId="7" fillId="0" borderId="0" applyFont="0" applyFill="0" applyBorder="0" applyAlignment="0" applyProtection="0"/>
    <xf numFmtId="169" fontId="7" fillId="0" borderId="0" applyFont="0" applyFill="0" applyBorder="0" applyAlignment="0" applyProtection="0"/>
    <xf numFmtId="169" fontId="7" fillId="0" borderId="0" applyFont="0" applyFill="0" applyBorder="0" applyAlignment="0" applyProtection="0"/>
    <xf numFmtId="169" fontId="7" fillId="0" borderId="0" applyFont="0" applyFill="0" applyBorder="0" applyAlignment="0" applyProtection="0"/>
    <xf numFmtId="169" fontId="7" fillId="0" borderId="0" applyFont="0" applyFill="0" applyBorder="0" applyAlignment="0" applyProtection="0"/>
    <xf numFmtId="169" fontId="7" fillId="0" borderId="0" applyFont="0" applyFill="0" applyBorder="0" applyAlignment="0" applyProtection="0"/>
    <xf numFmtId="0" fontId="109" fillId="0" borderId="0" applyFont="0" applyFill="0" applyBorder="0">
      <alignment horizontal="right"/>
    </xf>
    <xf numFmtId="0" fontId="109" fillId="0" borderId="0" applyFont="0" applyFill="0" applyBorder="0" applyAlignment="0"/>
    <xf numFmtId="0" fontId="109" fillId="0" borderId="0" applyFont="0" applyFill="0" applyBorder="0" applyAlignment="0"/>
    <xf numFmtId="0" fontId="109" fillId="46" borderId="40" applyFont="0" applyFill="0" applyBorder="0" applyAlignment="0"/>
    <xf numFmtId="37" fontId="66" fillId="0" borderId="0" applyFont="0" applyFill="0" applyBorder="0" applyAlignment="0" applyProtection="0"/>
    <xf numFmtId="3" fontId="7" fillId="0" borderId="0" applyFont="0" applyFill="0" applyBorder="0" applyAlignment="0" applyProtection="0"/>
    <xf numFmtId="0" fontId="13" fillId="3" borderId="0">
      <alignment horizontal="center" vertical="center" wrapText="1"/>
    </xf>
    <xf numFmtId="0" fontId="7" fillId="0" borderId="0" applyNumberFormat="0" applyAlignment="0">
      <alignment horizontal="left"/>
    </xf>
    <xf numFmtId="0" fontId="7" fillId="0" borderId="0" applyNumberFormat="0" applyAlignment="0">
      <alignment horizontal="left"/>
    </xf>
    <xf numFmtId="0" fontId="109" fillId="0" borderId="0">
      <alignment horizontal="left"/>
    </xf>
    <xf numFmtId="0" fontId="109" fillId="0" borderId="0"/>
    <xf numFmtId="0" fontId="109" fillId="0" borderId="0">
      <alignment horizontal="left"/>
    </xf>
    <xf numFmtId="0" fontId="45" fillId="0" borderId="0"/>
    <xf numFmtId="263" fontId="116" fillId="0" borderId="0" applyFont="0" applyFill="0" applyBorder="0" applyAlignment="0" applyProtection="0">
      <alignment horizontal="right"/>
    </xf>
    <xf numFmtId="0" fontId="109" fillId="0" borderId="0" applyFont="0" applyFill="0" applyBorder="0" applyAlignment="0" applyProtection="0"/>
    <xf numFmtId="264" fontId="116" fillId="0" borderId="0" applyFont="0" applyFill="0" applyBorder="0" applyAlignment="0" applyProtection="0">
      <alignment horizontal="right"/>
    </xf>
    <xf numFmtId="0" fontId="109" fillId="0" borderId="0" applyFont="0" applyFill="0" applyBorder="0" applyAlignment="0" applyProtection="0"/>
    <xf numFmtId="232" fontId="45" fillId="0" borderId="0" applyFont="0" applyFill="0" applyBorder="0" applyAlignment="0" applyProtection="0"/>
    <xf numFmtId="0" fontId="109" fillId="0" borderId="0" applyFont="0" applyFill="0" applyBorder="0"/>
    <xf numFmtId="0" fontId="109" fillId="0" borderId="0" applyFont="0" applyFill="0" applyBorder="0" applyAlignment="0"/>
    <xf numFmtId="0" fontId="109" fillId="0" borderId="7" applyFont="0" applyFill="0" applyBorder="0" applyAlignment="0"/>
    <xf numFmtId="265" fontId="7" fillId="0" borderId="0" applyFont="0" applyFill="0" applyBorder="0" applyAlignment="0" applyProtection="0"/>
    <xf numFmtId="0" fontId="109" fillId="0" borderId="0" applyFill="0" applyBorder="0" applyProtection="0">
      <alignment vertical="center"/>
    </xf>
    <xf numFmtId="0" fontId="45" fillId="0" borderId="0" applyFont="0" applyFill="0" applyBorder="0" applyAlignment="0" applyProtection="0"/>
    <xf numFmtId="0" fontId="7" fillId="15" borderId="0" applyFont="0" applyBorder="0"/>
    <xf numFmtId="0" fontId="7" fillId="15" borderId="0" applyFont="0" applyBorder="0"/>
    <xf numFmtId="266" fontId="108" fillId="15" borderId="28">
      <alignment horizontal="right"/>
    </xf>
    <xf numFmtId="251" fontId="108" fillId="15" borderId="28">
      <alignment horizontal="right"/>
    </xf>
    <xf numFmtId="38" fontId="109" fillId="13" borderId="41">
      <protection locked="0"/>
    </xf>
    <xf numFmtId="17" fontId="32" fillId="0" borderId="0" applyFill="0" applyBorder="0">
      <alignment horizontal="right"/>
    </xf>
    <xf numFmtId="0" fontId="7" fillId="0" borderId="0" applyFont="0" applyFill="0" applyBorder="0" applyAlignment="0" applyProtection="0"/>
    <xf numFmtId="267" fontId="116" fillId="0" borderId="0" applyFont="0" applyFill="0" applyBorder="0" applyAlignment="0" applyProtection="0"/>
    <xf numFmtId="14" fontId="109" fillId="0" borderId="0"/>
    <xf numFmtId="14" fontId="123" fillId="0" borderId="0" applyFont="0" applyFill="0" applyBorder="0" applyAlignment="0" applyProtection="0">
      <alignment horizontal="center"/>
    </xf>
    <xf numFmtId="268" fontId="123" fillId="0" borderId="0" applyFont="0" applyFill="0" applyBorder="0" applyAlignment="0" applyProtection="0">
      <alignment horizontal="center"/>
    </xf>
    <xf numFmtId="0" fontId="109" fillId="46" borderId="0" applyFont="0" applyFill="0">
      <alignment horizontal="right"/>
    </xf>
    <xf numFmtId="1" fontId="89" fillId="0" borderId="0" applyFont="0" applyFill="0" applyBorder="0" applyAlignment="0" applyProtection="0">
      <alignment horizontal="right"/>
    </xf>
    <xf numFmtId="2" fontId="41" fillId="17" borderId="0">
      <alignment horizontal="left"/>
      <protection hidden="1"/>
    </xf>
    <xf numFmtId="269" fontId="66" fillId="0" borderId="0" applyFont="0" applyFill="0" applyBorder="0" applyAlignment="0" applyProtection="0"/>
    <xf numFmtId="270" fontId="66" fillId="0" borderId="0" applyFont="0" applyFill="0" applyBorder="0" applyAlignment="0" applyProtection="0"/>
    <xf numFmtId="193" fontId="7" fillId="0" borderId="0" applyFont="0" applyFill="0" applyBorder="0" applyAlignment="0" applyProtection="0">
      <alignment horizontal="right"/>
    </xf>
    <xf numFmtId="193" fontId="7" fillId="0" borderId="0" applyFont="0" applyFill="0" applyBorder="0" applyAlignment="0" applyProtection="0">
      <alignment horizontal="right"/>
    </xf>
    <xf numFmtId="214" fontId="11" fillId="0" borderId="0" applyFont="0" applyFill="0" applyBorder="0" applyAlignment="0" applyProtection="0">
      <alignment horizontal="right"/>
    </xf>
    <xf numFmtId="165" fontId="109" fillId="0" borderId="0" applyFont="0" applyFill="0" applyBorder="0" applyAlignment="0" applyProtection="0">
      <alignment horizontal="right"/>
    </xf>
    <xf numFmtId="165" fontId="109" fillId="0" borderId="0" applyFont="0" applyFill="0" applyBorder="0" applyAlignment="0" applyProtection="0"/>
    <xf numFmtId="0" fontId="116" fillId="0" borderId="42" applyNumberFormat="0" applyFont="0" applyFill="0" applyAlignment="0" applyProtection="0"/>
    <xf numFmtId="1" fontId="109" fillId="0" borderId="0"/>
    <xf numFmtId="0" fontId="109" fillId="0" borderId="7" applyFont="0" applyFill="0" applyBorder="0">
      <alignment horizontal="center"/>
    </xf>
    <xf numFmtId="0" fontId="7" fillId="0" borderId="0" applyNumberFormat="0" applyAlignment="0">
      <alignment horizontal="left"/>
    </xf>
    <xf numFmtId="0" fontId="7" fillId="0" borderId="0" applyNumberFormat="0" applyAlignment="0">
      <alignment horizontal="left"/>
    </xf>
    <xf numFmtId="9" fontId="109" fillId="0" borderId="3" applyNumberFormat="0" applyBorder="0" applyAlignment="0">
      <protection locked="0"/>
    </xf>
    <xf numFmtId="0" fontId="109" fillId="47" borderId="41" applyNumberFormat="0" applyFont="0" applyAlignment="0">
      <protection locked="0"/>
    </xf>
    <xf numFmtId="0" fontId="109" fillId="47" borderId="41" applyNumberFormat="0" applyFont="0" applyAlignment="0">
      <protection locked="0"/>
    </xf>
    <xf numFmtId="0" fontId="109" fillId="47" borderId="41" applyNumberFormat="0" applyFont="0" applyAlignment="0">
      <protection locked="0"/>
    </xf>
    <xf numFmtId="167" fontId="109" fillId="0" borderId="0" applyFont="0" applyFill="0" applyBorder="0" applyAlignment="0" applyProtection="0">
      <alignment horizontal="right"/>
    </xf>
    <xf numFmtId="166" fontId="108" fillId="48" borderId="0" applyBorder="0"/>
    <xf numFmtId="271" fontId="108" fillId="0" borderId="0"/>
    <xf numFmtId="272" fontId="108" fillId="0" borderId="0"/>
    <xf numFmtId="39" fontId="108" fillId="48" borderId="0"/>
    <xf numFmtId="273" fontId="108" fillId="0" borderId="0"/>
    <xf numFmtId="274" fontId="89" fillId="0" borderId="0" applyFont="0" applyFill="0" applyBorder="0" applyProtection="0">
      <alignment horizontal="left"/>
      <protection locked="0"/>
    </xf>
    <xf numFmtId="274" fontId="89" fillId="0" borderId="0" applyFont="0" applyFill="0" applyBorder="0" applyProtection="0">
      <alignment horizontal="left"/>
      <protection locked="0"/>
    </xf>
    <xf numFmtId="274" fontId="89" fillId="0" borderId="0" applyFont="0" applyFill="0" applyBorder="0" applyProtection="0">
      <alignment horizontal="left"/>
      <protection locked="0"/>
    </xf>
    <xf numFmtId="275" fontId="108" fillId="0" borderId="0"/>
    <xf numFmtId="276" fontId="89" fillId="0" borderId="0" applyFont="0" applyFill="0" applyBorder="0" applyProtection="0">
      <alignment horizontal="left"/>
      <protection locked="0"/>
    </xf>
    <xf numFmtId="276" fontId="89" fillId="0" borderId="0" applyFont="0" applyFill="0" applyBorder="0" applyProtection="0">
      <alignment horizontal="left"/>
      <protection locked="0"/>
    </xf>
    <xf numFmtId="276" fontId="89" fillId="0" borderId="0" applyFont="0" applyFill="0" applyBorder="0" applyProtection="0">
      <alignment horizontal="left"/>
      <protection locked="0"/>
    </xf>
    <xf numFmtId="277" fontId="7" fillId="0" borderId="0" applyFont="0" applyFill="0" applyBorder="0" applyAlignment="0" applyProtection="0"/>
    <xf numFmtId="277" fontId="7" fillId="0" borderId="0" applyFont="0" applyFill="0" applyBorder="0" applyAlignment="0" applyProtection="0"/>
    <xf numFmtId="0" fontId="7" fillId="0" borderId="0"/>
    <xf numFmtId="189" fontId="89" fillId="0" borderId="0" applyFont="0" applyFill="0" applyBorder="0" applyAlignment="0" applyProtection="0"/>
    <xf numFmtId="278" fontId="45" fillId="0" borderId="0" applyFont="0" applyFill="0" applyBorder="0" applyAlignment="0">
      <alignment vertical="center"/>
    </xf>
    <xf numFmtId="278" fontId="45" fillId="0" borderId="0" applyFont="0" applyFill="0" applyBorder="0" applyAlignment="0">
      <alignment vertical="center"/>
    </xf>
    <xf numFmtId="278" fontId="45" fillId="0" borderId="0" applyFont="0" applyFill="0" applyBorder="0" applyAlignment="0">
      <alignment vertical="center"/>
    </xf>
    <xf numFmtId="0" fontId="124" fillId="0" borderId="0" applyNumberFormat="0" applyFill="0" applyBorder="0" applyAlignment="0" applyProtection="0"/>
    <xf numFmtId="279" fontId="7" fillId="29" borderId="40" applyNumberFormat="0" applyFont="0" applyBorder="0" applyAlignment="0" applyProtection="0">
      <alignment horizontal="right"/>
    </xf>
    <xf numFmtId="279" fontId="7" fillId="29" borderId="40" applyNumberFormat="0" applyFont="0" applyBorder="0" applyAlignment="0" applyProtection="0">
      <alignment horizontal="right"/>
    </xf>
    <xf numFmtId="280" fontId="7" fillId="0" borderId="0" applyFill="0" applyBorder="0" applyAlignment="0" applyProtection="0"/>
    <xf numFmtId="280" fontId="7" fillId="0" borderId="0" applyFill="0" applyBorder="0" applyAlignment="0" applyProtection="0"/>
    <xf numFmtId="280" fontId="7" fillId="0" borderId="0" applyFill="0" applyBorder="0" applyAlignment="0" applyProtection="0"/>
    <xf numFmtId="0" fontId="109" fillId="0" borderId="0">
      <alignment horizontal="right"/>
    </xf>
    <xf numFmtId="2" fontId="7" fillId="0" borderId="0" applyFill="0" applyBorder="0" applyAlignment="0" applyProtection="0"/>
    <xf numFmtId="2" fontId="7" fillId="0" borderId="0" applyFill="0" applyBorder="0" applyAlignment="0" applyProtection="0"/>
    <xf numFmtId="2" fontId="7" fillId="0" borderId="0" applyFill="0" applyBorder="0" applyAlignment="0" applyProtection="0"/>
    <xf numFmtId="281" fontId="89" fillId="0" borderId="0" applyFont="0" applyFill="0" applyBorder="0" applyAlignment="0" applyProtection="0">
      <alignment horizontal="right"/>
    </xf>
    <xf numFmtId="282" fontId="45" fillId="0" borderId="0" applyFont="0" applyFill="0" applyBorder="0" applyAlignment="0" applyProtection="0"/>
    <xf numFmtId="2" fontId="7" fillId="0" borderId="0" applyFont="0" applyFill="0" applyBorder="0" applyAlignment="0" applyProtection="0"/>
    <xf numFmtId="0" fontId="109" fillId="0" borderId="0">
      <alignment horizontal="left"/>
    </xf>
    <xf numFmtId="0" fontId="109" fillId="0" borderId="0">
      <alignment horizontal="left"/>
    </xf>
    <xf numFmtId="0" fontId="125" fillId="0" borderId="0" applyFill="0" applyBorder="0" applyProtection="0">
      <alignment horizontal="left"/>
    </xf>
    <xf numFmtId="0" fontId="109" fillId="0" borderId="0" applyNumberFormat="0" applyFill="0" applyBorder="0" applyProtection="0">
      <alignment horizontal="left"/>
    </xf>
    <xf numFmtId="0" fontId="109" fillId="0" borderId="0" applyFill="0" applyBorder="0" applyProtection="0">
      <alignment vertical="center"/>
    </xf>
    <xf numFmtId="283" fontId="45" fillId="0" borderId="0"/>
    <xf numFmtId="284" fontId="32" fillId="0" borderId="0" applyBorder="0" applyProtection="0"/>
    <xf numFmtId="284" fontId="32" fillId="0" borderId="0" applyBorder="0" applyProtection="0"/>
    <xf numFmtId="194" fontId="108" fillId="0" borderId="43"/>
    <xf numFmtId="0" fontId="108" fillId="15" borderId="28">
      <alignment horizontal="right"/>
    </xf>
    <xf numFmtId="285" fontId="108" fillId="15" borderId="28">
      <alignment horizontal="right"/>
    </xf>
    <xf numFmtId="272" fontId="108" fillId="15" borderId="28">
      <alignment horizontal="right"/>
    </xf>
    <xf numFmtId="257" fontId="32" fillId="15" borderId="0" applyNumberFormat="0" applyBorder="0">
      <alignment horizontal="center" vertical="center"/>
    </xf>
    <xf numFmtId="257" fontId="32" fillId="15" borderId="0" applyNumberFormat="0" applyBorder="0">
      <alignment horizontal="center" vertical="center"/>
    </xf>
    <xf numFmtId="244" fontId="109" fillId="0" borderId="0" applyFill="0" applyBorder="0" applyAlignment="0" applyProtection="0">
      <protection locked="0"/>
    </xf>
    <xf numFmtId="0" fontId="126" fillId="49" borderId="0" applyNumberFormat="0" applyBorder="0" applyAlignment="0" applyProtection="0"/>
    <xf numFmtId="38" fontId="28" fillId="15" borderId="0" applyNumberFormat="0" applyBorder="0" applyAlignment="0" applyProtection="0"/>
    <xf numFmtId="38" fontId="28" fillId="15" borderId="0" applyNumberFormat="0" applyBorder="0" applyAlignment="0" applyProtection="0"/>
    <xf numFmtId="246" fontId="127" fillId="0" borderId="0" applyFill="0" applyBorder="0" applyAlignment="0" applyProtection="0"/>
    <xf numFmtId="246" fontId="128" fillId="0" borderId="0" applyAlignment="0">
      <alignment horizontal="left"/>
      <protection locked="0"/>
    </xf>
    <xf numFmtId="49" fontId="39" fillId="0" borderId="0">
      <alignment horizontal="right"/>
    </xf>
    <xf numFmtId="49" fontId="109" fillId="0" borderId="0">
      <alignment horizontal="right"/>
    </xf>
    <xf numFmtId="49" fontId="109" fillId="0" borderId="0">
      <alignment horizontal="right"/>
    </xf>
    <xf numFmtId="49" fontId="39" fillId="0" borderId="0">
      <alignment horizontal="right"/>
    </xf>
    <xf numFmtId="49" fontId="109" fillId="0" borderId="0">
      <alignment horizontal="right"/>
    </xf>
    <xf numFmtId="49" fontId="109" fillId="0" borderId="0">
      <alignment horizontal="right"/>
    </xf>
    <xf numFmtId="49" fontId="39" fillId="0" borderId="0">
      <alignment horizontal="right"/>
    </xf>
    <xf numFmtId="49" fontId="39" fillId="0" borderId="0">
      <alignment horizontal="right"/>
    </xf>
    <xf numFmtId="49" fontId="109" fillId="0" borderId="0">
      <alignment horizontal="right"/>
    </xf>
    <xf numFmtId="49" fontId="109" fillId="0" borderId="0">
      <alignment horizontal="right"/>
    </xf>
    <xf numFmtId="49" fontId="109" fillId="0" borderId="0">
      <alignment horizontal="right"/>
    </xf>
    <xf numFmtId="49" fontId="109" fillId="0" borderId="0">
      <alignment horizontal="right"/>
    </xf>
    <xf numFmtId="49" fontId="39" fillId="0" borderId="0">
      <alignment horizontal="right"/>
    </xf>
    <xf numFmtId="49" fontId="109" fillId="0" borderId="0">
      <alignment horizontal="right"/>
    </xf>
    <xf numFmtId="49" fontId="39" fillId="0" borderId="0">
      <alignment horizontal="right"/>
    </xf>
    <xf numFmtId="49" fontId="109" fillId="0" borderId="0">
      <alignment horizontal="right"/>
    </xf>
    <xf numFmtId="49" fontId="109" fillId="0" borderId="0">
      <alignment horizontal="right"/>
    </xf>
    <xf numFmtId="49" fontId="109" fillId="0" borderId="0">
      <alignment horizontal="right"/>
    </xf>
    <xf numFmtId="49" fontId="39" fillId="0" borderId="0">
      <alignment horizontal="right"/>
    </xf>
    <xf numFmtId="49" fontId="39" fillId="0" borderId="0">
      <alignment horizontal="right"/>
    </xf>
    <xf numFmtId="49" fontId="39" fillId="0" borderId="0">
      <alignment horizontal="right"/>
    </xf>
    <xf numFmtId="49" fontId="39" fillId="0" borderId="0">
      <alignment horizontal="right"/>
    </xf>
    <xf numFmtId="49" fontId="109" fillId="0" borderId="0">
      <alignment horizontal="right"/>
    </xf>
    <xf numFmtId="49" fontId="109" fillId="0" borderId="0">
      <alignment horizontal="right"/>
    </xf>
    <xf numFmtId="49" fontId="39" fillId="0" borderId="0">
      <alignment horizontal="right"/>
    </xf>
    <xf numFmtId="273" fontId="32" fillId="2" borderId="3" applyNumberFormat="0" applyFont="0" applyAlignment="0"/>
    <xf numFmtId="273" fontId="32" fillId="2" borderId="3" applyNumberFormat="0" applyFont="0" applyAlignment="0"/>
    <xf numFmtId="286" fontId="116" fillId="0" borderId="0" applyFont="0" applyFill="0" applyBorder="0" applyAlignment="0" applyProtection="0">
      <alignment horizontal="right"/>
    </xf>
    <xf numFmtId="0" fontId="129" fillId="0" borderId="0" applyProtection="0">
      <alignment horizontal="right"/>
    </xf>
    <xf numFmtId="0" fontId="109" fillId="0" borderId="0">
      <alignment horizontal="left"/>
    </xf>
    <xf numFmtId="0" fontId="109" fillId="0" borderId="0">
      <alignment horizontal="right"/>
    </xf>
    <xf numFmtId="0" fontId="8" fillId="0" borderId="14" applyNumberFormat="0" applyAlignment="0" applyProtection="0">
      <alignment horizontal="left" vertical="center"/>
    </xf>
    <xf numFmtId="0" fontId="8" fillId="0" borderId="27">
      <alignment horizontal="left" vertical="center"/>
    </xf>
    <xf numFmtId="0" fontId="130" fillId="0" borderId="44" applyNumberFormat="0" applyFill="0" applyAlignment="0" applyProtection="0"/>
    <xf numFmtId="0" fontId="109" fillId="0" borderId="0">
      <alignment horizontal="left"/>
    </xf>
    <xf numFmtId="0" fontId="109" fillId="0" borderId="11">
      <alignment horizontal="left" vertical="top"/>
    </xf>
    <xf numFmtId="0" fontId="131" fillId="0" borderId="45" applyNumberFormat="0" applyFill="0" applyAlignment="0" applyProtection="0"/>
    <xf numFmtId="0" fontId="109" fillId="0" borderId="0">
      <alignment horizontal="left"/>
    </xf>
    <xf numFmtId="0" fontId="109" fillId="0" borderId="11">
      <alignment horizontal="left" vertical="top"/>
    </xf>
    <xf numFmtId="0" fontId="132" fillId="0" borderId="46" applyNumberFormat="0" applyFill="0" applyAlignment="0" applyProtection="0"/>
    <xf numFmtId="0" fontId="109" fillId="0" borderId="0">
      <alignment horizontal="left"/>
    </xf>
    <xf numFmtId="0" fontId="132" fillId="0" borderId="0" applyNumberFormat="0" applyFill="0" applyBorder="0" applyAlignment="0" applyProtection="0"/>
    <xf numFmtId="0" fontId="7" fillId="0" borderId="1" applyNumberFormat="0" applyFill="0" applyBorder="0" applyAlignment="0" applyProtection="0">
      <alignment horizontal="left"/>
    </xf>
    <xf numFmtId="38" fontId="7" fillId="0" borderId="0"/>
    <xf numFmtId="38" fontId="7" fillId="0" borderId="0"/>
    <xf numFmtId="38" fontId="7" fillId="0" borderId="0"/>
    <xf numFmtId="173" fontId="7" fillId="0" borderId="0"/>
    <xf numFmtId="173" fontId="7" fillId="0" borderId="0"/>
    <xf numFmtId="173" fontId="7" fillId="0" borderId="0"/>
    <xf numFmtId="244" fontId="109" fillId="0" borderId="0" applyFill="0" applyBorder="0" applyAlignment="0" applyProtection="0">
      <alignment horizontal="right"/>
      <protection locked="0"/>
    </xf>
    <xf numFmtId="287" fontId="39" fillId="0" borderId="0" applyBorder="0" applyAlignment="0"/>
    <xf numFmtId="10" fontId="28" fillId="2" borderId="3" applyNumberFormat="0" applyBorder="0" applyAlignment="0" applyProtection="0"/>
    <xf numFmtId="10" fontId="28" fillId="2" borderId="3" applyNumberFormat="0" applyBorder="0" applyAlignment="0" applyProtection="0"/>
    <xf numFmtId="0" fontId="133" fillId="35" borderId="47" applyNumberFormat="0" applyAlignment="0" applyProtection="0"/>
    <xf numFmtId="0" fontId="133" fillId="35" borderId="47" applyNumberFormat="0" applyAlignment="0" applyProtection="0"/>
    <xf numFmtId="0" fontId="133" fillId="35" borderId="47" applyNumberFormat="0" applyAlignment="0" applyProtection="0"/>
    <xf numFmtId="0" fontId="133" fillId="35" borderId="47" applyNumberFormat="0" applyAlignment="0" applyProtection="0"/>
    <xf numFmtId="0" fontId="133" fillId="35" borderId="47" applyNumberFormat="0" applyAlignment="0" applyProtection="0"/>
    <xf numFmtId="0" fontId="133" fillId="35" borderId="47" applyNumberFormat="0" applyAlignment="0" applyProtection="0"/>
    <xf numFmtId="0" fontId="133" fillId="35" borderId="47" applyNumberFormat="0" applyAlignment="0" applyProtection="0"/>
    <xf numFmtId="0" fontId="133" fillId="35" borderId="47" applyNumberFormat="0" applyAlignment="0" applyProtection="0"/>
    <xf numFmtId="0" fontId="133" fillId="35" borderId="47" applyNumberFormat="0" applyAlignment="0" applyProtection="0"/>
    <xf numFmtId="0" fontId="133" fillId="35" borderId="47" applyNumberFormat="0" applyAlignment="0" applyProtection="0"/>
    <xf numFmtId="0" fontId="133" fillId="35" borderId="47" applyNumberFormat="0" applyAlignment="0" applyProtection="0"/>
    <xf numFmtId="0" fontId="109" fillId="0" borderId="0" applyFill="0" applyBorder="0" applyProtection="0"/>
    <xf numFmtId="0" fontId="109" fillId="0" borderId="0" applyFill="0" applyBorder="0" applyProtection="0"/>
    <xf numFmtId="0" fontId="109" fillId="0" borderId="0" applyFill="0" applyBorder="0" applyProtection="0"/>
    <xf numFmtId="0" fontId="109" fillId="0" borderId="0" applyFill="0" applyBorder="0" applyProtection="0"/>
    <xf numFmtId="0" fontId="109" fillId="0" borderId="0" applyFill="0" applyBorder="0" applyProtection="0"/>
    <xf numFmtId="0" fontId="109" fillId="0" borderId="0" applyFill="0" applyBorder="0" applyProtection="0">
      <alignment vertical="center"/>
    </xf>
    <xf numFmtId="0" fontId="109" fillId="0" borderId="0" applyFill="0" applyBorder="0" applyProtection="0">
      <alignment vertical="center"/>
    </xf>
    <xf numFmtId="0" fontId="109" fillId="0" borderId="0" applyFont="0" applyFill="0" applyBorder="0" applyAlignment="0">
      <protection locked="0"/>
    </xf>
    <xf numFmtId="0" fontId="109" fillId="0" borderId="0" applyFont="0" applyFill="0" applyBorder="0" applyAlignment="0">
      <protection locked="0"/>
    </xf>
    <xf numFmtId="0" fontId="109" fillId="0" borderId="0" applyFill="0" applyBorder="0" applyProtection="0">
      <alignment vertical="center"/>
    </xf>
    <xf numFmtId="0" fontId="109" fillId="0" borderId="0" applyFill="0" applyBorder="0" applyProtection="0">
      <alignment vertical="center"/>
    </xf>
    <xf numFmtId="0" fontId="109" fillId="0" borderId="7" applyFill="0"/>
    <xf numFmtId="0" fontId="109" fillId="0" borderId="0"/>
    <xf numFmtId="288" fontId="134" fillId="50" borderId="0" applyBorder="0"/>
    <xf numFmtId="199" fontId="7" fillId="0" borderId="0" applyFont="0" applyFill="0" applyBorder="0" applyAlignment="0" applyProtection="0"/>
    <xf numFmtId="199" fontId="7" fillId="0" borderId="0" applyFont="0" applyFill="0" applyBorder="0" applyAlignment="0" applyProtection="0"/>
    <xf numFmtId="289" fontId="7" fillId="0" borderId="0" applyFont="0" applyFill="0" applyBorder="0" applyAlignment="0" applyProtection="0"/>
    <xf numFmtId="290" fontId="32" fillId="0" borderId="0" applyNumberFormat="0" applyFill="0" applyBorder="0" applyAlignment="0" applyProtection="0"/>
    <xf numFmtId="290" fontId="32" fillId="0" borderId="0" applyNumberFormat="0" applyFill="0" applyBorder="0" applyAlignment="0" applyProtection="0"/>
    <xf numFmtId="3" fontId="135" fillId="0" borderId="0"/>
    <xf numFmtId="0" fontId="136" fillId="0" borderId="48" applyNumberFormat="0" applyFill="0" applyAlignment="0" applyProtection="0"/>
    <xf numFmtId="176" fontId="7" fillId="0" borderId="0" applyFont="0" applyFill="0" applyBorder="0" applyAlignment="0" applyProtection="0"/>
    <xf numFmtId="176" fontId="7" fillId="0" borderId="0" applyFont="0" applyFill="0" applyBorder="0" applyAlignment="0" applyProtection="0"/>
    <xf numFmtId="176" fontId="7" fillId="0" borderId="0" applyFont="0" applyFill="0" applyBorder="0" applyAlignment="0" applyProtection="0"/>
    <xf numFmtId="173" fontId="109" fillId="0" borderId="0" applyFont="0" applyFill="0" applyBorder="0" applyAlignment="0" applyProtection="0">
      <alignment horizontal="right"/>
    </xf>
    <xf numFmtId="291" fontId="45" fillId="0" borderId="0" applyFont="0" applyFill="0" applyBorder="0" applyAlignment="0">
      <alignment vertical="center"/>
    </xf>
    <xf numFmtId="291" fontId="45" fillId="0" borderId="0" applyFont="0" applyFill="0" applyBorder="0" applyAlignment="0">
      <alignment vertical="center"/>
    </xf>
    <xf numFmtId="291" fontId="45" fillId="0" borderId="0" applyFont="0" applyFill="0" applyBorder="0" applyAlignment="0">
      <alignment vertical="center"/>
    </xf>
    <xf numFmtId="292" fontId="108" fillId="0" borderId="0">
      <alignment horizontal="right"/>
    </xf>
    <xf numFmtId="287" fontId="108" fillId="0" borderId="0">
      <alignment horizontal="right"/>
    </xf>
    <xf numFmtId="290" fontId="108" fillId="0" borderId="0">
      <alignment horizontal="right"/>
    </xf>
    <xf numFmtId="0" fontId="108" fillId="0" borderId="0">
      <alignment horizontal="right"/>
    </xf>
    <xf numFmtId="1" fontId="137" fillId="0" borderId="0"/>
    <xf numFmtId="293" fontId="7" fillId="50" borderId="0" applyBorder="0" applyAlignment="0">
      <alignment horizontal="right"/>
    </xf>
    <xf numFmtId="293" fontId="7" fillId="50" borderId="0" applyBorder="0" applyAlignment="0">
      <alignment horizontal="right"/>
    </xf>
    <xf numFmtId="293" fontId="7" fillId="50" borderId="0" applyBorder="0" applyAlignment="0">
      <alignment horizontal="right"/>
    </xf>
    <xf numFmtId="228" fontId="138" fillId="0" borderId="0" applyFill="0" applyBorder="0" applyAlignment="0" applyProtection="0"/>
    <xf numFmtId="294" fontId="7" fillId="0" borderId="0" applyFont="0" applyFill="0" applyBorder="0" applyAlignment="0" applyProtection="0"/>
    <xf numFmtId="295" fontId="7" fillId="0" borderId="0" applyFont="0" applyFill="0" applyBorder="0" applyAlignment="0" applyProtection="0"/>
    <xf numFmtId="296" fontId="7" fillId="0" borderId="0" applyFont="0" applyFill="0" applyBorder="0" applyAlignment="0" applyProtection="0"/>
    <xf numFmtId="297" fontId="7" fillId="0" borderId="0" applyFont="0" applyFill="0" applyBorder="0" applyAlignment="0" applyProtection="0"/>
    <xf numFmtId="0" fontId="108" fillId="15" borderId="28">
      <alignment horizontal="right"/>
    </xf>
    <xf numFmtId="298" fontId="7" fillId="0" borderId="0" applyFont="0" applyFill="0" applyBorder="0" applyAlignment="0" applyProtection="0"/>
    <xf numFmtId="299" fontId="7" fillId="0" borderId="0" applyFont="0" applyFill="0" applyBorder="0" applyAlignment="0" applyProtection="0"/>
    <xf numFmtId="300" fontId="7" fillId="0" borderId="0" applyFill="0" applyBorder="0" applyAlignment="0" applyProtection="0"/>
    <xf numFmtId="300" fontId="7" fillId="0" borderId="0" applyFill="0" applyBorder="0" applyAlignment="0" applyProtection="0"/>
    <xf numFmtId="300" fontId="7" fillId="0" borderId="0" applyFill="0" applyBorder="0" applyAlignment="0" applyProtection="0"/>
    <xf numFmtId="301" fontId="7" fillId="0" borderId="0" applyFill="0" applyBorder="0" applyAlignment="0" applyProtection="0"/>
    <xf numFmtId="301" fontId="7" fillId="0" borderId="0" applyFill="0" applyBorder="0" applyAlignment="0" applyProtection="0"/>
    <xf numFmtId="301" fontId="7" fillId="0" borderId="0" applyFill="0" applyBorder="0" applyAlignment="0" applyProtection="0"/>
    <xf numFmtId="0" fontId="109" fillId="11" borderId="49" applyFont="0" applyFill="0" applyBorder="0" applyAlignment="0">
      <alignment horizontal="center"/>
    </xf>
    <xf numFmtId="302" fontId="7" fillId="0" borderId="0" applyFont="0" applyFill="0" applyBorder="0" applyAlignment="0" applyProtection="0"/>
    <xf numFmtId="302" fontId="7" fillId="0" borderId="0" applyFont="0" applyFill="0" applyBorder="0" applyAlignment="0" applyProtection="0"/>
    <xf numFmtId="0" fontId="109" fillId="0" borderId="0" applyFill="0" applyBorder="0" applyProtection="0">
      <alignment vertical="center"/>
    </xf>
    <xf numFmtId="0" fontId="109" fillId="0" borderId="0" applyFont="0" applyFill="0" applyBorder="0" applyAlignment="0" applyProtection="0">
      <alignment horizontal="right"/>
    </xf>
    <xf numFmtId="303" fontId="66" fillId="0" borderId="0"/>
    <xf numFmtId="0" fontId="139" fillId="24" borderId="0" applyNumberFormat="0" applyBorder="0" applyAlignment="0" applyProtection="0"/>
    <xf numFmtId="0" fontId="70" fillId="26" borderId="36">
      <alignment horizontal="center" wrapText="1"/>
    </xf>
    <xf numFmtId="37" fontId="7" fillId="0" borderId="0"/>
    <xf numFmtId="37" fontId="7" fillId="0" borderId="0"/>
    <xf numFmtId="304" fontId="7" fillId="0" borderId="0"/>
    <xf numFmtId="304" fontId="7" fillId="0" borderId="0"/>
    <xf numFmtId="304" fontId="7" fillId="0" borderId="0"/>
    <xf numFmtId="37" fontId="89" fillId="0" borderId="0" applyAlignment="0"/>
    <xf numFmtId="37" fontId="89" fillId="0" borderId="0" applyAlignment="0"/>
    <xf numFmtId="37" fontId="89" fillId="0" borderId="0" applyAlignment="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37" fontId="109" fillId="0" borderId="0" applyNumberFormat="0" applyFill="0" applyAlignment="0"/>
    <xf numFmtId="37" fontId="109" fillId="0" borderId="0" applyNumberFormat="0" applyFill="0" applyAlignment="0"/>
    <xf numFmtId="37" fontId="109" fillId="0" borderId="0" applyNumberFormat="0" applyFill="0" applyAlignment="0"/>
    <xf numFmtId="0" fontId="109" fillId="0" borderId="0" applyFill="0" applyBorder="0" applyProtection="0">
      <alignment vertical="center"/>
    </xf>
    <xf numFmtId="0" fontId="7" fillId="0" borderId="0"/>
    <xf numFmtId="0" fontId="109" fillId="0" borderId="0"/>
    <xf numFmtId="0" fontId="140" fillId="0" borderId="0" applyNumberFormat="0" applyFill="0" applyBorder="0" applyAlignment="0" applyProtection="0"/>
    <xf numFmtId="0" fontId="141" fillId="0" borderId="0" applyNumberFormat="0" applyFill="0" applyBorder="0" applyAlignment="0" applyProtection="0"/>
    <xf numFmtId="0" fontId="142" fillId="0" borderId="0" applyNumberFormat="0" applyFill="0" applyBorder="0" applyAlignment="0" applyProtection="0"/>
    <xf numFmtId="0" fontId="143" fillId="0" borderId="0"/>
    <xf numFmtId="0" fontId="7" fillId="24" borderId="50" applyNumberFormat="0" applyFont="0" applyAlignment="0" applyProtection="0"/>
    <xf numFmtId="0" fontId="144" fillId="0" borderId="13"/>
    <xf numFmtId="39" fontId="109" fillId="0" borderId="0"/>
    <xf numFmtId="305" fontId="145" fillId="0" borderId="0" applyFont="0" applyFill="0" applyBorder="0" applyAlignment="0" applyProtection="0"/>
    <xf numFmtId="169" fontId="66" fillId="0" borderId="0" applyFont="0" applyFill="0" applyBorder="0" applyAlignment="0" applyProtection="0"/>
    <xf numFmtId="168" fontId="66" fillId="0" borderId="0" applyFont="0" applyFill="0" applyBorder="0" applyAlignment="0" applyProtection="0"/>
    <xf numFmtId="0" fontId="109" fillId="0" borderId="0" applyNumberFormat="0" applyAlignment="0"/>
    <xf numFmtId="0" fontId="109" fillId="0" borderId="0" applyNumberFormat="0" applyAlignment="0"/>
    <xf numFmtId="0" fontId="109" fillId="0" borderId="0" applyNumberFormat="0" applyAlignment="0"/>
    <xf numFmtId="0" fontId="109" fillId="0" borderId="0"/>
    <xf numFmtId="0" fontId="146" fillId="44" borderId="51" applyNumberFormat="0" applyAlignment="0" applyProtection="0"/>
    <xf numFmtId="306" fontId="45" fillId="0" borderId="0" applyFont="0" applyFill="0" applyBorder="0" applyAlignment="0">
      <alignment vertical="center"/>
    </xf>
    <xf numFmtId="306" fontId="45" fillId="0" borderId="0" applyFont="0" applyFill="0" applyBorder="0" applyAlignment="0">
      <alignment vertical="center"/>
    </xf>
    <xf numFmtId="306" fontId="45" fillId="0" borderId="0" applyFont="0" applyFill="0" applyBorder="0" applyAlignment="0">
      <alignment vertical="center"/>
    </xf>
    <xf numFmtId="295" fontId="109" fillId="0" borderId="0" applyFont="0" applyFill="0" applyBorder="0" applyAlignment="0" applyProtection="0">
      <alignment horizontal="right"/>
    </xf>
    <xf numFmtId="1" fontId="147" fillId="0" borderId="0" applyProtection="0">
      <alignment horizontal="right" vertical="center"/>
    </xf>
    <xf numFmtId="0" fontId="109" fillId="0" borderId="0" applyNumberFormat="0" applyFill="0" applyBorder="0" applyAlignment="0" applyProtection="0"/>
    <xf numFmtId="307" fontId="108" fillId="48" borderId="0"/>
    <xf numFmtId="0" fontId="109" fillId="0" borderId="0" applyFont="0" applyFill="0" applyBorder="0" applyAlignment="0" applyProtection="0">
      <alignment horizontal="right"/>
    </xf>
    <xf numFmtId="9" fontId="109" fillId="0" borderId="0" applyFont="0" applyFill="0" applyBorder="0" applyAlignment="0" applyProtection="0">
      <alignment horizontal="right"/>
    </xf>
    <xf numFmtId="294" fontId="108" fillId="48" borderId="0"/>
    <xf numFmtId="308" fontId="108" fillId="0" borderId="0"/>
    <xf numFmtId="309" fontId="66" fillId="0" borderId="0" applyFont="0" applyFill="0" applyBorder="0" applyAlignment="0" applyProtection="0"/>
    <xf numFmtId="2" fontId="109" fillId="0" borderId="0"/>
    <xf numFmtId="0" fontId="7" fillId="0" borderId="0" applyFont="0" applyFill="0" applyBorder="0" applyAlignment="0" applyProtection="0"/>
    <xf numFmtId="0" fontId="7" fillId="0" borderId="0" applyFont="0" applyFill="0" applyBorder="0" applyAlignment="0" applyProtection="0"/>
    <xf numFmtId="10" fontId="7" fillId="0" borderId="0" applyFont="0" applyFill="0" applyBorder="0" applyAlignment="0" applyProtection="0"/>
    <xf numFmtId="10"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0" fontId="109" fillId="0" borderId="7" applyFont="0" applyFill="0" applyBorder="0" applyAlignment="0">
      <alignment horizontal="right"/>
    </xf>
    <xf numFmtId="0" fontId="109" fillId="0" borderId="0" applyFont="0" applyFill="0" applyBorder="0"/>
    <xf numFmtId="243" fontId="28" fillId="0" borderId="0" applyFont="0" applyFill="0" applyBorder="0" applyAlignment="0" applyProtection="0"/>
    <xf numFmtId="0" fontId="109" fillId="0" borderId="0" applyFont="0" applyFill="0"/>
    <xf numFmtId="246" fontId="109" fillId="0" borderId="0" applyFont="0" applyFill="0" applyBorder="0" applyAlignment="0" applyProtection="0"/>
    <xf numFmtId="167" fontId="109" fillId="0" borderId="0" applyFont="0" applyFill="0" applyBorder="0" applyAlignment="0" applyProtection="0"/>
    <xf numFmtId="244" fontId="109" fillId="0" borderId="0" applyFont="0" applyFill="0" applyBorder="0" applyAlignment="0" applyProtection="0">
      <protection locked="0"/>
    </xf>
    <xf numFmtId="10" fontId="7" fillId="0" borderId="0" applyFill="0" applyBorder="0" applyAlignment="0" applyProtection="0"/>
    <xf numFmtId="10" fontId="7" fillId="0" borderId="0" applyFill="0" applyBorder="0" applyAlignment="0" applyProtection="0"/>
    <xf numFmtId="10" fontId="7" fillId="0" borderId="0" applyFill="0" applyBorder="0" applyAlignment="0" applyProtection="0"/>
    <xf numFmtId="170" fontId="7" fillId="0" borderId="0"/>
    <xf numFmtId="170" fontId="7" fillId="0" borderId="0"/>
    <xf numFmtId="170" fontId="7" fillId="0" borderId="0"/>
    <xf numFmtId="244" fontId="109" fillId="0" borderId="0" applyFill="0" applyBorder="0" applyAlignment="0" applyProtection="0"/>
    <xf numFmtId="38" fontId="109" fillId="0" borderId="0" applyFont="0" applyFill="0" applyBorder="0" applyAlignment="0" applyProtection="0"/>
    <xf numFmtId="10" fontId="109" fillId="0" borderId="0"/>
    <xf numFmtId="10" fontId="109" fillId="5" borderId="0"/>
    <xf numFmtId="9" fontId="109" fillId="0" borderId="0" applyFont="0" applyFill="0" applyBorder="0" applyAlignment="0" applyProtection="0"/>
    <xf numFmtId="39" fontId="7" fillId="0" borderId="0" applyFill="0" applyBorder="0" applyAlignment="0" applyProtection="0"/>
    <xf numFmtId="39" fontId="7" fillId="0" borderId="0" applyFill="0" applyBorder="0" applyAlignment="0" applyProtection="0"/>
    <xf numFmtId="37" fontId="7" fillId="0" borderId="0" applyFill="0" applyBorder="0" applyAlignment="0" applyProtection="0"/>
    <xf numFmtId="37" fontId="7" fillId="0" borderId="0" applyFill="0" applyBorder="0" applyAlignment="0" applyProtection="0"/>
    <xf numFmtId="37" fontId="7" fillId="0" borderId="0" applyFill="0" applyBorder="0" applyAlignment="0" applyProtection="0"/>
    <xf numFmtId="310" fontId="108" fillId="15" borderId="0"/>
    <xf numFmtId="308" fontId="108" fillId="15" borderId="0"/>
    <xf numFmtId="0" fontId="109" fillId="0" borderId="0">
      <alignment horizontal="center"/>
    </xf>
    <xf numFmtId="0" fontId="108" fillId="0" borderId="7">
      <alignment horizontal="centerContinuous"/>
    </xf>
    <xf numFmtId="311" fontId="108" fillId="15" borderId="0">
      <alignment horizontal="right"/>
    </xf>
    <xf numFmtId="0" fontId="148" fillId="0" borderId="0"/>
    <xf numFmtId="0" fontId="7" fillId="0" borderId="0"/>
    <xf numFmtId="0" fontId="7" fillId="0" borderId="0"/>
    <xf numFmtId="0" fontId="7" fillId="0" borderId="0"/>
    <xf numFmtId="0" fontId="148" fillId="0" borderId="0"/>
    <xf numFmtId="0" fontId="7" fillId="0" borderId="0"/>
    <xf numFmtId="0" fontId="7" fillId="0" borderId="0"/>
    <xf numFmtId="0" fontId="7" fillId="0" borderId="0"/>
    <xf numFmtId="0" fontId="7" fillId="0" borderId="0"/>
    <xf numFmtId="0" fontId="7" fillId="0" borderId="0"/>
    <xf numFmtId="0" fontId="7" fillId="0" borderId="0"/>
    <xf numFmtId="0" fontId="148" fillId="0" borderId="0"/>
    <xf numFmtId="0" fontId="11" fillId="0" borderId="0"/>
    <xf numFmtId="0" fontId="7" fillId="0" borderId="0"/>
    <xf numFmtId="0" fontId="7" fillId="0" borderId="0"/>
    <xf numFmtId="0" fontId="7" fillId="0" borderId="0"/>
    <xf numFmtId="0" fontId="11" fillId="0" borderId="0"/>
    <xf numFmtId="0" fontId="11" fillId="0" borderId="0"/>
    <xf numFmtId="0" fontId="7" fillId="0" borderId="0"/>
    <xf numFmtId="0" fontId="7" fillId="0" borderId="0"/>
    <xf numFmtId="0" fontId="7" fillId="0" borderId="0"/>
    <xf numFmtId="0" fontId="7" fillId="0" borderId="0"/>
    <xf numFmtId="0" fontId="7" fillId="0" borderId="0"/>
    <xf numFmtId="0" fontId="7" fillId="0" borderId="0"/>
    <xf numFmtId="0" fontId="11" fillId="0" borderId="0"/>
    <xf numFmtId="242" fontId="28" fillId="15" borderId="0" applyNumberFormat="0" applyAlignment="0">
      <alignment horizontal="center"/>
    </xf>
    <xf numFmtId="312" fontId="108" fillId="15" borderId="28">
      <alignment horizontal="right"/>
    </xf>
    <xf numFmtId="244" fontId="123" fillId="0" borderId="0" applyFont="0" applyFill="0" applyBorder="0" applyAlignment="0" applyProtection="0"/>
    <xf numFmtId="0" fontId="111" fillId="0" borderId="28" applyNumberFormat="0" applyBorder="0" applyAlignment="0"/>
    <xf numFmtId="0" fontId="111" fillId="0" borderId="28" applyNumberFormat="0" applyBorder="0" applyAlignment="0"/>
    <xf numFmtId="14" fontId="90" fillId="0" borderId="0" applyNumberFormat="0" applyFill="0" applyBorder="0" applyAlignment="0" applyProtection="0">
      <alignment horizontal="left"/>
    </xf>
    <xf numFmtId="0" fontId="109" fillId="0" borderId="52">
      <alignment vertical="center"/>
    </xf>
    <xf numFmtId="313" fontId="66" fillId="0" borderId="0" applyFont="0" applyFill="0" applyBorder="0" applyAlignment="0" applyProtection="0"/>
    <xf numFmtId="0" fontId="7" fillId="16" borderId="0">
      <alignment horizontal="right"/>
    </xf>
    <xf numFmtId="0" fontId="7" fillId="16" borderId="0">
      <alignment horizontal="right"/>
    </xf>
    <xf numFmtId="180" fontId="89" fillId="0" borderId="7" applyFont="0" applyFill="0" applyBorder="0" applyAlignment="0" applyProtection="0">
      <alignment horizontal="right"/>
    </xf>
    <xf numFmtId="219" fontId="109" fillId="0" borderId="0" applyFill="0" applyBorder="0" applyAlignment="0" applyProtection="0">
      <protection locked="0"/>
    </xf>
    <xf numFmtId="1" fontId="7" fillId="0" borderId="0"/>
    <xf numFmtId="1" fontId="7" fillId="0" borderId="0"/>
    <xf numFmtId="314" fontId="45" fillId="0" borderId="0" applyFill="0" applyBorder="0"/>
    <xf numFmtId="188" fontId="7" fillId="0" borderId="0" applyFont="0" applyFill="0" applyBorder="0" applyAlignment="0" applyProtection="0"/>
    <xf numFmtId="188" fontId="7" fillId="0" borderId="0" applyFont="0" applyFill="0" applyBorder="0" applyAlignment="0" applyProtection="0"/>
    <xf numFmtId="188" fontId="7" fillId="0" borderId="0" applyFont="0" applyFill="0" applyBorder="0" applyAlignment="0" applyProtection="0"/>
    <xf numFmtId="0" fontId="149" fillId="0" borderId="7"/>
    <xf numFmtId="0" fontId="109" fillId="0" borderId="0" applyNumberFormat="0" applyAlignment="0"/>
    <xf numFmtId="0" fontId="109" fillId="0" borderId="0" applyFill="0" applyBorder="0" applyProtection="0">
      <alignment horizontal="right"/>
    </xf>
    <xf numFmtId="0" fontId="150" fillId="0" borderId="0"/>
    <xf numFmtId="0" fontId="89" fillId="0" borderId="0"/>
    <xf numFmtId="198" fontId="89" fillId="44" borderId="0"/>
    <xf numFmtId="269" fontId="66" fillId="0" borderId="0" applyFont="0" applyFill="0" applyBorder="0" applyAlignment="0" applyProtection="0"/>
    <xf numFmtId="270" fontId="66" fillId="0" borderId="0" applyFont="0" applyFill="0" applyBorder="0" applyAlignment="0" applyProtection="0"/>
    <xf numFmtId="312" fontId="28" fillId="0" borderId="0" applyFill="0" applyBorder="0" applyAlignment="0" applyProtection="0"/>
    <xf numFmtId="312" fontId="28" fillId="0" borderId="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7" fillId="0" borderId="0">
      <alignment vertical="top"/>
    </xf>
    <xf numFmtId="0" fontId="7" fillId="0" borderId="0">
      <alignment vertical="top"/>
    </xf>
    <xf numFmtId="0" fontId="7" fillId="0" borderId="0">
      <alignment vertical="top"/>
    </xf>
    <xf numFmtId="0" fontId="7" fillId="0" borderId="0">
      <alignment vertical="top"/>
    </xf>
    <xf numFmtId="0" fontId="7" fillId="0" borderId="0">
      <alignment vertical="top"/>
    </xf>
    <xf numFmtId="0" fontId="7" fillId="0" borderId="0">
      <alignment vertical="top"/>
    </xf>
    <xf numFmtId="0" fontId="7" fillId="0" borderId="0">
      <alignment vertical="top"/>
    </xf>
    <xf numFmtId="0" fontId="7" fillId="0" borderId="0">
      <alignment vertical="top"/>
    </xf>
    <xf numFmtId="0" fontId="7" fillId="0" borderId="0">
      <alignment vertical="top"/>
    </xf>
    <xf numFmtId="0" fontId="7" fillId="0" borderId="0">
      <alignment vertical="top"/>
    </xf>
    <xf numFmtId="0" fontId="7" fillId="0" borderId="0">
      <alignment vertical="top"/>
    </xf>
    <xf numFmtId="0" fontId="7" fillId="0" borderId="0">
      <alignment vertical="top"/>
    </xf>
    <xf numFmtId="0" fontId="7" fillId="0" borderId="0">
      <alignment vertical="top"/>
    </xf>
    <xf numFmtId="0" fontId="7" fillId="0" borderId="0">
      <alignment vertical="top"/>
    </xf>
    <xf numFmtId="0" fontId="7" fillId="0" borderId="0">
      <alignment vertical="top"/>
    </xf>
    <xf numFmtId="0" fontId="7" fillId="0" borderId="0">
      <alignment vertical="top"/>
    </xf>
    <xf numFmtId="0" fontId="7" fillId="0" borderId="0">
      <alignment vertical="top"/>
    </xf>
    <xf numFmtId="0" fontId="7" fillId="0" borderId="0">
      <alignment vertical="top"/>
    </xf>
    <xf numFmtId="0" fontId="7" fillId="0" borderId="0">
      <alignment vertical="top"/>
    </xf>
    <xf numFmtId="0" fontId="7" fillId="0" borderId="0">
      <alignment vertical="top"/>
    </xf>
    <xf numFmtId="0" fontId="7" fillId="0" borderId="0">
      <alignment vertical="top"/>
    </xf>
    <xf numFmtId="0" fontId="7" fillId="0" borderId="0">
      <alignment vertical="top"/>
    </xf>
    <xf numFmtId="0" fontId="7" fillId="0" borderId="0">
      <alignment vertical="top"/>
    </xf>
    <xf numFmtId="0" fontId="7" fillId="0" borderId="0">
      <alignment vertical="top"/>
    </xf>
    <xf numFmtId="0" fontId="7" fillId="0" borderId="0">
      <alignment vertical="top"/>
    </xf>
    <xf numFmtId="0" fontId="7" fillId="0" borderId="0">
      <alignment vertical="top"/>
    </xf>
    <xf numFmtId="0" fontId="7" fillId="0" borderId="0">
      <alignment vertical="top"/>
    </xf>
    <xf numFmtId="0" fontId="7" fillId="0" borderId="0">
      <alignment vertical="top"/>
    </xf>
    <xf numFmtId="0" fontId="7" fillId="0" borderId="0">
      <alignment vertical="top"/>
    </xf>
    <xf numFmtId="0" fontId="7" fillId="0" borderId="0">
      <alignment vertical="top"/>
    </xf>
    <xf numFmtId="0" fontId="7" fillId="0" borderId="0">
      <alignment vertical="top"/>
    </xf>
    <xf numFmtId="0" fontId="7" fillId="0" borderId="0">
      <alignment vertical="top"/>
    </xf>
    <xf numFmtId="0" fontId="7" fillId="0" borderId="0">
      <alignment vertical="top"/>
    </xf>
    <xf numFmtId="0" fontId="7" fillId="0" borderId="0">
      <alignment vertical="top"/>
    </xf>
    <xf numFmtId="0" fontId="7" fillId="0" borderId="0">
      <alignment vertical="top"/>
    </xf>
    <xf numFmtId="0" fontId="7" fillId="0" borderId="0">
      <alignment vertical="top"/>
    </xf>
    <xf numFmtId="0" fontId="7" fillId="0" borderId="0">
      <alignment vertical="top"/>
    </xf>
    <xf numFmtId="0" fontId="7" fillId="0" borderId="0">
      <alignment vertical="top"/>
    </xf>
    <xf numFmtId="0" fontId="7" fillId="0" borderId="0">
      <alignment vertical="top"/>
    </xf>
    <xf numFmtId="0" fontId="7" fillId="0" borderId="0">
      <alignment vertical="top"/>
    </xf>
    <xf numFmtId="0" fontId="7" fillId="0" borderId="0">
      <alignment vertical="top"/>
    </xf>
    <xf numFmtId="0" fontId="7" fillId="0" borderId="0">
      <alignment vertical="top"/>
    </xf>
    <xf numFmtId="0" fontId="7" fillId="0" borderId="0">
      <alignment vertical="top"/>
    </xf>
    <xf numFmtId="0" fontId="7" fillId="0" borderId="0">
      <alignment vertical="top"/>
    </xf>
    <xf numFmtId="0" fontId="7" fillId="0" borderId="0">
      <alignment vertical="top"/>
    </xf>
    <xf numFmtId="0" fontId="7" fillId="0" borderId="0">
      <alignment vertical="top"/>
    </xf>
    <xf numFmtId="0" fontId="7" fillId="0" borderId="0">
      <alignment vertical="top"/>
    </xf>
    <xf numFmtId="0" fontId="7" fillId="0" borderId="0">
      <alignment vertical="top"/>
    </xf>
    <xf numFmtId="0" fontId="7" fillId="0" borderId="0">
      <alignment vertical="top"/>
    </xf>
    <xf numFmtId="0" fontId="7" fillId="0" borderId="0">
      <alignment vertical="top"/>
    </xf>
    <xf numFmtId="0" fontId="7" fillId="0" borderId="0">
      <alignment vertical="top"/>
    </xf>
    <xf numFmtId="0" fontId="7" fillId="0" borderId="0">
      <alignment vertical="top"/>
    </xf>
    <xf numFmtId="0" fontId="7" fillId="0" borderId="0">
      <alignment vertical="top"/>
    </xf>
    <xf numFmtId="0" fontId="7" fillId="0" borderId="0">
      <alignment vertical="top"/>
    </xf>
    <xf numFmtId="0" fontId="7" fillId="0" borderId="0">
      <alignment vertical="top"/>
    </xf>
    <xf numFmtId="0" fontId="7" fillId="0" borderId="0">
      <alignment vertical="top"/>
    </xf>
    <xf numFmtId="0" fontId="7" fillId="0" borderId="0">
      <alignment vertical="top"/>
    </xf>
    <xf numFmtId="0" fontId="7" fillId="0" borderId="0">
      <alignment vertical="top"/>
    </xf>
    <xf numFmtId="0" fontId="7" fillId="0" borderId="0">
      <alignment vertical="top"/>
    </xf>
    <xf numFmtId="0" fontId="7" fillId="0" borderId="0">
      <alignment vertical="top"/>
    </xf>
    <xf numFmtId="0" fontId="7" fillId="0" borderId="0">
      <alignment vertical="top"/>
    </xf>
    <xf numFmtId="0" fontId="7" fillId="0" borderId="0">
      <alignment vertical="top"/>
    </xf>
    <xf numFmtId="0" fontId="7" fillId="0" borderId="0">
      <alignment vertical="top"/>
    </xf>
    <xf numFmtId="0" fontId="7" fillId="0" borderId="0">
      <alignment vertical="top"/>
    </xf>
    <xf numFmtId="0" fontId="7" fillId="0" borderId="0">
      <alignment vertical="top"/>
    </xf>
    <xf numFmtId="0" fontId="7" fillId="0" borderId="0">
      <alignment vertical="top"/>
    </xf>
    <xf numFmtId="0" fontId="7" fillId="0" borderId="0">
      <alignment vertical="top"/>
    </xf>
    <xf numFmtId="0" fontId="7" fillId="0" borderId="0">
      <alignment vertical="top"/>
    </xf>
    <xf numFmtId="0" fontId="7" fillId="0" borderId="0">
      <alignment vertical="top"/>
    </xf>
    <xf numFmtId="0" fontId="7" fillId="0" borderId="0">
      <alignment vertical="top"/>
    </xf>
    <xf numFmtId="0" fontId="7" fillId="0" borderId="0">
      <alignment vertical="top"/>
    </xf>
    <xf numFmtId="0" fontId="7" fillId="0" borderId="0">
      <alignment vertical="top"/>
    </xf>
    <xf numFmtId="0" fontId="7" fillId="0" borderId="0">
      <alignment vertical="top"/>
    </xf>
    <xf numFmtId="0" fontId="7" fillId="0" borderId="0">
      <alignment vertical="top"/>
    </xf>
    <xf numFmtId="0" fontId="7" fillId="0" borderId="0">
      <alignment vertical="top"/>
    </xf>
    <xf numFmtId="0" fontId="7" fillId="0" borderId="0">
      <alignment vertical="top"/>
    </xf>
    <xf numFmtId="315" fontId="7" fillId="0" borderId="0" applyNumberFormat="0" applyFill="0" applyBorder="0" applyAlignment="0" applyProtection="0">
      <alignment horizontal="right" vertical="center" wrapText="1"/>
    </xf>
    <xf numFmtId="315" fontId="7" fillId="0" borderId="0" applyNumberFormat="0" applyFill="0" applyBorder="0" applyAlignment="0" applyProtection="0">
      <alignment horizontal="right" vertical="center" wrapText="1"/>
    </xf>
    <xf numFmtId="40" fontId="7" fillId="0" borderId="0" applyBorder="0">
      <alignment horizontal="right"/>
    </xf>
    <xf numFmtId="40" fontId="7" fillId="0" borderId="0" applyBorder="0">
      <alignment horizontal="right"/>
    </xf>
    <xf numFmtId="316" fontId="7" fillId="0" borderId="0"/>
    <xf numFmtId="316" fontId="7" fillId="0" borderId="0"/>
    <xf numFmtId="316" fontId="7" fillId="0" borderId="0"/>
    <xf numFmtId="0" fontId="151" fillId="0" borderId="53" applyNumberFormat="0" applyFill="0" applyBorder="0" applyAlignment="0" applyProtection="0"/>
    <xf numFmtId="0" fontId="7" fillId="0" borderId="11" applyBorder="0">
      <alignment horizontal="center"/>
    </xf>
    <xf numFmtId="0" fontId="7" fillId="0" borderId="11" applyBorder="0">
      <alignment horizontal="center"/>
    </xf>
    <xf numFmtId="0" fontId="152" fillId="0" borderId="7" applyBorder="0" applyProtection="0">
      <alignment horizontal="right" vertical="center"/>
    </xf>
    <xf numFmtId="0" fontId="153" fillId="51" borderId="0" applyBorder="0" applyProtection="0">
      <alignment horizontal="centerContinuous" vertical="center"/>
    </xf>
    <xf numFmtId="0" fontId="153" fillId="16" borderId="7" applyBorder="0" applyProtection="0">
      <alignment horizontal="centerContinuous" vertical="center"/>
    </xf>
    <xf numFmtId="0" fontId="109" fillId="0" borderId="0" applyBorder="0" applyProtection="0">
      <alignment vertical="center"/>
    </xf>
    <xf numFmtId="0" fontId="109" fillId="0" borderId="0" applyNumberFormat="0" applyFill="0" applyBorder="0" applyProtection="0">
      <alignment horizontal="left"/>
    </xf>
    <xf numFmtId="0" fontId="40" fillId="0" borderId="0" applyFill="0" applyBorder="0" applyProtection="0"/>
    <xf numFmtId="0" fontId="109" fillId="0" borderId="0" applyFill="0" applyBorder="0" applyProtection="0">
      <alignment vertical="center"/>
    </xf>
    <xf numFmtId="0" fontId="109" fillId="0" borderId="0">
      <alignment vertical="center"/>
    </xf>
    <xf numFmtId="0" fontId="109" fillId="0" borderId="0" applyFill="0" applyBorder="0" applyProtection="0">
      <alignment vertical="center"/>
    </xf>
    <xf numFmtId="0" fontId="109" fillId="0" borderId="0"/>
    <xf numFmtId="212" fontId="154" fillId="0" borderId="0" applyNumberFormat="0" applyFill="0" applyBorder="0">
      <alignment horizontal="left"/>
    </xf>
    <xf numFmtId="0" fontId="109" fillId="0" borderId="0" applyNumberFormat="0" applyFill="0" applyBorder="0">
      <alignment horizontal="right"/>
    </xf>
    <xf numFmtId="212" fontId="155" fillId="0" borderId="0" applyNumberFormat="0" applyFill="0" applyBorder="0">
      <alignment horizontal="right"/>
    </xf>
    <xf numFmtId="49" fontId="109" fillId="0" borderId="0"/>
    <xf numFmtId="0" fontId="156" fillId="0" borderId="0">
      <alignment horizontal="left"/>
    </xf>
    <xf numFmtId="0" fontId="109" fillId="0" borderId="11" applyFill="0" applyBorder="0" applyProtection="0"/>
    <xf numFmtId="0" fontId="109" fillId="0" borderId="0"/>
    <xf numFmtId="0" fontId="109" fillId="0" borderId="0" applyNumberFormat="0" applyFill="0" applyBorder="0" applyProtection="0"/>
    <xf numFmtId="0" fontId="109" fillId="0" borderId="0" applyFill="0" applyBorder="0" applyProtection="0"/>
    <xf numFmtId="0" fontId="109" fillId="0" borderId="0"/>
    <xf numFmtId="0" fontId="109" fillId="0" borderId="0" applyNumberFormat="0" applyFill="0" applyBorder="0" applyProtection="0"/>
    <xf numFmtId="0" fontId="109" fillId="0" borderId="0" applyFill="0" applyBorder="0" applyProtection="0"/>
    <xf numFmtId="0" fontId="109" fillId="0" borderId="0" applyNumberFormat="0" applyFill="0" applyBorder="0" applyProtection="0"/>
    <xf numFmtId="0" fontId="109" fillId="0" borderId="0"/>
    <xf numFmtId="0" fontId="109" fillId="0" borderId="11" applyFill="0" applyBorder="0" applyProtection="0"/>
    <xf numFmtId="317" fontId="32" fillId="0" borderId="0" applyBorder="0" applyProtection="0">
      <alignment horizontal="right"/>
    </xf>
    <xf numFmtId="317" fontId="32" fillId="0" borderId="0" applyBorder="0" applyProtection="0">
      <alignment horizontal="right"/>
    </xf>
    <xf numFmtId="318" fontId="7" fillId="0" borderId="0"/>
    <xf numFmtId="319" fontId="66" fillId="0" borderId="0" applyFont="0" applyFill="0" applyBorder="0" applyAlignment="0" applyProtection="0"/>
    <xf numFmtId="318" fontId="7" fillId="0" borderId="0"/>
    <xf numFmtId="318" fontId="7" fillId="0" borderId="0"/>
    <xf numFmtId="320" fontId="66" fillId="0" borderId="0" applyFont="0" applyFill="0" applyBorder="0" applyAlignment="0" applyProtection="0"/>
    <xf numFmtId="321" fontId="66" fillId="0" borderId="0"/>
    <xf numFmtId="321" fontId="66" fillId="0" borderId="0"/>
    <xf numFmtId="321" fontId="66" fillId="0" borderId="0"/>
    <xf numFmtId="322" fontId="45" fillId="0" borderId="0"/>
    <xf numFmtId="0" fontId="157" fillId="0" borderId="0" applyNumberFormat="0" applyFill="0" applyBorder="0" applyAlignment="0" applyProtection="0"/>
    <xf numFmtId="0" fontId="157" fillId="0" borderId="0" applyNumberFormat="0" applyFill="0" applyBorder="0" applyAlignment="0" applyProtection="0"/>
    <xf numFmtId="0" fontId="157" fillId="0" borderId="0" applyNumberFormat="0" applyFill="0" applyBorder="0" applyAlignment="0" applyProtection="0"/>
    <xf numFmtId="0" fontId="157" fillId="0" borderId="0" applyNumberFormat="0" applyFill="0" applyBorder="0" applyAlignment="0" applyProtection="0"/>
    <xf numFmtId="0" fontId="157" fillId="0" borderId="0" applyNumberFormat="0" applyFill="0" applyBorder="0" applyAlignment="0" applyProtection="0"/>
    <xf numFmtId="0" fontId="157" fillId="0" borderId="0" applyNumberFormat="0" applyFill="0" applyBorder="0" applyAlignment="0" applyProtection="0"/>
    <xf numFmtId="0" fontId="157" fillId="0" borderId="0" applyNumberFormat="0" applyFill="0" applyBorder="0" applyAlignment="0" applyProtection="0"/>
    <xf numFmtId="0" fontId="157" fillId="0" borderId="0" applyNumberFormat="0" applyFill="0" applyBorder="0" applyAlignment="0" applyProtection="0"/>
    <xf numFmtId="0" fontId="157" fillId="0" borderId="0" applyNumberFormat="0" applyFill="0" applyBorder="0" applyAlignment="0" applyProtection="0"/>
    <xf numFmtId="0" fontId="157" fillId="0" borderId="0" applyNumberFormat="0" applyFill="0" applyBorder="0" applyAlignment="0" applyProtection="0"/>
    <xf numFmtId="0" fontId="157" fillId="0" borderId="0" applyNumberFormat="0" applyFill="0" applyBorder="0" applyAlignment="0" applyProtection="0"/>
    <xf numFmtId="244" fontId="158" fillId="0" borderId="0" applyNumberFormat="0" applyFill="0" applyBorder="0" applyAlignment="0" applyProtection="0"/>
    <xf numFmtId="0" fontId="109" fillId="0" borderId="0"/>
    <xf numFmtId="0" fontId="109" fillId="0" borderId="0"/>
    <xf numFmtId="0" fontId="109" fillId="0" borderId="0"/>
    <xf numFmtId="198" fontId="7" fillId="0" borderId="8" applyNumberFormat="0" applyFont="0" applyFill="0" applyAlignment="0"/>
    <xf numFmtId="0" fontId="159" fillId="0" borderId="54" applyNumberFormat="0" applyFill="0" applyAlignment="0" applyProtection="0"/>
    <xf numFmtId="0" fontId="109" fillId="0" borderId="0" applyFill="0" applyBorder="0" applyProtection="0"/>
    <xf numFmtId="0" fontId="109" fillId="0" borderId="0" applyFill="0" applyBorder="0" applyProtection="0"/>
    <xf numFmtId="0" fontId="109" fillId="0" borderId="42" applyFill="0" applyBorder="0" applyProtection="0">
      <alignment vertical="center"/>
    </xf>
    <xf numFmtId="0" fontId="7" fillId="0" borderId="3">
      <protection locked="0"/>
    </xf>
    <xf numFmtId="0" fontId="7" fillId="0" borderId="3">
      <protection locked="0"/>
    </xf>
    <xf numFmtId="172" fontId="7" fillId="0" borderId="3">
      <alignment horizontal="right"/>
      <protection locked="0"/>
    </xf>
    <xf numFmtId="172" fontId="7" fillId="0" borderId="3">
      <alignment horizontal="right"/>
      <protection locked="0"/>
    </xf>
    <xf numFmtId="323" fontId="45" fillId="0" borderId="0" applyFont="0" applyFill="0" applyBorder="0" applyAlignment="0" applyProtection="0"/>
    <xf numFmtId="38" fontId="10" fillId="0" borderId="0" applyFont="0" applyFill="0" applyBorder="0" applyAlignment="0" applyProtection="0"/>
    <xf numFmtId="40" fontId="10" fillId="0" borderId="0" applyFont="0" applyFill="0" applyBorder="0" applyAlignment="0" applyProtection="0"/>
    <xf numFmtId="324" fontId="28" fillId="0" borderId="0" applyBorder="0" applyProtection="0">
      <alignment horizontal="right"/>
    </xf>
    <xf numFmtId="324" fontId="28" fillId="0" borderId="0" applyBorder="0" applyProtection="0">
      <alignment horizontal="right"/>
    </xf>
    <xf numFmtId="324" fontId="28" fillId="0" borderId="0" applyBorder="0" applyProtection="0">
      <alignment horizontal="right"/>
    </xf>
    <xf numFmtId="40" fontId="114" fillId="0" borderId="0"/>
    <xf numFmtId="325" fontId="160" fillId="0" borderId="0"/>
    <xf numFmtId="37" fontId="109" fillId="0" borderId="0"/>
    <xf numFmtId="0" fontId="7" fillId="0" borderId="8" applyNumberFormat="0" applyFont="0" applyFill="0" applyAlignment="0" applyProtection="0"/>
    <xf numFmtId="0" fontId="7" fillId="0" borderId="8" applyNumberFormat="0" applyFont="0" applyFill="0" applyAlignment="0" applyProtection="0"/>
    <xf numFmtId="0" fontId="7" fillId="0" borderId="8" applyNumberFormat="0" applyFont="0" applyFill="0" applyAlignment="0" applyProtection="0"/>
    <xf numFmtId="212" fontId="28" fillId="2" borderId="41">
      <alignment horizontal="right"/>
    </xf>
    <xf numFmtId="212" fontId="32" fillId="2" borderId="41"/>
    <xf numFmtId="0" fontId="161" fillId="52" borderId="55">
      <alignment horizontal="left"/>
    </xf>
    <xf numFmtId="0" fontId="161" fillId="52" borderId="55">
      <alignment horizontal="left"/>
    </xf>
    <xf numFmtId="0" fontId="161" fillId="52" borderId="55">
      <alignment horizontal="left"/>
    </xf>
    <xf numFmtId="312" fontId="7" fillId="0" borderId="0" applyFont="0" applyFill="0" applyBorder="0" applyAlignment="0" applyProtection="0"/>
    <xf numFmtId="292" fontId="7" fillId="0" borderId="0" applyFont="0" applyFill="0" applyBorder="0" applyAlignment="0" applyProtection="0"/>
    <xf numFmtId="0" fontId="162" fillId="0" borderId="0" applyNumberFormat="0" applyFill="0" applyBorder="0" applyAlignment="0" applyProtection="0"/>
    <xf numFmtId="0" fontId="109" fillId="0" borderId="0"/>
    <xf numFmtId="0" fontId="109" fillId="0" borderId="0"/>
    <xf numFmtId="1" fontId="109" fillId="0" borderId="0" applyFont="0" applyFill="0" applyBorder="0" applyAlignment="0" applyProtection="0"/>
    <xf numFmtId="0" fontId="163" fillId="0" borderId="0"/>
    <xf numFmtId="1" fontId="163" fillId="0" borderId="0"/>
    <xf numFmtId="0" fontId="164" fillId="0" borderId="53" applyNumberFormat="0" applyFill="0" applyBorder="0" applyAlignment="0" applyProtection="0"/>
    <xf numFmtId="0" fontId="165" fillId="0" borderId="53" applyNumberFormat="0" applyFill="0" applyBorder="0" applyAlignment="0" applyProtection="0"/>
    <xf numFmtId="0" fontId="166" fillId="0" borderId="53" applyNumberFormat="0" applyFill="0" applyBorder="0" applyAlignment="0" applyProtection="0"/>
    <xf numFmtId="212" fontId="45" fillId="0" borderId="0"/>
    <xf numFmtId="0" fontId="45" fillId="0" borderId="0"/>
    <xf numFmtId="326" fontId="7" fillId="0" borderId="0"/>
    <xf numFmtId="326" fontId="7" fillId="0" borderId="0"/>
    <xf numFmtId="0" fontId="7" fillId="0" borderId="7" applyBorder="0" applyProtection="0">
      <alignment horizontal="right"/>
    </xf>
    <xf numFmtId="327" fontId="28" fillId="0" borderId="0" applyFill="0" applyBorder="0" applyAlignment="0" applyProtection="0"/>
    <xf numFmtId="327" fontId="28" fillId="0" borderId="0" applyFill="0" applyBorder="0" applyAlignment="0" applyProtection="0"/>
    <xf numFmtId="0" fontId="167" fillId="0" borderId="0">
      <alignment horizontal="left"/>
    </xf>
    <xf numFmtId="0" fontId="109" fillId="0" borderId="0"/>
    <xf numFmtId="0" fontId="109" fillId="0" borderId="0"/>
    <xf numFmtId="0" fontId="168" fillId="0" borderId="0"/>
    <xf numFmtId="0" fontId="5" fillId="0" borderId="0"/>
    <xf numFmtId="0" fontId="170" fillId="0" borderId="0"/>
    <xf numFmtId="169" fontId="7" fillId="0" borderId="0" applyFont="0" applyFill="0" applyBorder="0" applyAlignment="0" applyProtection="0"/>
    <xf numFmtId="169" fontId="170" fillId="0" borderId="0" applyFont="0" applyFill="0" applyBorder="0" applyAlignment="0" applyProtection="0"/>
    <xf numFmtId="0" fontId="7" fillId="0" borderId="0"/>
    <xf numFmtId="0" fontId="28" fillId="0" borderId="0"/>
    <xf numFmtId="0" fontId="179" fillId="0" borderId="0"/>
    <xf numFmtId="0" fontId="7" fillId="0" borderId="0" applyFont="0" applyFill="0" applyBorder="0" applyAlignment="0" applyProtection="0"/>
    <xf numFmtId="0" fontId="1" fillId="0" borderId="0"/>
    <xf numFmtId="0" fontId="7" fillId="0" borderId="0"/>
    <xf numFmtId="43" fontId="6" fillId="0" borderId="0" applyFont="0" applyFill="0" applyBorder="0" applyAlignment="0" applyProtection="0"/>
    <xf numFmtId="43" fontId="6" fillId="0" borderId="0" applyFont="0" applyFill="0" applyBorder="0" applyAlignment="0" applyProtection="0"/>
    <xf numFmtId="43" fontId="7" fillId="0" borderId="0" applyFont="0" applyFill="0" applyBorder="0" applyAlignment="0" applyProtection="0"/>
    <xf numFmtId="43" fontId="170" fillId="0" borderId="0" applyFont="0" applyFill="0" applyBorder="0" applyAlignment="0" applyProtection="0"/>
    <xf numFmtId="0" fontId="7" fillId="0" borderId="0"/>
    <xf numFmtId="169" fontId="6" fillId="0" borderId="0" applyFont="0" applyFill="0" applyBorder="0" applyAlignment="0" applyProtection="0"/>
  </cellStyleXfs>
  <cellXfs count="1687">
    <xf numFmtId="0" fontId="0" fillId="0" borderId="0" xfId="0"/>
    <xf numFmtId="0" fontId="7" fillId="0" borderId="0" xfId="1"/>
    <xf numFmtId="14" fontId="7" fillId="0" borderId="0" xfId="1" applyNumberFormat="1"/>
    <xf numFmtId="0" fontId="8" fillId="0" borderId="0" xfId="1" applyFont="1"/>
    <xf numFmtId="0" fontId="28" fillId="0" borderId="0" xfId="1" applyFont="1"/>
    <xf numFmtId="180" fontId="7" fillId="9" borderId="0" xfId="1" applyNumberFormat="1" applyFill="1" applyProtection="1">
      <protection locked="0"/>
    </xf>
    <xf numFmtId="4" fontId="7" fillId="9" borderId="0" xfId="1" applyNumberFormat="1" applyFill="1" applyProtection="1">
      <protection locked="0"/>
    </xf>
    <xf numFmtId="0" fontId="7" fillId="9" borderId="0" xfId="1" applyFill="1"/>
    <xf numFmtId="0" fontId="29" fillId="10" borderId="0" xfId="1" applyFont="1" applyFill="1"/>
    <xf numFmtId="185" fontId="29" fillId="10" borderId="0" xfId="1" applyNumberFormat="1" applyFont="1" applyFill="1"/>
    <xf numFmtId="0" fontId="28" fillId="11" borderId="0" xfId="1" applyFont="1" applyFill="1"/>
    <xf numFmtId="180" fontId="28" fillId="12" borderId="0" xfId="1" applyNumberFormat="1" applyFont="1" applyFill="1" applyProtection="1">
      <protection locked="0"/>
    </xf>
    <xf numFmtId="180" fontId="28" fillId="11" borderId="0" xfId="1" applyNumberFormat="1" applyFont="1" applyFill="1" applyProtection="1">
      <protection locked="0"/>
    </xf>
    <xf numFmtId="184" fontId="28" fillId="12" borderId="0" xfId="1" applyNumberFormat="1" applyFont="1" applyFill="1" applyProtection="1">
      <protection locked="0"/>
    </xf>
    <xf numFmtId="184" fontId="28" fillId="11" borderId="0" xfId="1" applyNumberFormat="1" applyFont="1" applyFill="1" applyProtection="1">
      <protection locked="0"/>
    </xf>
    <xf numFmtId="186" fontId="28" fillId="12" borderId="0" xfId="1" applyNumberFormat="1" applyFont="1" applyFill="1" applyProtection="1">
      <protection locked="0"/>
    </xf>
    <xf numFmtId="186" fontId="28" fillId="11" borderId="0" xfId="1" applyNumberFormat="1" applyFont="1" applyFill="1" applyProtection="1">
      <protection locked="0"/>
    </xf>
    <xf numFmtId="4" fontId="28" fillId="12" borderId="0" xfId="1" applyNumberFormat="1" applyFont="1" applyFill="1" applyProtection="1">
      <protection locked="0"/>
    </xf>
    <xf numFmtId="4" fontId="28" fillId="11" borderId="0" xfId="1" applyNumberFormat="1" applyFont="1" applyFill="1" applyProtection="1">
      <protection locked="0"/>
    </xf>
    <xf numFmtId="0" fontId="28" fillId="12" borderId="0" xfId="1" applyFont="1" applyFill="1"/>
    <xf numFmtId="49" fontId="28" fillId="11" borderId="0" xfId="1" applyNumberFormat="1" applyFont="1" applyFill="1" applyProtection="1">
      <protection locked="0"/>
    </xf>
    <xf numFmtId="0" fontId="8" fillId="11" borderId="0" xfId="1" applyFont="1" applyFill="1"/>
    <xf numFmtId="0" fontId="8" fillId="12" borderId="0" xfId="1" applyFont="1" applyFill="1"/>
    <xf numFmtId="185" fontId="8" fillId="11" borderId="0" xfId="1" applyNumberFormat="1" applyFont="1" applyFill="1"/>
    <xf numFmtId="0" fontId="28" fillId="9" borderId="0" xfId="1" applyFont="1" applyFill="1"/>
    <xf numFmtId="180" fontId="28" fillId="9" borderId="0" xfId="1" applyNumberFormat="1" applyFont="1" applyFill="1" applyProtection="1">
      <protection locked="0"/>
    </xf>
    <xf numFmtId="186" fontId="28" fillId="9" borderId="0" xfId="1" applyNumberFormat="1" applyFont="1" applyFill="1" applyProtection="1">
      <protection locked="0"/>
    </xf>
    <xf numFmtId="3" fontId="28" fillId="0" borderId="0" xfId="1" applyNumberFormat="1" applyFont="1"/>
    <xf numFmtId="4" fontId="28" fillId="9" borderId="0" xfId="1" applyNumberFormat="1" applyFont="1" applyFill="1" applyProtection="1">
      <protection locked="0"/>
    </xf>
    <xf numFmtId="3" fontId="28" fillId="9" borderId="0" xfId="1" applyNumberFormat="1" applyFont="1" applyFill="1" applyProtection="1">
      <protection locked="0"/>
    </xf>
    <xf numFmtId="9" fontId="28" fillId="12" borderId="0" xfId="1" applyNumberFormat="1" applyFont="1" applyFill="1"/>
    <xf numFmtId="0" fontId="30" fillId="0" borderId="0" xfId="1" applyFont="1"/>
    <xf numFmtId="49" fontId="28" fillId="14" borderId="0" xfId="1" applyNumberFormat="1" applyFont="1" applyFill="1"/>
    <xf numFmtId="14" fontId="28" fillId="14" borderId="0" xfId="1" applyNumberFormat="1" applyFont="1" applyFill="1" applyAlignment="1">
      <alignment horizontal="center"/>
    </xf>
    <xf numFmtId="0" fontId="28" fillId="14" borderId="0" xfId="1" applyFont="1" applyFill="1" applyAlignment="1">
      <alignment horizontal="center"/>
    </xf>
    <xf numFmtId="0" fontId="31" fillId="10" borderId="0" xfId="1" applyFont="1" applyFill="1" applyAlignment="1">
      <alignment horizontal="center"/>
    </xf>
    <xf numFmtId="0" fontId="31" fillId="10" borderId="0" xfId="1" applyFont="1" applyFill="1" applyAlignment="1">
      <alignment horizontal="left"/>
    </xf>
    <xf numFmtId="0" fontId="0" fillId="12" borderId="0" xfId="0" applyFill="1"/>
    <xf numFmtId="0" fontId="54" fillId="22" borderId="0" xfId="61" applyFont="1" applyBorder="1" applyAlignment="1"/>
    <xf numFmtId="0" fontId="50" fillId="12" borderId="0" xfId="60" applyFill="1" applyAlignment="1">
      <alignment horizontal="center"/>
    </xf>
    <xf numFmtId="0" fontId="52" fillId="23" borderId="3" xfId="62" applyBorder="1" applyAlignment="1"/>
    <xf numFmtId="0" fontId="0" fillId="12" borderId="20" xfId="0" applyFill="1" applyBorder="1"/>
    <xf numFmtId="0" fontId="104" fillId="20" borderId="0" xfId="374" applyFill="1" applyBorder="1" applyAlignment="1" applyProtection="1">
      <alignment horizontal="left"/>
    </xf>
    <xf numFmtId="0" fontId="104" fillId="22" borderId="0" xfId="374" applyFill="1" applyBorder="1" applyAlignment="1" applyProtection="1">
      <alignment horizontal="left"/>
    </xf>
    <xf numFmtId="3" fontId="5" fillId="0" borderId="0" xfId="2511" applyNumberFormat="1"/>
    <xf numFmtId="3" fontId="4" fillId="0" borderId="0" xfId="2511" quotePrefix="1" applyNumberFormat="1" applyFont="1"/>
    <xf numFmtId="0" fontId="4" fillId="0" borderId="0" xfId="0" applyFont="1"/>
    <xf numFmtId="3" fontId="4" fillId="0" borderId="0" xfId="2511" applyNumberFormat="1" applyFont="1"/>
    <xf numFmtId="173" fontId="5" fillId="0" borderId="0" xfId="2511" applyNumberFormat="1"/>
    <xf numFmtId="173" fontId="4" fillId="0" borderId="0" xfId="2511" applyNumberFormat="1" applyFont="1" applyAlignment="1">
      <alignment horizontal="center"/>
    </xf>
    <xf numFmtId="173" fontId="3" fillId="18" borderId="0" xfId="2511" applyNumberFormat="1" applyFont="1" applyFill="1" applyAlignment="1">
      <alignment horizontal="center"/>
    </xf>
    <xf numFmtId="173" fontId="3" fillId="0" borderId="0" xfId="2511" applyNumberFormat="1" applyFont="1" applyAlignment="1">
      <alignment horizontal="center"/>
    </xf>
    <xf numFmtId="3" fontId="3" fillId="0" borderId="0" xfId="2511" applyNumberFormat="1" applyFont="1"/>
    <xf numFmtId="9" fontId="5" fillId="0" borderId="0" xfId="2511" applyNumberFormat="1"/>
    <xf numFmtId="3" fontId="169" fillId="0" borderId="0" xfId="2511" applyNumberFormat="1" applyFont="1" applyAlignment="1">
      <alignment horizontal="center"/>
    </xf>
    <xf numFmtId="3" fontId="2" fillId="0" borderId="0" xfId="2511" applyNumberFormat="1" applyFont="1"/>
    <xf numFmtId="9" fontId="5" fillId="0" borderId="0" xfId="384" applyFont="1"/>
    <xf numFmtId="0" fontId="171" fillId="0" borderId="0" xfId="0" applyFont="1"/>
    <xf numFmtId="0" fontId="28" fillId="0" borderId="0" xfId="2512" applyFont="1" applyAlignment="1">
      <alignment horizontal="left"/>
    </xf>
    <xf numFmtId="187" fontId="28" fillId="0" borderId="0" xfId="2513" applyNumberFormat="1" applyFont="1" applyFill="1" applyBorder="1"/>
    <xf numFmtId="173" fontId="28" fillId="0" borderId="0" xfId="2513" applyNumberFormat="1" applyFont="1"/>
    <xf numFmtId="173" fontId="173" fillId="0" borderId="0" xfId="2513" applyNumberFormat="1" applyFont="1"/>
    <xf numFmtId="0" fontId="32" fillId="0" borderId="33" xfId="2512" applyFont="1" applyBorder="1"/>
    <xf numFmtId="330" fontId="32" fillId="0" borderId="33" xfId="2512" applyNumberFormat="1" applyFont="1" applyBorder="1"/>
    <xf numFmtId="0" fontId="174" fillId="0" borderId="0" xfId="2512" applyFont="1" applyAlignment="1">
      <alignment horizontal="left" indent="2"/>
    </xf>
    <xf numFmtId="0" fontId="174" fillId="0" borderId="0" xfId="2512" applyFont="1"/>
    <xf numFmtId="0" fontId="171" fillId="0" borderId="0" xfId="2512" applyFont="1"/>
    <xf numFmtId="0" fontId="28" fillId="0" borderId="33" xfId="2512" applyFont="1" applyBorder="1"/>
    <xf numFmtId="0" fontId="170" fillId="0" borderId="0" xfId="2512" applyAlignment="1">
      <alignment horizontal="left"/>
    </xf>
    <xf numFmtId="0" fontId="170" fillId="0" borderId="0" xfId="2512"/>
    <xf numFmtId="0" fontId="174" fillId="0" borderId="7" xfId="2512" applyFont="1" applyBorder="1" applyAlignment="1">
      <alignment horizontal="left"/>
    </xf>
    <xf numFmtId="0" fontId="174" fillId="0" borderId="7" xfId="2512" applyFont="1" applyBorder="1"/>
    <xf numFmtId="0" fontId="171" fillId="0" borderId="33" xfId="2512" applyFont="1" applyBorder="1" applyAlignment="1">
      <alignment horizontal="left"/>
    </xf>
    <xf numFmtId="0" fontId="170" fillId="0" borderId="33" xfId="2512" applyBorder="1"/>
    <xf numFmtId="190" fontId="171" fillId="0" borderId="33" xfId="2512" applyNumberFormat="1" applyFont="1" applyBorder="1"/>
    <xf numFmtId="3" fontId="170" fillId="0" borderId="0" xfId="2512" applyNumberFormat="1"/>
    <xf numFmtId="0" fontId="107" fillId="54" borderId="59" xfId="1" applyFont="1" applyFill="1" applyBorder="1"/>
    <xf numFmtId="0" fontId="105" fillId="54" borderId="33" xfId="0" applyFont="1" applyFill="1" applyBorder="1" applyAlignment="1">
      <alignment horizontal="center"/>
    </xf>
    <xf numFmtId="0" fontId="105" fillId="54" borderId="0" xfId="0" applyFont="1" applyFill="1" applyAlignment="1">
      <alignment horizontal="center"/>
    </xf>
    <xf numFmtId="0" fontId="107" fillId="54" borderId="33" xfId="0" applyFont="1" applyFill="1" applyBorder="1" applyAlignment="1">
      <alignment horizontal="center"/>
    </xf>
    <xf numFmtId="0" fontId="4" fillId="54" borderId="0" xfId="0" applyFont="1" applyFill="1"/>
    <xf numFmtId="173" fontId="4" fillId="54" borderId="0" xfId="2511" applyNumberFormat="1" applyFont="1" applyFill="1" applyAlignment="1">
      <alignment horizontal="center"/>
    </xf>
    <xf numFmtId="0" fontId="177" fillId="54" borderId="0" xfId="2515" applyFont="1" applyFill="1"/>
    <xf numFmtId="0" fontId="177" fillId="54" borderId="0" xfId="0" applyFont="1" applyFill="1" applyAlignment="1">
      <alignment horizontal="center" vertical="center"/>
    </xf>
    <xf numFmtId="0" fontId="45" fillId="0" borderId="0" xfId="2516" applyFont="1"/>
    <xf numFmtId="0" fontId="45" fillId="0" borderId="0" xfId="2516" applyFont="1" applyAlignment="1">
      <alignment horizontal="right"/>
    </xf>
    <xf numFmtId="0" fontId="45" fillId="0" borderId="0" xfId="2516" applyFont="1" applyAlignment="1">
      <alignment horizontal="center"/>
    </xf>
    <xf numFmtId="0" fontId="180" fillId="56" borderId="3" xfId="2517" applyFont="1" applyFill="1" applyBorder="1" applyAlignment="1">
      <alignment horizontal="right"/>
    </xf>
    <xf numFmtId="336" fontId="180" fillId="56" borderId="29" xfId="2517" applyNumberFormat="1" applyFont="1" applyFill="1" applyBorder="1" applyAlignment="1">
      <alignment horizontal="left"/>
    </xf>
    <xf numFmtId="0" fontId="180" fillId="56" borderId="62" xfId="2517" applyFont="1" applyFill="1" applyBorder="1" applyAlignment="1">
      <alignment horizontal="right"/>
    </xf>
    <xf numFmtId="0" fontId="45" fillId="12" borderId="0" xfId="2516" applyFont="1" applyFill="1"/>
    <xf numFmtId="0" fontId="177" fillId="12" borderId="0" xfId="2515" applyFont="1" applyFill="1"/>
    <xf numFmtId="0" fontId="177" fillId="12" borderId="0" xfId="2515" applyFont="1" applyFill="1" applyAlignment="1">
      <alignment horizontal="center"/>
    </xf>
    <xf numFmtId="0" fontId="181" fillId="0" borderId="64" xfId="2516" applyFont="1" applyBorder="1"/>
    <xf numFmtId="0" fontId="177" fillId="12" borderId="0" xfId="2515" applyFont="1" applyFill="1" applyAlignment="1">
      <alignment horizontal="right"/>
    </xf>
    <xf numFmtId="0" fontId="176" fillId="0" borderId="0" xfId="2515" applyFont="1" applyAlignment="1">
      <alignment horizontal="left"/>
    </xf>
    <xf numFmtId="0" fontId="177" fillId="0" borderId="0" xfId="2515" applyFont="1" applyAlignment="1">
      <alignment horizontal="center"/>
    </xf>
    <xf numFmtId="0" fontId="46" fillId="0" borderId="65" xfId="2515" applyFont="1" applyBorder="1" applyAlignment="1">
      <alignment horizontal="center"/>
    </xf>
    <xf numFmtId="1" fontId="45" fillId="12" borderId="0" xfId="45" applyNumberFormat="1" applyFont="1" applyFill="1" applyBorder="1" applyAlignment="1">
      <alignment horizontal="center"/>
    </xf>
    <xf numFmtId="3" fontId="45" fillId="0" borderId="0" xfId="45" applyNumberFormat="1" applyFont="1" applyFill="1" applyBorder="1" applyAlignment="1">
      <alignment horizontal="center"/>
    </xf>
    <xf numFmtId="9" fontId="45" fillId="0" borderId="65" xfId="384" applyFont="1" applyBorder="1" applyAlignment="1">
      <alignment horizontal="center"/>
    </xf>
    <xf numFmtId="0" fontId="46" fillId="12" borderId="0" xfId="2516" applyFont="1" applyFill="1"/>
    <xf numFmtId="1" fontId="46" fillId="12" borderId="0" xfId="45" applyNumberFormat="1" applyFont="1" applyFill="1" applyBorder="1" applyAlignment="1">
      <alignment horizontal="center"/>
    </xf>
    <xf numFmtId="0" fontId="177" fillId="12" borderId="0" xfId="1" applyFont="1" applyFill="1"/>
    <xf numFmtId="0" fontId="45" fillId="12" borderId="0" xfId="2516" applyFont="1" applyFill="1" applyAlignment="1">
      <alignment horizontal="right"/>
    </xf>
    <xf numFmtId="173" fontId="45" fillId="0" borderId="0" xfId="45" applyNumberFormat="1" applyFont="1" applyFill="1" applyBorder="1" applyAlignment="1">
      <alignment horizontal="center"/>
    </xf>
    <xf numFmtId="3" fontId="45" fillId="12" borderId="65" xfId="2516" applyNumberFormat="1" applyFont="1" applyFill="1" applyBorder="1" applyAlignment="1">
      <alignment horizontal="center"/>
    </xf>
    <xf numFmtId="0" fontId="45" fillId="0" borderId="0" xfId="45" applyNumberFormat="1" applyFont="1" applyFill="1" applyBorder="1" applyAlignment="1">
      <alignment horizontal="center"/>
    </xf>
    <xf numFmtId="0" fontId="45" fillId="0" borderId="65" xfId="2516" applyFont="1" applyBorder="1"/>
    <xf numFmtId="173" fontId="45" fillId="0" borderId="0" xfId="384" applyNumberFormat="1" applyFont="1" applyBorder="1" applyAlignment="1">
      <alignment horizontal="center"/>
    </xf>
    <xf numFmtId="0" fontId="182" fillId="12" borderId="0" xfId="1" applyFont="1" applyFill="1"/>
    <xf numFmtId="3" fontId="45" fillId="0" borderId="0" xfId="2516" applyNumberFormat="1" applyFont="1" applyAlignment="1">
      <alignment horizontal="center"/>
    </xf>
    <xf numFmtId="0" fontId="183" fillId="12" borderId="0" xfId="2516" applyFont="1" applyFill="1"/>
    <xf numFmtId="9" fontId="45" fillId="0" borderId="0" xfId="384" applyFont="1" applyBorder="1" applyAlignment="1">
      <alignment horizontal="center"/>
    </xf>
    <xf numFmtId="337" fontId="45" fillId="0" borderId="65" xfId="384" applyNumberFormat="1" applyFont="1" applyBorder="1" applyAlignment="1">
      <alignment horizontal="center"/>
    </xf>
    <xf numFmtId="337" fontId="45" fillId="0" borderId="65" xfId="2516" applyNumberFormat="1" applyFont="1" applyBorder="1" applyAlignment="1">
      <alignment horizontal="center"/>
    </xf>
    <xf numFmtId="0" fontId="45" fillId="0" borderId="66" xfId="2516" applyFont="1" applyBorder="1"/>
    <xf numFmtId="0" fontId="0" fillId="19" borderId="0" xfId="0" applyFill="1"/>
    <xf numFmtId="9" fontId="178" fillId="19" borderId="0" xfId="45" applyFont="1" applyFill="1" applyBorder="1" applyAlignment="1">
      <alignment horizontal="center"/>
    </xf>
    <xf numFmtId="173" fontId="45" fillId="19" borderId="0" xfId="2516" applyNumberFormat="1" applyFont="1" applyFill="1" applyAlignment="1">
      <alignment horizontal="right"/>
    </xf>
    <xf numFmtId="0" fontId="177" fillId="54" borderId="0" xfId="2515" applyFont="1" applyFill="1" applyAlignment="1">
      <alignment horizontal="center"/>
    </xf>
    <xf numFmtId="0" fontId="177" fillId="54" borderId="65" xfId="2515" applyFont="1" applyFill="1" applyBorder="1" applyAlignment="1">
      <alignment horizontal="center"/>
    </xf>
    <xf numFmtId="0" fontId="46" fillId="55" borderId="0" xfId="2516" applyFont="1" applyFill="1"/>
    <xf numFmtId="3" fontId="46" fillId="55" borderId="0" xfId="45" applyNumberFormat="1" applyFont="1" applyFill="1" applyBorder="1" applyAlignment="1">
      <alignment horizontal="center"/>
    </xf>
    <xf numFmtId="9" fontId="46" fillId="55" borderId="65" xfId="384" applyFont="1" applyFill="1" applyBorder="1" applyAlignment="1">
      <alignment horizontal="center"/>
    </xf>
    <xf numFmtId="3" fontId="46" fillId="55" borderId="0" xfId="2516" applyNumberFormat="1" applyFont="1" applyFill="1" applyAlignment="1">
      <alignment horizontal="center"/>
    </xf>
    <xf numFmtId="0" fontId="184" fillId="58" borderId="0" xfId="0" applyFont="1" applyFill="1" applyAlignment="1">
      <alignment horizontal="center" vertical="center"/>
    </xf>
    <xf numFmtId="0" fontId="45" fillId="19" borderId="0" xfId="2516" applyFont="1" applyFill="1" applyAlignment="1">
      <alignment horizontal="center" vertical="center"/>
    </xf>
    <xf numFmtId="0" fontId="185" fillId="0" borderId="0" xfId="2516" applyFont="1" applyAlignment="1">
      <alignment horizontal="centerContinuous"/>
    </xf>
    <xf numFmtId="173" fontId="170" fillId="0" borderId="0" xfId="2513" applyNumberFormat="1" applyFont="1"/>
    <xf numFmtId="0" fontId="171" fillId="0" borderId="33" xfId="2512" applyFont="1" applyBorder="1"/>
    <xf numFmtId="173" fontId="46" fillId="55" borderId="0" xfId="384" applyNumberFormat="1" applyFont="1" applyFill="1" applyBorder="1" applyAlignment="1">
      <alignment horizontal="center" vertical="center"/>
    </xf>
    <xf numFmtId="173" fontId="46" fillId="0" borderId="0" xfId="384" applyNumberFormat="1" applyFont="1" applyFill="1" applyBorder="1" applyAlignment="1">
      <alignment horizontal="center" vertical="center"/>
    </xf>
    <xf numFmtId="0" fontId="189" fillId="0" borderId="0" xfId="2516" applyFont="1"/>
    <xf numFmtId="0" fontId="172" fillId="60" borderId="60" xfId="0" applyFont="1" applyFill="1" applyBorder="1"/>
    <xf numFmtId="0" fontId="171" fillId="60" borderId="57" xfId="0" applyFont="1" applyFill="1" applyBorder="1" applyAlignment="1">
      <alignment horizontal="right"/>
    </xf>
    <xf numFmtId="0" fontId="171" fillId="60" borderId="10" xfId="0" applyFont="1" applyFill="1" applyBorder="1"/>
    <xf numFmtId="0" fontId="171" fillId="60" borderId="30" xfId="0" applyFont="1" applyFill="1" applyBorder="1" applyAlignment="1">
      <alignment horizontal="right"/>
    </xf>
    <xf numFmtId="0" fontId="175" fillId="0" borderId="0" xfId="0" applyFont="1" applyAlignment="1">
      <alignment vertical="center"/>
    </xf>
    <xf numFmtId="0" fontId="176" fillId="0" borderId="7" xfId="0" applyFont="1" applyBorder="1" applyAlignment="1">
      <alignment horizontal="left" vertical="center"/>
    </xf>
    <xf numFmtId="0" fontId="175" fillId="0" borderId="7" xfId="0" applyFont="1" applyBorder="1" applyAlignment="1">
      <alignment horizontal="center" vertical="center"/>
    </xf>
    <xf numFmtId="0" fontId="175" fillId="0" borderId="58" xfId="0" applyFont="1" applyBorder="1" applyAlignment="1">
      <alignment horizontal="center" vertical="center"/>
    </xf>
    <xf numFmtId="0" fontId="177" fillId="54" borderId="0" xfId="2515" applyFont="1" applyFill="1" applyAlignment="1">
      <alignment vertical="center"/>
    </xf>
    <xf numFmtId="3" fontId="175" fillId="0" borderId="0" xfId="0" applyNumberFormat="1" applyFont="1" applyAlignment="1">
      <alignment horizontal="center" vertical="center"/>
    </xf>
    <xf numFmtId="173" fontId="175" fillId="0" borderId="0" xfId="384" applyNumberFormat="1" applyFont="1" applyBorder="1" applyAlignment="1">
      <alignment horizontal="center" vertical="center"/>
    </xf>
    <xf numFmtId="0" fontId="46" fillId="55" borderId="0" xfId="43" applyFont="1" applyFill="1" applyAlignment="1">
      <alignment vertical="center"/>
    </xf>
    <xf numFmtId="0" fontId="46" fillId="0" borderId="0" xfId="43" applyFont="1" applyAlignment="1">
      <alignment vertical="center"/>
    </xf>
    <xf numFmtId="3" fontId="46" fillId="55" borderId="0" xfId="43" applyNumberFormat="1" applyFont="1" applyFill="1" applyAlignment="1">
      <alignment horizontal="center" vertical="center"/>
    </xf>
    <xf numFmtId="173" fontId="45" fillId="0" borderId="0" xfId="1" applyNumberFormat="1" applyFont="1" applyAlignment="1">
      <alignment horizontal="center" vertical="center"/>
    </xf>
    <xf numFmtId="0" fontId="175" fillId="0" borderId="0" xfId="0" applyFont="1" applyAlignment="1">
      <alignment horizontal="center" vertical="center"/>
    </xf>
    <xf numFmtId="335" fontId="175" fillId="0" borderId="0" xfId="0" applyNumberFormat="1" applyFont="1" applyAlignment="1">
      <alignment horizontal="center" vertical="center"/>
    </xf>
    <xf numFmtId="335" fontId="176" fillId="55" borderId="0" xfId="0" applyNumberFormat="1" applyFont="1" applyFill="1" applyAlignment="1">
      <alignment horizontal="center" vertical="center"/>
    </xf>
    <xf numFmtId="4" fontId="46" fillId="55" borderId="0" xfId="43" applyNumberFormat="1" applyFont="1" applyFill="1" applyAlignment="1">
      <alignment horizontal="center" vertical="center"/>
    </xf>
    <xf numFmtId="0" fontId="187" fillId="0" borderId="0" xfId="0" applyFont="1" applyAlignment="1">
      <alignment horizontal="left" vertical="center"/>
    </xf>
    <xf numFmtId="3" fontId="178" fillId="0" borderId="0" xfId="0" applyNumberFormat="1" applyFont="1" applyAlignment="1">
      <alignment horizontal="right" vertical="center"/>
    </xf>
    <xf numFmtId="173" fontId="178" fillId="0" borderId="0" xfId="384" applyNumberFormat="1" applyFont="1" applyBorder="1" applyAlignment="1">
      <alignment horizontal="right" vertical="center"/>
    </xf>
    <xf numFmtId="3" fontId="46" fillId="0" borderId="0" xfId="43" applyNumberFormat="1" applyFont="1" applyAlignment="1">
      <alignment horizontal="center" vertical="center"/>
    </xf>
    <xf numFmtId="173" fontId="178" fillId="0" borderId="0" xfId="384" applyNumberFormat="1" applyFont="1" applyBorder="1" applyAlignment="1">
      <alignment horizontal="left" vertical="center"/>
    </xf>
    <xf numFmtId="173" fontId="178" fillId="0" borderId="0" xfId="384" applyNumberFormat="1" applyFont="1" applyBorder="1" applyAlignment="1">
      <alignment horizontal="center" vertical="center"/>
    </xf>
    <xf numFmtId="9" fontId="175" fillId="0" borderId="0" xfId="384" applyFont="1" applyBorder="1" applyAlignment="1">
      <alignment horizontal="center" vertical="center"/>
    </xf>
    <xf numFmtId="9" fontId="46" fillId="55" borderId="0" xfId="384" applyFont="1" applyFill="1" applyBorder="1" applyAlignment="1">
      <alignment horizontal="center" vertical="center"/>
    </xf>
    <xf numFmtId="3" fontId="178" fillId="0" borderId="0" xfId="43" applyNumberFormat="1" applyFont="1" applyAlignment="1">
      <alignment horizontal="left" vertical="center"/>
    </xf>
    <xf numFmtId="0" fontId="171" fillId="55" borderId="0" xfId="2512" applyFont="1" applyFill="1"/>
    <xf numFmtId="173" fontId="171" fillId="0" borderId="0" xfId="384" applyNumberFormat="1" applyFont="1" applyFill="1" applyBorder="1"/>
    <xf numFmtId="330" fontId="28" fillId="0" borderId="58" xfId="2512" applyNumberFormat="1" applyFont="1" applyBorder="1"/>
    <xf numFmtId="0" fontId="28" fillId="0" borderId="0" xfId="2512" applyFont="1"/>
    <xf numFmtId="3" fontId="28" fillId="0" borderId="0" xfId="2512" applyNumberFormat="1" applyFont="1"/>
    <xf numFmtId="0" fontId="1" fillId="0" borderId="0" xfId="2519"/>
    <xf numFmtId="0" fontId="190" fillId="0" borderId="0" xfId="2520" applyFont="1" applyAlignment="1">
      <alignment horizontal="left" vertical="center" indent="11"/>
    </xf>
    <xf numFmtId="0" fontId="106" fillId="12" borderId="0" xfId="2520" applyFont="1" applyFill="1" applyAlignment="1">
      <alignment vertical="center"/>
    </xf>
    <xf numFmtId="0" fontId="191" fillId="54" borderId="0" xfId="2520" applyFont="1" applyFill="1" applyAlignment="1">
      <alignment vertical="center"/>
    </xf>
    <xf numFmtId="0" fontId="192" fillId="54" borderId="0" xfId="2520" quotePrefix="1" applyFont="1" applyFill="1" applyAlignment="1">
      <alignment horizontal="left" vertical="center" indent="4"/>
    </xf>
    <xf numFmtId="0" fontId="192" fillId="54" borderId="0" xfId="2520" applyFont="1" applyFill="1" applyAlignment="1">
      <alignment horizontal="left" vertical="center" indent="2"/>
    </xf>
    <xf numFmtId="0" fontId="193" fillId="57" borderId="0" xfId="2519" applyFont="1" applyFill="1"/>
    <xf numFmtId="0" fontId="194" fillId="0" borderId="0" xfId="2520" applyFont="1" applyAlignment="1">
      <alignment vertical="center"/>
    </xf>
    <xf numFmtId="0" fontId="195" fillId="0" borderId="0" xfId="2520" quotePrefix="1" applyFont="1" applyAlignment="1">
      <alignment horizontal="left" vertical="center" indent="4"/>
    </xf>
    <xf numFmtId="14" fontId="195" fillId="0" borderId="0" xfId="2520" applyNumberFormat="1" applyFont="1" applyAlignment="1">
      <alignment horizontal="left" vertical="center" indent="2"/>
    </xf>
    <xf numFmtId="0" fontId="196" fillId="0" borderId="0" xfId="2519" applyFont="1"/>
    <xf numFmtId="0" fontId="191" fillId="54" borderId="0" xfId="2520" applyFont="1" applyFill="1" applyAlignment="1">
      <alignment horizontal="left" vertical="center" indent="4"/>
    </xf>
    <xf numFmtId="0" fontId="196" fillId="57" borderId="0" xfId="2519" applyFont="1" applyFill="1"/>
    <xf numFmtId="0" fontId="194" fillId="0" borderId="0" xfId="2520" applyFont="1" applyAlignment="1">
      <alignment horizontal="left" vertical="center" indent="4"/>
    </xf>
    <xf numFmtId="0" fontId="194" fillId="0" borderId="0" xfId="2520" quotePrefix="1" applyFont="1" applyAlignment="1">
      <alignment horizontal="left" vertical="center" indent="5"/>
    </xf>
    <xf numFmtId="0" fontId="194" fillId="0" borderId="0" xfId="2520" quotePrefix="1" applyFont="1" applyAlignment="1">
      <alignment vertical="center"/>
    </xf>
    <xf numFmtId="0" fontId="194" fillId="0" borderId="0" xfId="2520" quotePrefix="1" applyFont="1" applyAlignment="1">
      <alignment horizontal="left" vertical="center" indent="2"/>
    </xf>
    <xf numFmtId="0" fontId="105" fillId="54" borderId="0" xfId="0" applyFont="1" applyFill="1"/>
    <xf numFmtId="173" fontId="105" fillId="54" borderId="0" xfId="2511" applyNumberFormat="1" applyFont="1" applyFill="1" applyAlignment="1">
      <alignment horizontal="center"/>
    </xf>
    <xf numFmtId="10" fontId="105" fillId="54" borderId="0" xfId="2511" applyNumberFormat="1" applyFont="1" applyFill="1" applyAlignment="1">
      <alignment horizontal="center"/>
    </xf>
    <xf numFmtId="3" fontId="105" fillId="54" borderId="0" xfId="2511" quotePrefix="1" applyNumberFormat="1" applyFont="1" applyFill="1"/>
    <xf numFmtId="3" fontId="105" fillId="54" borderId="0" xfId="2511" applyNumberFormat="1" applyFont="1" applyFill="1"/>
    <xf numFmtId="0" fontId="170" fillId="0" borderId="0" xfId="0" applyFont="1" applyAlignment="1">
      <alignment horizontal="right" vertical="center"/>
    </xf>
    <xf numFmtId="176" fontId="171" fillId="0" borderId="0" xfId="0" applyNumberFormat="1" applyFont="1" applyAlignment="1">
      <alignment vertical="center"/>
    </xf>
    <xf numFmtId="173" fontId="198" fillId="0" borderId="0" xfId="384" applyNumberFormat="1" applyFont="1" applyFill="1" applyAlignment="1">
      <alignment vertical="center"/>
    </xf>
    <xf numFmtId="338" fontId="170" fillId="0" borderId="0" xfId="0" applyNumberFormat="1" applyFont="1" applyAlignment="1">
      <alignment vertical="center"/>
    </xf>
    <xf numFmtId="0" fontId="170" fillId="0" borderId="0" xfId="0" applyFont="1" applyAlignment="1">
      <alignment vertical="center"/>
    </xf>
    <xf numFmtId="0" fontId="170" fillId="0" borderId="73" xfId="0" applyFont="1" applyBorder="1" applyAlignment="1">
      <alignment vertical="center"/>
    </xf>
    <xf numFmtId="0" fontId="32" fillId="59" borderId="0" xfId="0" applyFont="1" applyFill="1" applyAlignment="1">
      <alignment horizontal="right" vertical="center"/>
    </xf>
    <xf numFmtId="0" fontId="32" fillId="18" borderId="0" xfId="0" applyFont="1" applyFill="1" applyAlignment="1">
      <alignment horizontal="right" vertical="center"/>
    </xf>
    <xf numFmtId="339" fontId="171" fillId="0" borderId="0" xfId="0" applyNumberFormat="1" applyFont="1" applyAlignment="1">
      <alignment vertical="center"/>
    </xf>
    <xf numFmtId="0" fontId="171" fillId="19" borderId="0" xfId="0" applyFont="1" applyFill="1" applyAlignment="1">
      <alignment vertical="center"/>
    </xf>
    <xf numFmtId="0" fontId="200" fillId="0" borderId="0" xfId="0" applyFont="1" applyAlignment="1">
      <alignment horizontal="center" vertical="center"/>
    </xf>
    <xf numFmtId="176" fontId="170" fillId="0" borderId="0" xfId="0" applyNumberFormat="1" applyFont="1" applyAlignment="1">
      <alignment vertical="center"/>
    </xf>
    <xf numFmtId="338" fontId="200" fillId="0" borderId="0" xfId="0" applyNumberFormat="1" applyFont="1" applyAlignment="1">
      <alignment horizontal="center" vertical="center"/>
    </xf>
    <xf numFmtId="173" fontId="198" fillId="0" borderId="0" xfId="384" applyNumberFormat="1" applyFont="1" applyFill="1" applyBorder="1" applyAlignment="1">
      <alignment vertical="center"/>
    </xf>
    <xf numFmtId="169" fontId="170" fillId="0" borderId="0" xfId="0" applyNumberFormat="1" applyFont="1" applyAlignment="1">
      <alignment vertical="center"/>
    </xf>
    <xf numFmtId="230" fontId="170" fillId="0" borderId="0" xfId="2521" applyNumberFormat="1" applyFont="1" applyAlignment="1">
      <alignment vertical="center"/>
    </xf>
    <xf numFmtId="173" fontId="170" fillId="0" borderId="0" xfId="384" applyNumberFormat="1" applyFont="1" applyAlignment="1">
      <alignment vertical="center"/>
    </xf>
    <xf numFmtId="173" fontId="170" fillId="0" borderId="0" xfId="384" applyNumberFormat="1" applyFont="1" applyAlignment="1">
      <alignment horizontal="center" vertical="center"/>
    </xf>
    <xf numFmtId="9" fontId="204" fillId="0" borderId="0" xfId="384" applyFont="1" applyFill="1" applyBorder="1" applyAlignment="1">
      <alignment vertical="center"/>
    </xf>
    <xf numFmtId="176" fontId="204" fillId="0" borderId="0" xfId="0" applyNumberFormat="1" applyFont="1" applyAlignment="1">
      <alignment vertical="center"/>
    </xf>
    <xf numFmtId="9" fontId="173" fillId="60" borderId="0" xfId="384" applyFont="1" applyFill="1" applyBorder="1" applyAlignment="1">
      <alignment vertical="center"/>
    </xf>
    <xf numFmtId="9" fontId="173" fillId="0" borderId="0" xfId="384" applyFont="1" applyFill="1" applyBorder="1" applyAlignment="1">
      <alignment vertical="center"/>
    </xf>
    <xf numFmtId="176" fontId="173" fillId="0" borderId="0" xfId="0" applyNumberFormat="1" applyFont="1" applyAlignment="1">
      <alignment vertical="center"/>
    </xf>
    <xf numFmtId="176" fontId="206" fillId="60" borderId="0" xfId="0" applyNumberFormat="1" applyFont="1" applyFill="1" applyAlignment="1">
      <alignment vertical="center"/>
    </xf>
    <xf numFmtId="0" fontId="170" fillId="0" borderId="0" xfId="0" applyFont="1"/>
    <xf numFmtId="0" fontId="32" fillId="12" borderId="0" xfId="1" applyFont="1" applyFill="1"/>
    <xf numFmtId="0" fontId="32" fillId="57" borderId="0" xfId="0" applyFont="1" applyFill="1" applyAlignment="1">
      <alignment horizontal="right" vertical="center"/>
    </xf>
    <xf numFmtId="176" fontId="208" fillId="0" borderId="0" xfId="0" applyNumberFormat="1" applyFont="1" applyAlignment="1">
      <alignment vertical="center"/>
    </xf>
    <xf numFmtId="9" fontId="208" fillId="0" borderId="0" xfId="384" applyFont="1" applyFill="1" applyBorder="1" applyAlignment="1">
      <alignment vertical="center"/>
    </xf>
    <xf numFmtId="176" fontId="209" fillId="62" borderId="0" xfId="0" applyNumberFormat="1" applyFont="1" applyFill="1" applyAlignment="1">
      <alignment vertical="center"/>
    </xf>
    <xf numFmtId="9" fontId="209" fillId="62" borderId="0" xfId="384" applyFont="1" applyFill="1" applyBorder="1" applyAlignment="1">
      <alignment vertical="center"/>
    </xf>
    <xf numFmtId="9" fontId="170" fillId="0" borderId="0" xfId="384" applyFont="1" applyFill="1" applyBorder="1" applyAlignment="1">
      <alignment vertical="center"/>
    </xf>
    <xf numFmtId="188" fontId="204" fillId="0" borderId="0" xfId="0" applyNumberFormat="1" applyFont="1" applyAlignment="1">
      <alignment vertical="center"/>
    </xf>
    <xf numFmtId="9" fontId="170" fillId="60" borderId="0" xfId="384" applyFont="1" applyFill="1" applyBorder="1" applyAlignment="1">
      <alignment vertical="center"/>
    </xf>
    <xf numFmtId="173" fontId="204" fillId="0" borderId="0" xfId="384" applyNumberFormat="1" applyFont="1" applyFill="1" applyBorder="1" applyAlignment="1">
      <alignment vertical="center"/>
    </xf>
    <xf numFmtId="341" fontId="204" fillId="0" borderId="0" xfId="0" applyNumberFormat="1" applyFont="1" applyAlignment="1">
      <alignment vertical="center"/>
    </xf>
    <xf numFmtId="173" fontId="173" fillId="0" borderId="0" xfId="384" applyNumberFormat="1" applyFont="1" applyFill="1" applyBorder="1" applyAlignment="1">
      <alignment vertical="center"/>
    </xf>
    <xf numFmtId="173" fontId="170" fillId="0" borderId="0" xfId="384" applyNumberFormat="1" applyFont="1" applyFill="1" applyBorder="1" applyAlignment="1">
      <alignment vertical="center"/>
    </xf>
    <xf numFmtId="3" fontId="173" fillId="0" borderId="0" xfId="1" applyNumberFormat="1" applyFont="1"/>
    <xf numFmtId="176" fontId="170" fillId="60" borderId="0" xfId="0" applyNumberFormat="1" applyFont="1" applyFill="1" applyAlignment="1">
      <alignment vertical="center"/>
    </xf>
    <xf numFmtId="176" fontId="174" fillId="0" borderId="0" xfId="0" applyNumberFormat="1" applyFont="1" applyAlignment="1">
      <alignment vertical="center"/>
    </xf>
    <xf numFmtId="176" fontId="172" fillId="0" borderId="0" xfId="0" applyNumberFormat="1" applyFont="1" applyAlignment="1">
      <alignment vertical="center"/>
    </xf>
    <xf numFmtId="176" fontId="200" fillId="0" borderId="0" xfId="0" applyNumberFormat="1" applyFont="1" applyAlignment="1">
      <alignment vertical="center"/>
    </xf>
    <xf numFmtId="9" fontId="200" fillId="0" borderId="0" xfId="384" applyFont="1" applyFill="1" applyBorder="1" applyAlignment="1">
      <alignment vertical="center"/>
    </xf>
    <xf numFmtId="340" fontId="204" fillId="0" borderId="0" xfId="0" applyNumberFormat="1" applyFont="1" applyAlignment="1">
      <alignment vertical="center"/>
    </xf>
    <xf numFmtId="172" fontId="170" fillId="0" borderId="0" xfId="0" applyNumberFormat="1" applyFont="1"/>
    <xf numFmtId="0" fontId="46" fillId="66" borderId="0" xfId="2516" applyFont="1" applyFill="1" applyAlignment="1">
      <alignment horizontal="centerContinuous" vertical="center"/>
    </xf>
    <xf numFmtId="0" fontId="45" fillId="66" borderId="0" xfId="2516" applyFont="1" applyFill="1" applyAlignment="1">
      <alignment horizontal="centerContinuous"/>
    </xf>
    <xf numFmtId="0" fontId="46" fillId="67" borderId="0" xfId="2516" applyFont="1" applyFill="1" applyAlignment="1">
      <alignment horizontal="centerContinuous" vertical="center"/>
    </xf>
    <xf numFmtId="0" fontId="46" fillId="64" borderId="0" xfId="2516" applyFont="1" applyFill="1" applyAlignment="1">
      <alignment horizontal="centerContinuous" vertical="center"/>
    </xf>
    <xf numFmtId="14" fontId="180" fillId="56" borderId="63" xfId="2517" applyNumberFormat="1" applyFont="1" applyFill="1" applyBorder="1" applyAlignment="1">
      <alignment horizontal="left"/>
    </xf>
    <xf numFmtId="336" fontId="186" fillId="56" borderId="29" xfId="2517" applyNumberFormat="1" applyFont="1" applyFill="1" applyBorder="1" applyAlignment="1">
      <alignment horizontal="left"/>
    </xf>
    <xf numFmtId="173" fontId="45" fillId="0" borderId="0" xfId="384" applyNumberFormat="1" applyFont="1" applyFill="1" applyBorder="1" applyAlignment="1">
      <alignment horizontal="center"/>
    </xf>
    <xf numFmtId="3" fontId="46" fillId="0" borderId="0" xfId="2516" applyNumberFormat="1" applyFont="1" applyAlignment="1">
      <alignment horizontal="center"/>
    </xf>
    <xf numFmtId="0" fontId="46" fillId="68" borderId="0" xfId="2516" applyFont="1" applyFill="1" applyAlignment="1">
      <alignment horizontal="centerContinuous" vertical="center"/>
    </xf>
    <xf numFmtId="0" fontId="177" fillId="68" borderId="0" xfId="2516" applyFont="1" applyFill="1" applyAlignment="1">
      <alignment horizontal="centerContinuous" vertical="center"/>
    </xf>
    <xf numFmtId="0" fontId="46" fillId="0" borderId="0" xfId="2516" applyFont="1"/>
    <xf numFmtId="173" fontId="46" fillId="55" borderId="0" xfId="384" applyNumberFormat="1" applyFont="1" applyFill="1" applyBorder="1" applyAlignment="1">
      <alignment horizontal="center"/>
    </xf>
    <xf numFmtId="337" fontId="46" fillId="55" borderId="65" xfId="2516" applyNumberFormat="1" applyFont="1" applyFill="1" applyBorder="1" applyAlignment="1">
      <alignment horizontal="center"/>
    </xf>
    <xf numFmtId="0" fontId="210" fillId="0" borderId="0" xfId="2516" applyFont="1" applyAlignment="1">
      <alignment horizontal="right"/>
    </xf>
    <xf numFmtId="0" fontId="183" fillId="0" borderId="0" xfId="2516" applyFont="1"/>
    <xf numFmtId="1" fontId="204" fillId="0" borderId="0" xfId="0" applyNumberFormat="1" applyFont="1" applyAlignment="1">
      <alignment vertical="center"/>
    </xf>
    <xf numFmtId="1" fontId="204" fillId="0" borderId="0" xfId="384" applyNumberFormat="1" applyFont="1" applyFill="1" applyBorder="1" applyAlignment="1">
      <alignment vertical="center"/>
    </xf>
    <xf numFmtId="188" fontId="173" fillId="0" borderId="0" xfId="0" applyNumberFormat="1" applyFont="1" applyAlignment="1">
      <alignment vertical="center"/>
    </xf>
    <xf numFmtId="176" fontId="209" fillId="0" borderId="0" xfId="0" applyNumberFormat="1" applyFont="1" applyAlignment="1">
      <alignment vertical="center"/>
    </xf>
    <xf numFmtId="176" fontId="205" fillId="0" borderId="0" xfId="0" applyNumberFormat="1" applyFont="1" applyAlignment="1">
      <alignment vertical="center"/>
    </xf>
    <xf numFmtId="9" fontId="209" fillId="0" borderId="0" xfId="384" applyFont="1" applyFill="1" applyBorder="1" applyAlignment="1">
      <alignment vertical="center"/>
    </xf>
    <xf numFmtId="173" fontId="208" fillId="0" borderId="0" xfId="384" applyNumberFormat="1" applyFont="1" applyFill="1" applyBorder="1" applyAlignment="1">
      <alignment vertical="center"/>
    </xf>
    <xf numFmtId="0" fontId="173" fillId="61" borderId="0" xfId="0" applyFont="1" applyFill="1"/>
    <xf numFmtId="3" fontId="173" fillId="61" borderId="0" xfId="0" applyNumberFormat="1" applyFont="1" applyFill="1"/>
    <xf numFmtId="3" fontId="170" fillId="0" borderId="0" xfId="0" applyNumberFormat="1" applyFont="1"/>
    <xf numFmtId="3" fontId="173" fillId="0" borderId="0" xfId="0" applyNumberFormat="1" applyFont="1"/>
    <xf numFmtId="0" fontId="170" fillId="0" borderId="0" xfId="0" applyFont="1" applyAlignment="1">
      <alignment horizontal="left" indent="1"/>
    </xf>
    <xf numFmtId="9" fontId="170" fillId="0" borderId="0" xfId="0" applyNumberFormat="1" applyFont="1"/>
    <xf numFmtId="0" fontId="170" fillId="12" borderId="0" xfId="0" applyFont="1" applyFill="1"/>
    <xf numFmtId="9" fontId="173" fillId="12" borderId="0" xfId="0" applyNumberFormat="1" applyFont="1" applyFill="1"/>
    <xf numFmtId="9" fontId="173" fillId="0" borderId="0" xfId="0" applyNumberFormat="1" applyFont="1"/>
    <xf numFmtId="0" fontId="170" fillId="12" borderId="0" xfId="0" applyFont="1" applyFill="1" applyAlignment="1">
      <alignment horizontal="left"/>
    </xf>
    <xf numFmtId="0" fontId="170" fillId="12" borderId="0" xfId="0" applyFont="1" applyFill="1" applyAlignment="1">
      <alignment horizontal="left" indent="1"/>
    </xf>
    <xf numFmtId="3" fontId="173" fillId="12" borderId="0" xfId="0" applyNumberFormat="1" applyFont="1" applyFill="1"/>
    <xf numFmtId="0" fontId="173" fillId="12" borderId="0" xfId="0" applyFont="1" applyFill="1"/>
    <xf numFmtId="9" fontId="173" fillId="61" borderId="0" xfId="0" applyNumberFormat="1" applyFont="1" applyFill="1"/>
    <xf numFmtId="173" fontId="173" fillId="12" borderId="0" xfId="0" applyNumberFormat="1" applyFont="1" applyFill="1"/>
    <xf numFmtId="1" fontId="173" fillId="12" borderId="0" xfId="0" applyNumberFormat="1" applyFont="1" applyFill="1" applyAlignment="1">
      <alignment horizontal="center"/>
    </xf>
    <xf numFmtId="3" fontId="171" fillId="0" borderId="0" xfId="0" applyNumberFormat="1" applyFont="1"/>
    <xf numFmtId="0" fontId="172" fillId="0" borderId="0" xfId="0" applyFont="1"/>
    <xf numFmtId="3" fontId="172" fillId="0" borderId="0" xfId="0" applyNumberFormat="1" applyFont="1"/>
    <xf numFmtId="9" fontId="170" fillId="12" borderId="0" xfId="0" applyNumberFormat="1" applyFont="1" applyFill="1"/>
    <xf numFmtId="172" fontId="171" fillId="0" borderId="0" xfId="0" applyNumberFormat="1" applyFont="1"/>
    <xf numFmtId="0" fontId="28" fillId="0" borderId="0" xfId="1" applyFont="1" applyAlignment="1">
      <alignment horizontal="left" indent="2"/>
    </xf>
    <xf numFmtId="0" fontId="32" fillId="0" borderId="0" xfId="1" applyFont="1" applyAlignment="1">
      <alignment horizontal="left"/>
    </xf>
    <xf numFmtId="3" fontId="172" fillId="0" borderId="0" xfId="1" applyNumberFormat="1" applyFont="1"/>
    <xf numFmtId="3" fontId="32" fillId="0" borderId="0" xfId="1" applyNumberFormat="1" applyFont="1"/>
    <xf numFmtId="0" fontId="199" fillId="54" borderId="0" xfId="1" applyFont="1" applyFill="1"/>
    <xf numFmtId="0" fontId="28" fillId="54" borderId="0" xfId="1" applyFont="1" applyFill="1"/>
    <xf numFmtId="180" fontId="28" fillId="12" borderId="0" xfId="1" applyNumberFormat="1" applyFont="1" applyFill="1"/>
    <xf numFmtId="173" fontId="28" fillId="12" borderId="0" xfId="1" applyNumberFormat="1" applyFont="1" applyFill="1"/>
    <xf numFmtId="9" fontId="207" fillId="54" borderId="0" xfId="1" applyNumberFormat="1" applyFont="1" applyFill="1"/>
    <xf numFmtId="3" fontId="28" fillId="12" borderId="0" xfId="1" applyNumberFormat="1" applyFont="1" applyFill="1"/>
    <xf numFmtId="180" fontId="32" fillId="12" borderId="0" xfId="1" applyNumberFormat="1" applyFont="1" applyFill="1"/>
    <xf numFmtId="3" fontId="32" fillId="12" borderId="0" xfId="1" applyNumberFormat="1" applyFont="1" applyFill="1"/>
    <xf numFmtId="3" fontId="172" fillId="12" borderId="0" xfId="1" applyNumberFormat="1" applyFont="1" applyFill="1"/>
    <xf numFmtId="0" fontId="28" fillId="12" borderId="0" xfId="1" applyFont="1" applyFill="1" applyAlignment="1">
      <alignment horizontal="left" indent="1"/>
    </xf>
    <xf numFmtId="0" fontId="173" fillId="12" borderId="0" xfId="1" applyFont="1" applyFill="1"/>
    <xf numFmtId="3" fontId="173" fillId="12" borderId="0" xfId="1" applyNumberFormat="1" applyFont="1" applyFill="1"/>
    <xf numFmtId="188" fontId="170" fillId="0" borderId="0" xfId="0" applyNumberFormat="1" applyFont="1" applyAlignment="1">
      <alignment vertical="center"/>
    </xf>
    <xf numFmtId="0" fontId="32" fillId="0" borderId="0" xfId="1" applyFont="1"/>
    <xf numFmtId="173" fontId="32" fillId="0" borderId="0" xfId="1" applyNumberFormat="1" applyFont="1"/>
    <xf numFmtId="9" fontId="32" fillId="0" borderId="0" xfId="1" applyNumberFormat="1" applyFont="1"/>
    <xf numFmtId="3" fontId="32" fillId="0" borderId="0" xfId="383" applyNumberFormat="1" applyFont="1" applyFill="1" applyBorder="1"/>
    <xf numFmtId="2" fontId="32" fillId="12" borderId="0" xfId="1" applyNumberFormat="1" applyFont="1" applyFill="1"/>
    <xf numFmtId="1" fontId="28" fillId="12" borderId="0" xfId="1" applyNumberFormat="1" applyFont="1" applyFill="1"/>
    <xf numFmtId="1" fontId="173" fillId="0" borderId="0" xfId="1" applyNumberFormat="1" applyFont="1"/>
    <xf numFmtId="0" fontId="173" fillId="0" borderId="0" xfId="0" applyFont="1"/>
    <xf numFmtId="9" fontId="173" fillId="60" borderId="0" xfId="1" applyNumberFormat="1" applyFont="1" applyFill="1"/>
    <xf numFmtId="180" fontId="173" fillId="60" borderId="0" xfId="1" applyNumberFormat="1" applyFont="1" applyFill="1"/>
    <xf numFmtId="0" fontId="199" fillId="54" borderId="0" xfId="0" applyFont="1" applyFill="1" applyAlignment="1">
      <alignment vertical="center"/>
    </xf>
    <xf numFmtId="0" fontId="32" fillId="19" borderId="0" xfId="0" applyFont="1" applyFill="1" applyAlignment="1">
      <alignment vertical="center"/>
    </xf>
    <xf numFmtId="338" fontId="32" fillId="19" borderId="0" xfId="0" applyNumberFormat="1" applyFont="1" applyFill="1" applyAlignment="1">
      <alignment vertical="center"/>
    </xf>
    <xf numFmtId="176" fontId="32" fillId="19" borderId="0" xfId="0" applyNumberFormat="1" applyFont="1" applyFill="1" applyAlignment="1">
      <alignment vertical="center"/>
    </xf>
    <xf numFmtId="340" fontId="170" fillId="0" borderId="0" xfId="0" applyNumberFormat="1" applyFont="1" applyAlignment="1">
      <alignment vertical="center"/>
    </xf>
    <xf numFmtId="340" fontId="173" fillId="0" borderId="0" xfId="0" applyNumberFormat="1" applyFont="1" applyAlignment="1">
      <alignment vertical="center"/>
    </xf>
    <xf numFmtId="9" fontId="170" fillId="0" borderId="0" xfId="384" applyFont="1" applyBorder="1" applyAlignment="1">
      <alignment vertical="center"/>
    </xf>
    <xf numFmtId="9" fontId="173" fillId="0" borderId="0" xfId="384" applyFont="1" applyBorder="1" applyAlignment="1">
      <alignment vertical="center"/>
    </xf>
    <xf numFmtId="340" fontId="171" fillId="0" borderId="0" xfId="0" applyNumberFormat="1" applyFont="1" applyAlignment="1">
      <alignment vertical="center"/>
    </xf>
    <xf numFmtId="3" fontId="170" fillId="0" borderId="0" xfId="0" applyNumberFormat="1" applyFont="1" applyAlignment="1">
      <alignment vertical="center"/>
    </xf>
    <xf numFmtId="0" fontId="201" fillId="0" borderId="0" xfId="0" applyFont="1" applyAlignment="1">
      <alignment vertical="center"/>
    </xf>
    <xf numFmtId="340" fontId="28" fillId="60" borderId="0" xfId="0" applyNumberFormat="1" applyFont="1" applyFill="1" applyAlignment="1">
      <alignment vertical="center"/>
    </xf>
    <xf numFmtId="0" fontId="170" fillId="0" borderId="73" xfId="0" applyFont="1" applyBorder="1" applyAlignment="1">
      <alignment horizontal="center" vertical="center"/>
    </xf>
    <xf numFmtId="0" fontId="170" fillId="0" borderId="0" xfId="0" applyFont="1" applyAlignment="1">
      <alignment horizontal="center" vertical="center"/>
    </xf>
    <xf numFmtId="3" fontId="170" fillId="12" borderId="0" xfId="0" applyNumberFormat="1" applyFont="1" applyFill="1"/>
    <xf numFmtId="3" fontId="170" fillId="60" borderId="0" xfId="0" applyNumberFormat="1" applyFont="1" applyFill="1"/>
    <xf numFmtId="3" fontId="173" fillId="60" borderId="0" xfId="0" applyNumberFormat="1" applyFont="1" applyFill="1"/>
    <xf numFmtId="9" fontId="170" fillId="12" borderId="0" xfId="384" applyFont="1" applyFill="1" applyBorder="1"/>
    <xf numFmtId="173" fontId="170" fillId="12" borderId="0" xfId="384" applyNumberFormat="1" applyFont="1" applyFill="1" applyBorder="1"/>
    <xf numFmtId="173" fontId="170" fillId="60" borderId="0" xfId="384" applyNumberFormat="1" applyFont="1" applyFill="1" applyBorder="1"/>
    <xf numFmtId="187" fontId="32" fillId="0" borderId="0" xfId="383" applyNumberFormat="1" applyFont="1" applyFill="1" applyBorder="1" applyAlignment="1">
      <alignment horizontal="left"/>
    </xf>
    <xf numFmtId="3" fontId="32" fillId="0" borderId="0" xfId="383" applyNumberFormat="1" applyFont="1" applyFill="1" applyBorder="1" applyAlignment="1">
      <alignment horizontal="right"/>
    </xf>
    <xf numFmtId="3" fontId="28" fillId="60" borderId="0" xfId="1" applyNumberFormat="1" applyFont="1" applyFill="1"/>
    <xf numFmtId="180" fontId="28" fillId="60" borderId="0" xfId="1" applyNumberFormat="1" applyFont="1" applyFill="1"/>
    <xf numFmtId="3" fontId="173" fillId="60" borderId="0" xfId="1" applyNumberFormat="1" applyFont="1" applyFill="1"/>
    <xf numFmtId="173" fontId="28" fillId="60" borderId="0" xfId="1" applyNumberFormat="1" applyFont="1" applyFill="1"/>
    <xf numFmtId="0" fontId="171" fillId="12" borderId="0" xfId="0" applyFont="1" applyFill="1"/>
    <xf numFmtId="0" fontId="199" fillId="18" borderId="0" xfId="0" applyFont="1" applyFill="1" applyAlignment="1">
      <alignment vertical="center"/>
    </xf>
    <xf numFmtId="0" fontId="199" fillId="54" borderId="0" xfId="0" applyFont="1" applyFill="1" applyAlignment="1">
      <alignment horizontal="right" vertical="center"/>
    </xf>
    <xf numFmtId="0" fontId="171" fillId="18" borderId="0" xfId="0" applyFont="1" applyFill="1" applyAlignment="1">
      <alignment horizontal="right" vertical="center"/>
    </xf>
    <xf numFmtId="340" fontId="170" fillId="60" borderId="0" xfId="0" applyNumberFormat="1" applyFont="1" applyFill="1" applyAlignment="1">
      <alignment vertical="center"/>
    </xf>
    <xf numFmtId="9" fontId="207" fillId="18" borderId="0" xfId="1" applyNumberFormat="1" applyFont="1" applyFill="1"/>
    <xf numFmtId="0" fontId="199" fillId="18" borderId="0" xfId="1" applyFont="1" applyFill="1"/>
    <xf numFmtId="338" fontId="200" fillId="65" borderId="0" xfId="0" applyNumberFormat="1" applyFont="1" applyFill="1" applyAlignment="1">
      <alignment horizontal="center" vertical="center"/>
    </xf>
    <xf numFmtId="176" fontId="32" fillId="0" borderId="0" xfId="0" applyNumberFormat="1" applyFont="1" applyAlignment="1">
      <alignment vertical="center"/>
    </xf>
    <xf numFmtId="9" fontId="170" fillId="0" borderId="0" xfId="384" applyFont="1" applyBorder="1"/>
    <xf numFmtId="9" fontId="171" fillId="0" borderId="0" xfId="384" applyFont="1" applyBorder="1"/>
    <xf numFmtId="3" fontId="173" fillId="0" borderId="0" xfId="0" applyNumberFormat="1" applyFont="1" applyAlignment="1">
      <alignment vertical="center"/>
    </xf>
    <xf numFmtId="176" fontId="170" fillId="0" borderId="0" xfId="0" applyNumberFormat="1" applyFont="1"/>
    <xf numFmtId="3" fontId="171" fillId="0" borderId="0" xfId="0" applyNumberFormat="1" applyFont="1" applyAlignment="1">
      <alignment vertical="center"/>
    </xf>
    <xf numFmtId="173" fontId="170" fillId="0" borderId="0" xfId="384" applyNumberFormat="1" applyFont="1" applyBorder="1"/>
    <xf numFmtId="173" fontId="171" fillId="0" borderId="0" xfId="384" applyNumberFormat="1" applyFont="1" applyBorder="1"/>
    <xf numFmtId="2" fontId="32" fillId="19" borderId="0" xfId="0" applyNumberFormat="1" applyFont="1" applyFill="1" applyAlignment="1">
      <alignment vertical="center"/>
    </xf>
    <xf numFmtId="2" fontId="170" fillId="0" borderId="0" xfId="0" applyNumberFormat="1" applyFont="1"/>
    <xf numFmtId="0" fontId="33" fillId="12" borderId="0" xfId="1" applyFont="1" applyFill="1" applyAlignment="1">
      <alignment horizontal="left" indent="1"/>
    </xf>
    <xf numFmtId="192" fontId="28" fillId="12" borderId="0" xfId="1" applyNumberFormat="1" applyFont="1" applyFill="1"/>
    <xf numFmtId="180" fontId="173" fillId="12" borderId="0" xfId="1" applyNumberFormat="1" applyFont="1" applyFill="1"/>
    <xf numFmtId="4" fontId="28" fillId="12" borderId="0" xfId="1" applyNumberFormat="1" applyFont="1" applyFill="1"/>
    <xf numFmtId="2" fontId="28" fillId="12" borderId="0" xfId="1" applyNumberFormat="1" applyFont="1" applyFill="1"/>
    <xf numFmtId="4" fontId="173" fillId="12" borderId="0" xfId="1" applyNumberFormat="1" applyFont="1" applyFill="1"/>
    <xf numFmtId="9" fontId="28" fillId="0" borderId="0" xfId="1" applyNumberFormat="1" applyFont="1"/>
    <xf numFmtId="172" fontId="173" fillId="12" borderId="0" xfId="1" applyNumberFormat="1" applyFont="1" applyFill="1"/>
    <xf numFmtId="1" fontId="28" fillId="0" borderId="0" xfId="1" applyNumberFormat="1" applyFont="1"/>
    <xf numFmtId="0" fontId="28" fillId="0" borderId="0" xfId="1" applyFont="1" applyAlignment="1">
      <alignment horizontal="left" indent="1"/>
    </xf>
    <xf numFmtId="1" fontId="173" fillId="12" borderId="0" xfId="1" applyNumberFormat="1" applyFont="1" applyFill="1"/>
    <xf numFmtId="1" fontId="28" fillId="60" borderId="0" xfId="1" applyNumberFormat="1" applyFont="1" applyFill="1"/>
    <xf numFmtId="180" fontId="28" fillId="0" borderId="0" xfId="1" applyNumberFormat="1" applyFont="1"/>
    <xf numFmtId="9" fontId="28" fillId="12" borderId="0" xfId="384" applyFont="1" applyFill="1" applyBorder="1"/>
    <xf numFmtId="0" fontId="173" fillId="0" borderId="0" xfId="1" applyFont="1"/>
    <xf numFmtId="9" fontId="28" fillId="60" borderId="0" xfId="1" applyNumberFormat="1" applyFont="1" applyFill="1"/>
    <xf numFmtId="4" fontId="28" fillId="0" borderId="0" xfId="1" applyNumberFormat="1" applyFont="1"/>
    <xf numFmtId="190" fontId="28" fillId="12" borderId="0" xfId="1" applyNumberFormat="1" applyFont="1" applyFill="1"/>
    <xf numFmtId="173" fontId="170" fillId="0" borderId="0" xfId="1" applyNumberFormat="1" applyFont="1"/>
    <xf numFmtId="4" fontId="28" fillId="12" borderId="0" xfId="1" quotePrefix="1" applyNumberFormat="1" applyFont="1" applyFill="1"/>
    <xf numFmtId="9" fontId="28" fillId="0" borderId="0" xfId="384" applyFont="1" applyFill="1" applyBorder="1"/>
    <xf numFmtId="0" fontId="28" fillId="12" borderId="0" xfId="1" applyFont="1" applyFill="1" applyAlignment="1">
      <alignment horizontal="left" indent="2"/>
    </xf>
    <xf numFmtId="1" fontId="170" fillId="0" borderId="0" xfId="0" applyNumberFormat="1" applyFont="1"/>
    <xf numFmtId="176" fontId="173" fillId="0" borderId="0" xfId="0" applyNumberFormat="1" applyFont="1"/>
    <xf numFmtId="1" fontId="171" fillId="0" borderId="0" xfId="0" applyNumberFormat="1" applyFont="1"/>
    <xf numFmtId="0" fontId="28" fillId="12" borderId="0" xfId="1" applyFont="1" applyFill="1" applyAlignment="1">
      <alignment horizontal="left"/>
    </xf>
    <xf numFmtId="3" fontId="28" fillId="12" borderId="0" xfId="383" applyNumberFormat="1" applyFont="1" applyFill="1" applyBorder="1"/>
    <xf numFmtId="3" fontId="173" fillId="12" borderId="0" xfId="383" applyNumberFormat="1" applyFont="1" applyFill="1" applyBorder="1"/>
    <xf numFmtId="172" fontId="173" fillId="0" borderId="0" xfId="0" applyNumberFormat="1" applyFont="1"/>
    <xf numFmtId="0" fontId="203" fillId="12" borderId="0" xfId="1" applyFont="1" applyFill="1"/>
    <xf numFmtId="1" fontId="203" fillId="12" borderId="0" xfId="1" applyNumberFormat="1" applyFont="1" applyFill="1"/>
    <xf numFmtId="173" fontId="28" fillId="12" borderId="0" xfId="384" applyNumberFormat="1" applyFont="1" applyFill="1" applyBorder="1"/>
    <xf numFmtId="176" fontId="172" fillId="0" borderId="0" xfId="0" applyNumberFormat="1" applyFont="1"/>
    <xf numFmtId="176" fontId="171" fillId="0" borderId="0" xfId="0" applyNumberFormat="1" applyFont="1"/>
    <xf numFmtId="0" fontId="201" fillId="0" borderId="0" xfId="0" applyFont="1"/>
    <xf numFmtId="9" fontId="32" fillId="19" borderId="0" xfId="384" applyFont="1" applyFill="1" applyBorder="1" applyAlignment="1">
      <alignment vertical="center"/>
    </xf>
    <xf numFmtId="3" fontId="170" fillId="60" borderId="0" xfId="0" applyNumberFormat="1" applyFont="1" applyFill="1" applyAlignment="1">
      <alignment vertical="center"/>
    </xf>
    <xf numFmtId="338" fontId="205" fillId="65" borderId="0" xfId="0" applyNumberFormat="1" applyFont="1" applyFill="1" applyAlignment="1">
      <alignment horizontal="center" vertical="center"/>
    </xf>
    <xf numFmtId="176" fontId="198" fillId="0" borderId="0" xfId="0" applyNumberFormat="1" applyFont="1" applyAlignment="1">
      <alignment vertical="center"/>
    </xf>
    <xf numFmtId="341" fontId="170" fillId="60" borderId="0" xfId="0" applyNumberFormat="1" applyFont="1" applyFill="1" applyAlignment="1">
      <alignment vertical="center"/>
    </xf>
    <xf numFmtId="341" fontId="171" fillId="0" borderId="0" xfId="0" applyNumberFormat="1" applyFont="1" applyAlignment="1">
      <alignment vertical="center"/>
    </xf>
    <xf numFmtId="341" fontId="170" fillId="0" borderId="0" xfId="0" applyNumberFormat="1" applyFont="1" applyAlignment="1">
      <alignment vertical="center"/>
    </xf>
    <xf numFmtId="0" fontId="211" fillId="0" borderId="0" xfId="0" applyFont="1"/>
    <xf numFmtId="193" fontId="32" fillId="19" borderId="0" xfId="0" applyNumberFormat="1" applyFont="1" applyFill="1" applyAlignment="1">
      <alignment vertical="center"/>
    </xf>
    <xf numFmtId="0" fontId="32" fillId="62" borderId="0" xfId="1" applyFont="1" applyFill="1" applyAlignment="1">
      <alignment horizontal="left"/>
    </xf>
    <xf numFmtId="332" fontId="170" fillId="0" borderId="0" xfId="0" applyNumberFormat="1" applyFont="1"/>
    <xf numFmtId="328" fontId="170" fillId="18" borderId="0" xfId="0" applyNumberFormat="1" applyFont="1" applyFill="1" applyAlignment="1">
      <alignment horizontal="center"/>
    </xf>
    <xf numFmtId="0" fontId="201" fillId="12" borderId="0" xfId="0" applyFont="1" applyFill="1" applyAlignment="1">
      <alignment horizontal="left" indent="1"/>
    </xf>
    <xf numFmtId="0" fontId="201" fillId="12" borderId="0" xfId="0" applyFont="1" applyFill="1"/>
    <xf numFmtId="173" fontId="201" fillId="12" borderId="0" xfId="384" applyNumberFormat="1" applyFont="1" applyFill="1" applyBorder="1"/>
    <xf numFmtId="10" fontId="200" fillId="12" borderId="0" xfId="0" applyNumberFormat="1" applyFont="1" applyFill="1"/>
    <xf numFmtId="173" fontId="200" fillId="12" borderId="0" xfId="384" applyNumberFormat="1" applyFont="1" applyFill="1" applyBorder="1"/>
    <xf numFmtId="10" fontId="173" fillId="12" borderId="0" xfId="0" applyNumberFormat="1" applyFont="1" applyFill="1"/>
    <xf numFmtId="173" fontId="173" fillId="12" borderId="0" xfId="384" applyNumberFormat="1" applyFont="1" applyFill="1" applyBorder="1"/>
    <xf numFmtId="0" fontId="171" fillId="62" borderId="0" xfId="0" applyFont="1" applyFill="1"/>
    <xf numFmtId="0" fontId="170" fillId="62" borderId="0" xfId="0" applyFont="1" applyFill="1"/>
    <xf numFmtId="0" fontId="170" fillId="0" borderId="0" xfId="0" applyFont="1" applyAlignment="1">
      <alignment horizontal="left"/>
    </xf>
    <xf numFmtId="9" fontId="173" fillId="0" borderId="0" xfId="384" applyFont="1" applyBorder="1"/>
    <xf numFmtId="0" fontId="170" fillId="0" borderId="0" xfId="0" applyFont="1" applyAlignment="1">
      <alignment horizontal="right"/>
    </xf>
    <xf numFmtId="1" fontId="170" fillId="0" borderId="0" xfId="0" applyNumberFormat="1" applyFont="1" applyAlignment="1">
      <alignment horizontal="right"/>
    </xf>
    <xf numFmtId="1" fontId="170" fillId="12" borderId="0" xfId="0" applyNumberFormat="1" applyFont="1" applyFill="1"/>
    <xf numFmtId="0" fontId="170" fillId="12" borderId="0" xfId="0" applyFont="1" applyFill="1" applyAlignment="1">
      <alignment horizontal="left" indent="2"/>
    </xf>
    <xf numFmtId="173" fontId="170" fillId="12" borderId="0" xfId="0" applyNumberFormat="1" applyFont="1" applyFill="1"/>
    <xf numFmtId="173" fontId="201" fillId="12" borderId="0" xfId="0" applyNumberFormat="1" applyFont="1" applyFill="1"/>
    <xf numFmtId="9" fontId="170" fillId="12" borderId="0" xfId="384" applyFont="1" applyFill="1" applyBorder="1" applyAlignment="1">
      <alignment horizontal="right"/>
    </xf>
    <xf numFmtId="9" fontId="173" fillId="0" borderId="0" xfId="384" applyFont="1" applyFill="1" applyBorder="1" applyAlignment="1">
      <alignment horizontal="right"/>
    </xf>
    <xf numFmtId="9" fontId="173" fillId="12" borderId="0" xfId="384" applyFont="1" applyFill="1" applyBorder="1" applyAlignment="1">
      <alignment horizontal="right"/>
    </xf>
    <xf numFmtId="1" fontId="170" fillId="12" borderId="0" xfId="0" applyNumberFormat="1" applyFont="1" applyFill="1" applyAlignment="1">
      <alignment horizontal="left" indent="1"/>
    </xf>
    <xf numFmtId="9" fontId="173" fillId="12" borderId="0" xfId="384" applyFont="1" applyFill="1" applyBorder="1"/>
    <xf numFmtId="9" fontId="173" fillId="0" borderId="0" xfId="384" applyFont="1" applyFill="1" applyBorder="1"/>
    <xf numFmtId="9" fontId="201" fillId="12" borderId="0" xfId="0" applyNumberFormat="1" applyFont="1" applyFill="1"/>
    <xf numFmtId="9" fontId="201" fillId="0" borderId="0" xfId="0" applyNumberFormat="1" applyFont="1"/>
    <xf numFmtId="0" fontId="201" fillId="12" borderId="0" xfId="0" applyFont="1" applyFill="1" applyAlignment="1">
      <alignment horizontal="left"/>
    </xf>
    <xf numFmtId="0" fontId="207" fillId="54" borderId="0" xfId="0" applyFont="1" applyFill="1"/>
    <xf numFmtId="0" fontId="207" fillId="18" borderId="0" xfId="0" applyFont="1" applyFill="1"/>
    <xf numFmtId="0" fontId="170" fillId="61" borderId="0" xfId="0" applyFont="1" applyFill="1"/>
    <xf numFmtId="173" fontId="173" fillId="0" borderId="0" xfId="0" applyNumberFormat="1" applyFont="1"/>
    <xf numFmtId="0" fontId="170" fillId="53" borderId="0" xfId="0" applyFont="1" applyFill="1"/>
    <xf numFmtId="0" fontId="173" fillId="53" borderId="0" xfId="0" applyFont="1" applyFill="1"/>
    <xf numFmtId="3" fontId="173" fillId="53" borderId="0" xfId="0" applyNumberFormat="1" applyFont="1" applyFill="1"/>
    <xf numFmtId="1" fontId="173" fillId="53" borderId="0" xfId="0" applyNumberFormat="1" applyFont="1" applyFill="1"/>
    <xf numFmtId="1" fontId="173" fillId="0" borderId="0" xfId="0" applyNumberFormat="1" applyFont="1"/>
    <xf numFmtId="0" fontId="170" fillId="53" borderId="0" xfId="0" applyFont="1" applyFill="1" applyAlignment="1">
      <alignment horizontal="left"/>
    </xf>
    <xf numFmtId="1" fontId="173" fillId="53" borderId="0" xfId="384" applyNumberFormat="1" applyFont="1" applyFill="1" applyBorder="1"/>
    <xf numFmtId="1" fontId="200" fillId="0" borderId="0" xfId="384" applyNumberFormat="1" applyFont="1" applyFill="1" applyBorder="1"/>
    <xf numFmtId="173" fontId="173" fillId="33" borderId="0" xfId="0" applyNumberFormat="1" applyFont="1" applyFill="1"/>
    <xf numFmtId="0" fontId="170" fillId="61" borderId="0" xfId="0" applyFont="1" applyFill="1" applyAlignment="1">
      <alignment horizontal="left"/>
    </xf>
    <xf numFmtId="1" fontId="173" fillId="12" borderId="0" xfId="0" applyNumberFormat="1" applyFont="1" applyFill="1"/>
    <xf numFmtId="0" fontId="173" fillId="33" borderId="0" xfId="0" applyFont="1" applyFill="1"/>
    <xf numFmtId="10" fontId="173" fillId="0" borderId="0" xfId="0" applyNumberFormat="1" applyFont="1"/>
    <xf numFmtId="10" fontId="173" fillId="33" borderId="0" xfId="0" applyNumberFormat="1" applyFont="1" applyFill="1"/>
    <xf numFmtId="172" fontId="173" fillId="61" borderId="0" xfId="0" applyNumberFormat="1" applyFont="1" applyFill="1"/>
    <xf numFmtId="172" fontId="173" fillId="12" borderId="0" xfId="0" applyNumberFormat="1" applyFont="1" applyFill="1"/>
    <xf numFmtId="3" fontId="173" fillId="12" borderId="0" xfId="0" applyNumberFormat="1" applyFont="1" applyFill="1" applyAlignment="1">
      <alignment horizontal="center"/>
    </xf>
    <xf numFmtId="0" fontId="173" fillId="12" borderId="0" xfId="0" applyFont="1" applyFill="1" applyAlignment="1">
      <alignment horizontal="center"/>
    </xf>
    <xf numFmtId="0" fontId="170" fillId="12" borderId="0" xfId="0" quotePrefix="1" applyFont="1" applyFill="1"/>
    <xf numFmtId="16" fontId="173" fillId="12" borderId="0" xfId="0" quotePrefix="1" applyNumberFormat="1" applyFont="1" applyFill="1" applyAlignment="1">
      <alignment horizontal="center"/>
    </xf>
    <xf numFmtId="0" fontId="171" fillId="61" borderId="0" xfId="0" applyFont="1" applyFill="1"/>
    <xf numFmtId="0" fontId="172" fillId="61" borderId="0" xfId="0" applyFont="1" applyFill="1"/>
    <xf numFmtId="0" fontId="172" fillId="61" borderId="0" xfId="0" applyFont="1" applyFill="1" applyAlignment="1">
      <alignment horizontal="right"/>
    </xf>
    <xf numFmtId="0" fontId="170" fillId="33" borderId="0" xfId="0" applyFont="1" applyFill="1"/>
    <xf numFmtId="0" fontId="173" fillId="33" borderId="0" xfId="0" applyFont="1" applyFill="1" applyAlignment="1">
      <alignment horizontal="right"/>
    </xf>
    <xf numFmtId="2" fontId="173" fillId="12" borderId="0" xfId="0" applyNumberFormat="1" applyFont="1" applyFill="1"/>
    <xf numFmtId="189" fontId="173" fillId="12" borderId="0" xfId="0" applyNumberFormat="1" applyFont="1" applyFill="1"/>
    <xf numFmtId="9" fontId="200" fillId="0" borderId="0" xfId="0" applyNumberFormat="1" applyFont="1"/>
    <xf numFmtId="173" fontId="201" fillId="0" borderId="0" xfId="0" applyNumberFormat="1" applyFont="1"/>
    <xf numFmtId="172" fontId="170" fillId="12" borderId="0" xfId="0" applyNumberFormat="1" applyFont="1" applyFill="1"/>
    <xf numFmtId="1" fontId="201" fillId="0" borderId="0" xfId="0" applyNumberFormat="1" applyFont="1"/>
    <xf numFmtId="9" fontId="170" fillId="0" borderId="0" xfId="384" applyFont="1" applyFill="1" applyBorder="1"/>
    <xf numFmtId="176" fontId="171" fillId="60" borderId="0" xfId="0" applyNumberFormat="1" applyFont="1" applyFill="1" applyAlignment="1">
      <alignment vertical="center"/>
    </xf>
    <xf numFmtId="176" fontId="170" fillId="64" borderId="0" xfId="0" applyNumberFormat="1" applyFont="1" applyFill="1"/>
    <xf numFmtId="0" fontId="170" fillId="64" borderId="0" xfId="0" applyFont="1" applyFill="1"/>
    <xf numFmtId="3" fontId="170" fillId="64" borderId="0" xfId="0" applyNumberFormat="1" applyFont="1" applyFill="1" applyAlignment="1">
      <alignment vertical="center"/>
    </xf>
    <xf numFmtId="0" fontId="173" fillId="64" borderId="0" xfId="0" applyFont="1" applyFill="1"/>
    <xf numFmtId="3" fontId="171" fillId="64" borderId="0" xfId="0" applyNumberFormat="1" applyFont="1" applyFill="1" applyAlignment="1">
      <alignment vertical="center"/>
    </xf>
    <xf numFmtId="3" fontId="32" fillId="60" borderId="0" xfId="1" applyNumberFormat="1" applyFont="1" applyFill="1"/>
    <xf numFmtId="176" fontId="170" fillId="60" borderId="0" xfId="0" applyNumberFormat="1" applyFont="1" applyFill="1"/>
    <xf numFmtId="176" fontId="204" fillId="60" borderId="0" xfId="0" applyNumberFormat="1" applyFont="1" applyFill="1" applyAlignment="1">
      <alignment vertical="center"/>
    </xf>
    <xf numFmtId="0" fontId="199" fillId="0" borderId="0" xfId="0" applyFont="1" applyAlignment="1">
      <alignment vertical="center"/>
    </xf>
    <xf numFmtId="3" fontId="171" fillId="60" borderId="0" xfId="0" applyNumberFormat="1" applyFont="1" applyFill="1"/>
    <xf numFmtId="9" fontId="208" fillId="60" borderId="0" xfId="384" applyFont="1" applyFill="1" applyBorder="1" applyAlignment="1">
      <alignment vertical="center"/>
    </xf>
    <xf numFmtId="0" fontId="199" fillId="69" borderId="0" xfId="0" applyFont="1" applyFill="1"/>
    <xf numFmtId="331" fontId="173" fillId="69" borderId="0" xfId="0" applyNumberFormat="1" applyFont="1" applyFill="1" applyAlignment="1">
      <alignment horizontal="center"/>
    </xf>
    <xf numFmtId="0" fontId="199" fillId="69" borderId="0" xfId="0" applyFont="1" applyFill="1" applyAlignment="1">
      <alignment vertical="center"/>
    </xf>
    <xf numFmtId="173" fontId="28" fillId="0" borderId="0" xfId="1" applyNumberFormat="1" applyFont="1"/>
    <xf numFmtId="0" fontId="171" fillId="0" borderId="0" xfId="0" applyFont="1" applyAlignment="1">
      <alignment horizontal="right" vertical="center"/>
    </xf>
    <xf numFmtId="9" fontId="171" fillId="0" borderId="0" xfId="384" applyFont="1" applyFill="1" applyBorder="1"/>
    <xf numFmtId="173" fontId="170" fillId="0" borderId="0" xfId="384" applyNumberFormat="1" applyFont="1" applyFill="1" applyBorder="1"/>
    <xf numFmtId="2" fontId="32" fillId="0" borderId="0" xfId="0" applyNumberFormat="1" applyFont="1" applyAlignment="1">
      <alignment vertical="center"/>
    </xf>
    <xf numFmtId="192" fontId="28" fillId="0" borderId="0" xfId="1" applyNumberFormat="1" applyFont="1"/>
    <xf numFmtId="180" fontId="173" fillId="0" borderId="0" xfId="1" applyNumberFormat="1" applyFont="1"/>
    <xf numFmtId="191" fontId="28" fillId="0" borderId="0" xfId="1" applyNumberFormat="1" applyFont="1"/>
    <xf numFmtId="9" fontId="207" fillId="0" borderId="0" xfId="1" applyNumberFormat="1" applyFont="1"/>
    <xf numFmtId="190" fontId="28" fillId="0" borderId="0" xfId="1" applyNumberFormat="1" applyFont="1"/>
    <xf numFmtId="0" fontId="199" fillId="0" borderId="0" xfId="1" applyFont="1"/>
    <xf numFmtId="2" fontId="28" fillId="0" borderId="0" xfId="1" applyNumberFormat="1" applyFont="1"/>
    <xf numFmtId="3" fontId="28" fillId="0" borderId="0" xfId="383" applyNumberFormat="1" applyFont="1" applyFill="1" applyBorder="1"/>
    <xf numFmtId="3" fontId="173" fillId="0" borderId="0" xfId="383" applyNumberFormat="1" applyFont="1" applyFill="1" applyBorder="1"/>
    <xf numFmtId="2" fontId="32" fillId="0" borderId="0" xfId="1" applyNumberFormat="1" applyFont="1"/>
    <xf numFmtId="1" fontId="203" fillId="0" borderId="0" xfId="1" applyNumberFormat="1" applyFont="1"/>
    <xf numFmtId="173" fontId="28" fillId="0" borderId="0" xfId="384" applyNumberFormat="1" applyFont="1" applyFill="1" applyBorder="1"/>
    <xf numFmtId="0" fontId="207" fillId="0" borderId="0" xfId="0" applyFont="1"/>
    <xf numFmtId="1" fontId="173" fillId="0" borderId="0" xfId="0" applyNumberFormat="1" applyFont="1" applyAlignment="1">
      <alignment horizontal="center"/>
    </xf>
    <xf numFmtId="3" fontId="173" fillId="0" borderId="0" xfId="0" applyNumberFormat="1" applyFont="1" applyAlignment="1">
      <alignment horizontal="center"/>
    </xf>
    <xf numFmtId="0" fontId="172" fillId="0" borderId="0" xfId="0" applyFont="1" applyAlignment="1">
      <alignment horizontal="right"/>
    </xf>
    <xf numFmtId="0" fontId="173" fillId="0" borderId="0" xfId="0" applyFont="1" applyAlignment="1">
      <alignment horizontal="right"/>
    </xf>
    <xf numFmtId="2" fontId="173" fillId="0" borderId="0" xfId="0" applyNumberFormat="1" applyFont="1"/>
    <xf numFmtId="189" fontId="173" fillId="0" borderId="0" xfId="0" applyNumberFormat="1" applyFont="1"/>
    <xf numFmtId="340" fontId="173" fillId="64" borderId="0" xfId="0" applyNumberFormat="1" applyFont="1" applyFill="1" applyAlignment="1">
      <alignment vertical="center"/>
    </xf>
    <xf numFmtId="9" fontId="173" fillId="64" borderId="0" xfId="384" applyFont="1" applyFill="1" applyBorder="1" applyAlignment="1">
      <alignment vertical="center"/>
    </xf>
    <xf numFmtId="9" fontId="204" fillId="64" borderId="0" xfId="384" applyFont="1" applyFill="1" applyBorder="1" applyAlignment="1">
      <alignment vertical="center"/>
    </xf>
    <xf numFmtId="340" fontId="171" fillId="64" borderId="0" xfId="0" applyNumberFormat="1" applyFont="1" applyFill="1" applyAlignment="1">
      <alignment vertical="center"/>
    </xf>
    <xf numFmtId="176" fontId="170" fillId="64" borderId="0" xfId="0" applyNumberFormat="1" applyFont="1" applyFill="1" applyAlignment="1">
      <alignment vertical="center"/>
    </xf>
    <xf numFmtId="3" fontId="170" fillId="64" borderId="0" xfId="0" applyNumberFormat="1" applyFont="1" applyFill="1"/>
    <xf numFmtId="3" fontId="173" fillId="64" borderId="0" xfId="0" applyNumberFormat="1" applyFont="1" applyFill="1"/>
    <xf numFmtId="2" fontId="32" fillId="64" borderId="0" xfId="0" applyNumberFormat="1" applyFont="1" applyFill="1" applyAlignment="1">
      <alignment vertical="center"/>
    </xf>
    <xf numFmtId="0" fontId="173" fillId="69" borderId="0" xfId="0" applyFont="1" applyFill="1" applyAlignment="1">
      <alignment horizontal="center"/>
    </xf>
    <xf numFmtId="0" fontId="207" fillId="69" borderId="0" xfId="0" applyFont="1" applyFill="1" applyAlignment="1">
      <alignment horizontal="center"/>
    </xf>
    <xf numFmtId="331" fontId="207" fillId="69" borderId="0" xfId="0" applyNumberFormat="1" applyFont="1" applyFill="1" applyAlignment="1">
      <alignment horizontal="center"/>
    </xf>
    <xf numFmtId="0" fontId="32" fillId="69" borderId="0" xfId="0" applyFont="1" applyFill="1" applyAlignment="1">
      <alignment horizontal="right" vertical="center"/>
    </xf>
    <xf numFmtId="2" fontId="28" fillId="12" borderId="0" xfId="1" applyNumberFormat="1" applyFont="1" applyFill="1" applyAlignment="1">
      <alignment horizontal="right"/>
    </xf>
    <xf numFmtId="1" fontId="173" fillId="0" borderId="0" xfId="0" applyNumberFormat="1" applyFont="1" applyAlignment="1">
      <alignment vertical="center"/>
    </xf>
    <xf numFmtId="1" fontId="173" fillId="0" borderId="0" xfId="0" applyNumberFormat="1" applyFont="1" applyAlignment="1">
      <alignment horizontal="right" vertical="center"/>
    </xf>
    <xf numFmtId="1" fontId="172" fillId="0" borderId="0" xfId="0" applyNumberFormat="1" applyFont="1" applyAlignment="1">
      <alignment horizontal="right" vertical="center"/>
    </xf>
    <xf numFmtId="1" fontId="173" fillId="0" borderId="0" xfId="0" applyNumberFormat="1" applyFont="1" applyAlignment="1">
      <alignment horizontal="right"/>
    </xf>
    <xf numFmtId="1" fontId="173" fillId="60" borderId="0" xfId="0" applyNumberFormat="1" applyFont="1" applyFill="1" applyAlignment="1">
      <alignment horizontal="right" vertical="center"/>
    </xf>
    <xf numFmtId="1" fontId="172" fillId="60" borderId="0" xfId="0" applyNumberFormat="1" applyFont="1" applyFill="1" applyAlignment="1">
      <alignment horizontal="right" vertical="center"/>
    </xf>
    <xf numFmtId="169" fontId="170" fillId="0" borderId="0" xfId="383" applyFont="1" applyBorder="1"/>
    <xf numFmtId="343" fontId="173" fillId="0" borderId="0" xfId="0" applyNumberFormat="1" applyFont="1" applyAlignment="1">
      <alignment vertical="center"/>
    </xf>
    <xf numFmtId="340" fontId="206" fillId="0" borderId="0" xfId="0" applyNumberFormat="1" applyFont="1" applyAlignment="1">
      <alignment vertical="center"/>
    </xf>
    <xf numFmtId="9" fontId="172" fillId="0" borderId="0" xfId="384" applyFont="1" applyBorder="1"/>
    <xf numFmtId="9" fontId="208" fillId="0" borderId="0" xfId="384" quotePrefix="1" applyFont="1" applyFill="1" applyBorder="1" applyAlignment="1">
      <alignment vertical="center"/>
    </xf>
    <xf numFmtId="0" fontId="32" fillId="59" borderId="0" xfId="0" applyFont="1" applyFill="1" applyAlignment="1">
      <alignment horizontal="center" vertical="center"/>
    </xf>
    <xf numFmtId="340" fontId="203" fillId="33" borderId="0" xfId="0" applyNumberFormat="1" applyFont="1" applyFill="1" applyAlignment="1">
      <alignment vertical="center"/>
    </xf>
    <xf numFmtId="0" fontId="171" fillId="33" borderId="0" xfId="0" applyFont="1" applyFill="1"/>
    <xf numFmtId="0" fontId="170" fillId="33" borderId="0" xfId="0" applyFont="1" applyFill="1" applyAlignment="1">
      <alignment vertical="center"/>
    </xf>
    <xf numFmtId="0" fontId="202" fillId="33" borderId="0" xfId="0" applyFont="1" applyFill="1"/>
    <xf numFmtId="173" fontId="204" fillId="33" borderId="0" xfId="384" applyNumberFormat="1" applyFont="1" applyFill="1" applyBorder="1" applyAlignment="1">
      <alignment vertical="center"/>
    </xf>
    <xf numFmtId="9" fontId="200" fillId="65" borderId="0" xfId="384" applyFont="1" applyFill="1" applyBorder="1" applyAlignment="1">
      <alignment horizontal="center" vertical="center"/>
    </xf>
    <xf numFmtId="9" fontId="201" fillId="0" borderId="0" xfId="384" applyFont="1" applyFill="1" applyBorder="1" applyAlignment="1">
      <alignment vertical="center"/>
    </xf>
    <xf numFmtId="173" fontId="176" fillId="55" borderId="0" xfId="384" applyNumberFormat="1" applyFont="1" applyFill="1" applyBorder="1" applyAlignment="1">
      <alignment horizontal="center" vertical="center"/>
    </xf>
    <xf numFmtId="0" fontId="175" fillId="0" borderId="0" xfId="0" applyFont="1" applyAlignment="1">
      <alignment horizontal="left" vertical="center" indent="1"/>
    </xf>
    <xf numFmtId="0" fontId="45" fillId="64" borderId="0" xfId="2516" applyFont="1" applyFill="1" applyAlignment="1">
      <alignment horizontal="center" vertical="center"/>
    </xf>
    <xf numFmtId="0" fontId="176" fillId="0" borderId="0" xfId="0" applyFont="1" applyAlignment="1">
      <alignment vertical="center"/>
    </xf>
    <xf numFmtId="0" fontId="188" fillId="64" borderId="0" xfId="0" applyFont="1" applyFill="1" applyAlignment="1">
      <alignment vertical="center"/>
    </xf>
    <xf numFmtId="0" fontId="32" fillId="0" borderId="33" xfId="2512" quotePrefix="1" applyFont="1" applyBorder="1" applyAlignment="1">
      <alignment horizontal="left"/>
    </xf>
    <xf numFmtId="0" fontId="28" fillId="0" borderId="0" xfId="2512" quotePrefix="1" applyFont="1" applyAlignment="1">
      <alignment horizontal="left"/>
    </xf>
    <xf numFmtId="340" fontId="32" fillId="19" borderId="0" xfId="0" applyNumberFormat="1" applyFont="1" applyFill="1" applyAlignment="1">
      <alignment vertical="center"/>
    </xf>
    <xf numFmtId="0" fontId="171" fillId="19" borderId="0" xfId="0" applyFont="1" applyFill="1" applyAlignment="1">
      <alignment horizontal="center" vertical="center"/>
    </xf>
    <xf numFmtId="172" fontId="170" fillId="12" borderId="0" xfId="384" applyNumberFormat="1" applyFont="1" applyFill="1" applyBorder="1"/>
    <xf numFmtId="180" fontId="173" fillId="60" borderId="0" xfId="0" applyNumberFormat="1" applyFont="1" applyFill="1"/>
    <xf numFmtId="1" fontId="170" fillId="12" borderId="0" xfId="384" applyNumberFormat="1" applyFont="1" applyFill="1" applyBorder="1"/>
    <xf numFmtId="1" fontId="32" fillId="19" borderId="0" xfId="384" applyNumberFormat="1" applyFont="1" applyFill="1" applyBorder="1" applyAlignment="1">
      <alignment vertical="center"/>
    </xf>
    <xf numFmtId="0" fontId="45" fillId="0" borderId="0" xfId="2516" applyFont="1" applyAlignment="1">
      <alignment horizontal="left" indent="1"/>
    </xf>
    <xf numFmtId="187" fontId="45" fillId="0" borderId="0" xfId="2518" applyNumberFormat="1" applyFont="1" applyFill="1" applyBorder="1" applyAlignment="1">
      <alignment horizontal="center"/>
    </xf>
    <xf numFmtId="9" fontId="45" fillId="0" borderId="0" xfId="45" applyFont="1" applyFill="1" applyBorder="1" applyAlignment="1">
      <alignment horizontal="center"/>
    </xf>
    <xf numFmtId="173" fontId="45" fillId="0" borderId="0" xfId="2516" applyNumberFormat="1" applyFont="1" applyAlignment="1">
      <alignment horizontal="center"/>
    </xf>
    <xf numFmtId="9" fontId="45" fillId="12" borderId="0" xfId="45" applyFont="1" applyFill="1" applyBorder="1" applyAlignment="1">
      <alignment horizontal="center"/>
    </xf>
    <xf numFmtId="9" fontId="45" fillId="0" borderId="0" xfId="2516" applyNumberFormat="1" applyFont="1" applyAlignment="1">
      <alignment horizontal="center"/>
    </xf>
    <xf numFmtId="9" fontId="45" fillId="0" borderId="64" xfId="45" applyFont="1" applyFill="1" applyBorder="1" applyAlignment="1">
      <alignment horizontal="center"/>
    </xf>
    <xf numFmtId="0" fontId="177" fillId="70" borderId="0" xfId="2516" applyFont="1" applyFill="1" applyAlignment="1">
      <alignment horizontal="center" vertical="center"/>
    </xf>
    <xf numFmtId="0" fontId="177" fillId="71" borderId="0" xfId="2515" applyFont="1" applyFill="1" applyAlignment="1">
      <alignment horizontal="center"/>
    </xf>
    <xf numFmtId="9" fontId="46" fillId="12" borderId="0" xfId="45" applyFont="1" applyFill="1" applyBorder="1" applyAlignment="1">
      <alignment horizontal="center"/>
    </xf>
    <xf numFmtId="0" fontId="45" fillId="0" borderId="0" xfId="2516" applyFont="1" applyAlignment="1">
      <alignment vertical="center"/>
    </xf>
    <xf numFmtId="0" fontId="177" fillId="0" borderId="0" xfId="2515" applyFont="1" applyAlignment="1">
      <alignment horizontal="center" vertical="center"/>
    </xf>
    <xf numFmtId="3" fontId="188" fillId="33" borderId="0" xfId="2516" applyNumberFormat="1" applyFont="1" applyFill="1" applyAlignment="1">
      <alignment horizontal="center" vertical="center"/>
    </xf>
    <xf numFmtId="173" fontId="45" fillId="0" borderId="0" xfId="45" applyNumberFormat="1" applyFont="1" applyFill="1" applyBorder="1" applyAlignment="1">
      <alignment horizontal="center" vertical="center"/>
    </xf>
    <xf numFmtId="173" fontId="177" fillId="0" borderId="65" xfId="2515" applyNumberFormat="1" applyFont="1" applyBorder="1" applyAlignment="1">
      <alignment horizontal="center" vertical="center"/>
    </xf>
    <xf numFmtId="0" fontId="45" fillId="0" borderId="0" xfId="2516" applyFont="1" applyAlignment="1">
      <alignment horizontal="center" vertical="center"/>
    </xf>
    <xf numFmtId="173" fontId="177" fillId="12" borderId="0" xfId="2515" applyNumberFormat="1" applyFont="1" applyFill="1" applyAlignment="1">
      <alignment horizontal="center" vertical="center"/>
    </xf>
    <xf numFmtId="0" fontId="45" fillId="12" borderId="0" xfId="2516" applyFont="1" applyFill="1" applyAlignment="1">
      <alignment vertical="center"/>
    </xf>
    <xf numFmtId="3" fontId="45" fillId="0" borderId="0" xfId="45" applyNumberFormat="1" applyFont="1" applyFill="1" applyBorder="1" applyAlignment="1">
      <alignment horizontal="center" vertical="center"/>
    </xf>
    <xf numFmtId="9" fontId="46" fillId="0" borderId="65" xfId="45" applyFont="1" applyFill="1" applyBorder="1" applyAlignment="1">
      <alignment horizontal="center" vertical="center"/>
    </xf>
    <xf numFmtId="9" fontId="45" fillId="0" borderId="0" xfId="45" applyFont="1" applyFill="1" applyBorder="1" applyAlignment="1">
      <alignment horizontal="center" vertical="center"/>
    </xf>
    <xf numFmtId="9" fontId="175" fillId="12" borderId="0" xfId="384" applyFont="1" applyFill="1" applyBorder="1" applyAlignment="1">
      <alignment horizontal="center" vertical="center"/>
    </xf>
    <xf numFmtId="3" fontId="46" fillId="55" borderId="0" xfId="45" applyNumberFormat="1" applyFont="1" applyFill="1" applyBorder="1" applyAlignment="1">
      <alignment horizontal="center" vertical="center"/>
    </xf>
    <xf numFmtId="3" fontId="212" fillId="33" borderId="0" xfId="2516" applyNumberFormat="1" applyFont="1" applyFill="1" applyAlignment="1">
      <alignment horizontal="center" vertical="center"/>
    </xf>
    <xf numFmtId="0" fontId="46" fillId="0" borderId="0" xfId="2516" applyFont="1" applyAlignment="1">
      <alignment horizontal="center" vertical="center"/>
    </xf>
    <xf numFmtId="9" fontId="176" fillId="12" borderId="0" xfId="384" applyFont="1" applyFill="1" applyBorder="1" applyAlignment="1">
      <alignment horizontal="center" vertical="center"/>
    </xf>
    <xf numFmtId="0" fontId="46" fillId="12" borderId="0" xfId="2516" applyFont="1" applyFill="1" applyAlignment="1">
      <alignment vertical="center"/>
    </xf>
    <xf numFmtId="173" fontId="212" fillId="33" borderId="0" xfId="384" applyNumberFormat="1" applyFont="1" applyFill="1" applyBorder="1" applyAlignment="1">
      <alignment horizontal="center" vertical="center"/>
    </xf>
    <xf numFmtId="0" fontId="46" fillId="0" borderId="0" xfId="2516" applyFont="1" applyAlignment="1">
      <alignment vertical="center"/>
    </xf>
    <xf numFmtId="9" fontId="46" fillId="0" borderId="0" xfId="384" applyFont="1" applyFill="1" applyBorder="1" applyAlignment="1">
      <alignment horizontal="center" vertical="center"/>
    </xf>
    <xf numFmtId="173" fontId="212" fillId="0" borderId="0" xfId="384" applyNumberFormat="1" applyFont="1" applyFill="1" applyBorder="1" applyAlignment="1">
      <alignment horizontal="center" vertical="center"/>
    </xf>
    <xf numFmtId="344" fontId="46" fillId="0" borderId="66" xfId="384" applyNumberFormat="1" applyFont="1" applyFill="1" applyBorder="1" applyAlignment="1">
      <alignment horizontal="center" vertical="center"/>
    </xf>
    <xf numFmtId="173" fontId="46" fillId="0" borderId="0" xfId="2518" applyNumberFormat="1" applyFont="1" applyFill="1" applyBorder="1" applyAlignment="1">
      <alignment horizontal="center" vertical="center"/>
    </xf>
    <xf numFmtId="173" fontId="45" fillId="0" borderId="0" xfId="384" applyNumberFormat="1" applyFont="1" applyFill="1" applyBorder="1" applyAlignment="1">
      <alignment horizontal="center" vertical="center"/>
    </xf>
    <xf numFmtId="9" fontId="45" fillId="0" borderId="0" xfId="384" applyFont="1" applyFill="1" applyBorder="1" applyAlignment="1">
      <alignment horizontal="center" vertical="center"/>
    </xf>
    <xf numFmtId="9" fontId="188" fillId="0" borderId="0" xfId="384" applyFont="1" applyFill="1" applyBorder="1" applyAlignment="1">
      <alignment horizontal="center" vertical="center"/>
    </xf>
    <xf numFmtId="173" fontId="45" fillId="0" borderId="0" xfId="45" applyNumberFormat="1" applyFont="1" applyBorder="1" applyAlignment="1">
      <alignment horizontal="center" vertical="center"/>
    </xf>
    <xf numFmtId="9" fontId="45" fillId="0" borderId="0" xfId="45" applyFont="1" applyBorder="1" applyAlignment="1">
      <alignment horizontal="center" vertical="center"/>
    </xf>
    <xf numFmtId="9" fontId="45" fillId="12" borderId="0" xfId="45" applyFont="1" applyFill="1" applyBorder="1" applyAlignment="1">
      <alignment horizontal="center" vertical="center"/>
    </xf>
    <xf numFmtId="0" fontId="183" fillId="12" borderId="0" xfId="2516" applyFont="1" applyFill="1" applyAlignment="1">
      <alignment vertical="center"/>
    </xf>
    <xf numFmtId="173" fontId="188" fillId="33" borderId="0" xfId="384" applyNumberFormat="1" applyFont="1" applyFill="1" applyBorder="1" applyAlignment="1">
      <alignment horizontal="center" vertical="center"/>
    </xf>
    <xf numFmtId="180" fontId="46" fillId="55" borderId="0" xfId="45" applyNumberFormat="1" applyFont="1" applyFill="1" applyBorder="1" applyAlignment="1">
      <alignment horizontal="center" vertical="center"/>
    </xf>
    <xf numFmtId="180" fontId="212" fillId="33" borderId="0" xfId="2516" applyNumberFormat="1" applyFont="1" applyFill="1" applyAlignment="1">
      <alignment horizontal="center" vertical="center"/>
    </xf>
    <xf numFmtId="3" fontId="188" fillId="12" borderId="0" xfId="2516" applyNumberFormat="1" applyFont="1" applyFill="1" applyAlignment="1">
      <alignment horizontal="center"/>
    </xf>
    <xf numFmtId="9" fontId="45" fillId="0" borderId="0" xfId="45" applyFont="1" applyFill="1" applyBorder="1" applyAlignment="1">
      <alignment horizontal="right"/>
    </xf>
    <xf numFmtId="173" fontId="45" fillId="0" borderId="0" xfId="2516" applyNumberFormat="1" applyFont="1" applyAlignment="1">
      <alignment horizontal="right"/>
    </xf>
    <xf numFmtId="173" fontId="45" fillId="12" borderId="0" xfId="2516" applyNumberFormat="1" applyFont="1" applyFill="1" applyAlignment="1">
      <alignment horizontal="right"/>
    </xf>
    <xf numFmtId="9" fontId="45" fillId="0" borderId="0" xfId="45" applyFont="1" applyBorder="1" applyAlignment="1">
      <alignment horizontal="right"/>
    </xf>
    <xf numFmtId="173" fontId="46" fillId="12" borderId="0" xfId="2518" applyNumberFormat="1" applyFont="1" applyFill="1" applyBorder="1" applyAlignment="1">
      <alignment horizontal="center" vertical="center"/>
    </xf>
    <xf numFmtId="176" fontId="199" fillId="54" borderId="0" xfId="0" applyNumberFormat="1" applyFont="1" applyFill="1" applyAlignment="1">
      <alignment vertical="center"/>
    </xf>
    <xf numFmtId="3" fontId="178" fillId="0" borderId="0" xfId="0" applyNumberFormat="1" applyFont="1" applyAlignment="1">
      <alignment horizontal="center" vertical="center"/>
    </xf>
    <xf numFmtId="0" fontId="178" fillId="0" borderId="0" xfId="2516" applyFont="1"/>
    <xf numFmtId="173" fontId="45" fillId="0" borderId="61" xfId="384" applyNumberFormat="1" applyFont="1" applyBorder="1" applyAlignment="1">
      <alignment horizontal="center"/>
    </xf>
    <xf numFmtId="0" fontId="177" fillId="54" borderId="68" xfId="2515" applyFont="1" applyFill="1" applyBorder="1" applyAlignment="1">
      <alignment vertical="center"/>
    </xf>
    <xf numFmtId="0" fontId="176" fillId="0" borderId="0" xfId="2515" applyFont="1" applyAlignment="1">
      <alignment horizontal="left" vertical="center"/>
    </xf>
    <xf numFmtId="0" fontId="46" fillId="63" borderId="0" xfId="2516" applyFont="1" applyFill="1" applyAlignment="1">
      <alignment vertical="center"/>
    </xf>
    <xf numFmtId="9" fontId="181" fillId="0" borderId="0" xfId="384" applyFont="1" applyFill="1" applyBorder="1" applyAlignment="1">
      <alignment horizontal="center" vertical="center"/>
    </xf>
    <xf numFmtId="173" fontId="181" fillId="0" borderId="0" xfId="45" applyNumberFormat="1" applyFont="1" applyFill="1" applyBorder="1" applyAlignment="1">
      <alignment horizontal="center" vertical="center"/>
    </xf>
    <xf numFmtId="9" fontId="181" fillId="0" borderId="0" xfId="45" applyFont="1" applyFill="1" applyBorder="1" applyAlignment="1">
      <alignment horizontal="center" vertical="center"/>
    </xf>
    <xf numFmtId="9" fontId="177" fillId="0" borderId="0" xfId="45" applyFont="1" applyFill="1" applyBorder="1" applyAlignment="1">
      <alignment horizontal="center" vertical="center"/>
    </xf>
    <xf numFmtId="1" fontId="181" fillId="0" borderId="0" xfId="45" applyNumberFormat="1" applyFont="1" applyFill="1" applyBorder="1" applyAlignment="1">
      <alignment horizontal="center" vertical="center"/>
    </xf>
    <xf numFmtId="1" fontId="177" fillId="0" borderId="0" xfId="45" applyNumberFormat="1" applyFont="1" applyFill="1" applyBorder="1" applyAlignment="1">
      <alignment horizontal="center" vertical="center"/>
    </xf>
    <xf numFmtId="9" fontId="177" fillId="0" borderId="0" xfId="384" applyFont="1" applyFill="1" applyBorder="1" applyAlignment="1">
      <alignment horizontal="center" vertical="center"/>
    </xf>
    <xf numFmtId="173" fontId="181" fillId="0" borderId="0" xfId="384" applyNumberFormat="1" applyFont="1" applyFill="1" applyBorder="1" applyAlignment="1">
      <alignment horizontal="center" vertical="center"/>
    </xf>
    <xf numFmtId="3" fontId="181" fillId="0" borderId="0" xfId="2516" applyNumberFormat="1" applyFont="1" applyAlignment="1">
      <alignment horizontal="center" vertical="center"/>
    </xf>
    <xf numFmtId="3" fontId="177" fillId="0" borderId="0" xfId="2516" applyNumberFormat="1" applyFont="1" applyAlignment="1">
      <alignment horizontal="center" vertical="center"/>
    </xf>
    <xf numFmtId="0" fontId="181" fillId="0" borderId="0" xfId="2516" applyFont="1" applyAlignment="1">
      <alignment horizontal="center" vertical="center"/>
    </xf>
    <xf numFmtId="0" fontId="181" fillId="0" borderId="0" xfId="2516" applyFont="1" applyAlignment="1">
      <alignment vertical="center"/>
    </xf>
    <xf numFmtId="0" fontId="177" fillId="0" borderId="0" xfId="2516" applyFont="1" applyAlignment="1">
      <alignment horizontal="center" vertical="center"/>
    </xf>
    <xf numFmtId="0" fontId="216" fillId="0" borderId="0" xfId="2516" applyFont="1" applyAlignment="1">
      <alignment horizontal="center" vertical="center"/>
    </xf>
    <xf numFmtId="0" fontId="177" fillId="0" borderId="0" xfId="2516" applyFont="1" applyAlignment="1">
      <alignment vertical="center"/>
    </xf>
    <xf numFmtId="0" fontId="181" fillId="0" borderId="0" xfId="2516" applyFont="1" applyAlignment="1">
      <alignment horizontal="right" vertical="center"/>
    </xf>
    <xf numFmtId="0" fontId="181" fillId="0" borderId="0" xfId="2516" applyFont="1"/>
    <xf numFmtId="337" fontId="181" fillId="0" borderId="0" xfId="384" applyNumberFormat="1" applyFont="1" applyFill="1" applyBorder="1" applyAlignment="1">
      <alignment horizontal="center" vertical="center"/>
    </xf>
    <xf numFmtId="337" fontId="181" fillId="0" borderId="0" xfId="2516" applyNumberFormat="1" applyFont="1" applyAlignment="1">
      <alignment horizontal="center" vertical="center"/>
    </xf>
    <xf numFmtId="9" fontId="46" fillId="0" borderId="0" xfId="45" applyFont="1" applyFill="1" applyBorder="1" applyAlignment="1">
      <alignment horizontal="center" vertical="center"/>
    </xf>
    <xf numFmtId="337" fontId="45" fillId="0" borderId="0" xfId="384" applyNumberFormat="1" applyFont="1" applyFill="1" applyBorder="1" applyAlignment="1">
      <alignment horizontal="center" vertical="center"/>
    </xf>
    <xf numFmtId="0" fontId="45" fillId="0" borderId="0" xfId="2516" applyFont="1" applyAlignment="1">
      <alignment horizontal="right" vertical="center"/>
    </xf>
    <xf numFmtId="0" fontId="214" fillId="0" borderId="0" xfId="2516" applyFont="1" applyAlignment="1">
      <alignment horizontal="centerContinuous" vertical="center"/>
    </xf>
    <xf numFmtId="0" fontId="46" fillId="0" borderId="0" xfId="2515" applyFont="1" applyAlignment="1">
      <alignment horizontal="center" vertical="center"/>
    </xf>
    <xf numFmtId="3" fontId="45" fillId="0" borderId="0" xfId="2516" applyNumberFormat="1" applyFont="1" applyAlignment="1">
      <alignment horizontal="center" vertical="center"/>
    </xf>
    <xf numFmtId="337" fontId="45" fillId="0" borderId="0" xfId="2516" applyNumberFormat="1" applyFont="1" applyAlignment="1">
      <alignment horizontal="center" vertical="center"/>
    </xf>
    <xf numFmtId="0" fontId="177" fillId="0" borderId="0" xfId="2516" applyFont="1" applyAlignment="1">
      <alignment horizontal="centerContinuous" vertical="center"/>
    </xf>
    <xf numFmtId="0" fontId="215" fillId="0" borderId="0" xfId="2516" applyFont="1" applyAlignment="1">
      <alignment vertical="center"/>
    </xf>
    <xf numFmtId="0" fontId="177" fillId="0" borderId="0" xfId="2515" applyFont="1" applyAlignment="1">
      <alignment vertical="center"/>
    </xf>
    <xf numFmtId="0" fontId="177" fillId="0" borderId="0" xfId="2515" applyFont="1"/>
    <xf numFmtId="0" fontId="177" fillId="0" borderId="0" xfId="2515" applyFont="1" applyAlignment="1">
      <alignment horizontal="left" vertical="center"/>
    </xf>
    <xf numFmtId="1" fontId="181" fillId="0" borderId="0" xfId="2516" applyNumberFormat="1" applyFont="1" applyAlignment="1">
      <alignment horizontal="center" vertical="center"/>
    </xf>
    <xf numFmtId="0" fontId="216" fillId="0" borderId="0" xfId="2516" applyFont="1" applyAlignment="1">
      <alignment vertical="center"/>
    </xf>
    <xf numFmtId="0" fontId="46" fillId="53" borderId="0" xfId="2516" applyFont="1" applyFill="1" applyAlignment="1">
      <alignment vertical="center"/>
    </xf>
    <xf numFmtId="0" fontId="175" fillId="0" borderId="0" xfId="2515" applyFont="1" applyAlignment="1">
      <alignment horizontal="left" vertical="center"/>
    </xf>
    <xf numFmtId="3" fontId="45" fillId="0" borderId="0" xfId="2515" applyNumberFormat="1" applyFont="1" applyAlignment="1">
      <alignment horizontal="center" vertical="center"/>
    </xf>
    <xf numFmtId="0" fontId="177" fillId="0" borderId="81" xfId="2515" applyFont="1" applyBorder="1" applyAlignment="1">
      <alignment horizontal="center" vertical="center"/>
    </xf>
    <xf numFmtId="3" fontId="45" fillId="0" borderId="81" xfId="45" applyNumberFormat="1" applyFont="1" applyFill="1" applyBorder="1" applyAlignment="1">
      <alignment horizontal="center" vertical="center"/>
    </xf>
    <xf numFmtId="3" fontId="46" fillId="55" borderId="81" xfId="45" applyNumberFormat="1" applyFont="1" applyFill="1" applyBorder="1" applyAlignment="1">
      <alignment horizontal="center" vertical="center"/>
    </xf>
    <xf numFmtId="173" fontId="46" fillId="0" borderId="81" xfId="384" applyNumberFormat="1" applyFont="1" applyFill="1" applyBorder="1" applyAlignment="1">
      <alignment horizontal="center" vertical="center"/>
    </xf>
    <xf numFmtId="3" fontId="45" fillId="0" borderId="81" xfId="2515" applyNumberFormat="1" applyFont="1" applyBorder="1" applyAlignment="1">
      <alignment horizontal="center" vertical="center"/>
    </xf>
    <xf numFmtId="173" fontId="200" fillId="65" borderId="0" xfId="384" applyNumberFormat="1" applyFont="1" applyFill="1" applyBorder="1" applyAlignment="1">
      <alignment horizontal="center" vertical="center"/>
    </xf>
    <xf numFmtId="10" fontId="200" fillId="65" borderId="0" xfId="384" applyNumberFormat="1" applyFont="1" applyFill="1" applyBorder="1" applyAlignment="1">
      <alignment horizontal="center" vertical="center"/>
    </xf>
    <xf numFmtId="3" fontId="178" fillId="0" borderId="0" xfId="43" applyNumberFormat="1" applyFont="1" applyAlignment="1">
      <alignment horizontal="center" vertical="center"/>
    </xf>
    <xf numFmtId="10" fontId="204" fillId="0" borderId="0" xfId="384" applyNumberFormat="1" applyFont="1" applyFill="1" applyBorder="1" applyAlignment="1">
      <alignment vertical="center"/>
    </xf>
    <xf numFmtId="231" fontId="204" fillId="0" borderId="0" xfId="383" applyNumberFormat="1" applyFont="1" applyFill="1" applyBorder="1" applyAlignment="1">
      <alignment vertical="center"/>
    </xf>
    <xf numFmtId="0" fontId="177" fillId="54" borderId="68" xfId="2515" applyFont="1" applyFill="1" applyBorder="1"/>
    <xf numFmtId="344" fontId="46" fillId="0" borderId="82" xfId="384" applyNumberFormat="1" applyFont="1" applyFill="1" applyBorder="1" applyAlignment="1">
      <alignment horizontal="center" vertical="center"/>
    </xf>
    <xf numFmtId="9" fontId="46" fillId="0" borderId="79" xfId="384" applyFont="1" applyFill="1" applyBorder="1" applyAlignment="1">
      <alignment horizontal="center" vertical="center"/>
    </xf>
    <xf numFmtId="9" fontId="32" fillId="0" borderId="0" xfId="384" applyFont="1" applyFill="1" applyBorder="1"/>
    <xf numFmtId="0" fontId="177" fillId="73" borderId="0" xfId="2515" applyFont="1" applyFill="1" applyAlignment="1">
      <alignment horizontal="center"/>
    </xf>
    <xf numFmtId="0" fontId="177" fillId="73" borderId="65" xfId="2515" applyFont="1" applyFill="1" applyBorder="1" applyAlignment="1">
      <alignment horizontal="center"/>
    </xf>
    <xf numFmtId="173" fontId="32" fillId="19" borderId="0" xfId="384" applyNumberFormat="1" applyFont="1" applyFill="1" applyBorder="1" applyAlignment="1">
      <alignment vertical="center"/>
    </xf>
    <xf numFmtId="345" fontId="170" fillId="0" borderId="0" xfId="0" applyNumberFormat="1" applyFont="1"/>
    <xf numFmtId="0" fontId="210" fillId="0" borderId="0" xfId="2516" applyFont="1"/>
    <xf numFmtId="1" fontId="170" fillId="60" borderId="0" xfId="0" applyNumberFormat="1" applyFont="1" applyFill="1" applyAlignment="1">
      <alignment vertical="center"/>
    </xf>
    <xf numFmtId="0" fontId="176" fillId="0" borderId="58" xfId="0" applyFont="1" applyBorder="1" applyAlignment="1">
      <alignment horizontal="left" vertical="center"/>
    </xf>
    <xf numFmtId="0" fontId="210" fillId="0" borderId="83" xfId="0" applyFont="1" applyBorder="1" applyAlignment="1">
      <alignment horizontal="left" vertical="center"/>
    </xf>
    <xf numFmtId="0" fontId="177" fillId="74" borderId="75" xfId="0" applyFont="1" applyFill="1" applyBorder="1" applyAlignment="1">
      <alignment horizontal="center" vertical="center"/>
    </xf>
    <xf numFmtId="9" fontId="218" fillId="0" borderId="75" xfId="384" applyFont="1" applyBorder="1" applyAlignment="1">
      <alignment horizontal="center" vertical="center"/>
    </xf>
    <xf numFmtId="9" fontId="219" fillId="55" borderId="75" xfId="384" applyFont="1" applyFill="1" applyBorder="1" applyAlignment="1">
      <alignment horizontal="center" vertical="center"/>
    </xf>
    <xf numFmtId="3" fontId="219" fillId="0" borderId="75" xfId="43" applyNumberFormat="1" applyFont="1" applyBorder="1" applyAlignment="1">
      <alignment horizontal="center" vertical="center"/>
    </xf>
    <xf numFmtId="3" fontId="218" fillId="0" borderId="75" xfId="0" applyNumberFormat="1" applyFont="1" applyBorder="1" applyAlignment="1">
      <alignment horizontal="center" vertical="center"/>
    </xf>
    <xf numFmtId="335" fontId="218" fillId="0" borderId="75" xfId="0" applyNumberFormat="1" applyFont="1" applyBorder="1" applyAlignment="1">
      <alignment horizontal="center" vertical="center"/>
    </xf>
    <xf numFmtId="335" fontId="219" fillId="55" borderId="75" xfId="0" applyNumberFormat="1" applyFont="1" applyFill="1" applyBorder="1" applyAlignment="1">
      <alignment horizontal="center" vertical="center"/>
    </xf>
    <xf numFmtId="3" fontId="218" fillId="0" borderId="75" xfId="43" applyNumberFormat="1" applyFont="1" applyBorder="1" applyAlignment="1">
      <alignment horizontal="center" vertical="center"/>
    </xf>
    <xf numFmtId="0" fontId="177" fillId="75" borderId="0" xfId="0" applyFont="1" applyFill="1" applyAlignment="1">
      <alignment horizontal="center" vertical="center"/>
    </xf>
    <xf numFmtId="173" fontId="178" fillId="0" borderId="0" xfId="384" applyNumberFormat="1" applyFont="1" applyFill="1" applyBorder="1" applyAlignment="1">
      <alignment horizontal="center" vertical="center"/>
    </xf>
    <xf numFmtId="173" fontId="183" fillId="0" borderId="81" xfId="384" applyNumberFormat="1" applyFont="1" applyBorder="1" applyAlignment="1">
      <alignment horizontal="center" vertical="center"/>
    </xf>
    <xf numFmtId="173" fontId="183" fillId="0" borderId="81" xfId="384" applyNumberFormat="1" applyFont="1" applyFill="1" applyBorder="1" applyAlignment="1">
      <alignment horizontal="center" vertical="center"/>
    </xf>
    <xf numFmtId="173" fontId="215" fillId="55" borderId="81" xfId="384" applyNumberFormat="1" applyFont="1" applyFill="1" applyBorder="1" applyAlignment="1">
      <alignment horizontal="center" vertical="center"/>
    </xf>
    <xf numFmtId="173" fontId="183" fillId="0" borderId="0" xfId="384" applyNumberFormat="1" applyFont="1" applyBorder="1" applyAlignment="1">
      <alignment horizontal="center" vertical="center"/>
    </xf>
    <xf numFmtId="173" fontId="183" fillId="0" borderId="0" xfId="384" applyNumberFormat="1" applyFont="1" applyFill="1" applyBorder="1" applyAlignment="1">
      <alignment horizontal="center" vertical="center"/>
    </xf>
    <xf numFmtId="173" fontId="215" fillId="55" borderId="0" xfId="384" applyNumberFormat="1" applyFont="1" applyFill="1" applyBorder="1" applyAlignment="1">
      <alignment horizontal="center" vertical="center"/>
    </xf>
    <xf numFmtId="173" fontId="45" fillId="0" borderId="80" xfId="2516" applyNumberFormat="1" applyFont="1" applyBorder="1" applyAlignment="1">
      <alignment horizontal="right"/>
    </xf>
    <xf numFmtId="0" fontId="177" fillId="75" borderId="0" xfId="2515" applyFont="1" applyFill="1" applyAlignment="1">
      <alignment horizontal="center"/>
    </xf>
    <xf numFmtId="2" fontId="46" fillId="55" borderId="0" xfId="384" applyNumberFormat="1" applyFont="1" applyFill="1" applyBorder="1" applyAlignment="1">
      <alignment horizontal="center"/>
    </xf>
    <xf numFmtId="9" fontId="45" fillId="0" borderId="0" xfId="384" applyFont="1" applyBorder="1" applyAlignment="1">
      <alignment horizontal="center" vertical="center"/>
    </xf>
    <xf numFmtId="1" fontId="45" fillId="0" borderId="0" xfId="2516" applyNumberFormat="1" applyFont="1"/>
    <xf numFmtId="0" fontId="177" fillId="54" borderId="84" xfId="2515" applyFont="1" applyFill="1" applyBorder="1"/>
    <xf numFmtId="0" fontId="177" fillId="54" borderId="69" xfId="2515" applyFont="1" applyFill="1" applyBorder="1"/>
    <xf numFmtId="0" fontId="46" fillId="0" borderId="69" xfId="2515" applyFont="1" applyBorder="1" applyAlignment="1">
      <alignment horizontal="left" vertical="center"/>
    </xf>
    <xf numFmtId="0" fontId="45" fillId="12" borderId="69" xfId="2516" applyFont="1" applyFill="1" applyBorder="1" applyAlignment="1">
      <alignment vertical="center"/>
    </xf>
    <xf numFmtId="0" fontId="46" fillId="55" borderId="69" xfId="2516" applyFont="1" applyFill="1" applyBorder="1" applyAlignment="1">
      <alignment vertical="center"/>
    </xf>
    <xf numFmtId="0" fontId="46" fillId="0" borderId="69" xfId="2516" applyFont="1" applyBorder="1" applyAlignment="1">
      <alignment vertical="center"/>
    </xf>
    <xf numFmtId="0" fontId="45" fillId="0" borderId="69" xfId="2516" applyFont="1" applyBorder="1"/>
    <xf numFmtId="0" fontId="183" fillId="12" borderId="69" xfId="2516" applyFont="1" applyFill="1" applyBorder="1" applyAlignment="1">
      <alignment vertical="center"/>
    </xf>
    <xf numFmtId="0" fontId="178" fillId="12" borderId="0" xfId="2516" applyFont="1" applyFill="1" applyAlignment="1">
      <alignment horizontal="center" vertical="center"/>
    </xf>
    <xf numFmtId="0" fontId="177" fillId="57" borderId="0" xfId="2515" applyFont="1" applyFill="1" applyAlignment="1">
      <alignment horizontal="center"/>
    </xf>
    <xf numFmtId="0" fontId="177" fillId="57" borderId="81" xfId="2515" applyFont="1" applyFill="1" applyBorder="1" applyAlignment="1">
      <alignment horizontal="center"/>
    </xf>
    <xf numFmtId="173" fontId="45" fillId="0" borderId="85" xfId="2516" applyNumberFormat="1" applyFont="1" applyBorder="1" applyAlignment="1">
      <alignment horizontal="right"/>
    </xf>
    <xf numFmtId="173" fontId="177" fillId="57" borderId="86" xfId="2515" applyNumberFormat="1" applyFont="1" applyFill="1" applyBorder="1" applyAlignment="1">
      <alignment horizontal="center"/>
    </xf>
    <xf numFmtId="0" fontId="177" fillId="0" borderId="86" xfId="2515" applyFont="1" applyBorder="1" applyAlignment="1">
      <alignment horizontal="center" vertical="center"/>
    </xf>
    <xf numFmtId="3" fontId="45" fillId="0" borderId="86" xfId="45" applyNumberFormat="1" applyFont="1" applyFill="1" applyBorder="1" applyAlignment="1">
      <alignment horizontal="center" vertical="center"/>
    </xf>
    <xf numFmtId="3" fontId="46" fillId="55" borderId="86" xfId="45" applyNumberFormat="1" applyFont="1" applyFill="1" applyBorder="1" applyAlignment="1">
      <alignment horizontal="center" vertical="center"/>
    </xf>
    <xf numFmtId="173" fontId="46" fillId="0" borderId="86" xfId="384" applyNumberFormat="1" applyFont="1" applyFill="1" applyBorder="1" applyAlignment="1">
      <alignment horizontal="center" vertical="center"/>
    </xf>
    <xf numFmtId="3" fontId="45" fillId="0" borderId="86" xfId="2515" applyNumberFormat="1" applyFont="1" applyBorder="1" applyAlignment="1">
      <alignment horizontal="center" vertical="center"/>
    </xf>
    <xf numFmtId="173" fontId="183" fillId="0" borderId="86" xfId="384" applyNumberFormat="1" applyFont="1" applyBorder="1" applyAlignment="1">
      <alignment horizontal="center" vertical="center"/>
    </xf>
    <xf numFmtId="173" fontId="183" fillId="0" borderId="86" xfId="384" applyNumberFormat="1" applyFont="1" applyFill="1" applyBorder="1" applyAlignment="1">
      <alignment horizontal="center" vertical="center"/>
    </xf>
    <xf numFmtId="180" fontId="46" fillId="55" borderId="86" xfId="45" applyNumberFormat="1" applyFont="1" applyFill="1" applyBorder="1" applyAlignment="1">
      <alignment horizontal="center" vertical="center"/>
    </xf>
    <xf numFmtId="173" fontId="215" fillId="55" borderId="86" xfId="384" applyNumberFormat="1" applyFont="1" applyFill="1" applyBorder="1" applyAlignment="1">
      <alignment horizontal="center" vertical="center"/>
    </xf>
    <xf numFmtId="173" fontId="45" fillId="12" borderId="87" xfId="2516" applyNumberFormat="1" applyFont="1" applyFill="1" applyBorder="1" applyAlignment="1">
      <alignment horizontal="right"/>
    </xf>
    <xf numFmtId="173" fontId="45" fillId="12" borderId="88" xfId="2516" applyNumberFormat="1" applyFont="1" applyFill="1" applyBorder="1" applyAlignment="1">
      <alignment horizontal="right"/>
    </xf>
    <xf numFmtId="173" fontId="176" fillId="53" borderId="0" xfId="2515" applyNumberFormat="1" applyFont="1" applyFill="1" applyAlignment="1">
      <alignment horizontal="center"/>
    </xf>
    <xf numFmtId="173" fontId="217" fillId="0" borderId="65" xfId="2515" applyNumberFormat="1" applyFont="1" applyBorder="1" applyAlignment="1">
      <alignment horizontal="center" vertical="center"/>
    </xf>
    <xf numFmtId="0" fontId="179" fillId="0" borderId="0" xfId="0" applyFont="1"/>
    <xf numFmtId="173" fontId="179" fillId="0" borderId="0" xfId="0" applyNumberFormat="1" applyFont="1"/>
    <xf numFmtId="1" fontId="179" fillId="0" borderId="0" xfId="0" applyNumberFormat="1" applyFont="1"/>
    <xf numFmtId="0" fontId="179" fillId="0" borderId="0" xfId="0" applyFont="1" applyAlignment="1">
      <alignment horizontal="right"/>
    </xf>
    <xf numFmtId="0" fontId="221" fillId="57" borderId="0" xfId="0" applyFont="1" applyFill="1" applyAlignment="1">
      <alignment horizontal="right"/>
    </xf>
    <xf numFmtId="1" fontId="179" fillId="60" borderId="0" xfId="0" applyNumberFormat="1" applyFont="1" applyFill="1"/>
    <xf numFmtId="173" fontId="179" fillId="60" borderId="78" xfId="0" applyNumberFormat="1" applyFont="1" applyFill="1" applyBorder="1"/>
    <xf numFmtId="2" fontId="179" fillId="0" borderId="0" xfId="0" applyNumberFormat="1" applyFont="1"/>
    <xf numFmtId="0" fontId="179" fillId="72" borderId="0" xfId="0" applyFont="1" applyFill="1"/>
    <xf numFmtId="173" fontId="179" fillId="60" borderId="78" xfId="384" applyNumberFormat="1" applyFont="1" applyFill="1" applyBorder="1"/>
    <xf numFmtId="173" fontId="179" fillId="72" borderId="0" xfId="0" applyNumberFormat="1" applyFont="1" applyFill="1"/>
    <xf numFmtId="173" fontId="45" fillId="12" borderId="81" xfId="2516" applyNumberFormat="1" applyFont="1" applyFill="1" applyBorder="1" applyAlignment="1">
      <alignment horizontal="right"/>
    </xf>
    <xf numFmtId="173" fontId="45" fillId="12" borderId="86" xfId="2516" applyNumberFormat="1" applyFont="1" applyFill="1" applyBorder="1" applyAlignment="1">
      <alignment horizontal="right"/>
    </xf>
    <xf numFmtId="173" fontId="45" fillId="12" borderId="89" xfId="2516" applyNumberFormat="1" applyFont="1" applyFill="1" applyBorder="1" applyAlignment="1">
      <alignment horizontal="right"/>
    </xf>
    <xf numFmtId="173" fontId="45" fillId="12" borderId="90" xfId="2516" applyNumberFormat="1" applyFont="1" applyFill="1" applyBorder="1" applyAlignment="1">
      <alignment horizontal="right"/>
    </xf>
    <xf numFmtId="335" fontId="176" fillId="0" borderId="0" xfId="0" applyNumberFormat="1" applyFont="1" applyAlignment="1">
      <alignment horizontal="center" vertical="center"/>
    </xf>
    <xf numFmtId="0" fontId="223" fillId="0" borderId="0" xfId="0" applyFont="1" applyAlignment="1">
      <alignment vertical="center"/>
    </xf>
    <xf numFmtId="0" fontId="179" fillId="0" borderId="0" xfId="0" applyFont="1" applyAlignment="1">
      <alignment vertical="center"/>
    </xf>
    <xf numFmtId="0" fontId="179" fillId="0" borderId="0" xfId="0" applyFont="1" applyAlignment="1">
      <alignment horizontal="center" vertical="center"/>
    </xf>
    <xf numFmtId="0" fontId="224" fillId="0" borderId="0" xfId="0" applyFont="1" applyAlignment="1">
      <alignment vertical="center"/>
    </xf>
    <xf numFmtId="0" fontId="223" fillId="0" borderId="75" xfId="0" applyFont="1" applyBorder="1" applyAlignment="1">
      <alignment vertical="center"/>
    </xf>
    <xf numFmtId="0" fontId="225" fillId="0" borderId="0" xfId="0" applyFont="1" applyAlignment="1">
      <alignment vertical="center"/>
    </xf>
    <xf numFmtId="0" fontId="226" fillId="0" borderId="0" xfId="0" applyFont="1" applyAlignment="1">
      <alignment vertical="center"/>
    </xf>
    <xf numFmtId="1" fontId="179" fillId="0" borderId="0" xfId="0" applyNumberFormat="1" applyFont="1" applyAlignment="1">
      <alignment horizontal="center" vertical="center"/>
    </xf>
    <xf numFmtId="9" fontId="179" fillId="0" borderId="0" xfId="0" applyNumberFormat="1" applyFont="1" applyAlignment="1">
      <alignment vertical="center"/>
    </xf>
    <xf numFmtId="9" fontId="179" fillId="0" borderId="0" xfId="384" applyFont="1" applyAlignment="1">
      <alignment vertical="center"/>
    </xf>
    <xf numFmtId="173" fontId="218" fillId="0" borderId="75" xfId="384" applyNumberFormat="1" applyFont="1" applyBorder="1" applyAlignment="1">
      <alignment horizontal="center" vertical="center"/>
    </xf>
    <xf numFmtId="335" fontId="219" fillId="55" borderId="75" xfId="0" quotePrefix="1" applyNumberFormat="1" applyFont="1" applyFill="1" applyBorder="1" applyAlignment="1">
      <alignment horizontal="center" vertical="center"/>
    </xf>
    <xf numFmtId="335" fontId="219" fillId="0" borderId="75" xfId="0" quotePrefix="1" applyNumberFormat="1" applyFont="1" applyBorder="1" applyAlignment="1">
      <alignment horizontal="center" vertical="center"/>
    </xf>
    <xf numFmtId="3" fontId="219" fillId="55" borderId="75" xfId="43" applyNumberFormat="1" applyFont="1" applyFill="1" applyBorder="1" applyAlignment="1">
      <alignment horizontal="center" vertical="center"/>
    </xf>
    <xf numFmtId="0" fontId="176" fillId="0" borderId="0" xfId="0" applyFont="1" applyAlignment="1">
      <alignment horizontal="left" vertical="center"/>
    </xf>
    <xf numFmtId="173" fontId="45" fillId="0" borderId="91" xfId="2516" applyNumberFormat="1" applyFont="1" applyBorder="1" applyAlignment="1">
      <alignment horizontal="right"/>
    </xf>
    <xf numFmtId="173" fontId="176" fillId="53" borderId="89" xfId="2515" applyNumberFormat="1" applyFont="1" applyFill="1" applyBorder="1" applyAlignment="1">
      <alignment horizontal="center"/>
    </xf>
    <xf numFmtId="0" fontId="217" fillId="0" borderId="89" xfId="2515" applyFont="1" applyBorder="1" applyAlignment="1">
      <alignment horizontal="center" vertical="center"/>
    </xf>
    <xf numFmtId="0" fontId="217" fillId="0" borderId="0" xfId="2515" applyFont="1" applyAlignment="1">
      <alignment horizontal="center" vertical="center"/>
    </xf>
    <xf numFmtId="0" fontId="179" fillId="0" borderId="75" xfId="0" applyFont="1" applyBorder="1" applyAlignment="1">
      <alignment horizontal="center" vertical="center"/>
    </xf>
    <xf numFmtId="0" fontId="179" fillId="0" borderId="76" xfId="0" applyFont="1" applyBorder="1" applyAlignment="1">
      <alignment vertical="center"/>
    </xf>
    <xf numFmtId="176" fontId="32" fillId="59" borderId="0" xfId="0" applyNumberFormat="1" applyFont="1" applyFill="1" applyAlignment="1">
      <alignment horizontal="right" vertical="center"/>
    </xf>
    <xf numFmtId="0" fontId="33" fillId="12" borderId="0" xfId="1" applyFont="1" applyFill="1" applyAlignment="1">
      <alignment horizontal="left" indent="2"/>
    </xf>
    <xf numFmtId="9" fontId="46" fillId="53" borderId="65" xfId="45" applyFont="1" applyFill="1" applyBorder="1" applyAlignment="1">
      <alignment horizontal="center"/>
    </xf>
    <xf numFmtId="0" fontId="177" fillId="57" borderId="0" xfId="2516" applyFont="1" applyFill="1" applyAlignment="1">
      <alignment horizontal="center"/>
    </xf>
    <xf numFmtId="2" fontId="46" fillId="53" borderId="0" xfId="384" applyNumberFormat="1" applyFont="1" applyFill="1" applyBorder="1" applyAlignment="1">
      <alignment horizontal="center" vertical="center"/>
    </xf>
    <xf numFmtId="2" fontId="46" fillId="53" borderId="81" xfId="384" applyNumberFormat="1" applyFont="1" applyFill="1" applyBorder="1" applyAlignment="1">
      <alignment horizontal="center" vertical="center"/>
    </xf>
    <xf numFmtId="4" fontId="46" fillId="55" borderId="86" xfId="45" applyNumberFormat="1" applyFont="1" applyFill="1" applyBorder="1" applyAlignment="1">
      <alignment horizontal="center" vertical="center"/>
    </xf>
    <xf numFmtId="9" fontId="177" fillId="74" borderId="75" xfId="45" applyFont="1" applyFill="1" applyBorder="1" applyAlignment="1">
      <alignment horizontal="center"/>
    </xf>
    <xf numFmtId="9" fontId="45" fillId="0" borderId="92" xfId="45" applyFont="1" applyFill="1" applyBorder="1" applyAlignment="1">
      <alignment horizontal="center"/>
    </xf>
    <xf numFmtId="9" fontId="177" fillId="73" borderId="93" xfId="45" applyFont="1" applyFill="1" applyBorder="1" applyAlignment="1">
      <alignment horizontal="center"/>
    </xf>
    <xf numFmtId="173" fontId="228" fillId="0" borderId="93" xfId="2515" applyNumberFormat="1" applyFont="1" applyBorder="1" applyAlignment="1">
      <alignment horizontal="center" vertical="center"/>
    </xf>
    <xf numFmtId="9" fontId="229" fillId="0" borderId="93" xfId="384" applyFont="1" applyFill="1" applyBorder="1" applyAlignment="1">
      <alignment horizontal="center" vertical="center"/>
    </xf>
    <xf numFmtId="9" fontId="228" fillId="55" borderId="93" xfId="384" applyFont="1" applyFill="1" applyBorder="1" applyAlignment="1">
      <alignment horizontal="center" vertical="center"/>
    </xf>
    <xf numFmtId="173" fontId="229" fillId="0" borderId="93" xfId="384" applyNumberFormat="1" applyFont="1" applyFill="1" applyBorder="1" applyAlignment="1">
      <alignment horizontal="center" vertical="center"/>
    </xf>
    <xf numFmtId="9" fontId="230" fillId="0" borderId="93" xfId="384" applyFont="1" applyFill="1" applyBorder="1" applyAlignment="1">
      <alignment horizontal="center" vertical="center"/>
    </xf>
    <xf numFmtId="173" fontId="228" fillId="55" borderId="93" xfId="2518" quotePrefix="1" applyNumberFormat="1" applyFont="1" applyFill="1" applyBorder="1" applyAlignment="1">
      <alignment horizontal="center" vertical="center"/>
    </xf>
    <xf numFmtId="173" fontId="46" fillId="0" borderId="94" xfId="2518" applyNumberFormat="1" applyFont="1" applyFill="1" applyBorder="1" applyAlignment="1">
      <alignment horizontal="center" vertical="center"/>
    </xf>
    <xf numFmtId="176" fontId="45" fillId="0" borderId="0" xfId="2516" applyNumberFormat="1" applyFont="1" applyAlignment="1">
      <alignment vertical="center"/>
    </xf>
    <xf numFmtId="0" fontId="46" fillId="60" borderId="69" xfId="2516" applyFont="1" applyFill="1" applyBorder="1" applyAlignment="1">
      <alignment vertical="center"/>
    </xf>
    <xf numFmtId="3" fontId="46" fillId="60" borderId="0" xfId="45" applyNumberFormat="1" applyFont="1" applyFill="1" applyBorder="1" applyAlignment="1">
      <alignment horizontal="center" vertical="center"/>
    </xf>
    <xf numFmtId="0" fontId="46" fillId="60" borderId="0" xfId="2516" applyFont="1" applyFill="1" applyAlignment="1">
      <alignment horizontal="center" vertical="center"/>
    </xf>
    <xf numFmtId="173" fontId="46" fillId="60" borderId="95" xfId="45" applyNumberFormat="1" applyFont="1" applyFill="1" applyBorder="1" applyAlignment="1">
      <alignment horizontal="center" vertical="center"/>
    </xf>
    <xf numFmtId="9" fontId="228" fillId="60" borderId="93" xfId="384" applyFont="1" applyFill="1" applyBorder="1" applyAlignment="1">
      <alignment horizontal="center" vertical="center"/>
    </xf>
    <xf numFmtId="0" fontId="45" fillId="72" borderId="0" xfId="2516" applyFont="1" applyFill="1" applyAlignment="1">
      <alignment horizontal="right" vertical="center"/>
    </xf>
    <xf numFmtId="0" fontId="177" fillId="57" borderId="86" xfId="2515" applyFont="1" applyFill="1" applyBorder="1" applyAlignment="1">
      <alignment horizontal="center"/>
    </xf>
    <xf numFmtId="0" fontId="28" fillId="0" borderId="0" xfId="2516"/>
    <xf numFmtId="173" fontId="45" fillId="0" borderId="74" xfId="2516" applyNumberFormat="1" applyFont="1" applyBorder="1" applyAlignment="1">
      <alignment horizontal="right"/>
    </xf>
    <xf numFmtId="173" fontId="219" fillId="0" borderId="75" xfId="2515" applyNumberFormat="1" applyFont="1" applyBorder="1" applyAlignment="1">
      <alignment horizontal="center" vertical="center"/>
    </xf>
    <xf numFmtId="9" fontId="218" fillId="0" borderId="75" xfId="384" applyFont="1" applyFill="1" applyBorder="1" applyAlignment="1">
      <alignment horizontal="center" vertical="center"/>
    </xf>
    <xf numFmtId="344" fontId="218" fillId="0" borderId="75" xfId="384" applyNumberFormat="1" applyFont="1" applyFill="1" applyBorder="1" applyAlignment="1">
      <alignment horizontal="center" vertical="center"/>
    </xf>
    <xf numFmtId="3" fontId="222" fillId="0" borderId="75" xfId="43" applyNumberFormat="1" applyFont="1" applyBorder="1" applyAlignment="1">
      <alignment horizontal="center" vertical="center"/>
    </xf>
    <xf numFmtId="3" fontId="218" fillId="53" borderId="75" xfId="43" applyNumberFormat="1" applyFont="1" applyFill="1" applyBorder="1" applyAlignment="1">
      <alignment horizontal="center" vertical="center"/>
    </xf>
    <xf numFmtId="173" fontId="45" fillId="12" borderId="75" xfId="2516" applyNumberFormat="1" applyFont="1" applyFill="1" applyBorder="1" applyAlignment="1">
      <alignment horizontal="right"/>
    </xf>
    <xf numFmtId="0" fontId="45" fillId="0" borderId="76" xfId="2516" applyFont="1" applyBorder="1"/>
    <xf numFmtId="0" fontId="170" fillId="72" borderId="0" xfId="0" applyFont="1" applyFill="1"/>
    <xf numFmtId="0" fontId="171" fillId="72" borderId="0" xfId="0" applyFont="1" applyFill="1"/>
    <xf numFmtId="172" fontId="46" fillId="53" borderId="0" xfId="384" applyNumberFormat="1" applyFont="1" applyFill="1" applyBorder="1" applyAlignment="1">
      <alignment horizontal="center" vertical="center"/>
    </xf>
    <xf numFmtId="0" fontId="217" fillId="0" borderId="79" xfId="2515" applyFont="1" applyBorder="1" applyAlignment="1">
      <alignment horizontal="center" vertical="center"/>
    </xf>
    <xf numFmtId="173" fontId="45" fillId="12" borderId="79" xfId="2516" applyNumberFormat="1" applyFont="1" applyFill="1" applyBorder="1" applyAlignment="1">
      <alignment horizontal="right"/>
    </xf>
    <xf numFmtId="0" fontId="45" fillId="0" borderId="82" xfId="2516" applyFont="1" applyBorder="1"/>
    <xf numFmtId="173" fontId="45" fillId="0" borderId="96" xfId="2516" applyNumberFormat="1" applyFont="1" applyBorder="1" applyAlignment="1">
      <alignment horizontal="right"/>
    </xf>
    <xf numFmtId="173" fontId="176" fillId="53" borderId="79" xfId="2515" applyNumberFormat="1" applyFont="1" applyFill="1" applyBorder="1" applyAlignment="1">
      <alignment horizontal="center"/>
    </xf>
    <xf numFmtId="180" fontId="46" fillId="55" borderId="81" xfId="45" applyNumberFormat="1" applyFont="1" applyFill="1" applyBorder="1" applyAlignment="1">
      <alignment horizontal="center" vertical="center"/>
    </xf>
    <xf numFmtId="0" fontId="177" fillId="72" borderId="0" xfId="2515" applyFont="1" applyFill="1" applyAlignment="1">
      <alignment horizontal="center"/>
    </xf>
    <xf numFmtId="9" fontId="185" fillId="0" borderId="0" xfId="384" applyFont="1" applyBorder="1" applyAlignment="1">
      <alignment horizontal="centerContinuous" vertical="top"/>
    </xf>
    <xf numFmtId="173" fontId="173" fillId="60" borderId="0" xfId="384" applyNumberFormat="1" applyFont="1" applyFill="1" applyBorder="1"/>
    <xf numFmtId="3" fontId="178" fillId="0" borderId="0" xfId="43" applyNumberFormat="1" applyFont="1" applyAlignment="1">
      <alignment horizontal="right" vertical="center"/>
    </xf>
    <xf numFmtId="0" fontId="199" fillId="54" borderId="0" xfId="0" applyFont="1" applyFill="1" applyAlignment="1">
      <alignment horizontal="center" vertical="center"/>
    </xf>
    <xf numFmtId="0" fontId="223" fillId="0" borderId="0" xfId="0" applyFont="1"/>
    <xf numFmtId="0" fontId="179" fillId="0" borderId="0" xfId="0" quotePrefix="1" applyFont="1"/>
    <xf numFmtId="1" fontId="231" fillId="0" borderId="0" xfId="0" applyNumberFormat="1" applyFont="1" applyAlignment="1">
      <alignment horizontal="center" vertical="center"/>
    </xf>
    <xf numFmtId="0" fontId="232" fillId="0" borderId="0" xfId="0" applyFont="1" applyAlignment="1">
      <alignment horizontal="center" vertical="center"/>
    </xf>
    <xf numFmtId="0" fontId="226" fillId="0" borderId="0" xfId="0" applyFont="1"/>
    <xf numFmtId="0" fontId="227" fillId="0" borderId="0" xfId="0" applyFont="1"/>
    <xf numFmtId="0" fontId="233" fillId="54" borderId="0" xfId="0" applyFont="1" applyFill="1"/>
    <xf numFmtId="0" fontId="233" fillId="54" borderId="0" xfId="0" applyFont="1" applyFill="1" applyAlignment="1">
      <alignment horizontal="center" vertical="center"/>
    </xf>
    <xf numFmtId="1" fontId="233" fillId="54" borderId="0" xfId="0" applyNumberFormat="1" applyFont="1" applyFill="1" applyAlignment="1">
      <alignment horizontal="center"/>
    </xf>
    <xf numFmtId="328" fontId="234" fillId="0" borderId="0" xfId="0" applyNumberFormat="1" applyFont="1"/>
    <xf numFmtId="0" fontId="232" fillId="60" borderId="3" xfId="0" applyFont="1" applyFill="1" applyBorder="1"/>
    <xf numFmtId="173" fontId="233" fillId="54" borderId="67" xfId="384" applyNumberFormat="1" applyFont="1" applyFill="1" applyBorder="1" applyAlignment="1">
      <alignment horizontal="centerContinuous" vertical="center"/>
    </xf>
    <xf numFmtId="1" fontId="223" fillId="0" borderId="0" xfId="0" applyNumberFormat="1" applyFont="1"/>
    <xf numFmtId="3" fontId="179" fillId="0" borderId="0" xfId="0" applyNumberFormat="1" applyFont="1"/>
    <xf numFmtId="173" fontId="233" fillId="54" borderId="0" xfId="384" applyNumberFormat="1" applyFont="1" applyFill="1" applyAlignment="1">
      <alignment horizontal="center" vertical="center"/>
    </xf>
    <xf numFmtId="173" fontId="233" fillId="54" borderId="68" xfId="384" applyNumberFormat="1" applyFont="1" applyFill="1" applyBorder="1" applyAlignment="1">
      <alignment horizontal="centerContinuous" vertical="center"/>
    </xf>
    <xf numFmtId="329" fontId="179" fillId="0" borderId="0" xfId="0" applyNumberFormat="1" applyFont="1"/>
    <xf numFmtId="0" fontId="235" fillId="54" borderId="0" xfId="0" applyFont="1" applyFill="1"/>
    <xf numFmtId="9" fontId="179" fillId="0" borderId="0" xfId="384" applyFont="1" applyAlignment="1">
      <alignment horizontal="center" vertical="center"/>
    </xf>
    <xf numFmtId="9" fontId="179" fillId="0" borderId="0" xfId="384" applyFont="1" applyBorder="1" applyAlignment="1">
      <alignment horizontal="center" vertical="center"/>
    </xf>
    <xf numFmtId="173" fontId="233" fillId="54" borderId="69" xfId="384" applyNumberFormat="1" applyFont="1" applyFill="1" applyBorder="1" applyAlignment="1">
      <alignment horizontal="center" vertical="center"/>
    </xf>
    <xf numFmtId="0" fontId="236" fillId="0" borderId="0" xfId="0" applyFont="1"/>
    <xf numFmtId="9" fontId="179" fillId="0" borderId="70" xfId="384" applyFont="1" applyBorder="1" applyAlignment="1">
      <alignment horizontal="center" vertical="center"/>
    </xf>
    <xf numFmtId="2" fontId="223" fillId="0" borderId="0" xfId="0" applyNumberFormat="1" applyFont="1"/>
    <xf numFmtId="1" fontId="223" fillId="0" borderId="0" xfId="0" applyNumberFormat="1" applyFont="1" applyAlignment="1">
      <alignment horizontal="left"/>
    </xf>
    <xf numFmtId="4" fontId="179" fillId="0" borderId="0" xfId="0" applyNumberFormat="1" applyFont="1"/>
    <xf numFmtId="9" fontId="223" fillId="0" borderId="0" xfId="384" applyFont="1" applyBorder="1"/>
    <xf numFmtId="0" fontId="237" fillId="0" borderId="0" xfId="0" applyFont="1"/>
    <xf numFmtId="0" fontId="223" fillId="0" borderId="0" xfId="0" applyFont="1" applyAlignment="1">
      <alignment horizontal="left"/>
    </xf>
    <xf numFmtId="330" fontId="179" fillId="0" borderId="0" xfId="0" applyNumberFormat="1" applyFont="1"/>
    <xf numFmtId="173" fontId="179" fillId="0" borderId="0" xfId="384" applyNumberFormat="1" applyFont="1"/>
    <xf numFmtId="332" fontId="223" fillId="0" borderId="0" xfId="384" quotePrefix="1" applyNumberFormat="1" applyFont="1" applyBorder="1"/>
    <xf numFmtId="9" fontId="223" fillId="0" borderId="0" xfId="0" applyNumberFormat="1" applyFont="1"/>
    <xf numFmtId="0" fontId="170" fillId="0" borderId="0" xfId="2512" quotePrefix="1"/>
    <xf numFmtId="9" fontId="179" fillId="0" borderId="71" xfId="384" applyFont="1" applyBorder="1" applyAlignment="1">
      <alignment horizontal="center" vertical="center"/>
    </xf>
    <xf numFmtId="9" fontId="179" fillId="0" borderId="72" xfId="384" applyFont="1" applyBorder="1" applyAlignment="1">
      <alignment horizontal="center" vertical="center"/>
    </xf>
    <xf numFmtId="1" fontId="234" fillId="0" borderId="0" xfId="0" applyNumberFormat="1" applyFont="1"/>
    <xf numFmtId="0" fontId="236" fillId="0" borderId="0" xfId="0" applyFont="1" applyAlignment="1">
      <alignment vertical="top"/>
    </xf>
    <xf numFmtId="180" fontId="170" fillId="0" borderId="0" xfId="2512" applyNumberFormat="1"/>
    <xf numFmtId="0" fontId="221" fillId="54" borderId="0" xfId="0" applyFont="1" applyFill="1"/>
    <xf numFmtId="0" fontId="170" fillId="0" borderId="60" xfId="2512" applyBorder="1"/>
    <xf numFmtId="0" fontId="170" fillId="0" borderId="56" xfId="2512" applyBorder="1"/>
    <xf numFmtId="173" fontId="170" fillId="0" borderId="57" xfId="2512" applyNumberFormat="1" applyBorder="1"/>
    <xf numFmtId="0" fontId="170" fillId="0" borderId="10" xfId="2512" applyBorder="1"/>
    <xf numFmtId="0" fontId="170" fillId="0" borderId="7" xfId="2512" applyBorder="1"/>
    <xf numFmtId="173" fontId="170" fillId="0" borderId="30" xfId="2512" applyNumberFormat="1" applyBorder="1"/>
    <xf numFmtId="0" fontId="236" fillId="0" borderId="0" xfId="0" applyFont="1" applyAlignment="1">
      <alignment horizontal="right"/>
    </xf>
    <xf numFmtId="9" fontId="234" fillId="0" borderId="0" xfId="384" applyFont="1" applyFill="1" applyBorder="1"/>
    <xf numFmtId="0" fontId="234" fillId="0" borderId="0" xfId="384" applyNumberFormat="1" applyFont="1" applyFill="1" applyBorder="1"/>
    <xf numFmtId="9" fontId="223" fillId="0" borderId="0" xfId="384" applyFont="1" applyFill="1" applyBorder="1"/>
    <xf numFmtId="0" fontId="179" fillId="0" borderId="56" xfId="0" applyFont="1" applyBorder="1" applyAlignment="1">
      <alignment horizontal="left" indent="1"/>
    </xf>
    <xf numFmtId="3" fontId="179" fillId="0" borderId="56" xfId="0" applyNumberFormat="1" applyFont="1" applyBorder="1"/>
    <xf numFmtId="2" fontId="170" fillId="0" borderId="0" xfId="2512" applyNumberFormat="1"/>
    <xf numFmtId="333" fontId="223" fillId="0" borderId="0" xfId="0" applyNumberFormat="1" applyFont="1"/>
    <xf numFmtId="0" fontId="179" fillId="0" borderId="0" xfId="0" applyFont="1" applyAlignment="1">
      <alignment horizontal="left" indent="1"/>
    </xf>
    <xf numFmtId="9" fontId="213" fillId="0" borderId="0" xfId="0" applyNumberFormat="1" applyFont="1"/>
    <xf numFmtId="9" fontId="47" fillId="0" borderId="0" xfId="0" applyNumberFormat="1" applyFont="1"/>
    <xf numFmtId="0" fontId="226" fillId="0" borderId="33" xfId="0" applyFont="1" applyBorder="1"/>
    <xf numFmtId="3" fontId="226" fillId="0" borderId="33" xfId="0" applyNumberFormat="1" applyFont="1" applyBorder="1"/>
    <xf numFmtId="173" fontId="179" fillId="0" borderId="0" xfId="384" applyNumberFormat="1" applyFont="1" applyAlignment="1">
      <alignment horizontal="center"/>
    </xf>
    <xf numFmtId="334" fontId="170" fillId="0" borderId="0" xfId="2512" applyNumberFormat="1"/>
    <xf numFmtId="334" fontId="223" fillId="0" borderId="0" xfId="0" applyNumberFormat="1" applyFont="1"/>
    <xf numFmtId="0" fontId="232" fillId="60" borderId="0" xfId="0" applyFont="1" applyFill="1" applyAlignment="1">
      <alignment horizontal="center" vertical="center"/>
    </xf>
    <xf numFmtId="0" fontId="179" fillId="0" borderId="0" xfId="0" applyFont="1" applyAlignment="1">
      <alignment horizontal="center"/>
    </xf>
    <xf numFmtId="9" fontId="179" fillId="0" borderId="0" xfId="384" applyFont="1"/>
    <xf numFmtId="173" fontId="179" fillId="0" borderId="0" xfId="0" applyNumberFormat="1" applyFont="1" applyAlignment="1">
      <alignment horizontal="center"/>
    </xf>
    <xf numFmtId="9" fontId="232" fillId="0" borderId="0" xfId="384" applyFont="1" applyAlignment="1">
      <alignment horizontal="center"/>
    </xf>
    <xf numFmtId="173" fontId="226" fillId="0" borderId="0" xfId="0" applyNumberFormat="1" applyFont="1" applyAlignment="1">
      <alignment horizontal="center"/>
    </xf>
    <xf numFmtId="0" fontId="226" fillId="0" borderId="0" xfId="0" applyFont="1" applyAlignment="1">
      <alignment horizontal="left" indent="1"/>
    </xf>
    <xf numFmtId="4" fontId="235" fillId="54" borderId="0" xfId="0" applyNumberFormat="1" applyFont="1" applyFill="1"/>
    <xf numFmtId="2" fontId="233" fillId="54" borderId="0" xfId="384" applyNumberFormat="1" applyFont="1" applyFill="1" applyAlignment="1">
      <alignment horizontal="center" vertical="center"/>
    </xf>
    <xf numFmtId="0" fontId="199" fillId="54" borderId="0" xfId="0" applyFont="1" applyFill="1" applyAlignment="1">
      <alignment horizontal="left" vertical="center"/>
    </xf>
    <xf numFmtId="0" fontId="171" fillId="0" borderId="0" xfId="0" applyFont="1" applyAlignment="1">
      <alignment horizontal="left" vertical="center"/>
    </xf>
    <xf numFmtId="0" fontId="170" fillId="0" borderId="0" xfId="0" applyFont="1" applyAlignment="1">
      <alignment horizontal="left" vertical="center"/>
    </xf>
    <xf numFmtId="0" fontId="28" fillId="12" borderId="0" xfId="1" applyFont="1" applyFill="1" applyAlignment="1">
      <alignment vertical="center"/>
    </xf>
    <xf numFmtId="3" fontId="170" fillId="0" borderId="0" xfId="0" applyNumberFormat="1" applyFont="1" applyAlignment="1">
      <alignment horizontal="center" vertical="center"/>
    </xf>
    <xf numFmtId="9" fontId="170" fillId="0" borderId="0" xfId="384" applyFont="1" applyBorder="1" applyAlignment="1">
      <alignment horizontal="center" vertical="center"/>
    </xf>
    <xf numFmtId="3" fontId="170" fillId="0" borderId="0" xfId="0" applyNumberFormat="1" applyFont="1" applyAlignment="1">
      <alignment horizontal="left" vertical="center"/>
    </xf>
    <xf numFmtId="0" fontId="32" fillId="63" borderId="0" xfId="1" applyFont="1" applyFill="1" applyAlignment="1">
      <alignment vertical="center"/>
    </xf>
    <xf numFmtId="3" fontId="171" fillId="63" borderId="0" xfId="0" applyNumberFormat="1" applyFont="1" applyFill="1" applyAlignment="1">
      <alignment horizontal="center" vertical="center"/>
    </xf>
    <xf numFmtId="9" fontId="171" fillId="63" borderId="0" xfId="384" applyFont="1" applyFill="1" applyBorder="1" applyAlignment="1">
      <alignment horizontal="center" vertical="center"/>
    </xf>
    <xf numFmtId="3" fontId="170" fillId="63" borderId="0" xfId="0" applyNumberFormat="1" applyFont="1" applyFill="1" applyAlignment="1">
      <alignment horizontal="left" vertical="center"/>
    </xf>
    <xf numFmtId="0" fontId="32" fillId="12" borderId="0" xfId="1" applyFont="1" applyFill="1" applyAlignment="1">
      <alignment vertical="center"/>
    </xf>
    <xf numFmtId="173" fontId="170" fillId="0" borderId="0" xfId="0" applyNumberFormat="1" applyFont="1" applyAlignment="1">
      <alignment horizontal="center" vertical="center"/>
    </xf>
    <xf numFmtId="173" fontId="170" fillId="0" borderId="0" xfId="0" applyNumberFormat="1" applyFont="1" applyAlignment="1">
      <alignment horizontal="left" vertical="center"/>
    </xf>
    <xf numFmtId="0" fontId="32" fillId="12" borderId="0" xfId="1" quotePrefix="1" applyFont="1" applyFill="1" applyAlignment="1">
      <alignment vertical="center"/>
    </xf>
    <xf numFmtId="0" fontId="171" fillId="63" borderId="0" xfId="0" applyFont="1" applyFill="1" applyAlignment="1">
      <alignment vertical="center"/>
    </xf>
    <xf numFmtId="0" fontId="199" fillId="0" borderId="0" xfId="0" applyFont="1"/>
    <xf numFmtId="342" fontId="170" fillId="0" borderId="0" xfId="384" applyNumberFormat="1" applyFont="1" applyBorder="1" applyAlignment="1">
      <alignment horizontal="center" vertical="center"/>
    </xf>
    <xf numFmtId="9" fontId="170" fillId="0" borderId="0" xfId="0" applyNumberFormat="1" applyFont="1" applyAlignment="1">
      <alignment horizontal="center" vertical="center"/>
    </xf>
    <xf numFmtId="9" fontId="170" fillId="0" borderId="0" xfId="0" applyNumberFormat="1" applyFont="1" applyAlignment="1">
      <alignment horizontal="left" vertical="center"/>
    </xf>
    <xf numFmtId="1" fontId="170" fillId="0" borderId="0" xfId="0" applyNumberFormat="1" applyFont="1" applyAlignment="1">
      <alignment horizontal="center" vertical="center"/>
    </xf>
    <xf numFmtId="1" fontId="170" fillId="0" borderId="0" xfId="0" applyNumberFormat="1" applyFont="1" applyAlignment="1">
      <alignment horizontal="left" vertical="center"/>
    </xf>
    <xf numFmtId="0" fontId="171" fillId="0" borderId="0" xfId="0" applyFont="1" applyAlignment="1">
      <alignment horizontal="center" vertical="center"/>
    </xf>
    <xf numFmtId="2" fontId="171" fillId="63" borderId="0" xfId="0" applyNumberFormat="1" applyFont="1" applyFill="1" applyAlignment="1">
      <alignment horizontal="center" vertical="center"/>
    </xf>
    <xf numFmtId="2" fontId="171" fillId="63" borderId="0" xfId="0" applyNumberFormat="1" applyFont="1" applyFill="1" applyAlignment="1">
      <alignment horizontal="left" vertical="center"/>
    </xf>
    <xf numFmtId="3" fontId="170" fillId="0" borderId="0" xfId="0" applyNumberFormat="1" applyFont="1" applyAlignment="1">
      <alignment horizontal="center"/>
    </xf>
    <xf numFmtId="9" fontId="170" fillId="0" borderId="0" xfId="384" applyFont="1" applyBorder="1" applyAlignment="1">
      <alignment horizontal="center"/>
    </xf>
    <xf numFmtId="3" fontId="170" fillId="0" borderId="0" xfId="0" applyNumberFormat="1" applyFont="1" applyAlignment="1">
      <alignment horizontal="left"/>
    </xf>
    <xf numFmtId="0" fontId="171" fillId="63" borderId="0" xfId="0" applyFont="1" applyFill="1"/>
    <xf numFmtId="3" fontId="171" fillId="63" borderId="0" xfId="0" applyNumberFormat="1" applyFont="1" applyFill="1" applyAlignment="1">
      <alignment horizontal="center"/>
    </xf>
    <xf numFmtId="9" fontId="171" fillId="63" borderId="0" xfId="384" applyFont="1" applyFill="1" applyBorder="1" applyAlignment="1">
      <alignment horizontal="center"/>
    </xf>
    <xf numFmtId="3" fontId="171" fillId="63" borderId="0" xfId="0" applyNumberFormat="1" applyFont="1" applyFill="1" applyAlignment="1">
      <alignment horizontal="left"/>
    </xf>
    <xf numFmtId="1" fontId="170" fillId="0" borderId="0" xfId="0" applyNumberFormat="1" applyFont="1" applyAlignment="1">
      <alignment horizontal="center"/>
    </xf>
    <xf numFmtId="1" fontId="170" fillId="0" borderId="0" xfId="0" applyNumberFormat="1" applyFont="1" applyAlignment="1">
      <alignment horizontal="left"/>
    </xf>
    <xf numFmtId="173" fontId="170" fillId="0" borderId="0" xfId="0" applyNumberFormat="1" applyFont="1" applyAlignment="1">
      <alignment horizontal="center"/>
    </xf>
    <xf numFmtId="3" fontId="171" fillId="63" borderId="0" xfId="0" applyNumberFormat="1" applyFont="1" applyFill="1" applyAlignment="1">
      <alignment horizontal="left" vertical="center"/>
    </xf>
    <xf numFmtId="0" fontId="170" fillId="0" borderId="0" xfId="0" applyFont="1" applyAlignment="1">
      <alignment horizontal="left" vertical="center" indent="1"/>
    </xf>
    <xf numFmtId="0" fontId="201" fillId="0" borderId="0" xfId="0" applyFont="1" applyAlignment="1">
      <alignment horizontal="left" vertical="center"/>
    </xf>
    <xf numFmtId="3" fontId="46" fillId="55" borderId="65" xfId="2516" applyNumberFormat="1" applyFont="1" applyFill="1" applyBorder="1" applyAlignment="1">
      <alignment horizontal="center"/>
    </xf>
    <xf numFmtId="0" fontId="45" fillId="0" borderId="74" xfId="2516" applyFont="1" applyBorder="1"/>
    <xf numFmtId="0" fontId="45" fillId="0" borderId="75" xfId="2516" applyFont="1" applyBorder="1"/>
    <xf numFmtId="0" fontId="46" fillId="0" borderId="75" xfId="2516" applyFont="1" applyBorder="1"/>
    <xf numFmtId="0" fontId="183" fillId="12" borderId="0" xfId="2516" applyFont="1" applyFill="1" applyAlignment="1">
      <alignment horizontal="left" indent="1"/>
    </xf>
    <xf numFmtId="3" fontId="45" fillId="0" borderId="65" xfId="2516" applyNumberFormat="1" applyFont="1" applyBorder="1" applyAlignment="1">
      <alignment horizontal="center"/>
    </xf>
    <xf numFmtId="173" fontId="45" fillId="0" borderId="65" xfId="384" applyNumberFormat="1" applyFont="1" applyBorder="1" applyAlignment="1">
      <alignment horizontal="center"/>
    </xf>
    <xf numFmtId="0" fontId="45" fillId="0" borderId="65" xfId="2516" applyFont="1" applyBorder="1" applyAlignment="1">
      <alignment horizontal="center"/>
    </xf>
    <xf numFmtId="2" fontId="46" fillId="55" borderId="65" xfId="384" applyNumberFormat="1" applyFont="1" applyFill="1" applyBorder="1" applyAlignment="1">
      <alignment horizontal="center"/>
    </xf>
    <xf numFmtId="0" fontId="46" fillId="53" borderId="0" xfId="0" applyFont="1" applyFill="1" applyAlignment="1">
      <alignment horizontal="center" vertical="center"/>
    </xf>
    <xf numFmtId="0" fontId="45" fillId="0" borderId="97" xfId="2516" applyFont="1" applyBorder="1"/>
    <xf numFmtId="0" fontId="45" fillId="0" borderId="98" xfId="2516" applyFont="1" applyBorder="1"/>
    <xf numFmtId="0" fontId="46" fillId="53" borderId="99" xfId="2516" applyFont="1" applyFill="1" applyBorder="1" applyAlignment="1">
      <alignment horizontal="center"/>
    </xf>
    <xf numFmtId="0" fontId="46" fillId="53" borderId="100" xfId="2516" applyFont="1" applyFill="1" applyBorder="1" applyAlignment="1">
      <alignment horizontal="center"/>
    </xf>
    <xf numFmtId="0" fontId="45" fillId="0" borderId="99" xfId="2516" applyFont="1" applyBorder="1"/>
    <xf numFmtId="0" fontId="45" fillId="0" borderId="100" xfId="2516" applyFont="1" applyBorder="1"/>
    <xf numFmtId="0" fontId="45" fillId="0" borderId="101" xfId="2516" applyFont="1" applyBorder="1"/>
    <xf numFmtId="0" fontId="45" fillId="0" borderId="102" xfId="2516" applyFont="1" applyBorder="1"/>
    <xf numFmtId="2" fontId="46" fillId="53" borderId="99" xfId="384" applyNumberFormat="1" applyFont="1" applyFill="1" applyBorder="1" applyAlignment="1">
      <alignment horizontal="center" vertical="center"/>
    </xf>
    <xf numFmtId="2" fontId="46" fillId="53" borderId="100" xfId="384" applyNumberFormat="1" applyFont="1" applyFill="1" applyBorder="1" applyAlignment="1">
      <alignment horizontal="center" vertical="center"/>
    </xf>
    <xf numFmtId="173" fontId="170" fillId="72" borderId="0" xfId="384" applyNumberFormat="1" applyFont="1" applyFill="1"/>
    <xf numFmtId="173" fontId="217" fillId="0" borderId="0" xfId="2515" applyNumberFormat="1" applyFont="1" applyAlignment="1">
      <alignment horizontal="center" vertical="center"/>
    </xf>
    <xf numFmtId="344" fontId="46" fillId="0" borderId="0" xfId="384" applyNumberFormat="1" applyFont="1" applyFill="1" applyBorder="1" applyAlignment="1">
      <alignment horizontal="center" vertical="center"/>
    </xf>
    <xf numFmtId="173" fontId="177" fillId="0" borderId="0" xfId="2515" applyNumberFormat="1" applyFont="1" applyAlignment="1">
      <alignment horizontal="center" vertical="center"/>
    </xf>
    <xf numFmtId="173" fontId="46" fillId="60" borderId="0" xfId="45" applyNumberFormat="1" applyFont="1" applyFill="1" applyBorder="1" applyAlignment="1">
      <alignment horizontal="center" vertical="center"/>
    </xf>
    <xf numFmtId="9" fontId="46" fillId="55" borderId="0" xfId="45" applyFont="1" applyFill="1" applyBorder="1" applyAlignment="1">
      <alignment horizontal="center"/>
    </xf>
    <xf numFmtId="337" fontId="46" fillId="60" borderId="0" xfId="384" applyNumberFormat="1" applyFont="1" applyFill="1" applyBorder="1" applyAlignment="1">
      <alignment horizontal="center" vertical="center"/>
    </xf>
    <xf numFmtId="337" fontId="46" fillId="55" borderId="0" xfId="384" applyNumberFormat="1" applyFont="1" applyFill="1" applyBorder="1" applyAlignment="1">
      <alignment horizontal="center" vertical="center"/>
    </xf>
    <xf numFmtId="337" fontId="46" fillId="60" borderId="65" xfId="384" applyNumberFormat="1" applyFont="1" applyFill="1" applyBorder="1" applyAlignment="1">
      <alignment horizontal="center" vertical="center"/>
    </xf>
    <xf numFmtId="337" fontId="46" fillId="55" borderId="65" xfId="384" applyNumberFormat="1" applyFont="1" applyFill="1" applyBorder="1" applyAlignment="1">
      <alignment horizontal="center" vertical="center"/>
    </xf>
    <xf numFmtId="0" fontId="183" fillId="12" borderId="69" xfId="2516" applyFont="1" applyFill="1" applyBorder="1" applyAlignment="1">
      <alignment horizontal="left" vertical="center" indent="1"/>
    </xf>
    <xf numFmtId="9" fontId="46" fillId="53" borderId="0" xfId="45" applyFont="1" applyFill="1" applyBorder="1" applyAlignment="1">
      <alignment horizontal="center" vertical="center"/>
    </xf>
    <xf numFmtId="9" fontId="45" fillId="0" borderId="65" xfId="45" applyFont="1" applyFill="1" applyBorder="1" applyAlignment="1">
      <alignment horizontal="center" vertical="center"/>
    </xf>
    <xf numFmtId="9" fontId="46" fillId="53" borderId="65" xfId="45" applyFont="1" applyFill="1" applyBorder="1" applyAlignment="1">
      <alignment horizontal="center" vertical="center"/>
    </xf>
    <xf numFmtId="337" fontId="45" fillId="0" borderId="65" xfId="384" applyNumberFormat="1" applyFont="1" applyFill="1" applyBorder="1" applyAlignment="1">
      <alignment horizontal="center" vertical="center"/>
    </xf>
    <xf numFmtId="173" fontId="46" fillId="60" borderId="65" xfId="45" applyNumberFormat="1" applyFont="1" applyFill="1" applyBorder="1" applyAlignment="1">
      <alignment horizontal="center" vertical="center"/>
    </xf>
    <xf numFmtId="337" fontId="45" fillId="0" borderId="77" xfId="384" applyNumberFormat="1" applyFont="1" applyFill="1" applyBorder="1" applyAlignment="1">
      <alignment horizontal="center" vertical="center"/>
    </xf>
    <xf numFmtId="173" fontId="45" fillId="12" borderId="76" xfId="2516" applyNumberFormat="1" applyFont="1" applyFill="1" applyBorder="1" applyAlignment="1">
      <alignment horizontal="right"/>
    </xf>
    <xf numFmtId="173" fontId="218" fillId="12" borderId="75" xfId="2516" applyNumberFormat="1" applyFont="1" applyFill="1" applyBorder="1" applyAlignment="1">
      <alignment horizontal="right"/>
    </xf>
    <xf numFmtId="9" fontId="45" fillId="0" borderId="0" xfId="384" applyFont="1" applyBorder="1"/>
    <xf numFmtId="9" fontId="219" fillId="55" borderId="75" xfId="384" applyFont="1" applyFill="1" applyBorder="1" applyAlignment="1">
      <alignment horizontal="center" vertical="center" wrapText="1"/>
    </xf>
    <xf numFmtId="173" fontId="45" fillId="19" borderId="0" xfId="2516" applyNumberFormat="1" applyFont="1" applyFill="1" applyAlignment="1">
      <alignment horizontal="right" vertical="center"/>
    </xf>
    <xf numFmtId="0" fontId="0" fillId="0" borderId="0" xfId="0" applyAlignment="1">
      <alignment vertical="center"/>
    </xf>
    <xf numFmtId="0" fontId="46" fillId="55" borderId="0" xfId="2516" applyFont="1" applyFill="1" applyAlignment="1">
      <alignment vertical="center"/>
    </xf>
    <xf numFmtId="3" fontId="46" fillId="55" borderId="0" xfId="2516" applyNumberFormat="1" applyFont="1" applyFill="1" applyAlignment="1">
      <alignment horizontal="center" vertical="center"/>
    </xf>
    <xf numFmtId="9" fontId="46" fillId="55" borderId="65" xfId="384" applyFont="1" applyFill="1" applyBorder="1" applyAlignment="1">
      <alignment horizontal="center" vertical="center"/>
    </xf>
    <xf numFmtId="337" fontId="46" fillId="55" borderId="65" xfId="2516" applyNumberFormat="1" applyFont="1" applyFill="1" applyBorder="1" applyAlignment="1">
      <alignment horizontal="center" vertical="center"/>
    </xf>
    <xf numFmtId="173" fontId="46" fillId="55" borderId="65" xfId="384" applyNumberFormat="1" applyFont="1" applyFill="1" applyBorder="1" applyAlignment="1">
      <alignment horizontal="center" vertical="center"/>
    </xf>
    <xf numFmtId="0" fontId="177" fillId="64" borderId="0" xfId="2515" applyFont="1" applyFill="1" applyAlignment="1">
      <alignment horizontal="center" vertical="center"/>
    </xf>
    <xf numFmtId="3" fontId="45" fillId="64" borderId="0" xfId="45" applyNumberFormat="1" applyFont="1" applyFill="1" applyBorder="1" applyAlignment="1">
      <alignment horizontal="center" vertical="center"/>
    </xf>
    <xf numFmtId="3" fontId="46" fillId="64" borderId="0" xfId="45" applyNumberFormat="1" applyFont="1" applyFill="1" applyBorder="1" applyAlignment="1">
      <alignment horizontal="center" vertical="center"/>
    </xf>
    <xf numFmtId="173" fontId="46" fillId="64" borderId="0" xfId="384" applyNumberFormat="1" applyFont="1" applyFill="1" applyBorder="1" applyAlignment="1">
      <alignment horizontal="center" vertical="center"/>
    </xf>
    <xf numFmtId="173" fontId="45" fillId="64" borderId="0" xfId="384" applyNumberFormat="1" applyFont="1" applyFill="1" applyBorder="1" applyAlignment="1">
      <alignment horizontal="center" vertical="center"/>
    </xf>
    <xf numFmtId="3" fontId="46" fillId="62" borderId="0" xfId="45" applyNumberFormat="1" applyFont="1" applyFill="1" applyBorder="1" applyAlignment="1">
      <alignment horizontal="center" vertical="center"/>
    </xf>
    <xf numFmtId="173" fontId="46" fillId="62" borderId="0" xfId="384" applyNumberFormat="1" applyFont="1" applyFill="1" applyBorder="1" applyAlignment="1">
      <alignment horizontal="center" vertical="center"/>
    </xf>
    <xf numFmtId="180" fontId="46" fillId="62" borderId="0" xfId="45" applyNumberFormat="1" applyFont="1" applyFill="1" applyBorder="1" applyAlignment="1">
      <alignment horizontal="center" vertical="center"/>
    </xf>
    <xf numFmtId="0" fontId="177" fillId="73" borderId="0" xfId="2515" applyFont="1" applyFill="1" applyAlignment="1">
      <alignment vertical="center"/>
    </xf>
    <xf numFmtId="0" fontId="177" fillId="73" borderId="0" xfId="2516" applyFont="1" applyFill="1" applyAlignment="1">
      <alignment horizontal="center"/>
    </xf>
    <xf numFmtId="14" fontId="46" fillId="0" borderId="58" xfId="2516" applyNumberFormat="1" applyFont="1" applyBorder="1" applyAlignment="1">
      <alignment horizontal="center"/>
    </xf>
    <xf numFmtId="0" fontId="46" fillId="0" borderId="0" xfId="2516" applyFont="1" applyAlignment="1">
      <alignment horizontal="center"/>
    </xf>
    <xf numFmtId="0" fontId="45" fillId="0" borderId="103" xfId="2516" applyFont="1" applyBorder="1"/>
    <xf numFmtId="0" fontId="45" fillId="0" borderId="104" xfId="2516" applyFont="1" applyBorder="1"/>
    <xf numFmtId="0" fontId="45" fillId="0" borderId="105" xfId="2516" applyFont="1" applyBorder="1"/>
    <xf numFmtId="173" fontId="46" fillId="0" borderId="99" xfId="384" applyNumberFormat="1" applyFont="1" applyFill="1" applyBorder="1" applyAlignment="1">
      <alignment horizontal="center" vertical="center"/>
    </xf>
    <xf numFmtId="173" fontId="46" fillId="0" borderId="100" xfId="384" applyNumberFormat="1" applyFont="1" applyFill="1" applyBorder="1" applyAlignment="1">
      <alignment horizontal="center" vertical="center"/>
    </xf>
    <xf numFmtId="346" fontId="45" fillId="0" borderId="99" xfId="384" applyNumberFormat="1" applyFont="1" applyBorder="1" applyAlignment="1">
      <alignment horizontal="center" vertical="center"/>
    </xf>
    <xf numFmtId="346" fontId="45" fillId="0" borderId="100" xfId="384" applyNumberFormat="1" applyFont="1" applyBorder="1" applyAlignment="1">
      <alignment horizontal="center" vertical="center"/>
    </xf>
    <xf numFmtId="173" fontId="46" fillId="0" borderId="104" xfId="384" applyNumberFormat="1" applyFont="1" applyFill="1" applyBorder="1" applyAlignment="1">
      <alignment horizontal="center" vertical="center"/>
    </xf>
    <xf numFmtId="346" fontId="45" fillId="0" borderId="104" xfId="384" applyNumberFormat="1" applyFont="1" applyBorder="1" applyAlignment="1">
      <alignment horizontal="center" vertical="center"/>
    </xf>
    <xf numFmtId="9" fontId="238" fillId="0" borderId="99" xfId="384" applyFont="1" applyFill="1" applyBorder="1" applyAlignment="1">
      <alignment horizontal="center" vertical="center"/>
    </xf>
    <xf numFmtId="9" fontId="239" fillId="53" borderId="99" xfId="384" applyFont="1" applyFill="1" applyBorder="1" applyAlignment="1">
      <alignment horizontal="center" vertical="center"/>
    </xf>
    <xf numFmtId="9" fontId="238" fillId="0" borderId="100" xfId="384" applyFont="1" applyFill="1" applyBorder="1" applyAlignment="1">
      <alignment horizontal="center" vertical="center"/>
    </xf>
    <xf numFmtId="9" fontId="239" fillId="53" borderId="100" xfId="384" applyFont="1" applyFill="1" applyBorder="1" applyAlignment="1">
      <alignment horizontal="center" vertical="center"/>
    </xf>
    <xf numFmtId="9" fontId="238" fillId="0" borderId="104" xfId="384" applyFont="1" applyFill="1" applyBorder="1" applyAlignment="1">
      <alignment horizontal="center" vertical="center"/>
    </xf>
    <xf numFmtId="3" fontId="46" fillId="67" borderId="0" xfId="45" applyNumberFormat="1" applyFont="1" applyFill="1" applyBorder="1" applyAlignment="1">
      <alignment horizontal="center" vertical="center"/>
    </xf>
    <xf numFmtId="9" fontId="175" fillId="0" borderId="0" xfId="384" applyFont="1" applyFill="1" applyBorder="1" applyAlignment="1">
      <alignment horizontal="center" vertical="center"/>
    </xf>
    <xf numFmtId="9" fontId="176" fillId="55" borderId="0" xfId="384" applyFont="1" applyFill="1" applyBorder="1" applyAlignment="1">
      <alignment horizontal="center" vertical="center"/>
    </xf>
    <xf numFmtId="9" fontId="175" fillId="0" borderId="65" xfId="384" applyFont="1" applyFill="1" applyBorder="1" applyAlignment="1">
      <alignment horizontal="center" vertical="center"/>
    </xf>
    <xf numFmtId="9" fontId="176" fillId="55" borderId="65" xfId="384" applyFont="1" applyFill="1" applyBorder="1" applyAlignment="1">
      <alignment horizontal="center" vertical="center"/>
    </xf>
    <xf numFmtId="9" fontId="46" fillId="55" borderId="65" xfId="45" applyFont="1" applyFill="1" applyBorder="1" applyAlignment="1">
      <alignment horizontal="center" vertical="center"/>
    </xf>
    <xf numFmtId="9" fontId="46" fillId="55" borderId="0" xfId="45" applyFont="1" applyFill="1" applyBorder="1" applyAlignment="1">
      <alignment horizontal="center" vertical="center"/>
    </xf>
    <xf numFmtId="3" fontId="219" fillId="55" borderId="75" xfId="384" applyNumberFormat="1" applyFont="1" applyFill="1" applyBorder="1" applyAlignment="1">
      <alignment horizontal="center" vertical="center"/>
    </xf>
    <xf numFmtId="9" fontId="219" fillId="60" borderId="75" xfId="384" applyFont="1" applyFill="1" applyBorder="1" applyAlignment="1">
      <alignment horizontal="center" vertical="center"/>
    </xf>
    <xf numFmtId="9" fontId="222" fillId="0" borderId="75" xfId="384" applyFont="1" applyFill="1" applyBorder="1" applyAlignment="1">
      <alignment horizontal="center" vertical="center"/>
    </xf>
    <xf numFmtId="9" fontId="218" fillId="0" borderId="0" xfId="384" applyFont="1" applyFill="1" applyBorder="1" applyAlignment="1">
      <alignment horizontal="center" vertical="center"/>
    </xf>
    <xf numFmtId="344" fontId="218" fillId="0" borderId="0" xfId="384" applyNumberFormat="1" applyFont="1" applyFill="1" applyBorder="1" applyAlignment="1">
      <alignment horizontal="center" vertical="center"/>
    </xf>
    <xf numFmtId="9" fontId="222" fillId="0" borderId="0" xfId="384" applyFont="1" applyFill="1" applyBorder="1" applyAlignment="1">
      <alignment horizontal="center" vertical="center"/>
    </xf>
    <xf numFmtId="9" fontId="177" fillId="0" borderId="0" xfId="45" applyFont="1" applyFill="1" applyBorder="1" applyAlignment="1">
      <alignment horizontal="center"/>
    </xf>
    <xf numFmtId="173" fontId="219" fillId="0" borderId="0" xfId="2515" applyNumberFormat="1" applyFont="1" applyAlignment="1">
      <alignment horizontal="center" vertical="center"/>
    </xf>
    <xf numFmtId="9" fontId="219" fillId="0" borderId="0" xfId="384" applyFont="1" applyFill="1" applyBorder="1" applyAlignment="1">
      <alignment horizontal="center" vertical="center"/>
    </xf>
    <xf numFmtId="3" fontId="219" fillId="0" borderId="0" xfId="384" applyNumberFormat="1" applyFont="1" applyFill="1" applyBorder="1" applyAlignment="1">
      <alignment horizontal="center" vertical="center"/>
    </xf>
    <xf numFmtId="173" fontId="218" fillId="0" borderId="0" xfId="2516" applyNumberFormat="1" applyFont="1" applyAlignment="1">
      <alignment horizontal="right"/>
    </xf>
    <xf numFmtId="9" fontId="181" fillId="0" borderId="0" xfId="45" applyFont="1" applyBorder="1" applyAlignment="1">
      <alignment horizontal="center" vertical="center"/>
    </xf>
    <xf numFmtId="173" fontId="238" fillId="0" borderId="0" xfId="384" applyNumberFormat="1" applyFont="1" applyFill="1" applyBorder="1" applyAlignment="1">
      <alignment horizontal="center" vertical="center"/>
    </xf>
    <xf numFmtId="173" fontId="239" fillId="53" borderId="0" xfId="384" applyNumberFormat="1" applyFont="1" applyFill="1" applyBorder="1" applyAlignment="1">
      <alignment horizontal="center" vertical="center"/>
    </xf>
    <xf numFmtId="173" fontId="46" fillId="0" borderId="89" xfId="384" applyNumberFormat="1" applyFont="1" applyFill="1" applyBorder="1" applyAlignment="1">
      <alignment horizontal="center" vertical="center"/>
    </xf>
    <xf numFmtId="346" fontId="45" fillId="0" borderId="89" xfId="384" applyNumberFormat="1" applyFont="1" applyBorder="1" applyAlignment="1">
      <alignment horizontal="center" vertical="center"/>
    </xf>
    <xf numFmtId="346" fontId="45" fillId="0" borderId="0" xfId="384" applyNumberFormat="1" applyFont="1" applyBorder="1" applyAlignment="1">
      <alignment horizontal="center" vertical="center"/>
    </xf>
    <xf numFmtId="346" fontId="176" fillId="53" borderId="89" xfId="384" applyNumberFormat="1" applyFont="1" applyFill="1" applyBorder="1" applyAlignment="1">
      <alignment horizontal="center" vertical="center"/>
    </xf>
    <xf numFmtId="346" fontId="176" fillId="53" borderId="0" xfId="384" applyNumberFormat="1" applyFont="1" applyFill="1" applyBorder="1" applyAlignment="1">
      <alignment horizontal="center" vertical="center"/>
    </xf>
    <xf numFmtId="9" fontId="45" fillId="60" borderId="0" xfId="384" applyFont="1" applyFill="1" applyBorder="1" applyAlignment="1">
      <alignment horizontal="center" vertical="center"/>
    </xf>
    <xf numFmtId="346" fontId="176" fillId="60" borderId="89" xfId="384" applyNumberFormat="1" applyFont="1" applyFill="1" applyBorder="1" applyAlignment="1">
      <alignment horizontal="center" vertical="center"/>
    </xf>
    <xf numFmtId="346" fontId="176" fillId="60" borderId="0" xfId="384" applyNumberFormat="1" applyFont="1" applyFill="1" applyBorder="1" applyAlignment="1">
      <alignment horizontal="center" vertical="center"/>
    </xf>
    <xf numFmtId="3" fontId="46" fillId="60" borderId="81" xfId="45" applyNumberFormat="1" applyFont="1" applyFill="1" applyBorder="1" applyAlignment="1">
      <alignment horizontal="center" vertical="center"/>
    </xf>
    <xf numFmtId="3" fontId="46" fillId="67" borderId="86" xfId="45" applyNumberFormat="1" applyFont="1" applyFill="1" applyBorder="1" applyAlignment="1">
      <alignment horizontal="center" vertical="center"/>
    </xf>
    <xf numFmtId="3" fontId="178" fillId="0" borderId="75" xfId="43" applyNumberFormat="1" applyFont="1" applyBorder="1" applyAlignment="1">
      <alignment horizontal="left" vertical="center"/>
    </xf>
    <xf numFmtId="3" fontId="28" fillId="0" borderId="0" xfId="0" applyNumberFormat="1" applyFont="1"/>
    <xf numFmtId="3" fontId="173" fillId="0" borderId="0" xfId="0" applyNumberFormat="1" applyFont="1" applyAlignment="1">
      <alignment horizontal="right" vertical="center"/>
    </xf>
    <xf numFmtId="0" fontId="45" fillId="0" borderId="0" xfId="43" applyFont="1" applyAlignment="1">
      <alignment vertical="center"/>
    </xf>
    <xf numFmtId="3" fontId="45" fillId="0" borderId="0" xfId="43" applyNumberFormat="1" applyFont="1" applyAlignment="1">
      <alignment horizontal="center" vertical="center"/>
    </xf>
    <xf numFmtId="3" fontId="175" fillId="0" borderId="0" xfId="0" quotePrefix="1" applyNumberFormat="1" applyFont="1" applyAlignment="1">
      <alignment horizontal="center" vertical="center"/>
    </xf>
    <xf numFmtId="0" fontId="177" fillId="73" borderId="0" xfId="0" applyFont="1" applyFill="1" applyAlignment="1">
      <alignment horizontal="center" vertical="center"/>
    </xf>
    <xf numFmtId="173" fontId="238" fillId="0" borderId="79" xfId="384" applyNumberFormat="1" applyFont="1" applyFill="1" applyBorder="1" applyAlignment="1">
      <alignment horizontal="center" vertical="center"/>
    </xf>
    <xf numFmtId="173" fontId="239" fillId="53" borderId="79" xfId="384" applyNumberFormat="1" applyFont="1" applyFill="1" applyBorder="1" applyAlignment="1">
      <alignment horizontal="center" vertical="center"/>
    </xf>
    <xf numFmtId="173" fontId="46" fillId="0" borderId="79" xfId="384" applyNumberFormat="1" applyFont="1" applyFill="1" applyBorder="1" applyAlignment="1">
      <alignment horizontal="center" vertical="center"/>
    </xf>
    <xf numFmtId="346" fontId="45" fillId="0" borderId="79" xfId="384" applyNumberFormat="1" applyFont="1" applyBorder="1" applyAlignment="1">
      <alignment horizontal="center" vertical="center"/>
    </xf>
    <xf numFmtId="346" fontId="176" fillId="53" borderId="79" xfId="384" applyNumberFormat="1" applyFont="1" applyFill="1" applyBorder="1" applyAlignment="1">
      <alignment horizontal="center" vertical="center"/>
    </xf>
    <xf numFmtId="346" fontId="46" fillId="53" borderId="0" xfId="384" applyNumberFormat="1" applyFont="1" applyFill="1" applyBorder="1" applyAlignment="1">
      <alignment horizontal="center" vertical="center"/>
    </xf>
    <xf numFmtId="176" fontId="204" fillId="72" borderId="0" xfId="0" applyNumberFormat="1" applyFont="1" applyFill="1" applyAlignment="1">
      <alignment vertical="center"/>
    </xf>
    <xf numFmtId="9" fontId="223" fillId="0" borderId="0" xfId="384" applyFont="1"/>
    <xf numFmtId="0" fontId="223" fillId="72" borderId="0" xfId="0" applyFont="1" applyFill="1"/>
    <xf numFmtId="0" fontId="234" fillId="72" borderId="0" xfId="0" applyFont="1" applyFill="1"/>
    <xf numFmtId="173" fontId="223" fillId="72" borderId="0" xfId="0" applyNumberFormat="1" applyFont="1" applyFill="1"/>
    <xf numFmtId="173" fontId="234" fillId="72" borderId="0" xfId="0" applyNumberFormat="1" applyFont="1" applyFill="1"/>
    <xf numFmtId="9" fontId="170" fillId="0" borderId="0" xfId="384" applyFont="1"/>
    <xf numFmtId="1" fontId="32" fillId="19" borderId="0" xfId="384" quotePrefix="1" applyNumberFormat="1" applyFont="1" applyFill="1" applyBorder="1" applyAlignment="1">
      <alignment vertical="center"/>
    </xf>
    <xf numFmtId="9" fontId="46" fillId="55" borderId="106" xfId="45" applyFont="1" applyFill="1" applyBorder="1" applyAlignment="1">
      <alignment horizontal="center"/>
    </xf>
    <xf numFmtId="173" fontId="217" fillId="0" borderId="106" xfId="2515" applyNumberFormat="1" applyFont="1" applyBorder="1" applyAlignment="1">
      <alignment horizontal="center" vertical="center"/>
    </xf>
    <xf numFmtId="9" fontId="175" fillId="0" borderId="106" xfId="384" applyFont="1" applyFill="1" applyBorder="1" applyAlignment="1">
      <alignment horizontal="center" vertical="center"/>
    </xf>
    <xf numFmtId="9" fontId="176" fillId="55" borderId="106" xfId="384" applyFont="1" applyFill="1" applyBorder="1" applyAlignment="1">
      <alignment horizontal="center" vertical="center"/>
    </xf>
    <xf numFmtId="337" fontId="46" fillId="55" borderId="106" xfId="384" applyNumberFormat="1" applyFont="1" applyFill="1" applyBorder="1" applyAlignment="1">
      <alignment horizontal="center" vertical="center"/>
    </xf>
    <xf numFmtId="9" fontId="46" fillId="55" borderId="106" xfId="45" applyFont="1" applyFill="1" applyBorder="1" applyAlignment="1">
      <alignment horizontal="center" vertical="top"/>
    </xf>
    <xf numFmtId="0" fontId="177" fillId="57" borderId="0" xfId="2515" applyFont="1" applyFill="1" applyAlignment="1">
      <alignment horizontal="center" vertical="top"/>
    </xf>
    <xf numFmtId="0" fontId="177" fillId="71" borderId="0" xfId="2515" applyFont="1" applyFill="1" applyAlignment="1">
      <alignment horizontal="center" vertical="top"/>
    </xf>
    <xf numFmtId="0" fontId="177" fillId="54" borderId="0" xfId="2515" applyFont="1" applyFill="1" applyAlignment="1">
      <alignment horizontal="center" vertical="top"/>
    </xf>
    <xf numFmtId="0" fontId="177" fillId="73" borderId="0" xfId="2515" applyFont="1" applyFill="1" applyAlignment="1">
      <alignment horizontal="center" vertical="top"/>
    </xf>
    <xf numFmtId="9" fontId="46" fillId="53" borderId="65" xfId="45" applyFont="1" applyFill="1" applyBorder="1" applyAlignment="1">
      <alignment horizontal="center" vertical="top"/>
    </xf>
    <xf numFmtId="9" fontId="46" fillId="55" borderId="0" xfId="45" applyFont="1" applyFill="1" applyBorder="1" applyAlignment="1">
      <alignment horizontal="center" vertical="top"/>
    </xf>
    <xf numFmtId="0" fontId="175" fillId="0" borderId="0" xfId="0" applyFont="1"/>
    <xf numFmtId="0" fontId="176" fillId="0" borderId="0" xfId="0" applyFont="1"/>
    <xf numFmtId="3" fontId="175" fillId="0" borderId="0" xfId="0" applyNumberFormat="1" applyFont="1"/>
    <xf numFmtId="173" fontId="183" fillId="12" borderId="0" xfId="2516" applyNumberFormat="1" applyFont="1" applyFill="1" applyAlignment="1">
      <alignment horizontal="left"/>
    </xf>
    <xf numFmtId="173" fontId="216" fillId="12" borderId="0" xfId="2516" applyNumberFormat="1" applyFont="1" applyFill="1" applyAlignment="1">
      <alignment horizontal="left"/>
    </xf>
    <xf numFmtId="0" fontId="176" fillId="0" borderId="0" xfId="0" applyFont="1" applyAlignment="1">
      <alignment horizontal="center"/>
    </xf>
    <xf numFmtId="0" fontId="175" fillId="0" borderId="0" xfId="0" applyFont="1" applyAlignment="1">
      <alignment horizontal="center"/>
    </xf>
    <xf numFmtId="180" fontId="175" fillId="0" borderId="0" xfId="0" applyNumberFormat="1" applyFont="1" applyAlignment="1">
      <alignment horizontal="center"/>
    </xf>
    <xf numFmtId="172" fontId="175" fillId="0" borderId="0" xfId="0" applyNumberFormat="1" applyFont="1" applyAlignment="1">
      <alignment horizontal="center"/>
    </xf>
    <xf numFmtId="173" fontId="175" fillId="0" borderId="0" xfId="384" applyNumberFormat="1" applyFont="1" applyAlignment="1">
      <alignment horizontal="center"/>
    </xf>
    <xf numFmtId="3" fontId="175" fillId="0" borderId="0" xfId="0" applyNumberFormat="1" applyFont="1" applyAlignment="1">
      <alignment horizontal="center"/>
    </xf>
    <xf numFmtId="0" fontId="175" fillId="0" borderId="0" xfId="0" applyFont="1" applyAlignment="1">
      <alignment horizontal="left"/>
    </xf>
    <xf numFmtId="9" fontId="175" fillId="0" borderId="0" xfId="384" applyFont="1" applyAlignment="1">
      <alignment horizontal="center"/>
    </xf>
    <xf numFmtId="173" fontId="222" fillId="12" borderId="0" xfId="2516" applyNumberFormat="1" applyFont="1" applyFill="1" applyAlignment="1">
      <alignment horizontal="left" vertical="center"/>
    </xf>
    <xf numFmtId="173" fontId="183" fillId="12" borderId="0" xfId="2516" applyNumberFormat="1" applyFont="1" applyFill="1" applyAlignment="1">
      <alignment horizontal="left" vertical="center"/>
    </xf>
    <xf numFmtId="173" fontId="183" fillId="0" borderId="0" xfId="2516" applyNumberFormat="1" applyFont="1" applyAlignment="1">
      <alignment horizontal="left"/>
    </xf>
    <xf numFmtId="0" fontId="175" fillId="0" borderId="107" xfId="0" applyFont="1" applyBorder="1"/>
    <xf numFmtId="0" fontId="175" fillId="0" borderId="108" xfId="0" applyFont="1" applyBorder="1"/>
    <xf numFmtId="0" fontId="176" fillId="0" borderId="11" xfId="0" applyFont="1" applyBorder="1" applyAlignment="1">
      <alignment horizontal="center"/>
    </xf>
    <xf numFmtId="0" fontId="176" fillId="0" borderId="28" xfId="0" applyFont="1" applyBorder="1" applyAlignment="1">
      <alignment horizontal="center"/>
    </xf>
    <xf numFmtId="0" fontId="175" fillId="0" borderId="11" xfId="0" applyFont="1" applyBorder="1"/>
    <xf numFmtId="3" fontId="175" fillId="0" borderId="11" xfId="0" applyNumberFormat="1" applyFont="1" applyBorder="1" applyAlignment="1">
      <alignment horizontal="center"/>
    </xf>
    <xf numFmtId="3" fontId="175" fillId="0" borderId="28" xfId="0" applyNumberFormat="1" applyFont="1" applyBorder="1"/>
    <xf numFmtId="0" fontId="175" fillId="0" borderId="10" xfId="0" applyFont="1" applyBorder="1"/>
    <xf numFmtId="0" fontId="175" fillId="0" borderId="30" xfId="0" applyFont="1" applyBorder="1"/>
    <xf numFmtId="0" fontId="175" fillId="0" borderId="28" xfId="0" applyFont="1" applyBorder="1" applyAlignment="1">
      <alignment horizontal="center"/>
    </xf>
    <xf numFmtId="3" fontId="175" fillId="0" borderId="28" xfId="0" applyNumberFormat="1" applyFont="1" applyBorder="1" applyAlignment="1">
      <alignment horizontal="center"/>
    </xf>
    <xf numFmtId="9" fontId="176" fillId="53" borderId="0" xfId="384" applyFont="1" applyFill="1" applyAlignment="1">
      <alignment horizontal="center" vertical="center"/>
    </xf>
    <xf numFmtId="0" fontId="177" fillId="54" borderId="84" xfId="2515" applyFont="1" applyFill="1" applyBorder="1" applyAlignment="1">
      <alignment vertical="center"/>
    </xf>
    <xf numFmtId="0" fontId="177" fillId="54" borderId="69" xfId="2515" applyFont="1" applyFill="1" applyBorder="1" applyAlignment="1">
      <alignment vertical="center"/>
    </xf>
    <xf numFmtId="0" fontId="175" fillId="0" borderId="109" xfId="0" applyFont="1" applyBorder="1"/>
    <xf numFmtId="0" fontId="176" fillId="0" borderId="13" xfId="0" applyFont="1" applyBorder="1" applyAlignment="1">
      <alignment horizontal="center"/>
    </xf>
    <xf numFmtId="0" fontId="175" fillId="0" borderId="13" xfId="0" applyFont="1" applyBorder="1" applyAlignment="1">
      <alignment horizontal="center"/>
    </xf>
    <xf numFmtId="3" fontId="188" fillId="60" borderId="13" xfId="0" applyNumberFormat="1" applyFont="1" applyFill="1" applyBorder="1" applyAlignment="1">
      <alignment horizontal="center"/>
    </xf>
    <xf numFmtId="173" fontId="175" fillId="0" borderId="13" xfId="384" applyNumberFormat="1" applyFont="1" applyFill="1" applyBorder="1" applyAlignment="1">
      <alignment horizontal="center"/>
    </xf>
    <xf numFmtId="3" fontId="175" fillId="0" borderId="13" xfId="0" applyNumberFormat="1" applyFont="1" applyBorder="1" applyAlignment="1">
      <alignment horizontal="center"/>
    </xf>
    <xf numFmtId="0" fontId="175" fillId="0" borderId="13" xfId="0" applyFont="1" applyBorder="1"/>
    <xf numFmtId="9" fontId="188" fillId="60" borderId="13" xfId="384" applyFont="1" applyFill="1" applyBorder="1" applyAlignment="1">
      <alignment horizontal="center"/>
    </xf>
    <xf numFmtId="0" fontId="175" fillId="0" borderId="12" xfId="0" applyFont="1" applyBorder="1"/>
    <xf numFmtId="173" fontId="175" fillId="0" borderId="13" xfId="384" applyNumberFormat="1" applyFont="1" applyBorder="1" applyAlignment="1">
      <alignment horizontal="center"/>
    </xf>
    <xf numFmtId="9" fontId="175" fillId="0" borderId="13" xfId="384" applyFont="1" applyBorder="1" applyAlignment="1">
      <alignment horizontal="center"/>
    </xf>
    <xf numFmtId="9" fontId="238" fillId="0" borderId="0" xfId="384" applyFont="1" applyFill="1" applyBorder="1" applyAlignment="1">
      <alignment horizontal="center" vertical="center"/>
    </xf>
    <xf numFmtId="9" fontId="239" fillId="53" borderId="0" xfId="384" applyFont="1" applyFill="1" applyBorder="1" applyAlignment="1">
      <alignment horizontal="center" vertical="center"/>
    </xf>
    <xf numFmtId="9" fontId="45" fillId="12" borderId="0" xfId="2516" applyNumberFormat="1" applyFont="1" applyFill="1" applyAlignment="1">
      <alignment horizontal="right"/>
    </xf>
    <xf numFmtId="9" fontId="238" fillId="0" borderId="89" xfId="384" applyFont="1" applyFill="1" applyBorder="1" applyAlignment="1">
      <alignment horizontal="center" vertical="center"/>
    </xf>
    <xf numFmtId="9" fontId="239" fillId="53" borderId="89" xfId="384" applyFont="1" applyFill="1" applyBorder="1" applyAlignment="1">
      <alignment horizontal="center" vertical="center"/>
    </xf>
    <xf numFmtId="9" fontId="45" fillId="12" borderId="89" xfId="2516" applyNumberFormat="1" applyFont="1" applyFill="1" applyBorder="1" applyAlignment="1">
      <alignment horizontal="right"/>
    </xf>
    <xf numFmtId="9" fontId="46" fillId="0" borderId="89" xfId="384" applyFont="1" applyFill="1" applyBorder="1" applyAlignment="1">
      <alignment horizontal="center" vertical="center"/>
    </xf>
    <xf numFmtId="173" fontId="46" fillId="55" borderId="81" xfId="384" applyNumberFormat="1" applyFont="1" applyFill="1" applyBorder="1" applyAlignment="1">
      <alignment horizontal="center" vertical="center"/>
    </xf>
    <xf numFmtId="173" fontId="46" fillId="55" borderId="86" xfId="384" applyNumberFormat="1" applyFont="1" applyFill="1" applyBorder="1" applyAlignment="1">
      <alignment horizontal="center" vertical="center"/>
    </xf>
    <xf numFmtId="0" fontId="175" fillId="53" borderId="0" xfId="0" applyFont="1" applyFill="1"/>
    <xf numFmtId="0" fontId="222" fillId="0" borderId="75" xfId="2516" applyFont="1" applyBorder="1" applyAlignment="1">
      <alignment horizontal="center"/>
    </xf>
    <xf numFmtId="9" fontId="201" fillId="60" borderId="0" xfId="0" applyNumberFormat="1" applyFont="1" applyFill="1"/>
    <xf numFmtId="0" fontId="188" fillId="19" borderId="0" xfId="2516" applyFont="1" applyFill="1" applyAlignment="1">
      <alignment horizontal="center" vertical="center"/>
    </xf>
    <xf numFmtId="9" fontId="46" fillId="53" borderId="0" xfId="384" applyFont="1" applyFill="1" applyAlignment="1">
      <alignment horizontal="center" vertical="center"/>
    </xf>
    <xf numFmtId="173" fontId="45" fillId="0" borderId="0" xfId="384" applyNumberFormat="1" applyFont="1" applyAlignment="1">
      <alignment horizontal="center" vertical="center"/>
    </xf>
    <xf numFmtId="173" fontId="46" fillId="53" borderId="0" xfId="384" applyNumberFormat="1" applyFont="1" applyFill="1" applyAlignment="1">
      <alignment horizontal="center" vertical="center"/>
    </xf>
    <xf numFmtId="9" fontId="46" fillId="55" borderId="93" xfId="384" applyFont="1" applyFill="1" applyBorder="1" applyAlignment="1">
      <alignment horizontal="center" vertical="center"/>
    </xf>
    <xf numFmtId="9" fontId="46" fillId="55" borderId="93" xfId="384" applyFont="1" applyFill="1" applyBorder="1" applyAlignment="1">
      <alignment horizontal="center" vertical="center" wrapText="1"/>
    </xf>
    <xf numFmtId="9" fontId="46" fillId="55" borderId="75" xfId="384" applyFont="1" applyFill="1" applyBorder="1" applyAlignment="1">
      <alignment horizontal="center" vertical="center"/>
    </xf>
    <xf numFmtId="9" fontId="46" fillId="55" borderId="75" xfId="384" applyFont="1" applyFill="1" applyBorder="1" applyAlignment="1">
      <alignment horizontal="center" vertical="center" wrapText="1"/>
    </xf>
    <xf numFmtId="0" fontId="180" fillId="56" borderId="3" xfId="2517" applyFont="1" applyFill="1" applyBorder="1" applyAlignment="1">
      <alignment horizontal="right" vertical="center"/>
    </xf>
    <xf numFmtId="336" fontId="186" fillId="56" borderId="29" xfId="2517" applyNumberFormat="1" applyFont="1" applyFill="1" applyBorder="1" applyAlignment="1">
      <alignment horizontal="left" vertical="center"/>
    </xf>
    <xf numFmtId="0" fontId="0" fillId="19" borderId="0" xfId="0" applyFill="1" applyAlignment="1">
      <alignment vertical="center"/>
    </xf>
    <xf numFmtId="336" fontId="180" fillId="56" borderId="29" xfId="2517" applyNumberFormat="1" applyFont="1" applyFill="1" applyBorder="1" applyAlignment="1">
      <alignment horizontal="left" vertical="center"/>
    </xf>
    <xf numFmtId="0" fontId="180" fillId="56" borderId="62" xfId="2517" applyFont="1" applyFill="1" applyBorder="1" applyAlignment="1">
      <alignment horizontal="right" vertical="center"/>
    </xf>
    <xf numFmtId="14" fontId="180" fillId="56" borderId="63" xfId="2517" applyNumberFormat="1" applyFont="1" applyFill="1" applyBorder="1" applyAlignment="1">
      <alignment horizontal="left" vertical="center"/>
    </xf>
    <xf numFmtId="0" fontId="189" fillId="0" borderId="0" xfId="2516" applyFont="1" applyAlignment="1">
      <alignment vertical="center"/>
    </xf>
    <xf numFmtId="0" fontId="210" fillId="0" borderId="0" xfId="2516" applyFont="1" applyAlignment="1">
      <alignment vertical="center"/>
    </xf>
    <xf numFmtId="9" fontId="185" fillId="0" borderId="0" xfId="384" applyFont="1" applyBorder="1" applyAlignment="1">
      <alignment horizontal="centerContinuous" vertical="center"/>
    </xf>
    <xf numFmtId="0" fontId="185" fillId="0" borderId="0" xfId="2516" applyFont="1" applyAlignment="1">
      <alignment horizontal="centerContinuous" vertical="center"/>
    </xf>
    <xf numFmtId="0" fontId="177" fillId="12" borderId="0" xfId="2515" applyFont="1" applyFill="1" applyAlignment="1">
      <alignment vertical="center"/>
    </xf>
    <xf numFmtId="0" fontId="177" fillId="12" borderId="0" xfId="2515" applyFont="1" applyFill="1" applyAlignment="1">
      <alignment horizontal="center" vertical="center"/>
    </xf>
    <xf numFmtId="9" fontId="178" fillId="19" borderId="0" xfId="45" applyFont="1" applyFill="1" applyBorder="1" applyAlignment="1">
      <alignment horizontal="center" vertical="center"/>
    </xf>
    <xf numFmtId="0" fontId="45" fillId="0" borderId="92" xfId="2516" applyFont="1" applyBorder="1" applyAlignment="1">
      <alignment vertical="center"/>
    </xf>
    <xf numFmtId="0" fontId="181" fillId="0" borderId="64" xfId="2516" applyFont="1" applyBorder="1" applyAlignment="1">
      <alignment vertical="center"/>
    </xf>
    <xf numFmtId="0" fontId="45" fillId="0" borderId="74" xfId="2516" applyFont="1" applyBorder="1" applyAlignment="1">
      <alignment vertical="center"/>
    </xf>
    <xf numFmtId="0" fontId="177" fillId="75" borderId="0" xfId="2515" applyFont="1" applyFill="1" applyAlignment="1">
      <alignment horizontal="center" vertical="center"/>
    </xf>
    <xf numFmtId="9" fontId="177" fillId="73" borderId="93" xfId="45" applyFont="1" applyFill="1" applyBorder="1" applyAlignment="1">
      <alignment horizontal="center" vertical="center"/>
    </xf>
    <xf numFmtId="0" fontId="177" fillId="54" borderId="0" xfId="2515" applyFont="1" applyFill="1" applyAlignment="1">
      <alignment horizontal="center" vertical="center"/>
    </xf>
    <xf numFmtId="0" fontId="177" fillId="54" borderId="65" xfId="2515" applyFont="1" applyFill="1" applyBorder="1" applyAlignment="1">
      <alignment horizontal="center" vertical="center"/>
    </xf>
    <xf numFmtId="9" fontId="177" fillId="74" borderId="75" xfId="45" applyFont="1" applyFill="1" applyBorder="1" applyAlignment="1">
      <alignment horizontal="center" vertical="center"/>
    </xf>
    <xf numFmtId="0" fontId="177" fillId="12" borderId="0" xfId="2515" applyFont="1" applyFill="1" applyAlignment="1">
      <alignment horizontal="right" vertical="center"/>
    </xf>
    <xf numFmtId="0" fontId="45" fillId="0" borderId="93" xfId="2516" applyFont="1" applyBorder="1" applyAlignment="1">
      <alignment vertical="center"/>
    </xf>
    <xf numFmtId="0" fontId="46" fillId="0" borderId="65" xfId="2515" applyFont="1" applyBorder="1" applyAlignment="1">
      <alignment horizontal="center" vertical="center"/>
    </xf>
    <xf numFmtId="0" fontId="45" fillId="0" borderId="75" xfId="2516" applyFont="1" applyBorder="1" applyAlignment="1">
      <alignment vertical="center"/>
    </xf>
    <xf numFmtId="1" fontId="45" fillId="12" borderId="0" xfId="45" applyNumberFormat="1" applyFont="1" applyFill="1" applyBorder="1" applyAlignment="1">
      <alignment horizontal="center" vertical="center"/>
    </xf>
    <xf numFmtId="9" fontId="45" fillId="0" borderId="65" xfId="384" applyFont="1" applyBorder="1" applyAlignment="1">
      <alignment horizontal="center" vertical="center"/>
    </xf>
    <xf numFmtId="180" fontId="45" fillId="0" borderId="0" xfId="45" applyNumberFormat="1" applyFont="1" applyFill="1" applyBorder="1" applyAlignment="1">
      <alignment horizontal="center" vertical="center"/>
    </xf>
    <xf numFmtId="173" fontId="45" fillId="0" borderId="0" xfId="2516" applyNumberFormat="1" applyFont="1" applyAlignment="1">
      <alignment vertical="center"/>
    </xf>
    <xf numFmtId="1" fontId="46" fillId="12" borderId="0" xfId="45" applyNumberFormat="1" applyFont="1" applyFill="1" applyBorder="1" applyAlignment="1">
      <alignment horizontal="center" vertical="center"/>
    </xf>
    <xf numFmtId="180" fontId="46" fillId="53" borderId="0" xfId="45" applyNumberFormat="1" applyFont="1" applyFill="1" applyBorder="1" applyAlignment="1">
      <alignment horizontal="center" vertical="center"/>
    </xf>
    <xf numFmtId="0" fontId="177" fillId="12" borderId="0" xfId="1" applyFont="1" applyFill="1" applyAlignment="1">
      <alignment vertical="center"/>
    </xf>
    <xf numFmtId="0" fontId="45" fillId="12" borderId="0" xfId="2516" applyFont="1" applyFill="1" applyAlignment="1">
      <alignment horizontal="right" vertical="center"/>
    </xf>
    <xf numFmtId="0" fontId="45" fillId="0" borderId="0" xfId="45" applyNumberFormat="1" applyFont="1" applyFill="1" applyBorder="1" applyAlignment="1">
      <alignment horizontal="center" vertical="center"/>
    </xf>
    <xf numFmtId="3" fontId="45" fillId="12" borderId="65" xfId="2516" applyNumberFormat="1" applyFont="1" applyFill="1" applyBorder="1" applyAlignment="1">
      <alignment horizontal="center" vertical="center"/>
    </xf>
    <xf numFmtId="9" fontId="45" fillId="0" borderId="0" xfId="384" applyFont="1" applyBorder="1" applyAlignment="1">
      <alignment vertical="center"/>
    </xf>
    <xf numFmtId="173" fontId="45" fillId="0" borderId="0" xfId="384" applyNumberFormat="1" applyFont="1" applyBorder="1" applyAlignment="1">
      <alignment horizontal="center" vertical="center"/>
    </xf>
    <xf numFmtId="0" fontId="45" fillId="0" borderId="65" xfId="2516" applyFont="1" applyBorder="1" applyAlignment="1">
      <alignment vertical="center"/>
    </xf>
    <xf numFmtId="0" fontId="182" fillId="12" borderId="0" xfId="1" applyFont="1" applyFill="1" applyAlignment="1">
      <alignment vertical="center"/>
    </xf>
    <xf numFmtId="0" fontId="183" fillId="12" borderId="0" xfId="2516" applyFont="1" applyFill="1" applyAlignment="1">
      <alignment horizontal="left" vertical="center"/>
    </xf>
    <xf numFmtId="337" fontId="45" fillId="0" borderId="65" xfId="384" applyNumberFormat="1" applyFont="1" applyBorder="1" applyAlignment="1">
      <alignment horizontal="center" vertical="center"/>
    </xf>
    <xf numFmtId="0" fontId="183" fillId="0" borderId="93" xfId="2516" applyFont="1" applyBorder="1" applyAlignment="1">
      <alignment horizontal="center" vertical="center"/>
    </xf>
    <xf numFmtId="337" fontId="45" fillId="0" borderId="65" xfId="2516" applyNumberFormat="1" applyFont="1" applyBorder="1" applyAlignment="1">
      <alignment horizontal="center" vertical="center"/>
    </xf>
    <xf numFmtId="0" fontId="183" fillId="0" borderId="75" xfId="2516" applyFont="1" applyBorder="1" applyAlignment="1">
      <alignment horizontal="center" vertical="center"/>
    </xf>
    <xf numFmtId="2" fontId="46" fillId="55" borderId="0" xfId="384" applyNumberFormat="1" applyFont="1" applyFill="1" applyBorder="1" applyAlignment="1">
      <alignment horizontal="center" vertical="center"/>
    </xf>
    <xf numFmtId="0" fontId="45" fillId="0" borderId="94" xfId="2516" applyFont="1" applyBorder="1" applyAlignment="1">
      <alignment vertical="center"/>
    </xf>
    <xf numFmtId="0" fontId="45" fillId="0" borderId="66" xfId="2516" applyFont="1" applyBorder="1" applyAlignment="1">
      <alignment vertical="center"/>
    </xf>
    <xf numFmtId="0" fontId="45" fillId="0" borderId="76" xfId="2516" applyFont="1" applyBorder="1" applyAlignment="1">
      <alignment vertical="center"/>
    </xf>
    <xf numFmtId="1" fontId="45" fillId="0" borderId="0" xfId="2516" applyNumberFormat="1" applyFont="1" applyAlignment="1">
      <alignment vertical="center"/>
    </xf>
    <xf numFmtId="0" fontId="45" fillId="0" borderId="0" xfId="2516" quotePrefix="1" applyFont="1"/>
    <xf numFmtId="0" fontId="45" fillId="0" borderId="107" xfId="2516" applyFont="1" applyBorder="1" applyAlignment="1">
      <alignment vertical="center"/>
    </xf>
    <xf numFmtId="0" fontId="45" fillId="0" borderId="110" xfId="2516" applyFont="1" applyBorder="1" applyAlignment="1">
      <alignment vertical="center"/>
    </xf>
    <xf numFmtId="0" fontId="46" fillId="0" borderId="11" xfId="2516" applyFont="1" applyBorder="1" applyAlignment="1">
      <alignment horizontal="center" vertical="center"/>
    </xf>
    <xf numFmtId="0" fontId="46" fillId="0" borderId="28" xfId="2516" applyFont="1" applyBorder="1" applyAlignment="1">
      <alignment horizontal="center" vertical="center"/>
    </xf>
    <xf numFmtId="0" fontId="45" fillId="0" borderId="11" xfId="2516" applyFont="1" applyBorder="1" applyAlignment="1">
      <alignment horizontal="center" vertical="center"/>
    </xf>
    <xf numFmtId="0" fontId="45" fillId="0" borderId="28" xfId="2516" applyFont="1" applyBorder="1" applyAlignment="1">
      <alignment horizontal="center" vertical="center"/>
    </xf>
    <xf numFmtId="0" fontId="45" fillId="0" borderId="10" xfId="2516" applyFont="1" applyBorder="1" applyAlignment="1">
      <alignment horizontal="center" vertical="center"/>
    </xf>
    <xf numFmtId="0" fontId="45" fillId="0" borderId="30" xfId="2516" applyFont="1" applyBorder="1" applyAlignment="1">
      <alignment horizontal="center" vertical="center"/>
    </xf>
    <xf numFmtId="3" fontId="45" fillId="0" borderId="28" xfId="45" applyNumberFormat="1" applyFont="1" applyFill="1" applyBorder="1" applyAlignment="1">
      <alignment horizontal="center" vertical="center"/>
    </xf>
    <xf numFmtId="173" fontId="45" fillId="0" borderId="28" xfId="384" applyNumberFormat="1" applyFont="1" applyBorder="1" applyAlignment="1">
      <alignment horizontal="center" vertical="center"/>
    </xf>
    <xf numFmtId="9" fontId="45" fillId="0" borderId="11" xfId="384" applyFont="1" applyBorder="1" applyAlignment="1">
      <alignment horizontal="center" vertical="center"/>
    </xf>
    <xf numFmtId="9" fontId="45" fillId="0" borderId="28" xfId="384" applyFont="1" applyBorder="1" applyAlignment="1">
      <alignment horizontal="center" vertical="center"/>
    </xf>
    <xf numFmtId="337" fontId="45" fillId="0" borderId="11" xfId="384" applyNumberFormat="1" applyFont="1" applyBorder="1" applyAlignment="1">
      <alignment horizontal="center" vertical="center"/>
    </xf>
    <xf numFmtId="337" fontId="45" fillId="0" borderId="28" xfId="384" applyNumberFormat="1" applyFont="1" applyBorder="1" applyAlignment="1">
      <alignment horizontal="center" vertical="center"/>
    </xf>
    <xf numFmtId="0" fontId="45" fillId="0" borderId="109" xfId="2516" applyFont="1" applyBorder="1" applyAlignment="1">
      <alignment vertical="center"/>
    </xf>
    <xf numFmtId="0" fontId="46" fillId="0" borderId="13" xfId="2516" applyFont="1" applyBorder="1" applyAlignment="1">
      <alignment horizontal="center" vertical="center"/>
    </xf>
    <xf numFmtId="0" fontId="45" fillId="0" borderId="13" xfId="2516" applyFont="1" applyBorder="1" applyAlignment="1">
      <alignment horizontal="center" vertical="center"/>
    </xf>
    <xf numFmtId="0" fontId="45" fillId="0" borderId="12" xfId="2516" applyFont="1" applyBorder="1" applyAlignment="1">
      <alignment horizontal="center" vertical="center"/>
    </xf>
    <xf numFmtId="0" fontId="45" fillId="33" borderId="110" xfId="2516" applyFont="1" applyFill="1" applyBorder="1" applyAlignment="1">
      <alignment vertical="center"/>
    </xf>
    <xf numFmtId="0" fontId="46" fillId="33" borderId="28" xfId="2516" applyFont="1" applyFill="1" applyBorder="1" applyAlignment="1">
      <alignment horizontal="center" vertical="center"/>
    </xf>
    <xf numFmtId="0" fontId="45" fillId="33" borderId="28" xfId="2516" applyFont="1" applyFill="1" applyBorder="1" applyAlignment="1">
      <alignment horizontal="center" vertical="center"/>
    </xf>
    <xf numFmtId="0" fontId="45" fillId="33" borderId="30" xfId="2516" applyFont="1" applyFill="1" applyBorder="1" applyAlignment="1">
      <alignment horizontal="center" vertical="center"/>
    </xf>
    <xf numFmtId="0" fontId="45" fillId="0" borderId="28" xfId="2516" applyFont="1" applyBorder="1" applyAlignment="1">
      <alignment vertical="center"/>
    </xf>
    <xf numFmtId="9" fontId="188" fillId="60" borderId="0" xfId="2516" applyNumberFormat="1" applyFont="1" applyFill="1" applyAlignment="1">
      <alignment horizontal="center" vertical="center"/>
    </xf>
    <xf numFmtId="9" fontId="46" fillId="0" borderId="93" xfId="384" applyFont="1" applyFill="1" applyBorder="1" applyAlignment="1">
      <alignment horizontal="center" vertical="center"/>
    </xf>
    <xf numFmtId="337" fontId="46" fillId="0" borderId="65" xfId="2516" applyNumberFormat="1" applyFont="1" applyBorder="1" applyAlignment="1">
      <alignment horizontal="center" vertical="center"/>
    </xf>
    <xf numFmtId="9" fontId="46" fillId="0" borderId="75" xfId="384" applyFont="1" applyFill="1" applyBorder="1" applyAlignment="1">
      <alignment horizontal="center" vertical="center"/>
    </xf>
    <xf numFmtId="173" fontId="46" fillId="0" borderId="0" xfId="384" applyNumberFormat="1" applyFont="1" applyFill="1" applyAlignment="1">
      <alignment horizontal="center" vertical="center"/>
    </xf>
    <xf numFmtId="3" fontId="188" fillId="60" borderId="13" xfId="45" applyNumberFormat="1" applyFont="1" applyFill="1" applyBorder="1" applyAlignment="1">
      <alignment horizontal="center" vertical="center"/>
    </xf>
    <xf numFmtId="9" fontId="188" fillId="60" borderId="13" xfId="2516" applyNumberFormat="1" applyFont="1" applyFill="1" applyBorder="1" applyAlignment="1">
      <alignment horizontal="center" vertical="center"/>
    </xf>
    <xf numFmtId="0" fontId="45" fillId="33" borderId="109" xfId="2516" applyFont="1" applyFill="1" applyBorder="1" applyAlignment="1">
      <alignment vertical="center"/>
    </xf>
    <xf numFmtId="0" fontId="46" fillId="33" borderId="13" xfId="2516" applyFont="1" applyFill="1" applyBorder="1" applyAlignment="1">
      <alignment horizontal="center" vertical="center"/>
    </xf>
    <xf numFmtId="0" fontId="45" fillId="33" borderId="13" xfId="2516" applyFont="1" applyFill="1" applyBorder="1" applyAlignment="1">
      <alignment horizontal="center" vertical="center"/>
    </xf>
    <xf numFmtId="173" fontId="45" fillId="33" borderId="13" xfId="384" applyNumberFormat="1" applyFont="1" applyFill="1" applyBorder="1" applyAlignment="1">
      <alignment horizontal="center" vertical="center"/>
    </xf>
    <xf numFmtId="3" fontId="45" fillId="33" borderId="13" xfId="45" applyNumberFormat="1" applyFont="1" applyFill="1" applyBorder="1" applyAlignment="1">
      <alignment horizontal="center" vertical="center"/>
    </xf>
    <xf numFmtId="0" fontId="45" fillId="33" borderId="12" xfId="2516" applyFont="1" applyFill="1" applyBorder="1" applyAlignment="1">
      <alignment horizontal="center" vertical="center"/>
    </xf>
    <xf numFmtId="9" fontId="188" fillId="72" borderId="28" xfId="2516" applyNumberFormat="1" applyFont="1" applyFill="1" applyBorder="1" applyAlignment="1">
      <alignment horizontal="center" vertical="center"/>
    </xf>
    <xf numFmtId="0" fontId="188" fillId="72" borderId="13" xfId="2516" applyFont="1" applyFill="1" applyBorder="1" applyAlignment="1">
      <alignment horizontal="center" vertical="center"/>
    </xf>
    <xf numFmtId="3" fontId="188" fillId="72" borderId="28" xfId="45" applyNumberFormat="1" applyFont="1" applyFill="1" applyBorder="1" applyAlignment="1">
      <alignment horizontal="center" vertical="center"/>
    </xf>
    <xf numFmtId="0" fontId="45" fillId="0" borderId="75" xfId="2516" applyFont="1" applyBorder="1" applyAlignment="1">
      <alignment horizontal="center" vertical="center"/>
    </xf>
    <xf numFmtId="0" fontId="45" fillId="0" borderId="0" xfId="2516" applyFont="1" applyAlignment="1">
      <alignment horizontal="center" vertical="center" wrapText="1"/>
    </xf>
    <xf numFmtId="9" fontId="46" fillId="0" borderId="75" xfId="384" applyFont="1" applyFill="1" applyBorder="1" applyAlignment="1">
      <alignment horizontal="center" vertical="center" wrapText="1"/>
    </xf>
    <xf numFmtId="9" fontId="45" fillId="0" borderId="28" xfId="384" applyFont="1" applyBorder="1" applyAlignment="1">
      <alignment vertical="center"/>
    </xf>
    <xf numFmtId="173" fontId="200" fillId="0" borderId="0" xfId="384" applyNumberFormat="1" applyFont="1" applyFill="1" applyBorder="1" applyAlignment="1">
      <alignment vertical="center"/>
    </xf>
    <xf numFmtId="9" fontId="204" fillId="0" borderId="0" xfId="384" applyFont="1" applyAlignment="1">
      <alignment vertical="center"/>
    </xf>
    <xf numFmtId="0" fontId="32" fillId="12" borderId="58" xfId="1" applyFont="1" applyFill="1" applyBorder="1"/>
    <xf numFmtId="0" fontId="170" fillId="0" borderId="58" xfId="0" applyFont="1" applyBorder="1"/>
    <xf numFmtId="176" fontId="204" fillId="0" borderId="58" xfId="0" applyNumberFormat="1" applyFont="1" applyBorder="1" applyAlignment="1">
      <alignment vertical="center"/>
    </xf>
    <xf numFmtId="176" fontId="173" fillId="0" borderId="58" xfId="0" applyNumberFormat="1" applyFont="1" applyBorder="1" applyAlignment="1">
      <alignment vertical="center"/>
    </xf>
    <xf numFmtId="10" fontId="204" fillId="0" borderId="58" xfId="384" applyNumberFormat="1" applyFont="1" applyFill="1" applyBorder="1" applyAlignment="1">
      <alignment vertical="center"/>
    </xf>
    <xf numFmtId="9" fontId="204" fillId="0" borderId="58" xfId="384" applyFont="1" applyFill="1" applyBorder="1" applyAlignment="1">
      <alignment vertical="center"/>
    </xf>
    <xf numFmtId="0" fontId="28" fillId="12" borderId="0" xfId="1" applyFont="1" applyFill="1" applyAlignment="1">
      <alignment horizontal="left" indent="3"/>
    </xf>
    <xf numFmtId="173" fontId="200" fillId="0" borderId="0" xfId="0" applyNumberFormat="1" applyFont="1"/>
    <xf numFmtId="3" fontId="46" fillId="55" borderId="75" xfId="384" applyNumberFormat="1" applyFont="1" applyFill="1" applyBorder="1" applyAlignment="1">
      <alignment horizontal="center" vertical="center"/>
    </xf>
    <xf numFmtId="0" fontId="233" fillId="54" borderId="0" xfId="0" applyFont="1" applyFill="1" applyAlignment="1">
      <alignment vertical="center"/>
    </xf>
    <xf numFmtId="1" fontId="178" fillId="0" borderId="0" xfId="384" applyNumberFormat="1" applyFont="1" applyBorder="1" applyAlignment="1">
      <alignment horizontal="center" vertical="center"/>
    </xf>
    <xf numFmtId="173" fontId="204" fillId="0" borderId="58" xfId="384" applyNumberFormat="1" applyFont="1" applyFill="1" applyBorder="1" applyAlignment="1">
      <alignment vertical="center"/>
    </xf>
    <xf numFmtId="0" fontId="46" fillId="55" borderId="0" xfId="43" applyFont="1" applyFill="1" applyAlignment="1">
      <alignment horizontal="left" vertical="center" indent="1"/>
    </xf>
    <xf numFmtId="173" fontId="46" fillId="55" borderId="111" xfId="384" applyNumberFormat="1" applyFont="1" applyFill="1" applyBorder="1" applyAlignment="1">
      <alignment horizontal="center" vertical="center"/>
    </xf>
    <xf numFmtId="173" fontId="46" fillId="55" borderId="112" xfId="384" applyNumberFormat="1" applyFont="1" applyFill="1" applyBorder="1" applyAlignment="1">
      <alignment horizontal="center" vertical="center"/>
    </xf>
    <xf numFmtId="0" fontId="42" fillId="12" borderId="0" xfId="1" applyFont="1" applyFill="1" applyAlignment="1">
      <alignment horizontal="left" indent="2"/>
    </xf>
    <xf numFmtId="9" fontId="205" fillId="0" borderId="0" xfId="384" applyFont="1" applyFill="1" applyBorder="1" applyAlignment="1">
      <alignment vertical="center"/>
    </xf>
    <xf numFmtId="9" fontId="211" fillId="0" borderId="0" xfId="384" applyFont="1" applyFill="1" applyBorder="1" applyAlignment="1">
      <alignment vertical="center"/>
    </xf>
    <xf numFmtId="9" fontId="205" fillId="65" borderId="0" xfId="384" applyFont="1" applyFill="1" applyBorder="1" applyAlignment="1">
      <alignment horizontal="center" vertical="center"/>
    </xf>
    <xf numFmtId="173" fontId="174" fillId="33" borderId="0" xfId="384" applyNumberFormat="1" applyFont="1" applyFill="1" applyBorder="1" applyAlignment="1">
      <alignment vertical="center"/>
    </xf>
    <xf numFmtId="3" fontId="46" fillId="53" borderId="0" xfId="45" applyNumberFormat="1" applyFont="1" applyFill="1" applyBorder="1" applyAlignment="1">
      <alignment horizontal="center" vertical="center"/>
    </xf>
    <xf numFmtId="9" fontId="239" fillId="53" borderId="104" xfId="384" applyFont="1" applyFill="1" applyBorder="1" applyAlignment="1">
      <alignment horizontal="center" vertical="center"/>
    </xf>
    <xf numFmtId="2" fontId="46" fillId="53" borderId="104" xfId="384" applyNumberFormat="1" applyFont="1" applyFill="1" applyBorder="1" applyAlignment="1">
      <alignment horizontal="center" vertical="center"/>
    </xf>
    <xf numFmtId="0" fontId="46" fillId="53" borderId="104" xfId="2516" applyFont="1" applyFill="1" applyBorder="1" applyAlignment="1">
      <alignment horizontal="center"/>
    </xf>
    <xf numFmtId="0" fontId="46" fillId="53" borderId="104" xfId="2515" applyFont="1" applyFill="1" applyBorder="1" applyAlignment="1">
      <alignment horizontal="center" vertical="center"/>
    </xf>
    <xf numFmtId="0" fontId="33" fillId="12" borderId="0" xfId="2516" applyFont="1" applyFill="1"/>
    <xf numFmtId="9" fontId="45" fillId="12" borderId="0" xfId="384" applyFont="1" applyFill="1" applyBorder="1" applyAlignment="1">
      <alignment horizontal="center"/>
    </xf>
    <xf numFmtId="173" fontId="45" fillId="12" borderId="0" xfId="2516" applyNumberFormat="1" applyFont="1" applyFill="1"/>
    <xf numFmtId="173" fontId="45" fillId="33" borderId="0" xfId="2516" applyNumberFormat="1" applyFont="1" applyFill="1" applyAlignment="1">
      <alignment horizontal="right"/>
    </xf>
    <xf numFmtId="1" fontId="212" fillId="72" borderId="3" xfId="2516" applyNumberFormat="1" applyFont="1" applyFill="1" applyBorder="1" applyAlignment="1">
      <alignment horizontal="center"/>
    </xf>
    <xf numFmtId="173" fontId="45" fillId="64" borderId="0" xfId="2516" applyNumberFormat="1" applyFont="1" applyFill="1" applyAlignment="1">
      <alignment horizontal="center"/>
    </xf>
    <xf numFmtId="0" fontId="45" fillId="0" borderId="86" xfId="2516" applyFont="1" applyBorder="1" applyAlignment="1">
      <alignment horizontal="right"/>
    </xf>
    <xf numFmtId="0" fontId="46" fillId="0" borderId="86" xfId="2516" applyFont="1" applyBorder="1"/>
    <xf numFmtId="0" fontId="214" fillId="0" borderId="86" xfId="2516" applyFont="1" applyBorder="1" applyAlignment="1">
      <alignment horizontal="centerContinuous" vertical="center"/>
    </xf>
    <xf numFmtId="0" fontId="181" fillId="0" borderId="86" xfId="2516" applyFont="1" applyBorder="1" applyAlignment="1">
      <alignment vertical="center"/>
    </xf>
    <xf numFmtId="9" fontId="46" fillId="0" borderId="86" xfId="45" applyFont="1" applyFill="1" applyBorder="1" applyAlignment="1">
      <alignment horizontal="center" vertical="center"/>
    </xf>
    <xf numFmtId="0" fontId="46" fillId="0" borderId="86" xfId="2515" applyFont="1" applyBorder="1" applyAlignment="1">
      <alignment horizontal="center" vertical="center"/>
    </xf>
    <xf numFmtId="9" fontId="45" fillId="0" borderId="86" xfId="384" applyFont="1" applyFill="1" applyBorder="1" applyAlignment="1">
      <alignment horizontal="center" vertical="center"/>
    </xf>
    <xf numFmtId="9" fontId="46" fillId="0" borderId="86" xfId="384" applyFont="1" applyFill="1" applyBorder="1" applyAlignment="1">
      <alignment horizontal="center" vertical="center"/>
    </xf>
    <xf numFmtId="3" fontId="45" fillId="0" borderId="86" xfId="2516" applyNumberFormat="1" applyFont="1" applyBorder="1" applyAlignment="1">
      <alignment horizontal="center" vertical="center"/>
    </xf>
    <xf numFmtId="0" fontId="45" fillId="0" borderId="86" xfId="2516" applyFont="1" applyBorder="1" applyAlignment="1">
      <alignment vertical="center"/>
    </xf>
    <xf numFmtId="337" fontId="45" fillId="0" borderId="86" xfId="384" applyNumberFormat="1" applyFont="1" applyFill="1" applyBorder="1" applyAlignment="1">
      <alignment horizontal="center" vertical="center"/>
    </xf>
    <xf numFmtId="9" fontId="45" fillId="60" borderId="86" xfId="384" applyFont="1" applyFill="1" applyBorder="1" applyAlignment="1">
      <alignment horizontal="center" vertical="center"/>
    </xf>
    <xf numFmtId="1" fontId="177" fillId="75" borderId="0" xfId="2515" applyNumberFormat="1" applyFont="1" applyFill="1" applyAlignment="1">
      <alignment horizontal="center"/>
    </xf>
    <xf numFmtId="3" fontId="219" fillId="53" borderId="75" xfId="43" applyNumberFormat="1" applyFont="1" applyFill="1" applyBorder="1" applyAlignment="1">
      <alignment horizontal="center" vertical="center"/>
    </xf>
    <xf numFmtId="3" fontId="219" fillId="53" borderId="113" xfId="43" applyNumberFormat="1" applyFont="1" applyFill="1" applyBorder="1" applyAlignment="1">
      <alignment horizontal="center" vertical="center"/>
    </xf>
    <xf numFmtId="173" fontId="183" fillId="12" borderId="0" xfId="2516" applyNumberFormat="1" applyFont="1" applyFill="1" applyAlignment="1">
      <alignment horizontal="left" vertical="top"/>
    </xf>
    <xf numFmtId="9" fontId="240" fillId="0" borderId="0" xfId="384" quotePrefix="1" applyFont="1" applyFill="1" applyBorder="1" applyAlignment="1">
      <alignment horizontal="center" vertical="center" wrapText="1"/>
    </xf>
    <xf numFmtId="9" fontId="244" fillId="0" borderId="0" xfId="384" quotePrefix="1" applyFont="1" applyFill="1" applyBorder="1" applyAlignment="1">
      <alignment horizontal="center" vertical="center" wrapText="1"/>
    </xf>
    <xf numFmtId="9" fontId="219" fillId="55" borderId="113" xfId="384" quotePrefix="1" applyFont="1" applyFill="1" applyBorder="1" applyAlignment="1">
      <alignment horizontal="center" vertical="center" wrapText="1"/>
    </xf>
    <xf numFmtId="3" fontId="188" fillId="72" borderId="11" xfId="0" applyNumberFormat="1" applyFont="1" applyFill="1" applyBorder="1" applyAlignment="1">
      <alignment horizontal="center"/>
    </xf>
    <xf numFmtId="0" fontId="212" fillId="72" borderId="109" xfId="2516" applyFont="1" applyFill="1" applyBorder="1" applyAlignment="1">
      <alignment horizontal="center"/>
    </xf>
    <xf numFmtId="0" fontId="212" fillId="72" borderId="13" xfId="2516" applyFont="1" applyFill="1" applyBorder="1" applyAlignment="1">
      <alignment horizontal="center"/>
    </xf>
    <xf numFmtId="0" fontId="45" fillId="0" borderId="12" xfId="2516" applyFont="1" applyBorder="1" applyAlignment="1">
      <alignment horizontal="center"/>
    </xf>
    <xf numFmtId="1" fontId="176" fillId="0" borderId="13" xfId="0" applyNumberFormat="1" applyFont="1" applyBorder="1" applyAlignment="1">
      <alignment horizontal="center"/>
    </xf>
    <xf numFmtId="173" fontId="240" fillId="0" borderId="115" xfId="2516" applyNumberFormat="1" applyFont="1" applyBorder="1" applyAlignment="1">
      <alignment horizontal="right"/>
    </xf>
    <xf numFmtId="9" fontId="177" fillId="73" borderId="116" xfId="45" applyFont="1" applyFill="1" applyBorder="1" applyAlignment="1">
      <alignment horizontal="center"/>
    </xf>
    <xf numFmtId="173" fontId="241" fillId="0" borderId="116" xfId="2515" applyNumberFormat="1" applyFont="1" applyBorder="1" applyAlignment="1">
      <alignment horizontal="center" vertical="center"/>
    </xf>
    <xf numFmtId="9" fontId="240" fillId="0" borderId="116" xfId="384" applyFont="1" applyFill="1" applyBorder="1" applyAlignment="1">
      <alignment horizontal="center" vertical="center"/>
    </xf>
    <xf numFmtId="9" fontId="241" fillId="55" borderId="116" xfId="384" applyFont="1" applyFill="1" applyBorder="1" applyAlignment="1">
      <alignment horizontal="center" vertical="center"/>
    </xf>
    <xf numFmtId="344" fontId="240" fillId="0" borderId="116" xfId="384" applyNumberFormat="1" applyFont="1" applyFill="1" applyBorder="1" applyAlignment="1">
      <alignment horizontal="center" vertical="center"/>
    </xf>
    <xf numFmtId="3" fontId="241" fillId="55" borderId="117" xfId="384" applyNumberFormat="1" applyFont="1" applyFill="1" applyBorder="1" applyAlignment="1">
      <alignment horizontal="center" vertical="center"/>
    </xf>
    <xf numFmtId="9" fontId="242" fillId="0" borderId="116" xfId="384" applyFont="1" applyFill="1" applyBorder="1" applyAlignment="1">
      <alignment horizontal="center" vertical="center"/>
    </xf>
    <xf numFmtId="173" fontId="240" fillId="12" borderId="116" xfId="2516" applyNumberFormat="1" applyFont="1" applyFill="1" applyBorder="1" applyAlignment="1">
      <alignment horizontal="right"/>
    </xf>
    <xf numFmtId="3" fontId="240" fillId="53" borderId="116" xfId="43" applyNumberFormat="1" applyFont="1" applyFill="1" applyBorder="1" applyAlignment="1">
      <alignment horizontal="center" vertical="center"/>
    </xf>
    <xf numFmtId="9" fontId="241" fillId="60" borderId="116" xfId="384" applyFont="1" applyFill="1" applyBorder="1" applyAlignment="1">
      <alignment horizontal="center" vertical="center"/>
    </xf>
    <xf numFmtId="9" fontId="241" fillId="55" borderId="117" xfId="384" applyFont="1" applyFill="1" applyBorder="1" applyAlignment="1">
      <alignment horizontal="center" vertical="center"/>
    </xf>
    <xf numFmtId="173" fontId="240" fillId="12" borderId="118" xfId="2516" applyNumberFormat="1" applyFont="1" applyFill="1" applyBorder="1" applyAlignment="1">
      <alignment horizontal="right"/>
    </xf>
    <xf numFmtId="173" fontId="45" fillId="0" borderId="119" xfId="2516" applyNumberFormat="1" applyFont="1" applyBorder="1" applyAlignment="1">
      <alignment horizontal="right"/>
    </xf>
    <xf numFmtId="173" fontId="177" fillId="57" borderId="0" xfId="2515" applyNumberFormat="1" applyFont="1" applyFill="1" applyAlignment="1">
      <alignment horizontal="center"/>
    </xf>
    <xf numFmtId="4" fontId="46" fillId="55" borderId="0" xfId="45" applyNumberFormat="1" applyFont="1" applyFill="1" applyBorder="1" applyAlignment="1">
      <alignment horizontal="center" vertical="center"/>
    </xf>
    <xf numFmtId="173" fontId="45" fillId="12" borderId="114" xfId="2516" applyNumberFormat="1" applyFont="1" applyFill="1" applyBorder="1" applyAlignment="1">
      <alignment horizontal="right"/>
    </xf>
    <xf numFmtId="0" fontId="170" fillId="0" borderId="0" xfId="0" quotePrefix="1" applyFont="1"/>
    <xf numFmtId="176" fontId="173" fillId="72" borderId="0" xfId="0" applyNumberFormat="1" applyFont="1" applyFill="1" applyAlignment="1">
      <alignment vertical="center"/>
    </xf>
    <xf numFmtId="0" fontId="177" fillId="54" borderId="0" xfId="0" applyFont="1" applyFill="1"/>
    <xf numFmtId="0" fontId="177" fillId="54" borderId="0" xfId="0" applyFont="1" applyFill="1" applyAlignment="1">
      <alignment horizontal="center"/>
    </xf>
    <xf numFmtId="3" fontId="176" fillId="0" borderId="0" xfId="0" applyNumberFormat="1" applyFont="1"/>
    <xf numFmtId="0" fontId="176" fillId="63" borderId="0" xfId="0" applyFont="1" applyFill="1"/>
    <xf numFmtId="3" fontId="176" fillId="63" borderId="0" xfId="0" applyNumberFormat="1" applyFont="1" applyFill="1"/>
    <xf numFmtId="4" fontId="176" fillId="63" borderId="0" xfId="0" applyNumberFormat="1" applyFont="1" applyFill="1"/>
    <xf numFmtId="180" fontId="175" fillId="0" borderId="0" xfId="0" applyNumberFormat="1" applyFont="1"/>
    <xf numFmtId="9" fontId="175" fillId="0" borderId="0" xfId="384" applyFont="1" applyBorder="1"/>
    <xf numFmtId="0" fontId="172" fillId="60" borderId="57" xfId="0" applyFont="1" applyFill="1" applyBorder="1" applyAlignment="1">
      <alignment horizontal="right"/>
    </xf>
    <xf numFmtId="0" fontId="32" fillId="0" borderId="33" xfId="2512" applyFont="1" applyBorder="1" applyAlignment="1">
      <alignment horizontal="left"/>
    </xf>
    <xf numFmtId="3" fontId="32" fillId="0" borderId="33" xfId="2512" applyNumberFormat="1" applyFont="1" applyBorder="1"/>
    <xf numFmtId="3" fontId="32" fillId="0" borderId="58" xfId="2512" applyNumberFormat="1" applyFont="1" applyBorder="1"/>
    <xf numFmtId="0" fontId="28" fillId="12" borderId="0" xfId="1" quotePrefix="1" applyFont="1" applyFill="1"/>
    <xf numFmtId="176" fontId="28" fillId="0" borderId="0" xfId="0" applyNumberFormat="1" applyFont="1" applyAlignment="1">
      <alignment vertical="center"/>
    </xf>
    <xf numFmtId="3" fontId="32" fillId="0" borderId="0" xfId="0" applyNumberFormat="1" applyFont="1" applyAlignment="1">
      <alignment vertical="center"/>
    </xf>
    <xf numFmtId="3" fontId="28" fillId="0" borderId="0" xfId="0" applyNumberFormat="1" applyFont="1" applyAlignment="1">
      <alignment vertical="center"/>
    </xf>
    <xf numFmtId="9" fontId="46" fillId="53" borderId="0" xfId="45" applyFont="1" applyFill="1" applyBorder="1" applyAlignment="1">
      <alignment horizontal="center"/>
    </xf>
    <xf numFmtId="9" fontId="46" fillId="53" borderId="0" xfId="45" applyFont="1" applyFill="1" applyBorder="1" applyAlignment="1">
      <alignment horizontal="center" vertical="top"/>
    </xf>
    <xf numFmtId="0" fontId="107" fillId="54" borderId="33" xfId="1" applyFont="1" applyFill="1" applyBorder="1"/>
    <xf numFmtId="3" fontId="245" fillId="0" borderId="0" xfId="0" applyNumberFormat="1" applyFont="1"/>
    <xf numFmtId="347" fontId="184" fillId="57" borderId="0" xfId="0" applyNumberFormat="1" applyFont="1" applyFill="1" applyAlignment="1">
      <alignment horizontal="left"/>
    </xf>
    <xf numFmtId="173" fontId="28" fillId="72" borderId="0" xfId="1" applyNumberFormat="1" applyFont="1" applyFill="1"/>
    <xf numFmtId="173" fontId="173" fillId="72" borderId="0" xfId="1" applyNumberFormat="1" applyFont="1" applyFill="1"/>
    <xf numFmtId="9" fontId="173" fillId="72" borderId="0" xfId="1" applyNumberFormat="1" applyFont="1" applyFill="1"/>
    <xf numFmtId="172" fontId="173" fillId="72" borderId="0" xfId="1" applyNumberFormat="1" applyFont="1" applyFill="1"/>
    <xf numFmtId="2" fontId="170" fillId="60" borderId="0" xfId="0" applyNumberFormat="1" applyFont="1" applyFill="1"/>
    <xf numFmtId="4" fontId="28" fillId="60" borderId="0" xfId="1" applyNumberFormat="1" applyFont="1" applyFill="1"/>
    <xf numFmtId="9" fontId="28" fillId="60" borderId="0" xfId="384" applyFont="1" applyFill="1" applyBorder="1"/>
    <xf numFmtId="9" fontId="204" fillId="72" borderId="0" xfId="384" applyFont="1" applyFill="1" applyBorder="1" applyAlignment="1">
      <alignment vertical="center"/>
    </xf>
    <xf numFmtId="176" fontId="170" fillId="72" borderId="0" xfId="0" applyNumberFormat="1" applyFont="1" applyFill="1" applyAlignment="1">
      <alignment vertical="center"/>
    </xf>
    <xf numFmtId="173" fontId="170" fillId="72" borderId="0" xfId="384" applyNumberFormat="1" applyFont="1" applyFill="1" applyBorder="1" applyAlignment="1">
      <alignment vertical="center"/>
    </xf>
    <xf numFmtId="173" fontId="173" fillId="72" borderId="0" xfId="384" applyNumberFormat="1" applyFont="1" applyFill="1" applyBorder="1" applyAlignment="1">
      <alignment vertical="center"/>
    </xf>
    <xf numFmtId="9" fontId="170" fillId="72" borderId="0" xfId="384" applyFont="1" applyFill="1" applyBorder="1" applyAlignment="1">
      <alignment vertical="center"/>
    </xf>
    <xf numFmtId="173" fontId="28" fillId="72" borderId="0" xfId="384" applyNumberFormat="1" applyFont="1" applyFill="1" applyBorder="1" applyAlignment="1">
      <alignment vertical="center"/>
    </xf>
    <xf numFmtId="9" fontId="173" fillId="72" borderId="0" xfId="384" applyFont="1" applyFill="1" applyBorder="1" applyAlignment="1">
      <alignment vertical="center"/>
    </xf>
    <xf numFmtId="9" fontId="243" fillId="0" borderId="0" xfId="384" applyFont="1" applyFill="1" applyBorder="1" applyAlignment="1">
      <alignment vertical="center"/>
    </xf>
    <xf numFmtId="340" fontId="204" fillId="60" borderId="0" xfId="0" applyNumberFormat="1" applyFont="1" applyFill="1" applyAlignment="1">
      <alignment vertical="center"/>
    </xf>
    <xf numFmtId="173" fontId="200" fillId="72" borderId="0" xfId="0" applyNumberFormat="1" applyFont="1" applyFill="1"/>
    <xf numFmtId="9" fontId="173" fillId="72" borderId="0" xfId="384" applyFont="1" applyFill="1" applyBorder="1"/>
    <xf numFmtId="173" fontId="170" fillId="72" borderId="0" xfId="0" applyNumberFormat="1" applyFont="1" applyFill="1"/>
    <xf numFmtId="9" fontId="170" fillId="72" borderId="0" xfId="0" applyNumberFormat="1" applyFont="1" applyFill="1"/>
    <xf numFmtId="9" fontId="173" fillId="72" borderId="0" xfId="0" applyNumberFormat="1" applyFont="1" applyFill="1"/>
    <xf numFmtId="278" fontId="32" fillId="59" borderId="0" xfId="0" applyNumberFormat="1" applyFont="1" applyFill="1" applyAlignment="1">
      <alignment horizontal="right" vertical="center"/>
    </xf>
    <xf numFmtId="0" fontId="105" fillId="54" borderId="126" xfId="0" applyFont="1" applyFill="1" applyBorder="1" applyAlignment="1">
      <alignment horizontal="center" vertical="center"/>
    </xf>
    <xf numFmtId="0" fontId="105" fillId="57" borderId="126" xfId="0" applyFont="1" applyFill="1" applyBorder="1" applyAlignment="1">
      <alignment horizontal="center" vertical="center"/>
    </xf>
    <xf numFmtId="0" fontId="246" fillId="53" borderId="126" xfId="0" applyFont="1" applyFill="1" applyBorder="1" applyAlignment="1">
      <alignment horizontal="center" vertical="center"/>
    </xf>
    <xf numFmtId="0" fontId="1" fillId="12" borderId="0" xfId="0" applyFont="1" applyFill="1"/>
    <xf numFmtId="0" fontId="105" fillId="54" borderId="58" xfId="0" applyFont="1" applyFill="1" applyBorder="1"/>
    <xf numFmtId="0" fontId="105" fillId="54" borderId="58" xfId="0" applyFont="1" applyFill="1" applyBorder="1" applyAlignment="1">
      <alignment horizontal="center" vertical="center"/>
    </xf>
    <xf numFmtId="0" fontId="105" fillId="57" borderId="58" xfId="0" applyFont="1" applyFill="1" applyBorder="1" applyAlignment="1">
      <alignment horizontal="center" vertical="center"/>
    </xf>
    <xf numFmtId="0" fontId="246" fillId="53" borderId="58" xfId="0" applyFont="1" applyFill="1" applyBorder="1" applyAlignment="1">
      <alignment horizontal="center" vertical="center"/>
    </xf>
    <xf numFmtId="350" fontId="105" fillId="54" borderId="59" xfId="1" applyNumberFormat="1" applyFont="1" applyFill="1" applyBorder="1" applyAlignment="1">
      <alignment horizontal="center" vertical="center"/>
    </xf>
    <xf numFmtId="14" fontId="105" fillId="54" borderId="59" xfId="1" applyNumberFormat="1" applyFont="1" applyFill="1" applyBorder="1" applyAlignment="1">
      <alignment horizontal="center" vertical="center"/>
    </xf>
    <xf numFmtId="14" fontId="105" fillId="54" borderId="33" xfId="1" applyNumberFormat="1" applyFont="1" applyFill="1" applyBorder="1" applyAlignment="1">
      <alignment horizontal="center" vertical="center"/>
    </xf>
    <xf numFmtId="14" fontId="105" fillId="57" borderId="33" xfId="1" applyNumberFormat="1" applyFont="1" applyFill="1" applyBorder="1" applyAlignment="1">
      <alignment horizontal="center" vertical="center"/>
    </xf>
    <xf numFmtId="14" fontId="246" fillId="53" borderId="33" xfId="1" applyNumberFormat="1" applyFont="1" applyFill="1" applyBorder="1" applyAlignment="1">
      <alignment horizontal="center" vertical="center"/>
    </xf>
    <xf numFmtId="14" fontId="246" fillId="53" borderId="59" xfId="1" applyNumberFormat="1" applyFont="1" applyFill="1" applyBorder="1" applyAlignment="1">
      <alignment horizontal="center" vertical="center"/>
    </xf>
    <xf numFmtId="0" fontId="45" fillId="72" borderId="0" xfId="2516" applyFont="1" applyFill="1"/>
    <xf numFmtId="0" fontId="105" fillId="54" borderId="128" xfId="0" applyFont="1" applyFill="1" applyBorder="1" applyAlignment="1">
      <alignment horizontal="center" vertical="center"/>
    </xf>
    <xf numFmtId="0" fontId="105" fillId="54" borderId="127" xfId="0" applyFont="1" applyFill="1" applyBorder="1" applyAlignment="1">
      <alignment horizontal="center" vertical="center"/>
    </xf>
    <xf numFmtId="0" fontId="105" fillId="54" borderId="129" xfId="0" applyFont="1" applyFill="1" applyBorder="1" applyAlignment="1">
      <alignment horizontal="center" vertical="center"/>
    </xf>
    <xf numFmtId="14" fontId="105" fillId="54" borderId="3" xfId="1" applyNumberFormat="1" applyFont="1" applyFill="1" applyBorder="1" applyAlignment="1">
      <alignment horizontal="center" vertical="center"/>
    </xf>
    <xf numFmtId="0" fontId="32" fillId="19" borderId="28" xfId="0" applyFont="1" applyFill="1" applyBorder="1" applyAlignment="1">
      <alignment vertical="center"/>
    </xf>
    <xf numFmtId="0" fontId="0" fillId="0" borderId="28" xfId="0" applyBorder="1"/>
    <xf numFmtId="0" fontId="171" fillId="12" borderId="33" xfId="0" applyFont="1" applyFill="1" applyBorder="1"/>
    <xf numFmtId="3" fontId="171" fillId="0" borderId="59" xfId="0" applyNumberFormat="1" applyFont="1" applyBorder="1" applyAlignment="1">
      <alignment horizontal="center" vertical="center"/>
    </xf>
    <xf numFmtId="3" fontId="171" fillId="0" borderId="33" xfId="0" applyNumberFormat="1" applyFont="1" applyBorder="1" applyAlignment="1">
      <alignment horizontal="center" vertical="center"/>
    </xf>
    <xf numFmtId="3" fontId="171" fillId="0" borderId="29" xfId="0" applyNumberFormat="1" applyFont="1" applyBorder="1" applyAlignment="1">
      <alignment horizontal="center" vertical="center"/>
    </xf>
    <xf numFmtId="0" fontId="105" fillId="54" borderId="130" xfId="0" applyFont="1" applyFill="1" applyBorder="1" applyAlignment="1">
      <alignment horizontal="center" vertical="center"/>
    </xf>
    <xf numFmtId="0" fontId="105" fillId="54" borderId="131" xfId="0" applyFont="1" applyFill="1" applyBorder="1" applyAlignment="1">
      <alignment horizontal="center" vertical="center"/>
    </xf>
    <xf numFmtId="0" fontId="32" fillId="19" borderId="11" xfId="0" applyFont="1" applyFill="1" applyBorder="1" applyAlignment="1">
      <alignment vertical="center"/>
    </xf>
    <xf numFmtId="0" fontId="0" fillId="0" borderId="11" xfId="0" applyBorder="1"/>
    <xf numFmtId="14" fontId="105" fillId="54" borderId="29" xfId="1" applyNumberFormat="1" applyFont="1" applyFill="1" applyBorder="1" applyAlignment="1">
      <alignment horizontal="center" vertical="center"/>
    </xf>
    <xf numFmtId="0" fontId="105" fillId="57" borderId="128" xfId="0" applyFont="1" applyFill="1" applyBorder="1" applyAlignment="1">
      <alignment horizontal="center" vertical="center"/>
    </xf>
    <xf numFmtId="0" fontId="105" fillId="57" borderId="127" xfId="0" applyFont="1" applyFill="1" applyBorder="1" applyAlignment="1">
      <alignment horizontal="center" vertical="center"/>
    </xf>
    <xf numFmtId="0" fontId="105" fillId="57" borderId="129" xfId="0" applyFont="1" applyFill="1" applyBorder="1" applyAlignment="1">
      <alignment horizontal="center" vertical="center"/>
    </xf>
    <xf numFmtId="14" fontId="105" fillId="57" borderId="29" xfId="1" applyNumberFormat="1" applyFont="1" applyFill="1" applyBorder="1" applyAlignment="1">
      <alignment horizontal="center" vertical="center"/>
    </xf>
    <xf numFmtId="3" fontId="173" fillId="0" borderId="11" xfId="0" applyNumberFormat="1" applyFont="1" applyBorder="1" applyAlignment="1">
      <alignment horizontal="center" vertical="center"/>
    </xf>
    <xf numFmtId="3" fontId="173" fillId="0" borderId="0" xfId="0" applyNumberFormat="1" applyFont="1" applyAlignment="1">
      <alignment horizontal="center" vertical="center"/>
    </xf>
    <xf numFmtId="3" fontId="28" fillId="0" borderId="0" xfId="0" applyNumberFormat="1" applyFont="1" applyAlignment="1">
      <alignment horizontal="center" vertical="center"/>
    </xf>
    <xf numFmtId="3" fontId="28" fillId="0" borderId="28" xfId="0" applyNumberFormat="1" applyFont="1" applyBorder="1" applyAlignment="1">
      <alignment horizontal="center" vertical="center"/>
    </xf>
    <xf numFmtId="3" fontId="170" fillId="0" borderId="28" xfId="0" applyNumberFormat="1" applyFont="1" applyBorder="1" applyAlignment="1">
      <alignment horizontal="center" vertical="center"/>
    </xf>
    <xf numFmtId="3" fontId="173" fillId="0" borderId="28" xfId="0" applyNumberFormat="1" applyFont="1" applyBorder="1" applyAlignment="1">
      <alignment horizontal="center" vertical="center"/>
    </xf>
    <xf numFmtId="0" fontId="0" fillId="0" borderId="11" xfId="0" applyBorder="1" applyAlignment="1">
      <alignment horizontal="center"/>
    </xf>
    <xf numFmtId="0" fontId="0" fillId="0" borderId="0" xfId="0" applyAlignment="1">
      <alignment horizontal="center"/>
    </xf>
    <xf numFmtId="0" fontId="0" fillId="0" borderId="28" xfId="0" applyBorder="1" applyAlignment="1">
      <alignment horizontal="center"/>
    </xf>
    <xf numFmtId="0" fontId="32" fillId="19" borderId="11" xfId="0" applyFont="1" applyFill="1" applyBorder="1" applyAlignment="1">
      <alignment horizontal="center" vertical="center"/>
    </xf>
    <xf numFmtId="0" fontId="32" fillId="19" borderId="0" xfId="0" applyFont="1" applyFill="1" applyAlignment="1">
      <alignment horizontal="center" vertical="center"/>
    </xf>
    <xf numFmtId="0" fontId="32" fillId="19" borderId="28" xfId="0" applyFont="1" applyFill="1" applyBorder="1" applyAlignment="1">
      <alignment horizontal="center" vertical="center"/>
    </xf>
    <xf numFmtId="0" fontId="247" fillId="0" borderId="0" xfId="0" applyFont="1"/>
    <xf numFmtId="0" fontId="33" fillId="12" borderId="0" xfId="1" applyFont="1" applyFill="1"/>
    <xf numFmtId="173" fontId="33" fillId="12" borderId="0" xfId="1" applyNumberFormat="1" applyFont="1" applyFill="1"/>
    <xf numFmtId="173" fontId="33" fillId="72" borderId="0" xfId="1" applyNumberFormat="1" applyFont="1" applyFill="1"/>
    <xf numFmtId="173" fontId="42" fillId="12" borderId="0" xfId="1" applyNumberFormat="1" applyFont="1" applyFill="1"/>
    <xf numFmtId="173" fontId="42" fillId="0" borderId="0" xfId="1" applyNumberFormat="1" applyFont="1"/>
    <xf numFmtId="1" fontId="32" fillId="0" borderId="0" xfId="1" applyNumberFormat="1" applyFont="1"/>
    <xf numFmtId="173" fontId="32" fillId="12" borderId="0" xfId="1" applyNumberFormat="1" applyFont="1" applyFill="1"/>
    <xf numFmtId="173" fontId="172" fillId="12" borderId="0" xfId="1" applyNumberFormat="1" applyFont="1" applyFill="1"/>
    <xf numFmtId="173" fontId="200" fillId="12" borderId="0" xfId="1" applyNumberFormat="1" applyFont="1" applyFill="1"/>
    <xf numFmtId="173" fontId="200" fillId="72" borderId="0" xfId="1" applyNumberFormat="1" applyFont="1" applyFill="1"/>
    <xf numFmtId="0" fontId="248" fillId="0" borderId="0" xfId="0" applyFont="1"/>
    <xf numFmtId="173" fontId="205" fillId="12" borderId="0" xfId="1" applyNumberFormat="1" applyFont="1" applyFill="1"/>
    <xf numFmtId="173" fontId="205" fillId="72" borderId="0" xfId="1" applyNumberFormat="1" applyFont="1" applyFill="1"/>
    <xf numFmtId="0" fontId="249" fillId="0" borderId="0" xfId="0" applyFont="1"/>
    <xf numFmtId="173" fontId="172" fillId="0" borderId="0" xfId="1" applyNumberFormat="1" applyFont="1"/>
    <xf numFmtId="173" fontId="173" fillId="12" borderId="0" xfId="384" applyNumberFormat="1" applyFont="1" applyFill="1"/>
    <xf numFmtId="173" fontId="173" fillId="72" borderId="0" xfId="384" applyNumberFormat="1" applyFont="1" applyFill="1"/>
    <xf numFmtId="338" fontId="32" fillId="12" borderId="0" xfId="0" applyNumberFormat="1" applyFont="1" applyFill="1" applyAlignment="1">
      <alignment vertical="center"/>
    </xf>
    <xf numFmtId="231" fontId="32" fillId="12" borderId="0" xfId="383" applyNumberFormat="1" applyFont="1" applyFill="1" applyAlignment="1">
      <alignment vertical="center"/>
    </xf>
    <xf numFmtId="338" fontId="200" fillId="12" borderId="0" xfId="0" applyNumberFormat="1" applyFont="1" applyFill="1" applyAlignment="1">
      <alignment horizontal="center" vertical="center"/>
    </xf>
    <xf numFmtId="9" fontId="170" fillId="0" borderId="0" xfId="384" applyFont="1" applyAlignment="1">
      <alignment horizontal="center"/>
    </xf>
    <xf numFmtId="9" fontId="170" fillId="0" borderId="28" xfId="384" applyFont="1" applyBorder="1" applyAlignment="1">
      <alignment horizontal="center"/>
    </xf>
    <xf numFmtId="0" fontId="170" fillId="0" borderId="0" xfId="0" applyFont="1" applyAlignment="1">
      <alignment horizontal="center"/>
    </xf>
    <xf numFmtId="0" fontId="170" fillId="0" borderId="28" xfId="0" applyFont="1" applyBorder="1" applyAlignment="1">
      <alignment horizontal="center"/>
    </xf>
    <xf numFmtId="176" fontId="32" fillId="12" borderId="0" xfId="0" applyNumberFormat="1" applyFont="1" applyFill="1" applyAlignment="1">
      <alignment vertical="center"/>
    </xf>
    <xf numFmtId="0" fontId="42" fillId="12" borderId="0" xfId="0" applyFont="1" applyFill="1" applyAlignment="1">
      <alignment vertical="center"/>
    </xf>
    <xf numFmtId="0" fontId="171" fillId="12" borderId="0" xfId="0" applyFont="1" applyFill="1" applyAlignment="1">
      <alignment horizontal="center" vertical="center"/>
    </xf>
    <xf numFmtId="9" fontId="170" fillId="12" borderId="0" xfId="384" applyFont="1" applyFill="1"/>
    <xf numFmtId="0" fontId="32" fillId="0" borderId="0" xfId="0" applyFont="1"/>
    <xf numFmtId="0" fontId="28" fillId="0" borderId="0" xfId="0" applyFont="1" applyAlignment="1">
      <alignment horizontal="center"/>
    </xf>
    <xf numFmtId="331" fontId="28" fillId="0" borderId="0" xfId="0" applyNumberFormat="1" applyFont="1" applyAlignment="1">
      <alignment horizontal="center"/>
    </xf>
    <xf numFmtId="328" fontId="28" fillId="0" borderId="0" xfId="0" applyNumberFormat="1" applyFont="1" applyAlignment="1">
      <alignment horizontal="center"/>
    </xf>
    <xf numFmtId="9" fontId="170" fillId="72" borderId="0" xfId="384" applyFont="1" applyFill="1" applyBorder="1" applyAlignment="1">
      <alignment horizontal="right"/>
    </xf>
    <xf numFmtId="347" fontId="177" fillId="57" borderId="0" xfId="0" applyNumberFormat="1" applyFont="1" applyFill="1" applyAlignment="1">
      <alignment horizontal="left"/>
    </xf>
    <xf numFmtId="0" fontId="181" fillId="0" borderId="0" xfId="0" applyFont="1"/>
    <xf numFmtId="0" fontId="177" fillId="57" borderId="0" xfId="0" applyFont="1" applyFill="1"/>
    <xf numFmtId="0" fontId="175" fillId="0" borderId="120" xfId="0" applyFont="1" applyBorder="1"/>
    <xf numFmtId="9" fontId="175" fillId="0" borderId="121" xfId="0" applyNumberFormat="1" applyFont="1" applyBorder="1"/>
    <xf numFmtId="0" fontId="175" fillId="0" borderId="122" xfId="0" applyFont="1" applyBorder="1"/>
    <xf numFmtId="9" fontId="175" fillId="72" borderId="123" xfId="0" applyNumberFormat="1" applyFont="1" applyFill="1" applyBorder="1"/>
    <xf numFmtId="9" fontId="175" fillId="0" borderId="123" xfId="0" applyNumberFormat="1" applyFont="1" applyBorder="1"/>
    <xf numFmtId="0" fontId="175" fillId="0" borderId="124" xfId="0" applyFont="1" applyBorder="1"/>
    <xf numFmtId="9" fontId="170" fillId="12" borderId="0" xfId="384" applyFont="1" applyFill="1" applyBorder="1" applyAlignment="1">
      <alignment vertical="center"/>
    </xf>
    <xf numFmtId="1" fontId="170" fillId="12" borderId="0" xfId="0" applyNumberFormat="1" applyFont="1" applyFill="1" applyAlignment="1">
      <alignment horizontal="left" indent="2"/>
    </xf>
    <xf numFmtId="1" fontId="171" fillId="0" borderId="0" xfId="0" applyNumberFormat="1" applyFont="1" applyAlignment="1">
      <alignment horizontal="left"/>
    </xf>
    <xf numFmtId="1" fontId="170" fillId="12" borderId="0" xfId="0" applyNumberFormat="1" applyFont="1" applyFill="1" applyAlignment="1">
      <alignment horizontal="left" indent="3"/>
    </xf>
    <xf numFmtId="1" fontId="171" fillId="12" borderId="0" xfId="0" applyNumberFormat="1" applyFont="1" applyFill="1" applyAlignment="1">
      <alignment horizontal="left"/>
    </xf>
    <xf numFmtId="0" fontId="171" fillId="62" borderId="0" xfId="0" applyFont="1" applyFill="1" applyAlignment="1">
      <alignment horizontal="left"/>
    </xf>
    <xf numFmtId="173" fontId="171" fillId="62" borderId="0" xfId="0" applyNumberFormat="1" applyFont="1" applyFill="1"/>
    <xf numFmtId="0" fontId="171" fillId="62" borderId="0" xfId="0" applyFont="1" applyFill="1" applyAlignment="1">
      <alignment horizontal="right"/>
    </xf>
    <xf numFmtId="3" fontId="171" fillId="62" borderId="0" xfId="0" applyNumberFormat="1" applyFont="1" applyFill="1" applyAlignment="1">
      <alignment horizontal="right"/>
    </xf>
    <xf numFmtId="9" fontId="173" fillId="12" borderId="0" xfId="0" applyNumberFormat="1" applyFont="1" applyFill="1" applyAlignment="1">
      <alignment horizontal="right"/>
    </xf>
    <xf numFmtId="9" fontId="170" fillId="12" borderId="0" xfId="384" applyFont="1" applyFill="1" applyBorder="1" applyAlignment="1">
      <alignment horizontal="center"/>
    </xf>
    <xf numFmtId="2" fontId="170" fillId="12" borderId="0" xfId="0" applyNumberFormat="1" applyFont="1" applyFill="1" applyAlignment="1">
      <alignment horizontal="right"/>
    </xf>
    <xf numFmtId="0" fontId="170" fillId="12" borderId="0" xfId="0" applyFont="1" applyFill="1" applyAlignment="1">
      <alignment horizontal="right"/>
    </xf>
    <xf numFmtId="9" fontId="170" fillId="12" borderId="0" xfId="0" applyNumberFormat="1" applyFont="1" applyFill="1" applyAlignment="1">
      <alignment horizontal="right"/>
    </xf>
    <xf numFmtId="9" fontId="170" fillId="0" borderId="0" xfId="0" applyNumberFormat="1" applyFont="1" applyAlignment="1">
      <alignment vertical="center"/>
    </xf>
    <xf numFmtId="9" fontId="170" fillId="72" borderId="0" xfId="0" applyNumberFormat="1" applyFont="1" applyFill="1" applyAlignment="1">
      <alignment vertical="center"/>
    </xf>
    <xf numFmtId="176" fontId="170" fillId="12" borderId="0" xfId="0" applyNumberFormat="1" applyFont="1" applyFill="1" applyAlignment="1">
      <alignment vertical="center"/>
    </xf>
    <xf numFmtId="9" fontId="173" fillId="12" borderId="0" xfId="384" applyFont="1" applyFill="1" applyBorder="1" applyAlignment="1">
      <alignment vertical="center"/>
    </xf>
    <xf numFmtId="9" fontId="204" fillId="72" borderId="0" xfId="0" applyNumberFormat="1" applyFont="1" applyFill="1" applyAlignment="1">
      <alignment vertical="center"/>
    </xf>
    <xf numFmtId="1" fontId="28" fillId="12" borderId="0" xfId="1" applyNumberFormat="1" applyFont="1" applyFill="1" applyAlignment="1">
      <alignment horizontal="right"/>
    </xf>
    <xf numFmtId="278" fontId="106" fillId="55" borderId="0" xfId="1" applyNumberFormat="1" applyFont="1" applyFill="1"/>
    <xf numFmtId="9" fontId="170" fillId="12" borderId="0" xfId="0" applyNumberFormat="1" applyFont="1" applyFill="1" applyAlignment="1">
      <alignment vertical="center"/>
    </xf>
    <xf numFmtId="176" fontId="204" fillId="12" borderId="0" xfId="0" applyNumberFormat="1" applyFont="1" applyFill="1" applyAlignment="1">
      <alignment vertical="center"/>
    </xf>
    <xf numFmtId="176" fontId="174" fillId="12" borderId="0" xfId="0" applyNumberFormat="1" applyFont="1" applyFill="1" applyAlignment="1">
      <alignment vertical="center"/>
    </xf>
    <xf numFmtId="176" fontId="171" fillId="12" borderId="0" xfId="0" applyNumberFormat="1" applyFont="1" applyFill="1" applyAlignment="1">
      <alignment vertical="center"/>
    </xf>
    <xf numFmtId="9" fontId="208" fillId="12" borderId="0" xfId="384" applyFont="1" applyFill="1" applyBorder="1" applyAlignment="1">
      <alignment vertical="center"/>
    </xf>
    <xf numFmtId="341" fontId="170" fillId="12" borderId="0" xfId="0" applyNumberFormat="1" applyFont="1" applyFill="1" applyAlignment="1">
      <alignment vertical="center"/>
    </xf>
    <xf numFmtId="9" fontId="201" fillId="12" borderId="0" xfId="384" applyFont="1" applyFill="1" applyBorder="1" applyAlignment="1">
      <alignment vertical="center"/>
    </xf>
    <xf numFmtId="10" fontId="204" fillId="12" borderId="58" xfId="384" applyNumberFormat="1" applyFont="1" applyFill="1" applyBorder="1" applyAlignment="1">
      <alignment vertical="center"/>
    </xf>
    <xf numFmtId="188" fontId="204" fillId="12" borderId="0" xfId="0" applyNumberFormat="1" applyFont="1" applyFill="1" applyAlignment="1">
      <alignment vertical="center"/>
    </xf>
    <xf numFmtId="9" fontId="204" fillId="12" borderId="0" xfId="384" applyFont="1" applyFill="1" applyBorder="1" applyAlignment="1">
      <alignment vertical="center"/>
    </xf>
    <xf numFmtId="0" fontId="175" fillId="0" borderId="3" xfId="0" applyFont="1" applyBorder="1"/>
    <xf numFmtId="268" fontId="175" fillId="0" borderId="3" xfId="0" applyNumberFormat="1" applyFont="1" applyBorder="1"/>
    <xf numFmtId="9" fontId="175" fillId="0" borderId="3" xfId="0" applyNumberFormat="1" applyFont="1" applyBorder="1"/>
    <xf numFmtId="14" fontId="177" fillId="57" borderId="0" xfId="0" applyNumberFormat="1" applyFont="1" applyFill="1"/>
    <xf numFmtId="0" fontId="177" fillId="76" borderId="135" xfId="0" applyFont="1" applyFill="1" applyBorder="1"/>
    <xf numFmtId="0" fontId="177" fillId="76" borderId="136" xfId="0" applyFont="1" applyFill="1" applyBorder="1"/>
    <xf numFmtId="0" fontId="177" fillId="76" borderId="137" xfId="0" applyFont="1" applyFill="1" applyBorder="1" applyAlignment="1">
      <alignment horizontal="right"/>
    </xf>
    <xf numFmtId="0" fontId="175" fillId="0" borderId="138" xfId="0" applyFont="1" applyBorder="1"/>
    <xf numFmtId="0" fontId="175" fillId="0" borderId="139" xfId="0" applyFont="1" applyBorder="1"/>
    <xf numFmtId="14" fontId="175" fillId="0" borderId="138" xfId="0" applyNumberFormat="1" applyFont="1" applyBorder="1" applyAlignment="1">
      <alignment horizontal="left"/>
    </xf>
    <xf numFmtId="1" fontId="175" fillId="0" borderId="139" xfId="0" applyNumberFormat="1" applyFont="1" applyBorder="1"/>
    <xf numFmtId="0" fontId="175" fillId="0" borderId="140" xfId="0" applyFont="1" applyBorder="1"/>
    <xf numFmtId="0" fontId="175" fillId="0" borderId="62" xfId="0" applyFont="1" applyBorder="1"/>
    <xf numFmtId="2" fontId="175" fillId="0" borderId="62" xfId="0" applyNumberFormat="1" applyFont="1" applyBorder="1"/>
    <xf numFmtId="1" fontId="175" fillId="0" borderId="141" xfId="0" applyNumberFormat="1" applyFont="1" applyBorder="1"/>
    <xf numFmtId="0" fontId="177" fillId="57" borderId="3" xfId="0" applyFont="1" applyFill="1" applyBorder="1"/>
    <xf numFmtId="3" fontId="175" fillId="0" borderId="3" xfId="0" applyNumberFormat="1" applyFont="1" applyBorder="1"/>
    <xf numFmtId="0" fontId="187" fillId="0" borderId="3" xfId="0" applyFont="1" applyBorder="1"/>
    <xf numFmtId="9" fontId="187" fillId="0" borderId="3" xfId="0" applyNumberFormat="1" applyFont="1" applyBorder="1"/>
    <xf numFmtId="9" fontId="170" fillId="60" borderId="0" xfId="384" applyFont="1" applyFill="1" applyBorder="1"/>
    <xf numFmtId="0" fontId="32" fillId="33" borderId="0" xfId="1" applyFont="1" applyFill="1"/>
    <xf numFmtId="3" fontId="171" fillId="33" borderId="0" xfId="0" applyNumberFormat="1" applyFont="1" applyFill="1"/>
    <xf numFmtId="3" fontId="172" fillId="33" borderId="0" xfId="0" applyNumberFormat="1" applyFont="1" applyFill="1"/>
    <xf numFmtId="3" fontId="32" fillId="33" borderId="0" xfId="0" applyNumberFormat="1" applyFont="1" applyFill="1"/>
    <xf numFmtId="3" fontId="32" fillId="33" borderId="0" xfId="1" applyNumberFormat="1" applyFont="1" applyFill="1"/>
    <xf numFmtId="3" fontId="33" fillId="0" borderId="0" xfId="1" applyNumberFormat="1" applyFont="1"/>
    <xf numFmtId="3" fontId="33" fillId="72" borderId="0" xfId="1" applyNumberFormat="1" applyFont="1" applyFill="1"/>
    <xf numFmtId="3" fontId="200" fillId="72" borderId="0" xfId="1" applyNumberFormat="1" applyFont="1" applyFill="1"/>
    <xf numFmtId="180" fontId="32" fillId="0" borderId="0" xfId="1" applyNumberFormat="1" applyFont="1"/>
    <xf numFmtId="9" fontId="173" fillId="0" borderId="0" xfId="1" applyNumberFormat="1" applyFont="1"/>
    <xf numFmtId="4" fontId="173" fillId="0" borderId="0" xfId="1" applyNumberFormat="1" applyFont="1"/>
    <xf numFmtId="180" fontId="170" fillId="0" borderId="0" xfId="0" applyNumberFormat="1" applyFont="1"/>
    <xf numFmtId="340" fontId="206" fillId="60" borderId="0" xfId="0" applyNumberFormat="1" applyFont="1" applyFill="1" applyAlignment="1">
      <alignment vertical="center"/>
    </xf>
    <xf numFmtId="340" fontId="173" fillId="72" borderId="0" xfId="0" applyNumberFormat="1" applyFont="1" applyFill="1" applyAlignment="1">
      <alignment vertical="center"/>
    </xf>
    <xf numFmtId="2" fontId="170" fillId="60" borderId="0" xfId="0" applyNumberFormat="1" applyFont="1" applyFill="1" applyAlignment="1">
      <alignment horizontal="right"/>
    </xf>
    <xf numFmtId="0" fontId="42" fillId="12" borderId="0" xfId="1" applyFont="1" applyFill="1" applyAlignment="1">
      <alignment vertical="center"/>
    </xf>
    <xf numFmtId="0" fontId="176" fillId="12" borderId="0" xfId="0" applyFont="1" applyFill="1"/>
    <xf numFmtId="3" fontId="176" fillId="12" borderId="0" xfId="0" applyNumberFormat="1" applyFont="1" applyFill="1"/>
    <xf numFmtId="0" fontId="175" fillId="12" borderId="0" xfId="0" applyFont="1" applyFill="1"/>
    <xf numFmtId="9" fontId="175" fillId="0" borderId="0" xfId="0" applyNumberFormat="1" applyFont="1"/>
    <xf numFmtId="180" fontId="176" fillId="63" borderId="0" xfId="0" applyNumberFormat="1" applyFont="1" applyFill="1"/>
    <xf numFmtId="9" fontId="28" fillId="12" borderId="0" xfId="384" applyFont="1" applyFill="1"/>
    <xf numFmtId="9" fontId="0" fillId="0" borderId="0" xfId="0" applyNumberFormat="1"/>
    <xf numFmtId="0" fontId="0" fillId="18" borderId="0" xfId="0" applyFill="1"/>
    <xf numFmtId="3" fontId="0" fillId="18" borderId="0" xfId="0" applyNumberFormat="1" applyFill="1"/>
    <xf numFmtId="9" fontId="0" fillId="18" borderId="0" xfId="0" applyNumberFormat="1" applyFill="1"/>
    <xf numFmtId="9" fontId="0" fillId="66" borderId="0" xfId="0" applyNumberFormat="1" applyFill="1"/>
    <xf numFmtId="10" fontId="0" fillId="0" borderId="0" xfId="0" applyNumberFormat="1"/>
    <xf numFmtId="0" fontId="251" fillId="0" borderId="58" xfId="0" applyFont="1" applyBorder="1"/>
    <xf numFmtId="0" fontId="0" fillId="18" borderId="142" xfId="0" applyFill="1" applyBorder="1"/>
    <xf numFmtId="0" fontId="0" fillId="12" borderId="142" xfId="0" applyFill="1" applyBorder="1"/>
    <xf numFmtId="173" fontId="0" fillId="0" borderId="0" xfId="0" applyNumberFormat="1"/>
    <xf numFmtId="9" fontId="250" fillId="57" borderId="0" xfId="0" applyNumberFormat="1" applyFont="1" applyFill="1"/>
    <xf numFmtId="173" fontId="250" fillId="57" borderId="0" xfId="0" applyNumberFormat="1" applyFont="1" applyFill="1"/>
    <xf numFmtId="173" fontId="201" fillId="0" borderId="0" xfId="384" applyNumberFormat="1" applyFont="1"/>
    <xf numFmtId="231" fontId="28" fillId="12" borderId="0" xfId="383" applyNumberFormat="1" applyFont="1" applyFill="1"/>
    <xf numFmtId="0" fontId="42" fillId="12" borderId="0" xfId="1" applyFont="1" applyFill="1" applyAlignment="1">
      <alignment horizontal="left" indent="1"/>
    </xf>
    <xf numFmtId="0" fontId="173" fillId="33" borderId="0" xfId="1" applyFont="1" applyFill="1"/>
    <xf numFmtId="176" fontId="173" fillId="12" borderId="0" xfId="0" applyNumberFormat="1" applyFont="1" applyFill="1" applyAlignment="1">
      <alignment vertical="center"/>
    </xf>
    <xf numFmtId="9" fontId="173" fillId="72" borderId="0" xfId="0" applyNumberFormat="1" applyFont="1" applyFill="1" applyAlignment="1">
      <alignment vertical="center"/>
    </xf>
    <xf numFmtId="9" fontId="241" fillId="55" borderId="117" xfId="384" applyFont="1" applyFill="1" applyBorder="1" applyAlignment="1">
      <alignment horizontal="center" vertical="center" wrapText="1"/>
    </xf>
    <xf numFmtId="0" fontId="105" fillId="0" borderId="33" xfId="0" applyFont="1" applyBorder="1" applyAlignment="1">
      <alignment horizontal="center"/>
    </xf>
    <xf numFmtId="3" fontId="1" fillId="0" borderId="0" xfId="2511" applyNumberFormat="1" applyFont="1"/>
    <xf numFmtId="2" fontId="32" fillId="19" borderId="0" xfId="0" applyNumberFormat="1" applyFont="1" applyFill="1" applyAlignment="1">
      <alignment horizontal="center" vertical="center"/>
    </xf>
    <xf numFmtId="0" fontId="253" fillId="12" borderId="0" xfId="0" applyFont="1" applyFill="1"/>
    <xf numFmtId="349" fontId="253" fillId="12" borderId="0" xfId="0" applyNumberFormat="1" applyFont="1" applyFill="1"/>
    <xf numFmtId="173" fontId="177" fillId="57" borderId="58" xfId="0" applyNumberFormat="1" applyFont="1" applyFill="1" applyBorder="1" applyAlignment="1">
      <alignment horizontal="center" vertical="center"/>
    </xf>
    <xf numFmtId="9" fontId="177" fillId="57" borderId="147" xfId="0" applyNumberFormat="1" applyFont="1" applyFill="1" applyBorder="1" applyAlignment="1">
      <alignment horizontal="center" vertical="center"/>
    </xf>
    <xf numFmtId="349" fontId="175" fillId="12" borderId="0" xfId="2521" applyNumberFormat="1" applyFont="1" applyFill="1" applyBorder="1" applyAlignment="1">
      <alignment horizontal="center" vertical="center"/>
    </xf>
    <xf numFmtId="349" fontId="175" fillId="12" borderId="28" xfId="2521" applyNumberFormat="1" applyFont="1" applyFill="1" applyBorder="1" applyAlignment="1">
      <alignment horizontal="center" vertical="center"/>
    </xf>
    <xf numFmtId="9" fontId="177" fillId="57" borderId="28" xfId="0" applyNumberFormat="1" applyFont="1" applyFill="1" applyBorder="1" applyAlignment="1">
      <alignment horizontal="center" vertical="center"/>
    </xf>
    <xf numFmtId="349" fontId="176" fillId="12" borderId="78" xfId="2521" applyNumberFormat="1" applyFont="1" applyFill="1" applyBorder="1" applyAlignment="1">
      <alignment horizontal="center" vertical="center"/>
    </xf>
    <xf numFmtId="9" fontId="177" fillId="57" borderId="129" xfId="0" applyNumberFormat="1" applyFont="1" applyFill="1" applyBorder="1" applyAlignment="1">
      <alignment horizontal="center" vertical="center"/>
    </xf>
    <xf numFmtId="349" fontId="175" fillId="12" borderId="58" xfId="2521" applyNumberFormat="1" applyFont="1" applyFill="1" applyBorder="1" applyAlignment="1">
      <alignment horizontal="center" vertical="center"/>
    </xf>
    <xf numFmtId="349" fontId="175" fillId="12" borderId="129" xfId="2521" applyNumberFormat="1" applyFont="1" applyFill="1" applyBorder="1" applyAlignment="1">
      <alignment horizontal="center" vertical="center"/>
    </xf>
    <xf numFmtId="9" fontId="177" fillId="57" borderId="58" xfId="0" applyNumberFormat="1" applyFont="1" applyFill="1" applyBorder="1" applyAlignment="1">
      <alignment horizontal="center" vertical="center"/>
    </xf>
    <xf numFmtId="349" fontId="175" fillId="12" borderId="149" xfId="2521" applyNumberFormat="1" applyFont="1" applyFill="1" applyBorder="1" applyAlignment="1">
      <alignment horizontal="center" vertical="center"/>
    </xf>
    <xf numFmtId="349" fontId="175" fillId="12" borderId="147" xfId="2521" applyNumberFormat="1" applyFont="1" applyFill="1" applyBorder="1" applyAlignment="1">
      <alignment horizontal="center" vertical="center"/>
    </xf>
    <xf numFmtId="1" fontId="107" fillId="54" borderId="58" xfId="0" applyNumberFormat="1" applyFont="1" applyFill="1" applyBorder="1" applyAlignment="1">
      <alignment horizontal="right"/>
    </xf>
    <xf numFmtId="0" fontId="176" fillId="33" borderId="0" xfId="0" applyFont="1" applyFill="1"/>
    <xf numFmtId="3" fontId="176" fillId="33" borderId="0" xfId="0" applyNumberFormat="1" applyFont="1" applyFill="1"/>
    <xf numFmtId="14" fontId="246" fillId="53" borderId="152" xfId="1" applyNumberFormat="1" applyFont="1" applyFill="1" applyBorder="1" applyAlignment="1">
      <alignment horizontal="center" vertical="center"/>
    </xf>
    <xf numFmtId="3" fontId="171" fillId="0" borderId="152" xfId="0" applyNumberFormat="1" applyFont="1" applyBorder="1" applyAlignment="1">
      <alignment horizontal="center" vertical="center"/>
    </xf>
    <xf numFmtId="3" fontId="28" fillId="0" borderId="28" xfId="0" applyNumberFormat="1" applyFont="1" applyBorder="1" applyAlignment="1">
      <alignment horizontal="center"/>
    </xf>
    <xf numFmtId="0" fontId="254" fillId="0" borderId="28" xfId="0" applyFont="1" applyBorder="1" applyAlignment="1">
      <alignment horizontal="center"/>
    </xf>
    <xf numFmtId="0" fontId="254" fillId="0" borderId="28" xfId="0" applyFont="1" applyBorder="1"/>
    <xf numFmtId="3" fontId="32" fillId="0" borderId="152" xfId="0" applyNumberFormat="1" applyFont="1" applyBorder="1" applyAlignment="1">
      <alignment horizontal="center" vertical="center"/>
    </xf>
    <xf numFmtId="9" fontId="171" fillId="0" borderId="33" xfId="384" applyFont="1" applyBorder="1" applyAlignment="1">
      <alignment horizontal="center" vertical="center"/>
    </xf>
    <xf numFmtId="173" fontId="171" fillId="0" borderId="33" xfId="384" applyNumberFormat="1" applyFont="1" applyBorder="1" applyAlignment="1">
      <alignment horizontal="center" vertical="center"/>
    </xf>
    <xf numFmtId="173" fontId="170" fillId="0" borderId="0" xfId="384" applyNumberFormat="1" applyFont="1" applyAlignment="1">
      <alignment horizontal="center"/>
    </xf>
    <xf numFmtId="173" fontId="170" fillId="0" borderId="28" xfId="384" applyNumberFormat="1" applyFont="1" applyBorder="1" applyAlignment="1">
      <alignment horizontal="center"/>
    </xf>
    <xf numFmtId="173" fontId="171" fillId="0" borderId="152" xfId="384" applyNumberFormat="1" applyFont="1" applyBorder="1" applyAlignment="1">
      <alignment horizontal="center" vertical="center"/>
    </xf>
    <xf numFmtId="3" fontId="28" fillId="0" borderId="0" xfId="0" applyNumberFormat="1" applyFont="1" applyAlignment="1">
      <alignment horizontal="center"/>
    </xf>
    <xf numFmtId="4" fontId="32" fillId="19" borderId="28" xfId="0" applyNumberFormat="1" applyFont="1" applyFill="1" applyBorder="1" applyAlignment="1">
      <alignment horizontal="center" vertical="center"/>
    </xf>
    <xf numFmtId="4" fontId="32" fillId="19" borderId="0" xfId="0" applyNumberFormat="1" applyFont="1" applyFill="1" applyAlignment="1">
      <alignment horizontal="center" vertical="center"/>
    </xf>
    <xf numFmtId="0" fontId="246" fillId="53" borderId="150" xfId="0" applyFont="1" applyFill="1" applyBorder="1" applyAlignment="1">
      <alignment horizontal="center" vertical="center"/>
    </xf>
    <xf numFmtId="0" fontId="246" fillId="53" borderId="151" xfId="0" applyFont="1" applyFill="1" applyBorder="1" applyAlignment="1">
      <alignment horizontal="center" vertical="center"/>
    </xf>
    <xf numFmtId="0" fontId="246" fillId="53" borderId="129" xfId="0" applyFont="1" applyFill="1" applyBorder="1" applyAlignment="1">
      <alignment horizontal="center" vertical="center"/>
    </xf>
    <xf numFmtId="0" fontId="32" fillId="19" borderId="153" xfId="0" applyFont="1" applyFill="1" applyBorder="1" applyAlignment="1">
      <alignment vertical="center"/>
    </xf>
    <xf numFmtId="0" fontId="0" fillId="0" borderId="153" xfId="0" applyBorder="1"/>
    <xf numFmtId="2" fontId="172" fillId="19" borderId="0" xfId="0" applyNumberFormat="1" applyFont="1" applyFill="1" applyAlignment="1">
      <alignment horizontal="center" vertical="center"/>
    </xf>
    <xf numFmtId="9" fontId="171" fillId="0" borderId="152" xfId="384" applyFont="1" applyBorder="1" applyAlignment="1">
      <alignment horizontal="center" vertical="center"/>
    </xf>
    <xf numFmtId="0" fontId="172" fillId="19" borderId="0" xfId="0" applyFont="1" applyFill="1" applyAlignment="1">
      <alignment horizontal="center" vertical="center"/>
    </xf>
    <xf numFmtId="0" fontId="254" fillId="0" borderId="0" xfId="0" applyFont="1"/>
    <xf numFmtId="0" fontId="32" fillId="19" borderId="33" xfId="0" applyFont="1" applyFill="1" applyBorder="1" applyAlignment="1">
      <alignment vertical="center"/>
    </xf>
    <xf numFmtId="0" fontId="0" fillId="0" borderId="59" xfId="0" applyBorder="1"/>
    <xf numFmtId="0" fontId="0" fillId="0" borderId="33" xfId="0" applyBorder="1"/>
    <xf numFmtId="0" fontId="0" fillId="0" borderId="29" xfId="0" applyBorder="1"/>
    <xf numFmtId="3" fontId="32" fillId="0" borderId="33" xfId="0" applyNumberFormat="1" applyFont="1" applyBorder="1" applyAlignment="1">
      <alignment horizontal="center"/>
    </xf>
    <xf numFmtId="3" fontId="172" fillId="0" borderId="33" xfId="0" applyNumberFormat="1" applyFont="1" applyBorder="1" applyAlignment="1">
      <alignment horizontal="center"/>
    </xf>
    <xf numFmtId="0" fontId="247" fillId="0" borderId="33" xfId="0" applyFont="1" applyBorder="1"/>
    <xf numFmtId="3" fontId="32" fillId="0" borderId="29" xfId="0" applyNumberFormat="1" applyFont="1" applyBorder="1" applyAlignment="1">
      <alignment horizontal="center"/>
    </xf>
    <xf numFmtId="180" fontId="33" fillId="0" borderId="0" xfId="1" applyNumberFormat="1" applyFont="1"/>
    <xf numFmtId="10" fontId="3" fillId="18" borderId="0" xfId="2511" applyNumberFormat="1" applyFont="1" applyFill="1" applyAlignment="1">
      <alignment horizontal="center"/>
    </xf>
    <xf numFmtId="10" fontId="4" fillId="0" borderId="0" xfId="2511" applyNumberFormat="1" applyFont="1" applyAlignment="1">
      <alignment horizontal="center"/>
    </xf>
    <xf numFmtId="338" fontId="33" fillId="12" borderId="0" xfId="0" applyNumberFormat="1" applyFont="1" applyFill="1" applyAlignment="1">
      <alignment vertical="center"/>
    </xf>
    <xf numFmtId="231" fontId="33" fillId="12" borderId="0" xfId="383" applyNumberFormat="1" applyFont="1" applyFill="1" applyAlignment="1">
      <alignment vertical="center"/>
    </xf>
    <xf numFmtId="0" fontId="46" fillId="0" borderId="0" xfId="2516" applyFont="1" applyAlignment="1">
      <alignment horizontal="centerContinuous" vertical="center"/>
    </xf>
    <xf numFmtId="0" fontId="46" fillId="0" borderId="0" xfId="2515" applyFont="1" applyAlignment="1">
      <alignment horizontal="center"/>
    </xf>
    <xf numFmtId="9" fontId="45" fillId="0" borderId="0" xfId="384" applyFont="1" applyFill="1" applyBorder="1" applyAlignment="1">
      <alignment horizontal="center"/>
    </xf>
    <xf numFmtId="9" fontId="46" fillId="0" borderId="0" xfId="384" applyFont="1" applyFill="1" applyBorder="1" applyAlignment="1">
      <alignment horizontal="center"/>
    </xf>
    <xf numFmtId="337" fontId="45" fillId="0" borderId="0" xfId="384" applyNumberFormat="1" applyFont="1" applyFill="1" applyBorder="1" applyAlignment="1">
      <alignment horizontal="center"/>
    </xf>
    <xf numFmtId="337" fontId="45" fillId="0" borderId="0" xfId="2516" applyNumberFormat="1" applyFont="1" applyAlignment="1">
      <alignment horizontal="center"/>
    </xf>
    <xf numFmtId="337" fontId="46" fillId="0" borderId="0" xfId="2516" applyNumberFormat="1" applyFont="1" applyAlignment="1">
      <alignment horizontal="center"/>
    </xf>
    <xf numFmtId="9" fontId="45" fillId="0" borderId="65" xfId="384" applyFont="1" applyFill="1" applyBorder="1" applyAlignment="1">
      <alignment horizontal="center"/>
    </xf>
    <xf numFmtId="337" fontId="45" fillId="0" borderId="65" xfId="384" applyNumberFormat="1" applyFont="1" applyFill="1" applyBorder="1" applyAlignment="1">
      <alignment horizontal="center"/>
    </xf>
    <xf numFmtId="1" fontId="170" fillId="0" borderId="0" xfId="1" applyNumberFormat="1" applyFont="1"/>
    <xf numFmtId="190" fontId="175" fillId="0" borderId="125" xfId="0" applyNumberFormat="1" applyFont="1" applyBorder="1"/>
    <xf numFmtId="278" fontId="233" fillId="54" borderId="0" xfId="0" applyNumberFormat="1" applyFont="1" applyFill="1" applyAlignment="1">
      <alignment horizontal="center"/>
    </xf>
    <xf numFmtId="0" fontId="1" fillId="0" borderId="155" xfId="0" applyFont="1" applyBorder="1"/>
    <xf numFmtId="348" fontId="1" fillId="0" borderId="132" xfId="0" applyNumberFormat="1" applyFont="1" applyBorder="1"/>
    <xf numFmtId="3" fontId="1" fillId="0" borderId="132" xfId="0" applyNumberFormat="1" applyFont="1" applyBorder="1"/>
    <xf numFmtId="0" fontId="1" fillId="0" borderId="132" xfId="0" applyFont="1" applyBorder="1"/>
    <xf numFmtId="1" fontId="1" fillId="0" borderId="132" xfId="0" applyNumberFormat="1" applyFont="1" applyBorder="1"/>
    <xf numFmtId="0" fontId="169" fillId="53" borderId="157" xfId="0" applyFont="1" applyFill="1" applyBorder="1"/>
    <xf numFmtId="349" fontId="169" fillId="53" borderId="158" xfId="0" applyNumberFormat="1" applyFont="1" applyFill="1" applyBorder="1"/>
    <xf numFmtId="0" fontId="1" fillId="0" borderId="156" xfId="0" applyFont="1" applyBorder="1"/>
    <xf numFmtId="9" fontId="1" fillId="0" borderId="133" xfId="384" applyFont="1" applyBorder="1"/>
    <xf numFmtId="0" fontId="107" fillId="76" borderId="154" xfId="0" applyFont="1" applyFill="1" applyBorder="1"/>
    <xf numFmtId="278" fontId="107" fillId="76" borderId="134" xfId="0" applyNumberFormat="1" applyFont="1" applyFill="1" applyBorder="1"/>
    <xf numFmtId="0" fontId="169" fillId="0" borderId="0" xfId="0" applyFont="1"/>
    <xf numFmtId="0" fontId="1" fillId="0" borderId="0" xfId="0" applyFont="1"/>
    <xf numFmtId="0" fontId="107" fillId="76" borderId="161" xfId="0" applyFont="1" applyFill="1" applyBorder="1"/>
    <xf numFmtId="0" fontId="107" fillId="76" borderId="161" xfId="0" applyFont="1" applyFill="1" applyBorder="1" applyAlignment="1">
      <alignment horizontal="right"/>
    </xf>
    <xf numFmtId="231" fontId="1" fillId="0" borderId="0" xfId="383" applyNumberFormat="1" applyFont="1" applyBorder="1"/>
    <xf numFmtId="1" fontId="1" fillId="0" borderId="0" xfId="0" applyNumberFormat="1" applyFont="1"/>
    <xf numFmtId="0" fontId="255" fillId="0" borderId="0" xfId="0" applyFont="1"/>
    <xf numFmtId="9" fontId="255" fillId="0" borderId="0" xfId="0" applyNumberFormat="1" applyFont="1"/>
    <xf numFmtId="0" fontId="1" fillId="0" borderId="33" xfId="0" applyFont="1" applyBorder="1"/>
    <xf numFmtId="231" fontId="1" fillId="0" borderId="33" xfId="383" applyNumberFormat="1" applyFont="1" applyBorder="1"/>
    <xf numFmtId="9" fontId="1" fillId="0" borderId="0" xfId="0" applyNumberFormat="1" applyFont="1"/>
    <xf numFmtId="173" fontId="1" fillId="0" borderId="0" xfId="0" applyNumberFormat="1" applyFont="1"/>
    <xf numFmtId="9" fontId="1" fillId="0" borderId="0" xfId="384" applyFont="1"/>
    <xf numFmtId="0" fontId="256" fillId="53" borderId="162" xfId="0" applyFont="1" applyFill="1" applyBorder="1" applyAlignment="1">
      <alignment vertical="center"/>
    </xf>
    <xf numFmtId="0" fontId="257" fillId="53" borderId="159" xfId="0" applyFont="1" applyFill="1" applyBorder="1" applyAlignment="1">
      <alignment horizontal="center" vertical="center"/>
    </xf>
    <xf numFmtId="0" fontId="175" fillId="53" borderId="160" xfId="0" applyFont="1" applyFill="1" applyBorder="1" applyAlignment="1">
      <alignment vertical="center"/>
    </xf>
    <xf numFmtId="0" fontId="175" fillId="53" borderId="153" xfId="0" applyFont="1" applyFill="1" applyBorder="1" applyAlignment="1">
      <alignment vertical="center"/>
    </xf>
    <xf numFmtId="0" fontId="175" fillId="53" borderId="0" xfId="0" applyFont="1" applyFill="1" applyAlignment="1">
      <alignment horizontal="center" vertical="center"/>
    </xf>
    <xf numFmtId="173" fontId="175" fillId="53" borderId="28" xfId="384" applyNumberFormat="1" applyFont="1" applyFill="1" applyBorder="1" applyAlignment="1">
      <alignment vertical="center"/>
    </xf>
    <xf numFmtId="355" fontId="175" fillId="53" borderId="28" xfId="0" applyNumberFormat="1" applyFont="1" applyFill="1" applyBorder="1" applyAlignment="1">
      <alignment vertical="center"/>
    </xf>
    <xf numFmtId="0" fontId="176" fillId="53" borderId="153" xfId="0" applyFont="1" applyFill="1" applyBorder="1" applyAlignment="1">
      <alignment vertical="center"/>
    </xf>
    <xf numFmtId="0" fontId="176" fillId="53" borderId="0" xfId="0" applyFont="1" applyFill="1" applyAlignment="1">
      <alignment horizontal="center" vertical="center"/>
    </xf>
    <xf numFmtId="173" fontId="176" fillId="53" borderId="28" xfId="384" applyNumberFormat="1" applyFont="1" applyFill="1" applyBorder="1" applyAlignment="1">
      <alignment vertical="center"/>
    </xf>
    <xf numFmtId="0" fontId="175" fillId="53" borderId="28" xfId="0" applyFont="1" applyFill="1" applyBorder="1" applyAlignment="1">
      <alignment vertical="center"/>
    </xf>
    <xf numFmtId="9" fontId="175" fillId="53" borderId="28" xfId="384" applyFont="1" applyFill="1" applyBorder="1" applyAlignment="1">
      <alignment vertical="center"/>
    </xf>
    <xf numFmtId="173" fontId="188" fillId="53" borderId="28" xfId="384" applyNumberFormat="1" applyFont="1" applyFill="1" applyBorder="1" applyAlignment="1">
      <alignment vertical="center"/>
    </xf>
    <xf numFmtId="0" fontId="176" fillId="53" borderId="131" xfId="0" applyFont="1" applyFill="1" applyBorder="1" applyAlignment="1">
      <alignment vertical="center"/>
    </xf>
    <xf numFmtId="0" fontId="176" fillId="53" borderId="58" xfId="0" applyFont="1" applyFill="1" applyBorder="1" applyAlignment="1">
      <alignment horizontal="center" vertical="center"/>
    </xf>
    <xf numFmtId="173" fontId="176" fillId="53" borderId="129" xfId="384" applyNumberFormat="1" applyFont="1" applyFill="1" applyBorder="1" applyAlignment="1">
      <alignment vertical="center"/>
    </xf>
    <xf numFmtId="0" fontId="256" fillId="33" borderId="162" xfId="0" applyFont="1" applyFill="1" applyBorder="1" applyAlignment="1">
      <alignment vertical="center"/>
    </xf>
    <xf numFmtId="0" fontId="0" fillId="33" borderId="159" xfId="0" applyFill="1" applyBorder="1"/>
    <xf numFmtId="0" fontId="0" fillId="33" borderId="160" xfId="0" applyFill="1" applyBorder="1"/>
    <xf numFmtId="0" fontId="175" fillId="33" borderId="153" xfId="0" applyFont="1" applyFill="1" applyBorder="1" applyAlignment="1">
      <alignment vertical="center"/>
    </xf>
    <xf numFmtId="0" fontId="176" fillId="33" borderId="153" xfId="0" applyFont="1" applyFill="1" applyBorder="1" applyAlignment="1">
      <alignment vertical="center"/>
    </xf>
    <xf numFmtId="0" fontId="176" fillId="33" borderId="131" xfId="0" applyFont="1" applyFill="1" applyBorder="1" applyAlignment="1">
      <alignment vertical="center"/>
    </xf>
    <xf numFmtId="2" fontId="1" fillId="0" borderId="0" xfId="0" applyNumberFormat="1" applyFont="1"/>
    <xf numFmtId="356" fontId="45" fillId="33" borderId="28" xfId="0" applyNumberFormat="1" applyFont="1" applyFill="1" applyBorder="1"/>
    <xf numFmtId="356" fontId="175" fillId="33" borderId="28" xfId="0" applyNumberFormat="1" applyFont="1" applyFill="1" applyBorder="1"/>
    <xf numFmtId="0" fontId="175" fillId="33" borderId="0" xfId="0" applyFont="1" applyFill="1"/>
    <xf numFmtId="9" fontId="46" fillId="0" borderId="65" xfId="384" applyFont="1" applyFill="1" applyBorder="1" applyAlignment="1">
      <alignment horizontal="center"/>
    </xf>
    <xf numFmtId="3" fontId="46" fillId="0" borderId="65" xfId="2516" applyNumberFormat="1" applyFont="1" applyBorder="1" applyAlignment="1">
      <alignment horizontal="center"/>
    </xf>
    <xf numFmtId="9" fontId="219" fillId="0" borderId="75" xfId="384" applyFont="1" applyFill="1" applyBorder="1" applyAlignment="1">
      <alignment horizontal="center" vertical="center"/>
    </xf>
    <xf numFmtId="173" fontId="46" fillId="0" borderId="0" xfId="384" applyNumberFormat="1" applyFont="1" applyFill="1" applyBorder="1" applyAlignment="1">
      <alignment horizontal="center"/>
    </xf>
    <xf numFmtId="337" fontId="46" fillId="0" borderId="65" xfId="2516" applyNumberFormat="1" applyFont="1" applyBorder="1" applyAlignment="1">
      <alignment horizontal="center"/>
    </xf>
    <xf numFmtId="2" fontId="46" fillId="0" borderId="0" xfId="384" applyNumberFormat="1" applyFont="1" applyFill="1" applyBorder="1" applyAlignment="1">
      <alignment horizontal="center"/>
    </xf>
    <xf numFmtId="2" fontId="46" fillId="0" borderId="65" xfId="384" applyNumberFormat="1" applyFont="1" applyFill="1" applyBorder="1" applyAlignment="1">
      <alignment horizontal="center"/>
    </xf>
    <xf numFmtId="9" fontId="45" fillId="0" borderId="0" xfId="384" applyFont="1" applyFill="1" applyAlignment="1">
      <alignment horizontal="center"/>
    </xf>
    <xf numFmtId="9" fontId="45" fillId="0" borderId="0" xfId="384" applyFont="1" applyFill="1"/>
    <xf numFmtId="172" fontId="1" fillId="0" borderId="0" xfId="0" applyNumberFormat="1" applyFont="1"/>
    <xf numFmtId="356" fontId="1" fillId="0" borderId="0" xfId="0" applyNumberFormat="1" applyFont="1"/>
    <xf numFmtId="356" fontId="176" fillId="33" borderId="28" xfId="0" applyNumberFormat="1" applyFont="1" applyFill="1" applyBorder="1"/>
    <xf numFmtId="0" fontId="176" fillId="33" borderId="58" xfId="0" applyFont="1" applyFill="1" applyBorder="1"/>
    <xf numFmtId="356" fontId="176" fillId="33" borderId="129" xfId="0" applyNumberFormat="1" applyFont="1" applyFill="1" applyBorder="1"/>
    <xf numFmtId="356" fontId="46" fillId="33" borderId="28" xfId="0" applyNumberFormat="1" applyFont="1" applyFill="1" applyBorder="1"/>
    <xf numFmtId="0" fontId="250" fillId="12" borderId="0" xfId="0" applyFont="1" applyFill="1"/>
    <xf numFmtId="0" fontId="199" fillId="12" borderId="0" xfId="0" applyFont="1" applyFill="1" applyAlignment="1">
      <alignment horizontal="center" vertical="center"/>
    </xf>
    <xf numFmtId="0" fontId="207" fillId="12" borderId="0" xfId="0" applyFont="1" applyFill="1"/>
    <xf numFmtId="339" fontId="199" fillId="12" borderId="0" xfId="0" applyNumberFormat="1" applyFont="1" applyFill="1" applyAlignment="1">
      <alignment vertical="center"/>
    </xf>
    <xf numFmtId="0" fontId="207" fillId="12" borderId="0" xfId="0" applyFont="1" applyFill="1" applyAlignment="1">
      <alignment vertical="center"/>
    </xf>
    <xf numFmtId="9" fontId="207" fillId="12" borderId="0" xfId="0" applyNumberFormat="1" applyFont="1" applyFill="1"/>
    <xf numFmtId="0" fontId="199" fillId="12" borderId="0" xfId="0" applyFont="1" applyFill="1"/>
    <xf numFmtId="173" fontId="207" fillId="12" borderId="0" xfId="384" applyNumberFormat="1" applyFont="1" applyFill="1" applyBorder="1" applyAlignment="1">
      <alignment vertical="center"/>
    </xf>
    <xf numFmtId="2" fontId="207" fillId="12" borderId="0" xfId="0" applyNumberFormat="1" applyFont="1" applyFill="1"/>
    <xf numFmtId="0" fontId="207" fillId="12" borderId="0" xfId="0" applyFont="1" applyFill="1" applyAlignment="1">
      <alignment horizontal="left" indent="1"/>
    </xf>
    <xf numFmtId="1" fontId="207" fillId="12" borderId="0" xfId="0" applyNumberFormat="1" applyFont="1" applyFill="1"/>
    <xf numFmtId="172" fontId="207" fillId="12" borderId="0" xfId="0" applyNumberFormat="1" applyFont="1" applyFill="1"/>
    <xf numFmtId="4" fontId="207" fillId="12" borderId="0" xfId="0" applyNumberFormat="1" applyFont="1" applyFill="1"/>
    <xf numFmtId="9" fontId="207" fillId="12" borderId="0" xfId="384" applyFont="1" applyFill="1" applyBorder="1"/>
    <xf numFmtId="169" fontId="207" fillId="12" borderId="0" xfId="383" applyFont="1" applyFill="1" applyBorder="1"/>
    <xf numFmtId="0" fontId="207" fillId="12" borderId="0" xfId="1" applyFont="1" applyFill="1" applyAlignment="1">
      <alignment horizontal="left"/>
    </xf>
    <xf numFmtId="3" fontId="207" fillId="12" borderId="0" xfId="0" applyNumberFormat="1" applyFont="1" applyFill="1"/>
    <xf numFmtId="352" fontId="199" fillId="12" borderId="0" xfId="0" applyNumberFormat="1" applyFont="1" applyFill="1"/>
    <xf numFmtId="353" fontId="199" fillId="12" borderId="0" xfId="0" applyNumberFormat="1" applyFont="1" applyFill="1"/>
    <xf numFmtId="176" fontId="199" fillId="12" borderId="0" xfId="0" applyNumberFormat="1" applyFont="1" applyFill="1"/>
    <xf numFmtId="354" fontId="199" fillId="12" borderId="0" xfId="0" applyNumberFormat="1" applyFont="1" applyFill="1"/>
    <xf numFmtId="188" fontId="199" fillId="12" borderId="0" xfId="0" applyNumberFormat="1" applyFont="1" applyFill="1"/>
    <xf numFmtId="9" fontId="199" fillId="12" borderId="0" xfId="0" applyNumberFormat="1" applyFont="1" applyFill="1"/>
    <xf numFmtId="176" fontId="250" fillId="12" borderId="0" xfId="0" applyNumberFormat="1" applyFont="1" applyFill="1"/>
    <xf numFmtId="0" fontId="250" fillId="12" borderId="0" xfId="0" applyFont="1" applyFill="1" applyAlignment="1">
      <alignment horizontal="center"/>
    </xf>
    <xf numFmtId="338" fontId="259" fillId="12" borderId="0" xfId="0" applyNumberFormat="1" applyFont="1" applyFill="1" applyAlignment="1">
      <alignment horizontal="center" vertical="center"/>
    </xf>
    <xf numFmtId="0" fontId="207" fillId="12" borderId="0" xfId="0" applyFont="1" applyFill="1" applyAlignment="1">
      <alignment horizontal="center"/>
    </xf>
    <xf numFmtId="0" fontId="207" fillId="12" borderId="0" xfId="0" applyFont="1" applyFill="1" applyAlignment="1">
      <alignment horizontal="left"/>
    </xf>
    <xf numFmtId="3" fontId="207" fillId="12" borderId="0" xfId="0" applyNumberFormat="1" applyFont="1" applyFill="1" applyAlignment="1">
      <alignment horizontal="center"/>
    </xf>
    <xf numFmtId="0" fontId="258" fillId="12" borderId="0" xfId="0" applyFont="1" applyFill="1"/>
    <xf numFmtId="351" fontId="207" fillId="12" borderId="0" xfId="0" applyNumberFormat="1" applyFont="1" applyFill="1"/>
    <xf numFmtId="0" fontId="259" fillId="12" borderId="0" xfId="0" applyFont="1" applyFill="1"/>
    <xf numFmtId="0" fontId="260" fillId="12" borderId="0" xfId="0" applyFont="1" applyFill="1"/>
    <xf numFmtId="0" fontId="261" fillId="12" borderId="0" xfId="0" applyFont="1" applyFill="1"/>
    <xf numFmtId="0" fontId="262" fillId="12" borderId="0" xfId="0" applyFont="1" applyFill="1"/>
    <xf numFmtId="0" fontId="105" fillId="12" borderId="0" xfId="0" applyFont="1" applyFill="1"/>
    <xf numFmtId="0" fontId="177" fillId="12" borderId="0" xfId="0" applyFont="1" applyFill="1"/>
    <xf numFmtId="0" fontId="181" fillId="12" borderId="0" xfId="0" applyFont="1" applyFill="1"/>
    <xf numFmtId="43" fontId="177" fillId="12" borderId="0" xfId="0" applyNumberFormat="1" applyFont="1" applyFill="1"/>
    <xf numFmtId="0" fontId="197" fillId="0" borderId="0" xfId="2520" quotePrefix="1" applyFont="1" applyAlignment="1">
      <alignment horizontal="left" vertical="center" indent="5"/>
    </xf>
    <xf numFmtId="0" fontId="53" fillId="20" borderId="0" xfId="59" applyFont="1" applyBorder="1" applyAlignment="1">
      <alignment horizontal="left"/>
    </xf>
    <xf numFmtId="0" fontId="55" fillId="22" borderId="0" xfId="61" applyFont="1" applyBorder="1" applyAlignment="1">
      <alignment horizontal="center"/>
    </xf>
    <xf numFmtId="0" fontId="55" fillId="22" borderId="16" xfId="61" applyFont="1" applyBorder="1" applyAlignment="1">
      <alignment horizontal="center"/>
    </xf>
    <xf numFmtId="0" fontId="52" fillId="23" borderId="17" xfId="62" applyBorder="1" applyAlignment="1">
      <alignment horizontal="center"/>
    </xf>
    <xf numFmtId="0" fontId="52" fillId="23" borderId="18" xfId="62" applyBorder="1" applyAlignment="1">
      <alignment horizontal="center"/>
    </xf>
    <xf numFmtId="0" fontId="52" fillId="23" borderId="19" xfId="62" applyBorder="1" applyAlignment="1">
      <alignment horizontal="center"/>
    </xf>
    <xf numFmtId="0" fontId="177" fillId="57" borderId="146" xfId="0" applyFont="1" applyFill="1" applyBorder="1" applyAlignment="1">
      <alignment horizontal="center" vertical="center" textRotation="90" wrapText="1"/>
    </xf>
    <xf numFmtId="0" fontId="177" fillId="57" borderId="11" xfId="0" applyFont="1" applyFill="1" applyBorder="1" applyAlignment="1">
      <alignment horizontal="center" vertical="center" textRotation="90" wrapText="1"/>
    </xf>
    <xf numFmtId="0" fontId="177" fillId="57" borderId="148" xfId="0" applyFont="1" applyFill="1" applyBorder="1" applyAlignment="1">
      <alignment horizontal="center" vertical="center" textRotation="90" wrapText="1"/>
    </xf>
    <xf numFmtId="0" fontId="252" fillId="12" borderId="0" xfId="0" applyFont="1" applyFill="1" applyAlignment="1">
      <alignment horizontal="center" vertical="center"/>
    </xf>
    <xf numFmtId="0" fontId="252" fillId="12" borderId="28" xfId="0" applyFont="1" applyFill="1" applyBorder="1" applyAlignment="1">
      <alignment horizontal="center" vertical="center"/>
    </xf>
    <xf numFmtId="0" fontId="177" fillId="57" borderId="143" xfId="0" applyFont="1" applyFill="1" applyBorder="1" applyAlignment="1">
      <alignment horizontal="center"/>
    </xf>
    <xf numFmtId="0" fontId="177" fillId="57" borderId="144" xfId="0" applyFont="1" applyFill="1" applyBorder="1" applyAlignment="1">
      <alignment horizontal="center"/>
    </xf>
    <xf numFmtId="0" fontId="177" fillId="57" borderId="145" xfId="0" applyFont="1" applyFill="1" applyBorder="1" applyAlignment="1">
      <alignment horizontal="center"/>
    </xf>
    <xf numFmtId="0" fontId="46" fillId="0" borderId="0" xfId="2516" applyFont="1" applyAlignment="1">
      <alignment horizontal="center"/>
    </xf>
    <xf numFmtId="0" fontId="178" fillId="12" borderId="0" xfId="2516" applyFont="1" applyFill="1" applyAlignment="1">
      <alignment horizontal="center" vertical="center"/>
    </xf>
    <xf numFmtId="0" fontId="177" fillId="57" borderId="0" xfId="2515" applyFont="1" applyFill="1" applyAlignment="1">
      <alignment horizontal="center" vertical="center"/>
    </xf>
    <xf numFmtId="0" fontId="46" fillId="53" borderId="99" xfId="2515" applyFont="1" applyFill="1" applyBorder="1" applyAlignment="1">
      <alignment horizontal="center" vertical="center"/>
    </xf>
    <xf numFmtId="0" fontId="46" fillId="53" borderId="100" xfId="2515" applyFont="1" applyFill="1" applyBorder="1" applyAlignment="1">
      <alignment horizontal="center" vertical="center"/>
    </xf>
    <xf numFmtId="0" fontId="46" fillId="0" borderId="58" xfId="2516" applyFont="1" applyBorder="1" applyAlignment="1">
      <alignment horizontal="center"/>
    </xf>
    <xf numFmtId="9" fontId="46" fillId="55" borderId="0" xfId="45" applyFont="1" applyFill="1" applyBorder="1" applyAlignment="1">
      <alignment horizontal="center" vertical="center"/>
    </xf>
    <xf numFmtId="9" fontId="177" fillId="0" borderId="0" xfId="384" applyFont="1" applyFill="1" applyBorder="1" applyAlignment="1">
      <alignment horizontal="center" vertical="center"/>
    </xf>
    <xf numFmtId="0" fontId="177" fillId="57" borderId="0" xfId="2515" applyFont="1" applyFill="1" applyAlignment="1">
      <alignment horizontal="center" vertical="center" wrapText="1"/>
    </xf>
    <xf numFmtId="0" fontId="178" fillId="12" borderId="114" xfId="2516" applyFont="1" applyFill="1" applyBorder="1" applyAlignment="1">
      <alignment horizontal="center" vertical="center"/>
    </xf>
    <xf numFmtId="9" fontId="46" fillId="53" borderId="0" xfId="384" applyFont="1" applyFill="1" applyAlignment="1">
      <alignment horizontal="center" vertical="center"/>
    </xf>
  </cellXfs>
  <cellStyles count="2527">
    <cellStyle name="$" xfId="385" xr:uid="{00000000-0005-0000-0000-000000000000}"/>
    <cellStyle name="$_Copy of IFRS consol ABB Final Version4" xfId="386" xr:uid="{00000000-0005-0000-0000-000001000000}"/>
    <cellStyle name="$_CROCI" xfId="387" xr:uid="{00000000-0005-0000-0000-000002000000}"/>
    <cellStyle name="$_PCP" xfId="388" xr:uid="{00000000-0005-0000-0000-000003000000}"/>
    <cellStyle name="$0.0" xfId="389" xr:uid="{00000000-0005-0000-0000-000004000000}"/>
    <cellStyle name="$0.00" xfId="390" xr:uid="{00000000-0005-0000-0000-000005000000}"/>
    <cellStyle name="$0.000" xfId="391" xr:uid="{00000000-0005-0000-0000-000006000000}"/>
    <cellStyle name="$3places" xfId="392" xr:uid="{00000000-0005-0000-0000-000007000000}"/>
    <cellStyle name="$m" xfId="393" xr:uid="{00000000-0005-0000-0000-000008000000}"/>
    <cellStyle name="$q" xfId="394" xr:uid="{00000000-0005-0000-0000-000009000000}"/>
    <cellStyle name="$q*" xfId="395" xr:uid="{00000000-0005-0000-0000-00000A000000}"/>
    <cellStyle name="$q_Copy of IFRS consol ABB Final Version4" xfId="396" xr:uid="{00000000-0005-0000-0000-00000B000000}"/>
    <cellStyle name="$qA" xfId="397" xr:uid="{00000000-0005-0000-0000-00000C000000}"/>
    <cellStyle name="$qRange" xfId="398" xr:uid="{00000000-0005-0000-0000-00000D000000}"/>
    <cellStyle name="%" xfId="399" xr:uid="{00000000-0005-0000-0000-00000E000000}"/>
    <cellStyle name="%_Copy of IFRS consol ABB Final Version4" xfId="400" xr:uid="{00000000-0005-0000-0000-00000F000000}"/>
    <cellStyle name="%_CROCI" xfId="401" xr:uid="{00000000-0005-0000-0000-000010000000}"/>
    <cellStyle name="******************************************" xfId="402" xr:uid="{00000000-0005-0000-0000-000011000000}"/>
    <cellStyle name="****************************************** 2" xfId="403" xr:uid="{00000000-0005-0000-0000-000012000000}"/>
    <cellStyle name="@NOW" xfId="404" xr:uid="{00000000-0005-0000-0000-000013000000}"/>
    <cellStyle name="_%(SignOnly)" xfId="63" xr:uid="{00000000-0005-0000-0000-000014000000}"/>
    <cellStyle name="_%(SignOnly) 2" xfId="405" xr:uid="{00000000-0005-0000-0000-000015000000}"/>
    <cellStyle name="_%(SignOnly) 3" xfId="406" xr:uid="{00000000-0005-0000-0000-000016000000}"/>
    <cellStyle name="_%(SignOnly)_Atlas Copco CF" xfId="407" xr:uid="{00000000-0005-0000-0000-000017000000}"/>
    <cellStyle name="_%(SignOnly)_Atlas Copco CF 2" xfId="408" xr:uid="{00000000-0005-0000-0000-000018000000}"/>
    <cellStyle name="_%(SignOnly)_Copy of IFRS consol ABB Final Version4" xfId="409" xr:uid="{00000000-0005-0000-0000-000019000000}"/>
    <cellStyle name="_%(SignOnly)_CROCI" xfId="410" xr:uid="{00000000-0005-0000-0000-00001A000000}"/>
    <cellStyle name="_%(SignOnly)_CROCI 2" xfId="411" xr:uid="{00000000-0005-0000-0000-00001B000000}"/>
    <cellStyle name="_%(SignOnly)_Electrolux CF" xfId="412" xr:uid="{00000000-0005-0000-0000-00001C000000}"/>
    <cellStyle name="_%(SignOnly)_Electrolux CF 2" xfId="413" xr:uid="{00000000-0005-0000-0000-00001D000000}"/>
    <cellStyle name="_%(SignSpaceOnly)" xfId="64" xr:uid="{00000000-0005-0000-0000-00001E000000}"/>
    <cellStyle name="_%(SignSpaceOnly) 2" xfId="414" xr:uid="{00000000-0005-0000-0000-00001F000000}"/>
    <cellStyle name="_%(SignSpaceOnly) 3" xfId="415" xr:uid="{00000000-0005-0000-0000-000020000000}"/>
    <cellStyle name="_%(SignSpaceOnly)_Atlas Copco CF" xfId="416" xr:uid="{00000000-0005-0000-0000-000021000000}"/>
    <cellStyle name="_%(SignSpaceOnly)_Atlas Copco CF 2" xfId="417" xr:uid="{00000000-0005-0000-0000-000022000000}"/>
    <cellStyle name="_%(SignSpaceOnly)_Copy of IFRS consol ABB Final Version4" xfId="418" xr:uid="{00000000-0005-0000-0000-000023000000}"/>
    <cellStyle name="_%(SignSpaceOnly)_CROCI" xfId="419" xr:uid="{00000000-0005-0000-0000-000024000000}"/>
    <cellStyle name="_%(SignSpaceOnly)_CROCI 2" xfId="420" xr:uid="{00000000-0005-0000-0000-000025000000}"/>
    <cellStyle name="_%(SignSpaceOnly)_Electrolux CF" xfId="421" xr:uid="{00000000-0005-0000-0000-000026000000}"/>
    <cellStyle name="_%(SignSpaceOnly)_Electrolux CF 2" xfId="422" xr:uid="{00000000-0005-0000-0000-000027000000}"/>
    <cellStyle name="_Aero DCF" xfId="423" xr:uid="{00000000-0005-0000-0000-000028000000}"/>
    <cellStyle name="_Aero DCF 2" xfId="424" xr:uid="{00000000-0005-0000-0000-000029000000}"/>
    <cellStyle name="_Aero DCF 3" xfId="425" xr:uid="{00000000-0005-0000-0000-00002A000000}"/>
    <cellStyle name="_ASF" xfId="426" xr:uid="{00000000-0005-0000-0000-00002B000000}"/>
    <cellStyle name="_ASF 2" xfId="427" xr:uid="{00000000-0005-0000-0000-00002C000000}"/>
    <cellStyle name="_ASF 3" xfId="428" xr:uid="{00000000-0005-0000-0000-00002D000000}"/>
    <cellStyle name="_BAE model new" xfId="429" xr:uid="{00000000-0005-0000-0000-00002E000000}"/>
    <cellStyle name="_BAE model new 2" xfId="430" xr:uid="{00000000-0005-0000-0000-00002F000000}"/>
    <cellStyle name="_BAE model new 3" xfId="431" xr:uid="{00000000-0005-0000-0000-000030000000}"/>
    <cellStyle name="_Comma" xfId="65" xr:uid="{00000000-0005-0000-0000-000031000000}"/>
    <cellStyle name="_Comma 2" xfId="432" xr:uid="{00000000-0005-0000-0000-000032000000}"/>
    <cellStyle name="_Comma 3" xfId="433" xr:uid="{00000000-0005-0000-0000-000033000000}"/>
    <cellStyle name="_Comma_01 adj for merger plan" xfId="66" xr:uid="{00000000-0005-0000-0000-000034000000}"/>
    <cellStyle name="_Comma_2001 YTD Performance" xfId="434" xr:uid="{00000000-0005-0000-0000-000035000000}"/>
    <cellStyle name="_Comma_2001 YTD Performance 2" xfId="435" xr:uid="{00000000-0005-0000-0000-000036000000}"/>
    <cellStyle name="_Comma_2001 YTD Performance 3" xfId="436" xr:uid="{00000000-0005-0000-0000-000037000000}"/>
    <cellStyle name="_Comma_Ability to Pay Analysis" xfId="67" xr:uid="{00000000-0005-0000-0000-000038000000}"/>
    <cellStyle name="_Comma_ABP1" xfId="437" xr:uid="{00000000-0005-0000-0000-000039000000}"/>
    <cellStyle name="_Comma_ABP1 2" xfId="438" xr:uid="{00000000-0005-0000-0000-00003A000000}"/>
    <cellStyle name="_Comma_ABP1 3" xfId="439" xr:uid="{00000000-0005-0000-0000-00003B000000}"/>
    <cellStyle name="_Comma_Aero DCF" xfId="440" xr:uid="{00000000-0005-0000-0000-00003C000000}"/>
    <cellStyle name="_Comma_Aero DCF 2" xfId="441" xr:uid="{00000000-0005-0000-0000-00003D000000}"/>
    <cellStyle name="_Comma_Aero DCF 3" xfId="442" xr:uid="{00000000-0005-0000-0000-00003E000000}"/>
    <cellStyle name="_Comma_AFL" xfId="68" xr:uid="{00000000-0005-0000-0000-00003F000000}"/>
    <cellStyle name="_Comma_AIZ" xfId="69" xr:uid="{00000000-0005-0000-0000-000040000000}"/>
    <cellStyle name="_Comma_AIZ04-Quantum2" xfId="70" xr:uid="{00000000-0005-0000-0000-000041000000}"/>
    <cellStyle name="_Comma_Alstom WIP Bhavna" xfId="443" xr:uid="{00000000-0005-0000-0000-000042000000}"/>
    <cellStyle name="_Comma_Alstom WIP Bhavna 2" xfId="444" xr:uid="{00000000-0005-0000-0000-000043000000}"/>
    <cellStyle name="_Comma_AMP" xfId="71" xr:uid="{00000000-0005-0000-0000-000044000000}"/>
    <cellStyle name="_Comma_ASF" xfId="445" xr:uid="{00000000-0005-0000-0000-000045000000}"/>
    <cellStyle name="_Comma_ASF 2" xfId="446" xr:uid="{00000000-0005-0000-0000-000046000000}"/>
    <cellStyle name="_Comma_ASF 3" xfId="447" xr:uid="{00000000-0005-0000-0000-000047000000}"/>
    <cellStyle name="_Comma_ASF1" xfId="448" xr:uid="{00000000-0005-0000-0000-000048000000}"/>
    <cellStyle name="_Comma_ASF1 2" xfId="449" xr:uid="{00000000-0005-0000-0000-000049000000}"/>
    <cellStyle name="_Comma_ASF1 3" xfId="450" xr:uid="{00000000-0005-0000-0000-00004A000000}"/>
    <cellStyle name="_Comma_Assa CF" xfId="451" xr:uid="{00000000-0005-0000-0000-00004B000000}"/>
    <cellStyle name="_Comma_Assa CF 2" xfId="452" xr:uid="{00000000-0005-0000-0000-00004C000000}"/>
    <cellStyle name="_Comma_Assa CF 3" xfId="453" xr:uid="{00000000-0005-0000-0000-00004D000000}"/>
    <cellStyle name="_Comma_Assa Reference" xfId="454" xr:uid="{00000000-0005-0000-0000-00004E000000}"/>
    <cellStyle name="_Comma_Assa Reference 2" xfId="455" xr:uid="{00000000-0005-0000-0000-00004F000000}"/>
    <cellStyle name="_Comma_Assa Reference 3" xfId="456" xr:uid="{00000000-0005-0000-0000-000050000000}"/>
    <cellStyle name="_Comma_Assa vs Competition" xfId="457" xr:uid="{00000000-0005-0000-0000-000051000000}"/>
    <cellStyle name="_Comma_Assa vs Competition 2" xfId="458" xr:uid="{00000000-0005-0000-0000-000052000000}"/>
    <cellStyle name="_Comma_Assa vs Competition 3" xfId="459" xr:uid="{00000000-0005-0000-0000-000053000000}"/>
    <cellStyle name="_Comma_Atlas Copco CF" xfId="460" xr:uid="{00000000-0005-0000-0000-000054000000}"/>
    <cellStyle name="_Comma_Atlas Copco CF 2" xfId="461" xr:uid="{00000000-0005-0000-0000-000055000000}"/>
    <cellStyle name="_Comma_AVP" xfId="462" xr:uid="{00000000-0005-0000-0000-000056000000}"/>
    <cellStyle name="_Comma_AVP 2" xfId="463" xr:uid="{00000000-0005-0000-0000-000057000000}"/>
    <cellStyle name="_Comma_AVP 3" xfId="464" xr:uid="{00000000-0005-0000-0000-000058000000}"/>
    <cellStyle name="_Comma_BAE_model_new" xfId="465" xr:uid="{00000000-0005-0000-0000-000059000000}"/>
    <cellStyle name="_Comma_BAE_model_new 2" xfId="466" xr:uid="{00000000-0005-0000-0000-00005A000000}"/>
    <cellStyle name="_Comma_BAE_model_new 3" xfId="467" xr:uid="{00000000-0005-0000-0000-00005B000000}"/>
    <cellStyle name="_Comma_bls roic" xfId="468" xr:uid="{00000000-0005-0000-0000-00005C000000}"/>
    <cellStyle name="_Comma_bls roic_Copy of IFRS consol ABB Final Version4" xfId="469" xr:uid="{00000000-0005-0000-0000-00005D000000}"/>
    <cellStyle name="_Comma_Book1" xfId="72" xr:uid="{00000000-0005-0000-0000-00005E000000}"/>
    <cellStyle name="_Comma_Book1 2" xfId="470" xr:uid="{00000000-0005-0000-0000-00005F000000}"/>
    <cellStyle name="_Comma_Book1 3" xfId="471" xr:uid="{00000000-0005-0000-0000-000060000000}"/>
    <cellStyle name="_Comma_Book1_WACC" xfId="472" xr:uid="{00000000-0005-0000-0000-000061000000}"/>
    <cellStyle name="_Comma_Book1_WACC 2" xfId="473" xr:uid="{00000000-0005-0000-0000-000062000000}"/>
    <cellStyle name="_Comma_Book1_WACC 3" xfId="474" xr:uid="{00000000-0005-0000-0000-000063000000}"/>
    <cellStyle name="_Comma_Book3" xfId="73" xr:uid="{00000000-0005-0000-0000-000064000000}"/>
    <cellStyle name="_Comma_capital expenditures 6-18-02" xfId="475" xr:uid="{00000000-0005-0000-0000-000065000000}"/>
    <cellStyle name="_Comma_capital expenditures 6-18-02_Copy of IFRS consol ABB Final Version4" xfId="476" xr:uid="{00000000-0005-0000-0000-000066000000}"/>
    <cellStyle name="_Comma_Ciervo DCF Final" xfId="477" xr:uid="{00000000-0005-0000-0000-000067000000}"/>
    <cellStyle name="_Comma_Ciervo DCF Final 2" xfId="478" xr:uid="{00000000-0005-0000-0000-000068000000}"/>
    <cellStyle name="_Comma_Ciervo DCF Final 3" xfId="479" xr:uid="{00000000-0005-0000-0000-000069000000}"/>
    <cellStyle name="_Comma_Ciervo_WACC" xfId="480" xr:uid="{00000000-0005-0000-0000-00006A000000}"/>
    <cellStyle name="_Comma_Ciervo_WACC 2" xfId="481" xr:uid="{00000000-0005-0000-0000-00006B000000}"/>
    <cellStyle name="_Comma_Ciervo_WACC 3" xfId="482" xr:uid="{00000000-0005-0000-0000-00006C000000}"/>
    <cellStyle name="_Comma_CNO" xfId="74" xr:uid="{00000000-0005-0000-0000-00006D000000}"/>
    <cellStyle name="_Comma_CNO04" xfId="75" xr:uid="{00000000-0005-0000-0000-00006E000000}"/>
    <cellStyle name="_Comma_Comdot - gStyle Excel Slides" xfId="483" xr:uid="{00000000-0005-0000-0000-00006F000000}"/>
    <cellStyle name="_Comma_Comdot - gStyle Excel Slides 2" xfId="484" xr:uid="{00000000-0005-0000-0000-000070000000}"/>
    <cellStyle name="_Comma_Comdot - gStyle Excel Slides 3" xfId="485" xr:uid="{00000000-0005-0000-0000-000071000000}"/>
    <cellStyle name="_Comma_Comdot LBO Short Form - v3" xfId="486" xr:uid="{00000000-0005-0000-0000-000072000000}"/>
    <cellStyle name="_Comma_Comdot LBO Short Form - v3 2" xfId="487" xr:uid="{00000000-0005-0000-0000-000073000000}"/>
    <cellStyle name="_Comma_Comdot LBO Short Form - v3 3" xfId="488" xr:uid="{00000000-0005-0000-0000-000074000000}"/>
    <cellStyle name="_Comma_contribution_analysis" xfId="489" xr:uid="{00000000-0005-0000-0000-000075000000}"/>
    <cellStyle name="_Comma_Copy of IFRS consol ABB Final Version4" xfId="490" xr:uid="{00000000-0005-0000-0000-000076000000}"/>
    <cellStyle name="_Comma_Copy of IFRS consol ABB Final Version4 2" xfId="491" xr:uid="{00000000-0005-0000-0000-000077000000}"/>
    <cellStyle name="_Comma_Copy of Spirent_now" xfId="492" xr:uid="{00000000-0005-0000-0000-000078000000}"/>
    <cellStyle name="_Comma_Copy of Spirent_now 2" xfId="493" xr:uid="{00000000-0005-0000-0000-000079000000}"/>
    <cellStyle name="_Comma_Copy of Spirent_now 3" xfId="494" xr:uid="{00000000-0005-0000-0000-00007A000000}"/>
    <cellStyle name="_Comma_CROCI" xfId="495" xr:uid="{00000000-0005-0000-0000-00007B000000}"/>
    <cellStyle name="_Comma_CROCI 2" xfId="496" xr:uid="{00000000-0005-0000-0000-00007C000000}"/>
    <cellStyle name="_Comma_CSC_Picabia_29062001" xfId="497" xr:uid="{00000000-0005-0000-0000-00007D000000}"/>
    <cellStyle name="_Comma_CSC_Picabia_29062001 2" xfId="498" xr:uid="{00000000-0005-0000-0000-00007E000000}"/>
    <cellStyle name="_Comma_CSC_Picabia_29062001 3" xfId="499" xr:uid="{00000000-0005-0000-0000-00007F000000}"/>
    <cellStyle name="_Comma_DCF - July 2, 2001" xfId="500" xr:uid="{00000000-0005-0000-0000-000080000000}"/>
    <cellStyle name="_Comma_DCF - July 2, 2001 2" xfId="501" xr:uid="{00000000-0005-0000-0000-000081000000}"/>
    <cellStyle name="_Comma_DCF - July 2, 2001 3" xfId="502" xr:uid="{00000000-0005-0000-0000-000082000000}"/>
    <cellStyle name="_Comma_DCF Alexander Forbes" xfId="76" xr:uid="{00000000-0005-0000-0000-000083000000}"/>
    <cellStyle name="_Comma_Electrolux CF" xfId="503" xr:uid="{00000000-0005-0000-0000-000084000000}"/>
    <cellStyle name="_Comma_Electrolux CF 2" xfId="504" xr:uid="{00000000-0005-0000-0000-000085000000}"/>
    <cellStyle name="_Comma_Electrolux CF_1" xfId="505" xr:uid="{00000000-0005-0000-0000-000086000000}"/>
    <cellStyle name="_Comma_Electrolux CF_1 2" xfId="506" xr:uid="{00000000-0005-0000-0000-000087000000}"/>
    <cellStyle name="_Comma_Electrolux MW" xfId="507" xr:uid="{00000000-0005-0000-0000-000088000000}"/>
    <cellStyle name="_Comma_Electrolux MW 2" xfId="508" xr:uid="{00000000-0005-0000-0000-000089000000}"/>
    <cellStyle name="_Comma_Electrolux Old Nick Paton Mark Wilson Model" xfId="509" xr:uid="{00000000-0005-0000-0000-00008A000000}"/>
    <cellStyle name="_Comma_Electrolux Old Nick Paton Mark Wilson Model 2" xfId="510" xr:uid="{00000000-0005-0000-0000-00008B000000}"/>
    <cellStyle name="_Comma_Electrolux WIP Bhavna" xfId="511" xr:uid="{00000000-0005-0000-0000-00008C000000}"/>
    <cellStyle name="_Comma_Electrolux WIP Bhavna 2" xfId="512" xr:uid="{00000000-0005-0000-0000-00008D000000}"/>
    <cellStyle name="_Comma_Eng" xfId="513" xr:uid="{00000000-0005-0000-0000-00008E000000}"/>
    <cellStyle name="_Comma_Eng 2" xfId="514" xr:uid="{00000000-0005-0000-0000-00008F000000}"/>
    <cellStyle name="_Comma_Eng 3" xfId="515" xr:uid="{00000000-0005-0000-0000-000090000000}"/>
    <cellStyle name="_Comma_Finmeccanica" xfId="516" xr:uid="{00000000-0005-0000-0000-000091000000}"/>
    <cellStyle name="_Comma_Finmeccanica SOP" xfId="517" xr:uid="{00000000-0005-0000-0000-000092000000}"/>
    <cellStyle name="_Comma_fmbi counties" xfId="77" xr:uid="{00000000-0005-0000-0000-000093000000}"/>
    <cellStyle name="_Comma_FMBI MBHI Graphs" xfId="78" xr:uid="{00000000-0005-0000-0000-000094000000}"/>
    <cellStyle name="_Comma_FMBI MBHI Graphs 07102001" xfId="79" xr:uid="{00000000-0005-0000-0000-000095000000}"/>
    <cellStyle name="_Comma_FMBI MBHI Graphs_7601" xfId="80" xr:uid="{00000000-0005-0000-0000-000096000000}"/>
    <cellStyle name="_Comma_genworth model" xfId="81" xr:uid="{00000000-0005-0000-0000-000097000000}"/>
    <cellStyle name="_Comma_Global ROIC 2007" xfId="518" xr:uid="{00000000-0005-0000-0000-000098000000}"/>
    <cellStyle name="_Comma_Global ROIC 2007 2" xfId="519" xr:uid="{00000000-0005-0000-0000-000099000000}"/>
    <cellStyle name="_Comma_Global ROIC 2007_Copy of IFRS consol ABB Final Version4" xfId="520" xr:uid="{00000000-0005-0000-0000-00009A000000}"/>
    <cellStyle name="_Comma_Global ROIC 2007_Copy of IFRS consol ABB Final Version4 2" xfId="521" xr:uid="{00000000-0005-0000-0000-00009B000000}"/>
    <cellStyle name="_Comma_Insurance Brokerage CSC_1Q2002" xfId="82" xr:uid="{00000000-0005-0000-0000-00009C000000}"/>
    <cellStyle name="_Comma_integrated_standalone_ba" xfId="522" xr:uid="{00000000-0005-0000-0000-00009D000000}"/>
    <cellStyle name="_Comma_integrated_standalone_ba 2" xfId="523" xr:uid="{00000000-0005-0000-0000-00009E000000}"/>
    <cellStyle name="_Comma_integrated_standalone_ba 3" xfId="524" xr:uid="{00000000-0005-0000-0000-00009F000000}"/>
    <cellStyle name="_Comma_JP_LNC_spread_monitor (2)" xfId="83" xr:uid="{00000000-0005-0000-0000-0000A0000000}"/>
    <cellStyle name="_Comma_LBO Model Zannier - 04-09-01" xfId="525" xr:uid="{00000000-0005-0000-0000-0000A1000000}"/>
    <cellStyle name="_Comma_LBO Model Zannier - 04-09-01 2" xfId="526" xr:uid="{00000000-0005-0000-0000-0000A2000000}"/>
    <cellStyle name="_Comma_LBO Model Zannier - 04-09-01 3" xfId="527" xr:uid="{00000000-0005-0000-0000-0000A3000000}"/>
    <cellStyle name="_Comma_Model Vague 07 conso - Dannaud" xfId="528" xr:uid="{00000000-0005-0000-0000-0000A4000000}"/>
    <cellStyle name="_Comma_Model Vague 07 conso - Dannaud 2" xfId="529" xr:uid="{00000000-0005-0000-0000-0000A5000000}"/>
    <cellStyle name="_Comma_Model Vague 07 conso - Dannaud 3" xfId="530" xr:uid="{00000000-0005-0000-0000-0000A6000000}"/>
    <cellStyle name="_Comma_MTU Aero Engines" xfId="531" xr:uid="{00000000-0005-0000-0000-0000A7000000}"/>
    <cellStyle name="_Comma_MTU Aero Engines 2" xfId="532" xr:uid="{00000000-0005-0000-0000-0000A8000000}"/>
    <cellStyle name="_Comma_MTU Aero Engines 3" xfId="533" xr:uid="{00000000-0005-0000-0000-0000A9000000}"/>
    <cellStyle name="_Comma_MTU Aero EnginesMICHA EVENING6" xfId="534" xr:uid="{00000000-0005-0000-0000-0000AA000000}"/>
    <cellStyle name="_Comma_MTU Aero EnginesMICHA EVENING6 2" xfId="535" xr:uid="{00000000-0005-0000-0000-0000AB000000}"/>
    <cellStyle name="_Comma_MTU Aero EnginesMICHA EVENING6 3" xfId="536" xr:uid="{00000000-0005-0000-0000-0000AC000000}"/>
    <cellStyle name="_Comma_MTU FX sheet" xfId="537" xr:uid="{00000000-0005-0000-0000-0000AD000000}"/>
    <cellStyle name="_Comma_MTU FX sheet 2" xfId="538" xr:uid="{00000000-0005-0000-0000-0000AE000000}"/>
    <cellStyle name="_Comma_MTU FX sheet 3" xfId="539" xr:uid="{00000000-0005-0000-0000-0000AF000000}"/>
    <cellStyle name="_Comma_NFP" xfId="84" xr:uid="{00000000-0005-0000-0000-0000B0000000}"/>
    <cellStyle name="_Comma_NFS" xfId="85" xr:uid="{00000000-0005-0000-0000-0000B1000000}"/>
    <cellStyle name="_Comma_output" xfId="540" xr:uid="{00000000-0005-0000-0000-0000B2000000}"/>
    <cellStyle name="_Comma_output 2" xfId="541" xr:uid="{00000000-0005-0000-0000-0000B3000000}"/>
    <cellStyle name="_Comma_output 3" xfId="542" xr:uid="{00000000-0005-0000-0000-0000B4000000}"/>
    <cellStyle name="_Comma_Overview3" xfId="86" xr:uid="{00000000-0005-0000-0000-0000B5000000}"/>
    <cellStyle name="_Comma_phil data" xfId="87" xr:uid="{00000000-0005-0000-0000-0000B6000000}"/>
    <cellStyle name="_Comma_Price Performance Charts" xfId="88" xr:uid="{00000000-0005-0000-0000-0000B7000000}"/>
    <cellStyle name="_Comma_Quarterly Review by Company" xfId="89" xr:uid="{00000000-0005-0000-0000-0000B8000000}"/>
    <cellStyle name="_Comma_RBOC historicals" xfId="543" xr:uid="{00000000-0005-0000-0000-0000B9000000}"/>
    <cellStyle name="_Comma_RBOC historicals_Copy of IFRS consol ABB Final Version4" xfId="544" xr:uid="{00000000-0005-0000-0000-0000BA000000}"/>
    <cellStyle name="_Comma_Rheinmetall" xfId="545" xr:uid="{00000000-0005-0000-0000-0000BB000000}"/>
    <cellStyle name="_Comma_Rheinmetall_1" xfId="546" xr:uid="{00000000-0005-0000-0000-0000BC000000}"/>
    <cellStyle name="_Comma_Rheinmetall_1 2" xfId="547" xr:uid="{00000000-0005-0000-0000-0000BD000000}"/>
    <cellStyle name="_Comma_Rheinmetall_1 3" xfId="548" xr:uid="{00000000-0005-0000-0000-0000BE000000}"/>
    <cellStyle name="_Comma_RHM" xfId="549" xr:uid="{00000000-0005-0000-0000-0000BF000000}"/>
    <cellStyle name="_Comma_ROIC" xfId="550" xr:uid="{00000000-0005-0000-0000-0000C0000000}"/>
    <cellStyle name="_Comma_ROIC 2" xfId="551" xr:uid="{00000000-0005-0000-0000-0000C1000000}"/>
    <cellStyle name="_Comma_ROIC 3" xfId="552" xr:uid="{00000000-0005-0000-0000-0000C2000000}"/>
    <cellStyle name="_Comma_Rolls-Royce" xfId="553" xr:uid="{00000000-0005-0000-0000-0000C3000000}"/>
    <cellStyle name="_Comma_Rolls-Royce Micha" xfId="554" xr:uid="{00000000-0005-0000-0000-0000C4000000}"/>
    <cellStyle name="_Comma_Rolls-Royce Micha 2" xfId="555" xr:uid="{00000000-0005-0000-0000-0000C5000000}"/>
    <cellStyle name="_Comma_Rolls-Royce Micha 3" xfId="556" xr:uid="{00000000-0005-0000-0000-0000C6000000}"/>
    <cellStyle name="_Comma_Rolls-RoyceFINAL130206" xfId="557" xr:uid="{00000000-0005-0000-0000-0000C7000000}"/>
    <cellStyle name="_Comma_Rolls-RoyceFINAL130206 2" xfId="558" xr:uid="{00000000-0005-0000-0000-0000C8000000}"/>
    <cellStyle name="_Comma_Rolls-RoyceFINAL130206 3" xfId="559" xr:uid="{00000000-0005-0000-0000-0000C9000000}"/>
    <cellStyle name="_Comma_RR FY06" xfId="560" xr:uid="{00000000-0005-0000-0000-0000CA000000}"/>
    <cellStyle name="_Comma_RR FY06 2" xfId="561" xr:uid="{00000000-0005-0000-0000-0000CB000000}"/>
    <cellStyle name="_Comma_RR FY06 3" xfId="562" xr:uid="{00000000-0005-0000-0000-0000CC000000}"/>
    <cellStyle name="_Comma_SaabOLD" xfId="563" xr:uid="{00000000-0005-0000-0000-0000CD000000}"/>
    <cellStyle name="_Comma_Safran" xfId="564" xr:uid="{00000000-0005-0000-0000-0000CE000000}"/>
    <cellStyle name="_Comma_Safran 2" xfId="565" xr:uid="{00000000-0005-0000-0000-0000CF000000}"/>
    <cellStyle name="_Comma_Safran 3" xfId="566" xr:uid="{00000000-0005-0000-0000-0000D0000000}"/>
    <cellStyle name="_Comma_Saft vs Peers" xfId="567" xr:uid="{00000000-0005-0000-0000-0000D1000000}"/>
    <cellStyle name="_Comma_Saft vs Peers 2" xfId="568" xr:uid="{00000000-0005-0000-0000-0000D2000000}"/>
    <cellStyle name="_Comma_Saft vs Peers 3" xfId="569" xr:uid="{00000000-0005-0000-0000-0000D3000000}"/>
    <cellStyle name="_Comma_SFG Data File" xfId="90" xr:uid="{00000000-0005-0000-0000-0000D4000000}"/>
    <cellStyle name="_Comma_Sheet1" xfId="91" xr:uid="{00000000-0005-0000-0000-0000D5000000}"/>
    <cellStyle name="_Comma_SIFI OLD" xfId="570" xr:uid="{00000000-0005-0000-0000-0000D6000000}"/>
    <cellStyle name="_Comma_SIFINEW" xfId="571" xr:uid="{00000000-0005-0000-0000-0000D7000000}"/>
    <cellStyle name="_Comma_SIFINEW 2" xfId="572" xr:uid="{00000000-0005-0000-0000-0000D8000000}"/>
    <cellStyle name="_Comma_SIFINEW 3" xfId="573" xr:uid="{00000000-0005-0000-0000-0000D9000000}"/>
    <cellStyle name="_Comma_Smiths Group" xfId="574" xr:uid="{00000000-0005-0000-0000-0000DA000000}"/>
    <cellStyle name="_Comma_Smiths Group - OLD" xfId="575" xr:uid="{00000000-0005-0000-0000-0000DB000000}"/>
    <cellStyle name="_Comma_Stock-QTR1 FDS" xfId="92" xr:uid="{00000000-0005-0000-0000-0000DC000000}"/>
    <cellStyle name="_Comma_T - new" xfId="576" xr:uid="{00000000-0005-0000-0000-0000DD000000}"/>
    <cellStyle name="_Comma_T - new_Copy of IFRS consol ABB Final Version4" xfId="577" xr:uid="{00000000-0005-0000-0000-0000DE000000}"/>
    <cellStyle name="_Comma_Updated Valuation Changes" xfId="93" xr:uid="{00000000-0005-0000-0000-0000DF000000}"/>
    <cellStyle name="_Comma_Vague LBO Model - 19 July 2001" xfId="578" xr:uid="{00000000-0005-0000-0000-0000E0000000}"/>
    <cellStyle name="_Comma_Vague LBO Model - 19 July 2001 2" xfId="579" xr:uid="{00000000-0005-0000-0000-0000E1000000}"/>
    <cellStyle name="_Comma_Vague LBO Model - 19 July 2001 3" xfId="580" xr:uid="{00000000-0005-0000-0000-0000E2000000}"/>
    <cellStyle name="_Comma_Valuation Graphs" xfId="94" xr:uid="{00000000-0005-0000-0000-0000E3000000}"/>
    <cellStyle name="_Comma_Vinci" xfId="581" xr:uid="{00000000-0005-0000-0000-0000E4000000}"/>
    <cellStyle name="_Comma_WPP_YNR_merger_plans" xfId="582" xr:uid="{00000000-0005-0000-0000-0000E5000000}"/>
    <cellStyle name="_Comma_WPP_YNR_merger_plans 2" xfId="583" xr:uid="{00000000-0005-0000-0000-0000E6000000}"/>
    <cellStyle name="_Comma_WPP_YNR_merger_plans 3" xfId="584" xr:uid="{00000000-0005-0000-0000-0000E7000000}"/>
    <cellStyle name="_Comma_xratio - historical mkt val" xfId="95" xr:uid="{00000000-0005-0000-0000-0000E8000000}"/>
    <cellStyle name="_Copy of IFRS consol ABB Final Version4" xfId="585" xr:uid="{00000000-0005-0000-0000-0000E9000000}"/>
    <cellStyle name="_Copy of Spirent_now" xfId="586" xr:uid="{00000000-0005-0000-0000-0000EA000000}"/>
    <cellStyle name="_Currency" xfId="96" xr:uid="{00000000-0005-0000-0000-0000EB000000}"/>
    <cellStyle name="_Currency 2" xfId="587" xr:uid="{00000000-0005-0000-0000-0000EC000000}"/>
    <cellStyle name="_Currency 3" xfId="588" xr:uid="{00000000-0005-0000-0000-0000ED000000}"/>
    <cellStyle name="_Currency_01 adj for merger plan" xfId="97" xr:uid="{00000000-0005-0000-0000-0000EE000000}"/>
    <cellStyle name="_Currency_2001 YTD Performance" xfId="589" xr:uid="{00000000-0005-0000-0000-0000EF000000}"/>
    <cellStyle name="_Currency_2001 YTD Performance 2" xfId="590" xr:uid="{00000000-0005-0000-0000-0000F0000000}"/>
    <cellStyle name="_Currency_2001 YTD Performance 3" xfId="591" xr:uid="{00000000-0005-0000-0000-0000F1000000}"/>
    <cellStyle name="_Currency_Ability to Pay Analysis" xfId="98" xr:uid="{00000000-0005-0000-0000-0000F2000000}"/>
    <cellStyle name="_Currency_ABP1" xfId="592" xr:uid="{00000000-0005-0000-0000-0000F3000000}"/>
    <cellStyle name="_Currency_ABP1 2" xfId="593" xr:uid="{00000000-0005-0000-0000-0000F4000000}"/>
    <cellStyle name="_Currency_ABP1 3" xfId="594" xr:uid="{00000000-0005-0000-0000-0000F5000000}"/>
    <cellStyle name="_Currency_Aero DCF" xfId="595" xr:uid="{00000000-0005-0000-0000-0000F6000000}"/>
    <cellStyle name="_Currency_Aero DCF 2" xfId="596" xr:uid="{00000000-0005-0000-0000-0000F7000000}"/>
    <cellStyle name="_Currency_Aero DCF 3" xfId="597" xr:uid="{00000000-0005-0000-0000-0000F8000000}"/>
    <cellStyle name="_Currency_AF1" xfId="598" xr:uid="{00000000-0005-0000-0000-0000F9000000}"/>
    <cellStyle name="_Currency_AF1 2" xfId="599" xr:uid="{00000000-0005-0000-0000-0000FA000000}"/>
    <cellStyle name="_Currency_AF1 3" xfId="600" xr:uid="{00000000-0005-0000-0000-0000FB000000}"/>
    <cellStyle name="_Currency_AFL" xfId="99" xr:uid="{00000000-0005-0000-0000-0000FC000000}"/>
    <cellStyle name="_Currency_Airclaims4" xfId="601" xr:uid="{00000000-0005-0000-0000-0000FD000000}"/>
    <cellStyle name="_Currency_Airclaims4 2" xfId="602" xr:uid="{00000000-0005-0000-0000-0000FE000000}"/>
    <cellStyle name="_Currency_Airclaims4 3" xfId="603" xr:uid="{00000000-0005-0000-0000-0000FF000000}"/>
    <cellStyle name="_Currency_AIRLINE DCF's" xfId="604" xr:uid="{00000000-0005-0000-0000-000000010000}"/>
    <cellStyle name="_Currency_AIRLINE DCF's 2" xfId="605" xr:uid="{00000000-0005-0000-0000-000001010000}"/>
    <cellStyle name="_Currency_AIRLINE DCF's 3" xfId="606" xr:uid="{00000000-0005-0000-0000-000002010000}"/>
    <cellStyle name="_Currency_AIZ" xfId="100" xr:uid="{00000000-0005-0000-0000-000003010000}"/>
    <cellStyle name="_Currency_Alstom WIP Bhavna" xfId="607" xr:uid="{00000000-0005-0000-0000-000004010000}"/>
    <cellStyle name="_Currency_Alstom WIP Bhavna 2" xfId="608" xr:uid="{00000000-0005-0000-0000-000005010000}"/>
    <cellStyle name="_Currency_AMP" xfId="101" xr:uid="{00000000-0005-0000-0000-000006010000}"/>
    <cellStyle name="_Currency_ASF" xfId="609" xr:uid="{00000000-0005-0000-0000-000007010000}"/>
    <cellStyle name="_Currency_ASF 2" xfId="610" xr:uid="{00000000-0005-0000-0000-000008010000}"/>
    <cellStyle name="_Currency_ASF 3" xfId="611" xr:uid="{00000000-0005-0000-0000-000009010000}"/>
    <cellStyle name="_Currency_ASF1" xfId="612" xr:uid="{00000000-0005-0000-0000-00000A010000}"/>
    <cellStyle name="_Currency_ASF1 2" xfId="613" xr:uid="{00000000-0005-0000-0000-00000B010000}"/>
    <cellStyle name="_Currency_ASF1 3" xfId="614" xr:uid="{00000000-0005-0000-0000-00000C010000}"/>
    <cellStyle name="_Currency_Assa CF" xfId="615" xr:uid="{00000000-0005-0000-0000-00000D010000}"/>
    <cellStyle name="_Currency_Assa CF 2" xfId="616" xr:uid="{00000000-0005-0000-0000-00000E010000}"/>
    <cellStyle name="_Currency_Assa CF 3" xfId="617" xr:uid="{00000000-0005-0000-0000-00000F010000}"/>
    <cellStyle name="_Currency_Assa Reference" xfId="618" xr:uid="{00000000-0005-0000-0000-000010010000}"/>
    <cellStyle name="_Currency_Assa Reference 2" xfId="619" xr:uid="{00000000-0005-0000-0000-000011010000}"/>
    <cellStyle name="_Currency_Assa Reference 3" xfId="620" xr:uid="{00000000-0005-0000-0000-000012010000}"/>
    <cellStyle name="_Currency_Assa vs Competition" xfId="621" xr:uid="{00000000-0005-0000-0000-000013010000}"/>
    <cellStyle name="_Currency_Assa vs Competition 2" xfId="622" xr:uid="{00000000-0005-0000-0000-000014010000}"/>
    <cellStyle name="_Currency_Assa vs Competition 3" xfId="623" xr:uid="{00000000-0005-0000-0000-000015010000}"/>
    <cellStyle name="_Currency_AT" xfId="624" xr:uid="{00000000-0005-0000-0000-000016010000}"/>
    <cellStyle name="_Currency_AT_Copy of IFRS consol ABB Final Version4" xfId="625" xr:uid="{00000000-0005-0000-0000-000017010000}"/>
    <cellStyle name="_Currency_Atlas Copco CF" xfId="626" xr:uid="{00000000-0005-0000-0000-000018010000}"/>
    <cellStyle name="_Currency_Atlas Copco CF 2" xfId="627" xr:uid="{00000000-0005-0000-0000-000019010000}"/>
    <cellStyle name="_Currency_AVP" xfId="628" xr:uid="{00000000-0005-0000-0000-00001A010000}"/>
    <cellStyle name="_Currency_AVP 2" xfId="629" xr:uid="{00000000-0005-0000-0000-00001B010000}"/>
    <cellStyle name="_Currency_AVP 3" xfId="630" xr:uid="{00000000-0005-0000-0000-00001C010000}"/>
    <cellStyle name="_Currency_AWE" xfId="631" xr:uid="{00000000-0005-0000-0000-00001D010000}"/>
    <cellStyle name="_Currency_AWE_Copy of IFRS consol ABB Final Version4" xfId="632" xr:uid="{00000000-0005-0000-0000-00001E010000}"/>
    <cellStyle name="_Currency_BA-DCF" xfId="633" xr:uid="{00000000-0005-0000-0000-00001F010000}"/>
    <cellStyle name="_Currency_BA-DCF 2" xfId="634" xr:uid="{00000000-0005-0000-0000-000020010000}"/>
    <cellStyle name="_Currency_BA-DCF 3" xfId="635" xr:uid="{00000000-0005-0000-0000-000021010000}"/>
    <cellStyle name="_Currency_BAE_model_new" xfId="636" xr:uid="{00000000-0005-0000-0000-000022010000}"/>
    <cellStyle name="_Currency_BAE_model_new 2" xfId="637" xr:uid="{00000000-0005-0000-0000-000023010000}"/>
    <cellStyle name="_Currency_BAE_model_new 3" xfId="638" xr:uid="{00000000-0005-0000-0000-000024010000}"/>
    <cellStyle name="_Currency_Balance Sheet" xfId="102" xr:uid="{00000000-0005-0000-0000-000025010000}"/>
    <cellStyle name="_Currency_BHI" xfId="639" xr:uid="{00000000-0005-0000-0000-000026010000}"/>
    <cellStyle name="_Currency_BHI_Copy of IFRS consol ABB Final Version4" xfId="640" xr:uid="{00000000-0005-0000-0000-000027010000}"/>
    <cellStyle name="_Currency_BLS" xfId="641" xr:uid="{00000000-0005-0000-0000-000028010000}"/>
    <cellStyle name="_Currency_bls roic" xfId="642" xr:uid="{00000000-0005-0000-0000-000029010000}"/>
    <cellStyle name="_Currency_bls roic_Copy of IFRS consol ABB Final Version4" xfId="643" xr:uid="{00000000-0005-0000-0000-00002A010000}"/>
    <cellStyle name="_Currency_BLS_Copy of IFRS consol ABB Final Version4" xfId="644" xr:uid="{00000000-0005-0000-0000-00002B010000}"/>
    <cellStyle name="_Currency_Book1" xfId="103" xr:uid="{00000000-0005-0000-0000-00002C010000}"/>
    <cellStyle name="_Currency_Book1 2" xfId="645" xr:uid="{00000000-0005-0000-0000-00002D010000}"/>
    <cellStyle name="_Currency_Book1 3" xfId="646" xr:uid="{00000000-0005-0000-0000-00002E010000}"/>
    <cellStyle name="_Currency_Book1_WACC" xfId="647" xr:uid="{00000000-0005-0000-0000-00002F010000}"/>
    <cellStyle name="_Currency_Book1_WACC 2" xfId="648" xr:uid="{00000000-0005-0000-0000-000030010000}"/>
    <cellStyle name="_Currency_Book1_WACC 3" xfId="649" xr:uid="{00000000-0005-0000-0000-000031010000}"/>
    <cellStyle name="_Currency_Book2" xfId="650" xr:uid="{00000000-0005-0000-0000-000032010000}"/>
    <cellStyle name="_Currency_Book2_Copy of IFRS consol ABB Final Version4" xfId="651" xr:uid="{00000000-0005-0000-0000-000033010000}"/>
    <cellStyle name="_Currency_Book29" xfId="104" xr:uid="{00000000-0005-0000-0000-000034010000}"/>
    <cellStyle name="_Currency_Book3" xfId="105" xr:uid="{00000000-0005-0000-0000-000035010000}"/>
    <cellStyle name="_Currency_Book3_1" xfId="106" xr:uid="{00000000-0005-0000-0000-000036010000}"/>
    <cellStyle name="_Currency_Book32" xfId="652" xr:uid="{00000000-0005-0000-0000-000037010000}"/>
    <cellStyle name="_Currency_Book32_Copy of IFRS consol ABB Final Version4" xfId="653" xr:uid="{00000000-0005-0000-0000-000038010000}"/>
    <cellStyle name="_Currency_capital expenditures 6-18-02" xfId="654" xr:uid="{00000000-0005-0000-0000-000039010000}"/>
    <cellStyle name="_Currency_capital expenditures 6-18-02_Copy of IFRS consol ABB Final Version4" xfId="655" xr:uid="{00000000-0005-0000-0000-00003A010000}"/>
    <cellStyle name="_Currency_CBD Model Master" xfId="656" xr:uid="{00000000-0005-0000-0000-00003B010000}"/>
    <cellStyle name="_Currency_CBD Model Master 2" xfId="657" xr:uid="{00000000-0005-0000-0000-00003C010000}"/>
    <cellStyle name="_Currency_CBD Model Master 3" xfId="658" xr:uid="{00000000-0005-0000-0000-00003D010000}"/>
    <cellStyle name="_Currency_Ciervo_WACC" xfId="659" xr:uid="{00000000-0005-0000-0000-00003E010000}"/>
    <cellStyle name="_Currency_Ciervo_WACC 2" xfId="660" xr:uid="{00000000-0005-0000-0000-00003F010000}"/>
    <cellStyle name="_Currency_Ciervo_WACC 3" xfId="661" xr:uid="{00000000-0005-0000-0000-000040010000}"/>
    <cellStyle name="_Currency_Cingular" xfId="662" xr:uid="{00000000-0005-0000-0000-000041010000}"/>
    <cellStyle name="_Currency_Cingular_Copy of IFRS consol ABB Final Version4" xfId="663" xr:uid="{00000000-0005-0000-0000-000042010000}"/>
    <cellStyle name="_Currency_CNO" xfId="107" xr:uid="{00000000-0005-0000-0000-000043010000}"/>
    <cellStyle name="_Currency_Comdot - gStyle Excel Slides" xfId="664" xr:uid="{00000000-0005-0000-0000-000044010000}"/>
    <cellStyle name="_Currency_Comdot - gStyle Excel Slides 2" xfId="665" xr:uid="{00000000-0005-0000-0000-000045010000}"/>
    <cellStyle name="_Currency_Comdot - gStyle Excel Slides 3" xfId="666" xr:uid="{00000000-0005-0000-0000-000046010000}"/>
    <cellStyle name="_Currency_Comdot LBO Short Form - v3" xfId="667" xr:uid="{00000000-0005-0000-0000-000047010000}"/>
    <cellStyle name="_Currency_Comdot LBO Short Form - v3 2" xfId="668" xr:uid="{00000000-0005-0000-0000-000048010000}"/>
    <cellStyle name="_Currency_Comdot LBO Short Form - v3 3" xfId="669" xr:uid="{00000000-0005-0000-0000-000049010000}"/>
    <cellStyle name="_Currency_contribution_analysis" xfId="670" xr:uid="{00000000-0005-0000-0000-00004A010000}"/>
    <cellStyle name="_Currency_Copy of IFRS consol ABB Final Version4" xfId="671" xr:uid="{00000000-0005-0000-0000-00004B010000}"/>
    <cellStyle name="_Currency_Copy of IFRS consol ABB Final Version4 2" xfId="672" xr:uid="{00000000-0005-0000-0000-00004C010000}"/>
    <cellStyle name="_Currency_Copy of IFRS consol ABB Final Version4_1" xfId="673" xr:uid="{00000000-0005-0000-0000-00004D010000}"/>
    <cellStyle name="_Currency_Copy of IFRS consol ABB Final Version4_1 2" xfId="674" xr:uid="{00000000-0005-0000-0000-00004E010000}"/>
    <cellStyle name="_Currency_Copy of Spirent_now" xfId="675" xr:uid="{00000000-0005-0000-0000-00004F010000}"/>
    <cellStyle name="_Currency_Copy of Spirent_now 2" xfId="676" xr:uid="{00000000-0005-0000-0000-000050010000}"/>
    <cellStyle name="_Currency_Copy of Spirent_now 3" xfId="677" xr:uid="{00000000-0005-0000-0000-000051010000}"/>
    <cellStyle name="_Currency_CROCI" xfId="678" xr:uid="{00000000-0005-0000-0000-000052010000}"/>
    <cellStyle name="_Currency_CROCI 2" xfId="679" xr:uid="{00000000-0005-0000-0000-000053010000}"/>
    <cellStyle name="_Currency_CSC_Belgravia_15052001" xfId="680" xr:uid="{00000000-0005-0000-0000-000054010000}"/>
    <cellStyle name="_Currency_CSC_Belgravia_15052001 2" xfId="681" xr:uid="{00000000-0005-0000-0000-000055010000}"/>
    <cellStyle name="_Currency_CSC_Belgravia_15052001 3" xfId="682" xr:uid="{00000000-0005-0000-0000-000056010000}"/>
    <cellStyle name="_Currency_CSC_Picabia_29062001" xfId="683" xr:uid="{00000000-0005-0000-0000-000057010000}"/>
    <cellStyle name="_Currency_CSC_Picabia_29062001 2" xfId="684" xr:uid="{00000000-0005-0000-0000-000058010000}"/>
    <cellStyle name="_Currency_CSC_Picabia_29062001 3" xfId="685" xr:uid="{00000000-0005-0000-0000-000059010000}"/>
    <cellStyle name="_Currency_Current Valuations" xfId="686" xr:uid="{00000000-0005-0000-0000-00005A010000}"/>
    <cellStyle name="_Currency_Current Valuations 2" xfId="687" xr:uid="{00000000-0005-0000-0000-00005B010000}"/>
    <cellStyle name="_Currency_Current Valuations 3" xfId="688" xr:uid="{00000000-0005-0000-0000-00005C010000}"/>
    <cellStyle name="_Currency_Date of fillings" xfId="689" xr:uid="{00000000-0005-0000-0000-00005D010000}"/>
    <cellStyle name="_Currency_Date of fillings 2" xfId="690" xr:uid="{00000000-0005-0000-0000-00005E010000}"/>
    <cellStyle name="_Currency_Date of fillings 3" xfId="691" xr:uid="{00000000-0005-0000-0000-00005F010000}"/>
    <cellStyle name="_Currency_DCF - July 2, 2001" xfId="692" xr:uid="{00000000-0005-0000-0000-000060010000}"/>
    <cellStyle name="_Currency_DCF - July 2, 2001 2" xfId="693" xr:uid="{00000000-0005-0000-0000-000061010000}"/>
    <cellStyle name="_Currency_DCF - July 2, 2001 3" xfId="694" xr:uid="{00000000-0005-0000-0000-000062010000}"/>
    <cellStyle name="_Currency_DCF Alexander Forbes" xfId="108" xr:uid="{00000000-0005-0000-0000-000063010000}"/>
    <cellStyle name="_Currency_DCF Model + WACC" xfId="695" xr:uid="{00000000-0005-0000-0000-000064010000}"/>
    <cellStyle name="_Currency_DCF Model + WACC 2" xfId="696" xr:uid="{00000000-0005-0000-0000-000065010000}"/>
    <cellStyle name="_Currency_DCF Model + WACC 3" xfId="697" xr:uid="{00000000-0005-0000-0000-000066010000}"/>
    <cellStyle name="_Currency_Earnings growth track record" xfId="698" xr:uid="{00000000-0005-0000-0000-000067010000}"/>
    <cellStyle name="_Currency_Earnings growth track record 2" xfId="699" xr:uid="{00000000-0005-0000-0000-000068010000}"/>
    <cellStyle name="_Currency_Earnings growth track record 3" xfId="700" xr:uid="{00000000-0005-0000-0000-000069010000}"/>
    <cellStyle name="_Currency_Electrolux CF" xfId="701" xr:uid="{00000000-0005-0000-0000-00006A010000}"/>
    <cellStyle name="_Currency_Electrolux CF 2" xfId="702" xr:uid="{00000000-0005-0000-0000-00006B010000}"/>
    <cellStyle name="_Currency_Electrolux CF_1" xfId="703" xr:uid="{00000000-0005-0000-0000-00006C010000}"/>
    <cellStyle name="_Currency_Electrolux CF_1 2" xfId="704" xr:uid="{00000000-0005-0000-0000-00006D010000}"/>
    <cellStyle name="_Currency_Electrolux MW" xfId="705" xr:uid="{00000000-0005-0000-0000-00006E010000}"/>
    <cellStyle name="_Currency_Electrolux MW 2" xfId="706" xr:uid="{00000000-0005-0000-0000-00006F010000}"/>
    <cellStyle name="_Currency_Electrolux Old Nick Paton Mark Wilson Model" xfId="707" xr:uid="{00000000-0005-0000-0000-000070010000}"/>
    <cellStyle name="_Currency_Electrolux Old Nick Paton Mark Wilson Model 2" xfId="708" xr:uid="{00000000-0005-0000-0000-000071010000}"/>
    <cellStyle name="_Currency_Electrolux WIP Bhavna" xfId="709" xr:uid="{00000000-0005-0000-0000-000072010000}"/>
    <cellStyle name="_Currency_Electrolux WIP Bhavna 2" xfId="710" xr:uid="{00000000-0005-0000-0000-000073010000}"/>
    <cellStyle name="_Currency_Eng" xfId="711" xr:uid="{00000000-0005-0000-0000-000074010000}"/>
    <cellStyle name="_Currency_Eng 2" xfId="712" xr:uid="{00000000-0005-0000-0000-000075010000}"/>
    <cellStyle name="_Currency_Eng 3" xfId="713" xr:uid="{00000000-0005-0000-0000-000076010000}"/>
    <cellStyle name="_Currency_Equity Research" xfId="714" xr:uid="{00000000-0005-0000-0000-000077010000}"/>
    <cellStyle name="_Currency_Euston DCF" xfId="715" xr:uid="{00000000-0005-0000-0000-000078010000}"/>
    <cellStyle name="_Currency_Euston DCF 2" xfId="716" xr:uid="{00000000-0005-0000-0000-000079010000}"/>
    <cellStyle name="_Currency_Euston DCF 3" xfId="717" xr:uid="{00000000-0005-0000-0000-00007A010000}"/>
    <cellStyle name="_Currency_Finmeccanica" xfId="718" xr:uid="{00000000-0005-0000-0000-00007B010000}"/>
    <cellStyle name="_Currency_Finmeccanica SOP" xfId="719" xr:uid="{00000000-0005-0000-0000-00007C010000}"/>
    <cellStyle name="_Currency_Florida consensus estimates" xfId="720" xr:uid="{00000000-0005-0000-0000-00007D010000}"/>
    <cellStyle name="_Currency_Florida consensus estimates 2" xfId="721" xr:uid="{00000000-0005-0000-0000-00007E010000}"/>
    <cellStyle name="_Currency_Florida consensus estimates 3" xfId="722" xr:uid="{00000000-0005-0000-0000-00007F010000}"/>
    <cellStyle name="_Currency_fmbi counties" xfId="109" xr:uid="{00000000-0005-0000-0000-000080010000}"/>
    <cellStyle name="_Currency_FMBI MBHI Graphs" xfId="110" xr:uid="{00000000-0005-0000-0000-000081010000}"/>
    <cellStyle name="_Currency_FMBI MBHI Graphs 07102001" xfId="111" xr:uid="{00000000-0005-0000-0000-000082010000}"/>
    <cellStyle name="_Currency_FMBI MBHI Graphs_7601" xfId="112" xr:uid="{00000000-0005-0000-0000-000083010000}"/>
    <cellStyle name="_Currency_FON" xfId="723" xr:uid="{00000000-0005-0000-0000-000084010000}"/>
    <cellStyle name="_Currency_FON_Copy of IFRS consol ABB Final Version4" xfId="724" xr:uid="{00000000-0005-0000-0000-000085010000}"/>
    <cellStyle name="_Currency_Global ROIC 2007" xfId="725" xr:uid="{00000000-0005-0000-0000-000086010000}"/>
    <cellStyle name="_Currency_Global ROIC 2007 2" xfId="726" xr:uid="{00000000-0005-0000-0000-000087010000}"/>
    <cellStyle name="_Currency_Global ROIC 2007_Copy of IFRS consol ABB Final Version4" xfId="727" xr:uid="{00000000-0005-0000-0000-000088010000}"/>
    <cellStyle name="_Currency_Global ROIC 2007_Copy of IFRS consol ABB Final Version4 2" xfId="728" xr:uid="{00000000-0005-0000-0000-000089010000}"/>
    <cellStyle name="_Currency_GNW" xfId="113" xr:uid="{00000000-0005-0000-0000-00008A010000}"/>
    <cellStyle name="_Currency_HeidelbergCement" xfId="729" xr:uid="{00000000-0005-0000-0000-00008B010000}"/>
    <cellStyle name="_Currency_Holcim" xfId="730" xr:uid="{00000000-0005-0000-0000-00008C010000}"/>
    <cellStyle name="_Currency_Insurance Brokerage CSC_1Q2002" xfId="114" xr:uid="{00000000-0005-0000-0000-00008D010000}"/>
    <cellStyle name="_Currency_Insurance Credit Spread" xfId="731" xr:uid="{00000000-0005-0000-0000-00008E010000}"/>
    <cellStyle name="_Currency_Insurance Credit Spread 2" xfId="732" xr:uid="{00000000-0005-0000-0000-00008F010000}"/>
    <cellStyle name="_Currency_Insurance Credit Spread 3" xfId="733" xr:uid="{00000000-0005-0000-0000-000090010000}"/>
    <cellStyle name="_Currency_Insurance Credit Spread_Atlas Copco CF" xfId="734" xr:uid="{00000000-0005-0000-0000-000091010000}"/>
    <cellStyle name="_Currency_Insurance Credit Spread_Atlas Copco CF 2" xfId="735" xr:uid="{00000000-0005-0000-0000-000092010000}"/>
    <cellStyle name="_Currency_Insurance Credit Spread_CROCI" xfId="736" xr:uid="{00000000-0005-0000-0000-000093010000}"/>
    <cellStyle name="_Currency_Insurance Credit Spread_CROCI 2" xfId="737" xr:uid="{00000000-0005-0000-0000-000094010000}"/>
    <cellStyle name="_Currency_Insurance Credit Spread_Electrolux CF" xfId="738" xr:uid="{00000000-0005-0000-0000-000095010000}"/>
    <cellStyle name="_Currency_Insurance Credit Spread_Electrolux CF 2" xfId="739" xr:uid="{00000000-0005-0000-0000-000096010000}"/>
    <cellStyle name="_Currency_integrated_standalone_ba" xfId="740" xr:uid="{00000000-0005-0000-0000-000097010000}"/>
    <cellStyle name="_Currency_integrated_standalone_ba 2" xfId="741" xr:uid="{00000000-0005-0000-0000-000098010000}"/>
    <cellStyle name="_Currency_integrated_standalone_ba 3" xfId="742" xr:uid="{00000000-0005-0000-0000-000099010000}"/>
    <cellStyle name="_Currency_JP" xfId="115" xr:uid="{00000000-0005-0000-0000-00009A010000}"/>
    <cellStyle name="_Currency_JV accounting" xfId="743" xr:uid="{00000000-0005-0000-0000-00009B010000}"/>
    <cellStyle name="_Currency_JV accounting 2" xfId="744" xr:uid="{00000000-0005-0000-0000-00009C010000}"/>
    <cellStyle name="_Currency_JV accounting 3" xfId="745" xr:uid="{00000000-0005-0000-0000-00009D010000}"/>
    <cellStyle name="_Currency_klm1" xfId="746" xr:uid="{00000000-0005-0000-0000-00009E010000}"/>
    <cellStyle name="_Currency_klm1 2" xfId="747" xr:uid="{00000000-0005-0000-0000-00009F010000}"/>
    <cellStyle name="_Currency_klm1 3" xfId="748" xr:uid="{00000000-0005-0000-0000-0000A0010000}"/>
    <cellStyle name="_Currency_KLM-DCF MODEL" xfId="749" xr:uid="{00000000-0005-0000-0000-0000A1010000}"/>
    <cellStyle name="_Currency_KLM-DCF MODEL 2" xfId="750" xr:uid="{00000000-0005-0000-0000-0000A2010000}"/>
    <cellStyle name="_Currency_KLM-DCF MODEL 3" xfId="751" xr:uid="{00000000-0005-0000-0000-0000A3010000}"/>
    <cellStyle name="_Currency_Lafarge" xfId="752" xr:uid="{00000000-0005-0000-0000-0000A4010000}"/>
    <cellStyle name="_Currency_LBO Model Zannier - 04-09-01" xfId="753" xr:uid="{00000000-0005-0000-0000-0000A5010000}"/>
    <cellStyle name="_Currency_LBO Model Zannier - 04-09-01 2" xfId="754" xr:uid="{00000000-0005-0000-0000-0000A6010000}"/>
    <cellStyle name="_Currency_LBO Model Zannier - 04-09-01 3" xfId="755" xr:uid="{00000000-0005-0000-0000-0000A7010000}"/>
    <cellStyle name="_Currency_lbo_short_form" xfId="756" xr:uid="{00000000-0005-0000-0000-0000A8010000}"/>
    <cellStyle name="_Currency_lbo_short_form 2" xfId="757" xr:uid="{00000000-0005-0000-0000-0000A9010000}"/>
    <cellStyle name="_Currency_lbo_short_form 3" xfId="758" xr:uid="{00000000-0005-0000-0000-0000AA010000}"/>
    <cellStyle name="_Currency_LNC" xfId="116" xr:uid="{00000000-0005-0000-0000-0000AB010000}"/>
    <cellStyle name="_Currency_LPD_Analysis" xfId="759" xr:uid="{00000000-0005-0000-0000-0000AC010000}"/>
    <cellStyle name="_Currency_LPD_Analysis 2" xfId="760" xr:uid="{00000000-0005-0000-0000-0000AD010000}"/>
    <cellStyle name="_Currency_LPD_Analysis 3" xfId="761" xr:uid="{00000000-0005-0000-0000-0000AE010000}"/>
    <cellStyle name="_Currency_lufthansa1" xfId="762" xr:uid="{00000000-0005-0000-0000-0000AF010000}"/>
    <cellStyle name="_Currency_lufthansa1 2" xfId="763" xr:uid="{00000000-0005-0000-0000-0000B0010000}"/>
    <cellStyle name="_Currency_lufthansa1 3" xfId="764" xr:uid="{00000000-0005-0000-0000-0000B1010000}"/>
    <cellStyle name="_Currency_MET" xfId="117" xr:uid="{00000000-0005-0000-0000-0000B2010000}"/>
    <cellStyle name="_Currency_MET04" xfId="118" xr:uid="{00000000-0005-0000-0000-0000B3010000}"/>
    <cellStyle name="_Currency_Model CLC-17 07-soir" xfId="765" xr:uid="{00000000-0005-0000-0000-0000B4010000}"/>
    <cellStyle name="_Currency_Model CLC-17 07-soir 2" xfId="766" xr:uid="{00000000-0005-0000-0000-0000B5010000}"/>
    <cellStyle name="_Currency_Model CLC-17 07-soir 3" xfId="767" xr:uid="{00000000-0005-0000-0000-0000B6010000}"/>
    <cellStyle name="_Currency_Model Vague 07 conso - Dannaud" xfId="768" xr:uid="{00000000-0005-0000-0000-0000B7010000}"/>
    <cellStyle name="_Currency_Model Vague 07 conso - Dannaud 2" xfId="769" xr:uid="{00000000-0005-0000-0000-0000B8010000}"/>
    <cellStyle name="_Currency_Model Vague 07 conso - Dannaud 3" xfId="770" xr:uid="{00000000-0005-0000-0000-0000B9010000}"/>
    <cellStyle name="_Currency_MTU Aero Engines" xfId="771" xr:uid="{00000000-0005-0000-0000-0000BA010000}"/>
    <cellStyle name="_Currency_MTU Aero Engines 2" xfId="772" xr:uid="{00000000-0005-0000-0000-0000BB010000}"/>
    <cellStyle name="_Currency_MTU Aero Engines 3" xfId="773" xr:uid="{00000000-0005-0000-0000-0000BC010000}"/>
    <cellStyle name="_Currency_MTU Aero EnginesMICHA EVENING6" xfId="774" xr:uid="{00000000-0005-0000-0000-0000BD010000}"/>
    <cellStyle name="_Currency_MTU Aero EnginesMICHA EVENING6 2" xfId="775" xr:uid="{00000000-0005-0000-0000-0000BE010000}"/>
    <cellStyle name="_Currency_MTU Aero EnginesMICHA EVENING6 3" xfId="776" xr:uid="{00000000-0005-0000-0000-0000BF010000}"/>
    <cellStyle name="_Currency_MTU FX sheet" xfId="777" xr:uid="{00000000-0005-0000-0000-0000C0010000}"/>
    <cellStyle name="_Currency_MTU FX sheet 2" xfId="778" xr:uid="{00000000-0005-0000-0000-0000C1010000}"/>
    <cellStyle name="_Currency_MTU FX sheet 3" xfId="779" xr:uid="{00000000-0005-0000-0000-0000C2010000}"/>
    <cellStyle name="_Currency_NFS" xfId="119" xr:uid="{00000000-0005-0000-0000-0000C3010000}"/>
    <cellStyle name="_Currency_NXTL" xfId="780" xr:uid="{00000000-0005-0000-0000-0000C4010000}"/>
    <cellStyle name="_Currency_NXTL_Copy of IFRS consol ABB Final Version4" xfId="781" xr:uid="{00000000-0005-0000-0000-0000C5010000}"/>
    <cellStyle name="_Currency_output" xfId="782" xr:uid="{00000000-0005-0000-0000-0000C6010000}"/>
    <cellStyle name="_Currency_output 2" xfId="783" xr:uid="{00000000-0005-0000-0000-0000C7010000}"/>
    <cellStyle name="_Currency_output 3" xfId="784" xr:uid="{00000000-0005-0000-0000-0000C8010000}"/>
    <cellStyle name="_Currency_Overview3" xfId="120" xr:uid="{00000000-0005-0000-0000-0000C9010000}"/>
    <cellStyle name="_Currency_PCS" xfId="785" xr:uid="{00000000-0005-0000-0000-0000CA010000}"/>
    <cellStyle name="_Currency_PCS_Copy of IFRS consol ABB Final Version4" xfId="786" xr:uid="{00000000-0005-0000-0000-0000CB010000}"/>
    <cellStyle name="_Currency_phil data" xfId="121" xr:uid="{00000000-0005-0000-0000-0000CC010000}"/>
    <cellStyle name="_Currency_Price Performance Charts" xfId="122" xr:uid="{00000000-0005-0000-0000-0000CD010000}"/>
    <cellStyle name="_Currency_PRU" xfId="123" xr:uid="{00000000-0005-0000-0000-0000CE010000}"/>
    <cellStyle name="_Currency_PRU04" xfId="124" xr:uid="{00000000-0005-0000-0000-0000CF010000}"/>
    <cellStyle name="_Currency_QP_XXX" xfId="787" xr:uid="{00000000-0005-0000-0000-0000D0010000}"/>
    <cellStyle name="_Currency_QP_XXX 2" xfId="788" xr:uid="{00000000-0005-0000-0000-0000D1010000}"/>
    <cellStyle name="_Currency_QP_XXX_Copy of IFRS consol ABB Final Version4" xfId="789" xr:uid="{00000000-0005-0000-0000-0000D2010000}"/>
    <cellStyle name="_Currency_QP_XXX_Copy of IFRS consol ABB Final Version4 2" xfId="790" xr:uid="{00000000-0005-0000-0000-0000D3010000}"/>
    <cellStyle name="_Currency_RBOC historicals" xfId="791" xr:uid="{00000000-0005-0000-0000-0000D4010000}"/>
    <cellStyle name="_Currency_RBOC historicals_Copy of IFRS consol ABB Final Version4" xfId="792" xr:uid="{00000000-0005-0000-0000-0000D5010000}"/>
    <cellStyle name="_Currency_Relative Contribution Analysis 04" xfId="793" xr:uid="{00000000-0005-0000-0000-0000D6010000}"/>
    <cellStyle name="_Currency_Relative Contribution Analysis 04 2" xfId="794" xr:uid="{00000000-0005-0000-0000-0000D7010000}"/>
    <cellStyle name="_Currency_Relative Contribution Analysis 04 3" xfId="795" xr:uid="{00000000-0005-0000-0000-0000D8010000}"/>
    <cellStyle name="_Currency_Rheinmetall" xfId="796" xr:uid="{00000000-0005-0000-0000-0000D9010000}"/>
    <cellStyle name="_Currency_Rheinmetall_1" xfId="797" xr:uid="{00000000-0005-0000-0000-0000DA010000}"/>
    <cellStyle name="_Currency_Rheinmetall_1 2" xfId="798" xr:uid="{00000000-0005-0000-0000-0000DB010000}"/>
    <cellStyle name="_Currency_Rheinmetall_1 3" xfId="799" xr:uid="{00000000-0005-0000-0000-0000DC010000}"/>
    <cellStyle name="_Currency_RHM" xfId="800" xr:uid="{00000000-0005-0000-0000-0000DD010000}"/>
    <cellStyle name="_Currency_RiskReward" xfId="125" xr:uid="{00000000-0005-0000-0000-0000DE010000}"/>
    <cellStyle name="_Currency_ROIC" xfId="801" xr:uid="{00000000-0005-0000-0000-0000DF010000}"/>
    <cellStyle name="_Currency_ROIC 2" xfId="802" xr:uid="{00000000-0005-0000-0000-0000E0010000}"/>
    <cellStyle name="_Currency_ROIC 3" xfId="803" xr:uid="{00000000-0005-0000-0000-0000E1010000}"/>
    <cellStyle name="_Currency_Rolls-Royce" xfId="804" xr:uid="{00000000-0005-0000-0000-0000E2010000}"/>
    <cellStyle name="_Currency_Rolls-Royce Micha" xfId="805" xr:uid="{00000000-0005-0000-0000-0000E3010000}"/>
    <cellStyle name="_Currency_Rolls-Royce Micha 2" xfId="806" xr:uid="{00000000-0005-0000-0000-0000E4010000}"/>
    <cellStyle name="_Currency_Rolls-Royce Micha 3" xfId="807" xr:uid="{00000000-0005-0000-0000-0000E5010000}"/>
    <cellStyle name="_Currency_Rolls-RoyceFINAL130206" xfId="808" xr:uid="{00000000-0005-0000-0000-0000E6010000}"/>
    <cellStyle name="_Currency_Rolls-RoyceFINAL130206 2" xfId="809" xr:uid="{00000000-0005-0000-0000-0000E7010000}"/>
    <cellStyle name="_Currency_Rolls-RoyceFINAL130206 3" xfId="810" xr:uid="{00000000-0005-0000-0000-0000E8010000}"/>
    <cellStyle name="_Currency_Royal Kansas  DCF2" xfId="811" xr:uid="{00000000-0005-0000-0000-0000E9010000}"/>
    <cellStyle name="_Currency_Royal Kansas  DCF2 2" xfId="812" xr:uid="{00000000-0005-0000-0000-0000EA010000}"/>
    <cellStyle name="_Currency_Royal Kansas  DCF2 3" xfId="813" xr:uid="{00000000-0005-0000-0000-0000EB010000}"/>
    <cellStyle name="_Currency_RR FY06" xfId="814" xr:uid="{00000000-0005-0000-0000-0000EC010000}"/>
    <cellStyle name="_Currency_RR FY06 2" xfId="815" xr:uid="{00000000-0005-0000-0000-0000ED010000}"/>
    <cellStyle name="_Currency_RR FY06 3" xfId="816" xr:uid="{00000000-0005-0000-0000-0000EE010000}"/>
    <cellStyle name="_Currency_SaabOLD" xfId="817" xr:uid="{00000000-0005-0000-0000-0000EF010000}"/>
    <cellStyle name="_Currency_Safran" xfId="818" xr:uid="{00000000-0005-0000-0000-0000F0010000}"/>
    <cellStyle name="_Currency_Safran 2" xfId="819" xr:uid="{00000000-0005-0000-0000-0000F1010000}"/>
    <cellStyle name="_Currency_Safran 3" xfId="820" xr:uid="{00000000-0005-0000-0000-0000F2010000}"/>
    <cellStyle name="_Currency_Saft vs Peers" xfId="821" xr:uid="{00000000-0005-0000-0000-0000F3010000}"/>
    <cellStyle name="_Currency_Saft vs Peers 2" xfId="822" xr:uid="{00000000-0005-0000-0000-0000F4010000}"/>
    <cellStyle name="_Currency_Saft vs Peers 3" xfId="823" xr:uid="{00000000-0005-0000-0000-0000F5010000}"/>
    <cellStyle name="_Currency_SFG" xfId="126" xr:uid="{00000000-0005-0000-0000-0000F6010000}"/>
    <cellStyle name="_Currency_Sheet1" xfId="127" xr:uid="{00000000-0005-0000-0000-0000F7010000}"/>
    <cellStyle name="_Currency_SIFI OLD" xfId="824" xr:uid="{00000000-0005-0000-0000-0000F8010000}"/>
    <cellStyle name="_Currency_SIFINEW" xfId="825" xr:uid="{00000000-0005-0000-0000-0000F9010000}"/>
    <cellStyle name="_Currency_SIFINEW 2" xfId="826" xr:uid="{00000000-0005-0000-0000-0000FA010000}"/>
    <cellStyle name="_Currency_SIFINEW 3" xfId="827" xr:uid="{00000000-0005-0000-0000-0000FB010000}"/>
    <cellStyle name="_Currency_Sketch5 - Montana Impact" xfId="828" xr:uid="{00000000-0005-0000-0000-0000FC010000}"/>
    <cellStyle name="_Currency_Sketch5 - Montana Impact 2" xfId="829" xr:uid="{00000000-0005-0000-0000-0000FD010000}"/>
    <cellStyle name="_Currency_Sketch5 - Montana Impact 3" xfId="830" xr:uid="{00000000-0005-0000-0000-0000FE010000}"/>
    <cellStyle name="_Currency_Smiths Group" xfId="831" xr:uid="{00000000-0005-0000-0000-0000FF010000}"/>
    <cellStyle name="_Currency_Smiths Group - OLD" xfId="832" xr:uid="{00000000-0005-0000-0000-000000020000}"/>
    <cellStyle name="_Currency_Status Quo" xfId="833" xr:uid="{00000000-0005-0000-0000-000001020000}"/>
    <cellStyle name="_Currency_Status Quo 2" xfId="834" xr:uid="{00000000-0005-0000-0000-000002020000}"/>
    <cellStyle name="_Currency_Status Quo 3" xfId="835" xr:uid="{00000000-0005-0000-0000-000003020000}"/>
    <cellStyle name="_Currency_Stock-QTR1 FDS" xfId="128" xr:uid="{00000000-0005-0000-0000-000004020000}"/>
    <cellStyle name="_Currency_T - new" xfId="836" xr:uid="{00000000-0005-0000-0000-000005020000}"/>
    <cellStyle name="_Currency_T - new_Copy of IFRS consol ABB Final Version4" xfId="837" xr:uid="{00000000-0005-0000-0000-000006020000}"/>
    <cellStyle name="_Currency_TMK" xfId="129" xr:uid="{00000000-0005-0000-0000-000007020000}"/>
    <cellStyle name="_Currency_Updated Valuation Changes" xfId="130" xr:uid="{00000000-0005-0000-0000-000008020000}"/>
    <cellStyle name="_Currency_Vague LBO Model - 19 July 2001" xfId="838" xr:uid="{00000000-0005-0000-0000-000009020000}"/>
    <cellStyle name="_Currency_Vague LBO Model - 19 July 2001 2" xfId="839" xr:uid="{00000000-0005-0000-0000-00000A020000}"/>
    <cellStyle name="_Currency_Vague LBO Model - 19 July 2001 3" xfId="840" xr:uid="{00000000-0005-0000-0000-00000B020000}"/>
    <cellStyle name="_Currency_Valuation Graphs" xfId="131" xr:uid="{00000000-0005-0000-0000-00000C020000}"/>
    <cellStyle name="_Currency_Valuation Metrics" xfId="841" xr:uid="{00000000-0005-0000-0000-00000D020000}"/>
    <cellStyle name="_Currency_Valuation Metrics 2" xfId="842" xr:uid="{00000000-0005-0000-0000-00000E020000}"/>
    <cellStyle name="_Currency_Valuation Metrics 3" xfId="843" xr:uid="{00000000-0005-0000-0000-00000F020000}"/>
    <cellStyle name="_Currency_Vinci" xfId="844" xr:uid="{00000000-0005-0000-0000-000010020000}"/>
    <cellStyle name="_Currency_VZ" xfId="845" xr:uid="{00000000-0005-0000-0000-000011020000}"/>
    <cellStyle name="_Currency_VZ_Copy of IFRS consol ABB Final Version4" xfId="846" xr:uid="{00000000-0005-0000-0000-000012020000}"/>
    <cellStyle name="_Currency_VZW" xfId="847" xr:uid="{00000000-0005-0000-0000-000013020000}"/>
    <cellStyle name="_Currency_VZW_Copy of IFRS consol ABB Final Version4" xfId="848" xr:uid="{00000000-0005-0000-0000-000014020000}"/>
    <cellStyle name="_Currency_WACC" xfId="849" xr:uid="{00000000-0005-0000-0000-000015020000}"/>
    <cellStyle name="_Currency_WACC 2" xfId="850" xr:uid="{00000000-0005-0000-0000-000016020000}"/>
    <cellStyle name="_Currency_WACC 3" xfId="851" xr:uid="{00000000-0005-0000-0000-000017020000}"/>
    <cellStyle name="_Currency_xratio - historical mkt val" xfId="132" xr:uid="{00000000-0005-0000-0000-000018020000}"/>
    <cellStyle name="_CurrencySpace" xfId="133" xr:uid="{00000000-0005-0000-0000-000019020000}"/>
    <cellStyle name="_CurrencySpace 2" xfId="852" xr:uid="{00000000-0005-0000-0000-00001A020000}"/>
    <cellStyle name="_CurrencySpace 3" xfId="853" xr:uid="{00000000-0005-0000-0000-00001B020000}"/>
    <cellStyle name="_CurrencySpace_01 adj for merger plan" xfId="134" xr:uid="{00000000-0005-0000-0000-00001C020000}"/>
    <cellStyle name="_CurrencySpace_2001 YTD Performance" xfId="854" xr:uid="{00000000-0005-0000-0000-00001D020000}"/>
    <cellStyle name="_CurrencySpace_2001 YTD Performance 2" xfId="855" xr:uid="{00000000-0005-0000-0000-00001E020000}"/>
    <cellStyle name="_CurrencySpace_2001 YTD Performance 3" xfId="856" xr:uid="{00000000-0005-0000-0000-00001F020000}"/>
    <cellStyle name="_CurrencySpace_Ability to Pay Analysis" xfId="135" xr:uid="{00000000-0005-0000-0000-000020020000}"/>
    <cellStyle name="_CurrencySpace_ABP1" xfId="857" xr:uid="{00000000-0005-0000-0000-000021020000}"/>
    <cellStyle name="_CurrencySpace_ABP1 2" xfId="858" xr:uid="{00000000-0005-0000-0000-000022020000}"/>
    <cellStyle name="_CurrencySpace_ABP1 3" xfId="859" xr:uid="{00000000-0005-0000-0000-000023020000}"/>
    <cellStyle name="_CurrencySpace_Aero DCF" xfId="860" xr:uid="{00000000-0005-0000-0000-000024020000}"/>
    <cellStyle name="_CurrencySpace_Aero DCF 2" xfId="861" xr:uid="{00000000-0005-0000-0000-000025020000}"/>
    <cellStyle name="_CurrencySpace_Aero DCF 3" xfId="862" xr:uid="{00000000-0005-0000-0000-000026020000}"/>
    <cellStyle name="_CurrencySpace_AFL" xfId="136" xr:uid="{00000000-0005-0000-0000-000027020000}"/>
    <cellStyle name="_CurrencySpace_AIZ" xfId="137" xr:uid="{00000000-0005-0000-0000-000028020000}"/>
    <cellStyle name="_CurrencySpace_Alstom WIP Bhavna" xfId="863" xr:uid="{00000000-0005-0000-0000-000029020000}"/>
    <cellStyle name="_CurrencySpace_Alstom WIP Bhavna 2" xfId="864" xr:uid="{00000000-0005-0000-0000-00002A020000}"/>
    <cellStyle name="_CurrencySpace_AMP" xfId="138" xr:uid="{00000000-0005-0000-0000-00002B020000}"/>
    <cellStyle name="_CurrencySpace_ASF" xfId="865" xr:uid="{00000000-0005-0000-0000-00002C020000}"/>
    <cellStyle name="_CurrencySpace_ASF 2" xfId="866" xr:uid="{00000000-0005-0000-0000-00002D020000}"/>
    <cellStyle name="_CurrencySpace_ASF 3" xfId="867" xr:uid="{00000000-0005-0000-0000-00002E020000}"/>
    <cellStyle name="_CurrencySpace_ASF1" xfId="868" xr:uid="{00000000-0005-0000-0000-00002F020000}"/>
    <cellStyle name="_CurrencySpace_ASF1 2" xfId="869" xr:uid="{00000000-0005-0000-0000-000030020000}"/>
    <cellStyle name="_CurrencySpace_ASF1 3" xfId="870" xr:uid="{00000000-0005-0000-0000-000031020000}"/>
    <cellStyle name="_CurrencySpace_Assa CF" xfId="871" xr:uid="{00000000-0005-0000-0000-000032020000}"/>
    <cellStyle name="_CurrencySpace_Assa CF 2" xfId="872" xr:uid="{00000000-0005-0000-0000-000033020000}"/>
    <cellStyle name="_CurrencySpace_Assa CF 3" xfId="873" xr:uid="{00000000-0005-0000-0000-000034020000}"/>
    <cellStyle name="_CurrencySpace_Assa Reference" xfId="874" xr:uid="{00000000-0005-0000-0000-000035020000}"/>
    <cellStyle name="_CurrencySpace_Assa Reference 2" xfId="875" xr:uid="{00000000-0005-0000-0000-000036020000}"/>
    <cellStyle name="_CurrencySpace_Assa Reference 3" xfId="876" xr:uid="{00000000-0005-0000-0000-000037020000}"/>
    <cellStyle name="_CurrencySpace_Assa vs Competition" xfId="877" xr:uid="{00000000-0005-0000-0000-000038020000}"/>
    <cellStyle name="_CurrencySpace_Assa vs Competition 2" xfId="878" xr:uid="{00000000-0005-0000-0000-000039020000}"/>
    <cellStyle name="_CurrencySpace_Assa vs Competition 3" xfId="879" xr:uid="{00000000-0005-0000-0000-00003A020000}"/>
    <cellStyle name="_CurrencySpace_AVP" xfId="880" xr:uid="{00000000-0005-0000-0000-00003B020000}"/>
    <cellStyle name="_CurrencySpace_AVP 2" xfId="881" xr:uid="{00000000-0005-0000-0000-00003C020000}"/>
    <cellStyle name="_CurrencySpace_AVP 3" xfId="882" xr:uid="{00000000-0005-0000-0000-00003D020000}"/>
    <cellStyle name="_CurrencySpace_BAE_model_new" xfId="883" xr:uid="{00000000-0005-0000-0000-00003E020000}"/>
    <cellStyle name="_CurrencySpace_BAE_model_new 2" xfId="884" xr:uid="{00000000-0005-0000-0000-00003F020000}"/>
    <cellStyle name="_CurrencySpace_BAE_model_new 3" xfId="885" xr:uid="{00000000-0005-0000-0000-000040020000}"/>
    <cellStyle name="_CurrencySpace_Balance Sheet" xfId="139" xr:uid="{00000000-0005-0000-0000-000041020000}"/>
    <cellStyle name="_CurrencySpace_BHI" xfId="886" xr:uid="{00000000-0005-0000-0000-000042020000}"/>
    <cellStyle name="_CurrencySpace_BHI_Copy of IFRS consol ABB Final Version4" xfId="887" xr:uid="{00000000-0005-0000-0000-000043020000}"/>
    <cellStyle name="_CurrencySpace_bls roic" xfId="888" xr:uid="{00000000-0005-0000-0000-000044020000}"/>
    <cellStyle name="_CurrencySpace_bls roic_Copy of IFRS consol ABB Final Version4" xfId="889" xr:uid="{00000000-0005-0000-0000-000045020000}"/>
    <cellStyle name="_CurrencySpace_Book1" xfId="140" xr:uid="{00000000-0005-0000-0000-000046020000}"/>
    <cellStyle name="_CurrencySpace_Book1 2" xfId="890" xr:uid="{00000000-0005-0000-0000-000047020000}"/>
    <cellStyle name="_CurrencySpace_Book1 3" xfId="891" xr:uid="{00000000-0005-0000-0000-000048020000}"/>
    <cellStyle name="_CurrencySpace_Book1_1" xfId="892" xr:uid="{00000000-0005-0000-0000-000049020000}"/>
    <cellStyle name="_CurrencySpace_Book1_1 2" xfId="893" xr:uid="{00000000-0005-0000-0000-00004A020000}"/>
    <cellStyle name="_CurrencySpace_Book1_1 3" xfId="894" xr:uid="{00000000-0005-0000-0000-00004B020000}"/>
    <cellStyle name="_CurrencySpace_Book1_WACC" xfId="895" xr:uid="{00000000-0005-0000-0000-00004C020000}"/>
    <cellStyle name="_CurrencySpace_Book1_WACC 2" xfId="896" xr:uid="{00000000-0005-0000-0000-00004D020000}"/>
    <cellStyle name="_CurrencySpace_Book1_WACC 3" xfId="897" xr:uid="{00000000-0005-0000-0000-00004E020000}"/>
    <cellStyle name="_CurrencySpace_Book29" xfId="141" xr:uid="{00000000-0005-0000-0000-00004F020000}"/>
    <cellStyle name="_CurrencySpace_Book3" xfId="142" xr:uid="{00000000-0005-0000-0000-000050020000}"/>
    <cellStyle name="_CurrencySpace_Book3_1" xfId="143" xr:uid="{00000000-0005-0000-0000-000051020000}"/>
    <cellStyle name="_CurrencySpace_capital expenditures 6-18-02" xfId="898" xr:uid="{00000000-0005-0000-0000-000052020000}"/>
    <cellStyle name="_CurrencySpace_capital expenditures 6-18-02_Copy of IFRS consol ABB Final Version4" xfId="899" xr:uid="{00000000-0005-0000-0000-000053020000}"/>
    <cellStyle name="_CurrencySpace_CNO" xfId="144" xr:uid="{00000000-0005-0000-0000-000054020000}"/>
    <cellStyle name="_CurrencySpace_Comdot - gStyle Excel Slides" xfId="900" xr:uid="{00000000-0005-0000-0000-000055020000}"/>
    <cellStyle name="_CurrencySpace_Comdot - gStyle Excel Slides 2" xfId="901" xr:uid="{00000000-0005-0000-0000-000056020000}"/>
    <cellStyle name="_CurrencySpace_Comdot - gStyle Excel Slides 3" xfId="902" xr:uid="{00000000-0005-0000-0000-000057020000}"/>
    <cellStyle name="_CurrencySpace_Comdot LBO Short Form - v3" xfId="903" xr:uid="{00000000-0005-0000-0000-000058020000}"/>
    <cellStyle name="_CurrencySpace_Comdot LBO Short Form - v3 2" xfId="904" xr:uid="{00000000-0005-0000-0000-000059020000}"/>
    <cellStyle name="_CurrencySpace_Comdot LBO Short Form - v3 3" xfId="905" xr:uid="{00000000-0005-0000-0000-00005A020000}"/>
    <cellStyle name="_CurrencySpace_contribution_analysis" xfId="906" xr:uid="{00000000-0005-0000-0000-00005B020000}"/>
    <cellStyle name="_CurrencySpace_Copy of Spirent_now" xfId="907" xr:uid="{00000000-0005-0000-0000-00005C020000}"/>
    <cellStyle name="_CurrencySpace_Copy of Spirent_now 2" xfId="908" xr:uid="{00000000-0005-0000-0000-00005D020000}"/>
    <cellStyle name="_CurrencySpace_Copy of Spirent_now 3" xfId="909" xr:uid="{00000000-0005-0000-0000-00005E020000}"/>
    <cellStyle name="_CurrencySpace_CSC AVP Merger Plan" xfId="910" xr:uid="{00000000-0005-0000-0000-00005F020000}"/>
    <cellStyle name="_CurrencySpace_CSC AVP Merger Plan 2" xfId="911" xr:uid="{00000000-0005-0000-0000-000060020000}"/>
    <cellStyle name="_CurrencySpace_CSC AVP Merger Plan 3" xfId="912" xr:uid="{00000000-0005-0000-0000-000061020000}"/>
    <cellStyle name="_CurrencySpace_CSC_Picabia_29062001" xfId="913" xr:uid="{00000000-0005-0000-0000-000062020000}"/>
    <cellStyle name="_CurrencySpace_CSC_Picabia_29062001 2" xfId="914" xr:uid="{00000000-0005-0000-0000-000063020000}"/>
    <cellStyle name="_CurrencySpace_CSC_Picabia_29062001 3" xfId="915" xr:uid="{00000000-0005-0000-0000-000064020000}"/>
    <cellStyle name="_CurrencySpace_Current Valuations" xfId="916" xr:uid="{00000000-0005-0000-0000-000065020000}"/>
    <cellStyle name="_CurrencySpace_Current Valuations 2" xfId="917" xr:uid="{00000000-0005-0000-0000-000066020000}"/>
    <cellStyle name="_CurrencySpace_Current Valuations 3" xfId="918" xr:uid="{00000000-0005-0000-0000-000067020000}"/>
    <cellStyle name="_CurrencySpace_DCF - July 2, 2001" xfId="919" xr:uid="{00000000-0005-0000-0000-000068020000}"/>
    <cellStyle name="_CurrencySpace_DCF - July 2, 2001 2" xfId="920" xr:uid="{00000000-0005-0000-0000-000069020000}"/>
    <cellStyle name="_CurrencySpace_DCF - July 2, 2001 3" xfId="921" xr:uid="{00000000-0005-0000-0000-00006A020000}"/>
    <cellStyle name="_CurrencySpace_DCF Alexander Forbes" xfId="145" xr:uid="{00000000-0005-0000-0000-00006B020000}"/>
    <cellStyle name="_CurrencySpace_Earnings growth track record" xfId="922" xr:uid="{00000000-0005-0000-0000-00006C020000}"/>
    <cellStyle name="_CurrencySpace_Earnings growth track record 2" xfId="923" xr:uid="{00000000-0005-0000-0000-00006D020000}"/>
    <cellStyle name="_CurrencySpace_Earnings growth track record 3" xfId="924" xr:uid="{00000000-0005-0000-0000-00006E020000}"/>
    <cellStyle name="_CurrencySpace_Electrolux CF" xfId="925" xr:uid="{00000000-0005-0000-0000-00006F020000}"/>
    <cellStyle name="_CurrencySpace_Electrolux CF 2" xfId="926" xr:uid="{00000000-0005-0000-0000-000070020000}"/>
    <cellStyle name="_CurrencySpace_Electrolux MW" xfId="927" xr:uid="{00000000-0005-0000-0000-000071020000}"/>
    <cellStyle name="_CurrencySpace_Electrolux MW 2" xfId="928" xr:uid="{00000000-0005-0000-0000-000072020000}"/>
    <cellStyle name="_CurrencySpace_Electrolux Old Nick Paton Mark Wilson Model" xfId="929" xr:uid="{00000000-0005-0000-0000-000073020000}"/>
    <cellStyle name="_CurrencySpace_Electrolux Old Nick Paton Mark Wilson Model 2" xfId="930" xr:uid="{00000000-0005-0000-0000-000074020000}"/>
    <cellStyle name="_CurrencySpace_Electrolux WIP Bhavna" xfId="931" xr:uid="{00000000-0005-0000-0000-000075020000}"/>
    <cellStyle name="_CurrencySpace_Electrolux WIP Bhavna 2" xfId="932" xr:uid="{00000000-0005-0000-0000-000076020000}"/>
    <cellStyle name="_CurrencySpace_Eng" xfId="933" xr:uid="{00000000-0005-0000-0000-000077020000}"/>
    <cellStyle name="_CurrencySpace_Eng 2" xfId="934" xr:uid="{00000000-0005-0000-0000-000078020000}"/>
    <cellStyle name="_CurrencySpace_Eng 3" xfId="935" xr:uid="{00000000-0005-0000-0000-000079020000}"/>
    <cellStyle name="_CurrencySpace_Finmeccanica" xfId="936" xr:uid="{00000000-0005-0000-0000-00007A020000}"/>
    <cellStyle name="_CurrencySpace_Finmeccanica SOP" xfId="937" xr:uid="{00000000-0005-0000-0000-00007B020000}"/>
    <cellStyle name="_CurrencySpace_fmbi counties" xfId="146" xr:uid="{00000000-0005-0000-0000-00007C020000}"/>
    <cellStyle name="_CurrencySpace_FMBI MBHI Graphs" xfId="147" xr:uid="{00000000-0005-0000-0000-00007D020000}"/>
    <cellStyle name="_CurrencySpace_FMBI MBHI Graphs 07102001" xfId="148" xr:uid="{00000000-0005-0000-0000-00007E020000}"/>
    <cellStyle name="_CurrencySpace_FMBI MBHI Graphs_7601" xfId="149" xr:uid="{00000000-0005-0000-0000-00007F020000}"/>
    <cellStyle name="_CurrencySpace_GNW" xfId="150" xr:uid="{00000000-0005-0000-0000-000080020000}"/>
    <cellStyle name="_CurrencySpace_Insurance Brokerage CSC_1Q2002" xfId="151" xr:uid="{00000000-0005-0000-0000-000081020000}"/>
    <cellStyle name="_CurrencySpace_integrated_standalone_ba" xfId="938" xr:uid="{00000000-0005-0000-0000-000082020000}"/>
    <cellStyle name="_CurrencySpace_integrated_standalone_ba 2" xfId="939" xr:uid="{00000000-0005-0000-0000-000083020000}"/>
    <cellStyle name="_CurrencySpace_integrated_standalone_ba 3" xfId="940" xr:uid="{00000000-0005-0000-0000-000084020000}"/>
    <cellStyle name="_CurrencySpace_JP" xfId="152" xr:uid="{00000000-0005-0000-0000-000085020000}"/>
    <cellStyle name="_CurrencySpace_LBO Model Zannier - 04-09-01" xfId="941" xr:uid="{00000000-0005-0000-0000-000086020000}"/>
    <cellStyle name="_CurrencySpace_LBO Model Zannier - 04-09-01 2" xfId="942" xr:uid="{00000000-0005-0000-0000-000087020000}"/>
    <cellStyle name="_CurrencySpace_LBO Model Zannier - 04-09-01 3" xfId="943" xr:uid="{00000000-0005-0000-0000-000088020000}"/>
    <cellStyle name="_CurrencySpace_LNC" xfId="153" xr:uid="{00000000-0005-0000-0000-000089020000}"/>
    <cellStyle name="_CurrencySpace_MET" xfId="154" xr:uid="{00000000-0005-0000-0000-00008A020000}"/>
    <cellStyle name="_CurrencySpace_MET04" xfId="155" xr:uid="{00000000-0005-0000-0000-00008B020000}"/>
    <cellStyle name="_CurrencySpace_Model Vague 07 conso - Dannaud" xfId="944" xr:uid="{00000000-0005-0000-0000-00008C020000}"/>
    <cellStyle name="_CurrencySpace_Model Vague 07 conso - Dannaud 2" xfId="945" xr:uid="{00000000-0005-0000-0000-00008D020000}"/>
    <cellStyle name="_CurrencySpace_Model Vague 07 conso - Dannaud 3" xfId="946" xr:uid="{00000000-0005-0000-0000-00008E020000}"/>
    <cellStyle name="_CurrencySpace_MTU Aero Engines" xfId="947" xr:uid="{00000000-0005-0000-0000-00008F020000}"/>
    <cellStyle name="_CurrencySpace_MTU Aero Engines 2" xfId="948" xr:uid="{00000000-0005-0000-0000-000090020000}"/>
    <cellStyle name="_CurrencySpace_MTU Aero Engines 3" xfId="949" xr:uid="{00000000-0005-0000-0000-000091020000}"/>
    <cellStyle name="_CurrencySpace_MTU Aero EnginesMICHA EVENING6" xfId="950" xr:uid="{00000000-0005-0000-0000-000092020000}"/>
    <cellStyle name="_CurrencySpace_MTU Aero EnginesMICHA EVENING6 2" xfId="951" xr:uid="{00000000-0005-0000-0000-000093020000}"/>
    <cellStyle name="_CurrencySpace_MTU Aero EnginesMICHA EVENING6 3" xfId="952" xr:uid="{00000000-0005-0000-0000-000094020000}"/>
    <cellStyle name="_CurrencySpace_MTU FX sheet" xfId="953" xr:uid="{00000000-0005-0000-0000-000095020000}"/>
    <cellStyle name="_CurrencySpace_MTU FX sheet 2" xfId="954" xr:uid="{00000000-0005-0000-0000-000096020000}"/>
    <cellStyle name="_CurrencySpace_MTU FX sheet 3" xfId="955" xr:uid="{00000000-0005-0000-0000-000097020000}"/>
    <cellStyle name="_CurrencySpace_NFS" xfId="156" xr:uid="{00000000-0005-0000-0000-000098020000}"/>
    <cellStyle name="_CurrencySpace_output" xfId="956" xr:uid="{00000000-0005-0000-0000-000099020000}"/>
    <cellStyle name="_CurrencySpace_output 2" xfId="957" xr:uid="{00000000-0005-0000-0000-00009A020000}"/>
    <cellStyle name="_CurrencySpace_output 3" xfId="958" xr:uid="{00000000-0005-0000-0000-00009B020000}"/>
    <cellStyle name="_CurrencySpace_Overview3" xfId="157" xr:uid="{00000000-0005-0000-0000-00009C020000}"/>
    <cellStyle name="_CurrencySpace_phil data" xfId="158" xr:uid="{00000000-0005-0000-0000-00009D020000}"/>
    <cellStyle name="_CurrencySpace_Price Performance Charts" xfId="159" xr:uid="{00000000-0005-0000-0000-00009E020000}"/>
    <cellStyle name="_CurrencySpace_PRU" xfId="160" xr:uid="{00000000-0005-0000-0000-00009F020000}"/>
    <cellStyle name="_CurrencySpace_PRU04" xfId="161" xr:uid="{00000000-0005-0000-0000-0000A0020000}"/>
    <cellStyle name="_CurrencySpace_RBOC historicals" xfId="959" xr:uid="{00000000-0005-0000-0000-0000A1020000}"/>
    <cellStyle name="_CurrencySpace_RBOC historicals_Copy of IFRS consol ABB Final Version4" xfId="960" xr:uid="{00000000-0005-0000-0000-0000A2020000}"/>
    <cellStyle name="_CurrencySpace_Rheinmetall" xfId="961" xr:uid="{00000000-0005-0000-0000-0000A3020000}"/>
    <cellStyle name="_CurrencySpace_Rheinmetall_1" xfId="962" xr:uid="{00000000-0005-0000-0000-0000A4020000}"/>
    <cellStyle name="_CurrencySpace_Rheinmetall_1 2" xfId="963" xr:uid="{00000000-0005-0000-0000-0000A5020000}"/>
    <cellStyle name="_CurrencySpace_Rheinmetall_1 3" xfId="964" xr:uid="{00000000-0005-0000-0000-0000A6020000}"/>
    <cellStyle name="_CurrencySpace_RHM" xfId="965" xr:uid="{00000000-0005-0000-0000-0000A7020000}"/>
    <cellStyle name="_CurrencySpace_RiskReward" xfId="162" xr:uid="{00000000-0005-0000-0000-0000A8020000}"/>
    <cellStyle name="_CurrencySpace_ROIC" xfId="966" xr:uid="{00000000-0005-0000-0000-0000A9020000}"/>
    <cellStyle name="_CurrencySpace_ROIC 2" xfId="967" xr:uid="{00000000-0005-0000-0000-0000AA020000}"/>
    <cellStyle name="_CurrencySpace_ROIC 3" xfId="968" xr:uid="{00000000-0005-0000-0000-0000AB020000}"/>
    <cellStyle name="_CurrencySpace_Rolls-Royce" xfId="969" xr:uid="{00000000-0005-0000-0000-0000AC020000}"/>
    <cellStyle name="_CurrencySpace_Rolls-Royce Micha" xfId="970" xr:uid="{00000000-0005-0000-0000-0000AD020000}"/>
    <cellStyle name="_CurrencySpace_Rolls-Royce Micha 2" xfId="971" xr:uid="{00000000-0005-0000-0000-0000AE020000}"/>
    <cellStyle name="_CurrencySpace_Rolls-Royce Micha 3" xfId="972" xr:uid="{00000000-0005-0000-0000-0000AF020000}"/>
    <cellStyle name="_CurrencySpace_Rolls-RoyceFINAL130206" xfId="973" xr:uid="{00000000-0005-0000-0000-0000B0020000}"/>
    <cellStyle name="_CurrencySpace_Rolls-RoyceFINAL130206 2" xfId="974" xr:uid="{00000000-0005-0000-0000-0000B1020000}"/>
    <cellStyle name="_CurrencySpace_Rolls-RoyceFINAL130206 3" xfId="975" xr:uid="{00000000-0005-0000-0000-0000B2020000}"/>
    <cellStyle name="_CurrencySpace_RR FY06" xfId="976" xr:uid="{00000000-0005-0000-0000-0000B3020000}"/>
    <cellStyle name="_CurrencySpace_RR FY06 2" xfId="977" xr:uid="{00000000-0005-0000-0000-0000B4020000}"/>
    <cellStyle name="_CurrencySpace_RR FY06 3" xfId="978" xr:uid="{00000000-0005-0000-0000-0000B5020000}"/>
    <cellStyle name="_CurrencySpace_SaabOLD" xfId="979" xr:uid="{00000000-0005-0000-0000-0000B6020000}"/>
    <cellStyle name="_CurrencySpace_Safran" xfId="980" xr:uid="{00000000-0005-0000-0000-0000B7020000}"/>
    <cellStyle name="_CurrencySpace_Safran 2" xfId="981" xr:uid="{00000000-0005-0000-0000-0000B8020000}"/>
    <cellStyle name="_CurrencySpace_Safran 3" xfId="982" xr:uid="{00000000-0005-0000-0000-0000B9020000}"/>
    <cellStyle name="_CurrencySpace_Saft vs Peers" xfId="983" xr:uid="{00000000-0005-0000-0000-0000BA020000}"/>
    <cellStyle name="_CurrencySpace_Saft vs Peers 2" xfId="984" xr:uid="{00000000-0005-0000-0000-0000BB020000}"/>
    <cellStyle name="_CurrencySpace_Saft vs Peers 3" xfId="985" xr:uid="{00000000-0005-0000-0000-0000BC020000}"/>
    <cellStyle name="_CurrencySpace_SFG" xfId="163" xr:uid="{00000000-0005-0000-0000-0000BD020000}"/>
    <cellStyle name="_CurrencySpace_Sheet1" xfId="164" xr:uid="{00000000-0005-0000-0000-0000BE020000}"/>
    <cellStyle name="_CurrencySpace_SIFI OLD" xfId="986" xr:uid="{00000000-0005-0000-0000-0000BF020000}"/>
    <cellStyle name="_CurrencySpace_SIFINEW" xfId="987" xr:uid="{00000000-0005-0000-0000-0000C0020000}"/>
    <cellStyle name="_CurrencySpace_SIFINEW 2" xfId="988" xr:uid="{00000000-0005-0000-0000-0000C1020000}"/>
    <cellStyle name="_CurrencySpace_SIFINEW 3" xfId="989" xr:uid="{00000000-0005-0000-0000-0000C2020000}"/>
    <cellStyle name="_CurrencySpace_Smiths Group" xfId="990" xr:uid="{00000000-0005-0000-0000-0000C3020000}"/>
    <cellStyle name="_CurrencySpace_Smiths Group - OLD" xfId="991" xr:uid="{00000000-0005-0000-0000-0000C4020000}"/>
    <cellStyle name="_CurrencySpace_Status Quo" xfId="992" xr:uid="{00000000-0005-0000-0000-0000C5020000}"/>
    <cellStyle name="_CurrencySpace_Status Quo 2" xfId="993" xr:uid="{00000000-0005-0000-0000-0000C6020000}"/>
    <cellStyle name="_CurrencySpace_Status Quo 3" xfId="994" xr:uid="{00000000-0005-0000-0000-0000C7020000}"/>
    <cellStyle name="_CurrencySpace_Stock-QTR1 FDS" xfId="165" xr:uid="{00000000-0005-0000-0000-0000C8020000}"/>
    <cellStyle name="_CurrencySpace_T - new" xfId="995" xr:uid="{00000000-0005-0000-0000-0000C9020000}"/>
    <cellStyle name="_CurrencySpace_T - new_Copy of IFRS consol ABB Final Version4" xfId="996" xr:uid="{00000000-0005-0000-0000-0000CA020000}"/>
    <cellStyle name="_CurrencySpace_TMK" xfId="166" xr:uid="{00000000-0005-0000-0000-0000CB020000}"/>
    <cellStyle name="_CurrencySpace_Updated Valuation Changes" xfId="167" xr:uid="{00000000-0005-0000-0000-0000CC020000}"/>
    <cellStyle name="_CurrencySpace_Vague LBO Model - 19 July 2001" xfId="997" xr:uid="{00000000-0005-0000-0000-0000CD020000}"/>
    <cellStyle name="_CurrencySpace_Vague LBO Model - 19 July 2001 2" xfId="998" xr:uid="{00000000-0005-0000-0000-0000CE020000}"/>
    <cellStyle name="_CurrencySpace_Vague LBO Model - 19 July 2001 3" xfId="999" xr:uid="{00000000-0005-0000-0000-0000CF020000}"/>
    <cellStyle name="_CurrencySpace_Valuation Graphs" xfId="168" xr:uid="{00000000-0005-0000-0000-0000D0020000}"/>
    <cellStyle name="_CurrencySpace_Veritas Business Cases2" xfId="1000" xr:uid="{00000000-0005-0000-0000-0000D1020000}"/>
    <cellStyle name="_CurrencySpace_Veritas Business Cases2 2" xfId="1001" xr:uid="{00000000-0005-0000-0000-0000D2020000}"/>
    <cellStyle name="_CurrencySpace_Veritas Business Cases2 3" xfId="1002" xr:uid="{00000000-0005-0000-0000-0000D3020000}"/>
    <cellStyle name="_CurrencySpace_Vinci" xfId="1003" xr:uid="{00000000-0005-0000-0000-0000D4020000}"/>
    <cellStyle name="_CurrencySpace_WPP_YNR_merger_plans" xfId="1004" xr:uid="{00000000-0005-0000-0000-0000D5020000}"/>
    <cellStyle name="_CurrencySpace_WPP_YNR_merger_plans 2" xfId="1005" xr:uid="{00000000-0005-0000-0000-0000D6020000}"/>
    <cellStyle name="_CurrencySpace_WPP_YNR_merger_plans 3" xfId="1006" xr:uid="{00000000-0005-0000-0000-0000D7020000}"/>
    <cellStyle name="_CurrencySpace_xratio - historical mkt val" xfId="169" xr:uid="{00000000-0005-0000-0000-0000D8020000}"/>
    <cellStyle name="_DCF" xfId="1007" xr:uid="{00000000-0005-0000-0000-0000D9020000}"/>
    <cellStyle name="_Dollar" xfId="170" xr:uid="{00000000-0005-0000-0000-0000DA020000}"/>
    <cellStyle name="_Dollar 2" xfId="1008" xr:uid="{00000000-0005-0000-0000-0000DB020000}"/>
    <cellStyle name="_Dollar 3" xfId="1009" xr:uid="{00000000-0005-0000-0000-0000DC020000}"/>
    <cellStyle name="_Dollar_October 12 - BIG CSC Auto update" xfId="1010" xr:uid="{00000000-0005-0000-0000-0000DD020000}"/>
    <cellStyle name="_Dollar_October 12 - BIG CSC Auto update 2" xfId="1011" xr:uid="{00000000-0005-0000-0000-0000DE020000}"/>
    <cellStyle name="_Dollar_October 12 - BIG CSC Auto update 3" xfId="1012" xr:uid="{00000000-0005-0000-0000-0000DF020000}"/>
    <cellStyle name="_easyJet1" xfId="1013" xr:uid="{00000000-0005-0000-0000-0000E0020000}"/>
    <cellStyle name="_easyJet1 2" xfId="1014" xr:uid="{00000000-0005-0000-0000-0000E1020000}"/>
    <cellStyle name="_easyJet1 3" xfId="1015" xr:uid="{00000000-0005-0000-0000-0000E2020000}"/>
    <cellStyle name="_Eng" xfId="1016" xr:uid="{00000000-0005-0000-0000-0000E3020000}"/>
    <cellStyle name="_Eng 2" xfId="1017" xr:uid="{00000000-0005-0000-0000-0000E4020000}"/>
    <cellStyle name="_Eng 3" xfId="1018" xr:uid="{00000000-0005-0000-0000-0000E5020000}"/>
    <cellStyle name="_e-plus debt - Machado1" xfId="1019" xr:uid="{00000000-0005-0000-0000-0000E6020000}"/>
    <cellStyle name="_e-plus debt - Machado1 2" xfId="1020" xr:uid="{00000000-0005-0000-0000-0000E7020000}"/>
    <cellStyle name="_e-plus debt - Machado1 3" xfId="1021" xr:uid="{00000000-0005-0000-0000-0000E8020000}"/>
    <cellStyle name="_Euro" xfId="171" xr:uid="{00000000-0005-0000-0000-0000E9020000}"/>
    <cellStyle name="_Euro 2" xfId="1022" xr:uid="{00000000-0005-0000-0000-0000EA020000}"/>
    <cellStyle name="_Euro 3" xfId="1023" xr:uid="{00000000-0005-0000-0000-0000EB020000}"/>
    <cellStyle name="_Euro_Atlas Copco CF" xfId="1024" xr:uid="{00000000-0005-0000-0000-0000EC020000}"/>
    <cellStyle name="_Euro_Atlas Copco CF 2" xfId="1025" xr:uid="{00000000-0005-0000-0000-0000ED020000}"/>
    <cellStyle name="_Euro_Copy of IFRS consol ABB Final Version4" xfId="1026" xr:uid="{00000000-0005-0000-0000-0000EE020000}"/>
    <cellStyle name="_Euro_CROCI" xfId="1027" xr:uid="{00000000-0005-0000-0000-0000EF020000}"/>
    <cellStyle name="_Euro_CROCI 2" xfId="1028" xr:uid="{00000000-0005-0000-0000-0000F0020000}"/>
    <cellStyle name="_Euro_Electrolux CF" xfId="1029" xr:uid="{00000000-0005-0000-0000-0000F1020000}"/>
    <cellStyle name="_Euro_Electrolux CF 2" xfId="1030" xr:uid="{00000000-0005-0000-0000-0000F2020000}"/>
    <cellStyle name="_Euro_Request Template" xfId="1031" xr:uid="{00000000-0005-0000-0000-0000F3020000}"/>
    <cellStyle name="_Europe" xfId="1032" xr:uid="{00000000-0005-0000-0000-0000F4020000}"/>
    <cellStyle name="_Europe 2" xfId="1033" xr:uid="{00000000-0005-0000-0000-0000F5020000}"/>
    <cellStyle name="_Heading" xfId="172" xr:uid="{00000000-0005-0000-0000-0000F6020000}"/>
    <cellStyle name="_Heading_Alstom WIP Bhavna" xfId="1034" xr:uid="{00000000-0005-0000-0000-0000F7020000}"/>
    <cellStyle name="_Heading_Alstom WIP Bhavna 2" xfId="1035" xr:uid="{00000000-0005-0000-0000-0000F8020000}"/>
    <cellStyle name="_Heading_ASF interim sheet" xfId="1036" xr:uid="{00000000-0005-0000-0000-0000F9020000}"/>
    <cellStyle name="_Heading_ASF interim sheet 2" xfId="1037" xr:uid="{00000000-0005-0000-0000-0000FA020000}"/>
    <cellStyle name="_Heading_ASF interim sheet 3" xfId="1038" xr:uid="{00000000-0005-0000-0000-0000FB020000}"/>
    <cellStyle name="_Heading_Assa CF" xfId="1039" xr:uid="{00000000-0005-0000-0000-0000FC020000}"/>
    <cellStyle name="_Heading_Assa CF 2" xfId="1040" xr:uid="{00000000-0005-0000-0000-0000FD020000}"/>
    <cellStyle name="_Heading_Assa CF 3" xfId="1041" xr:uid="{00000000-0005-0000-0000-0000FE020000}"/>
    <cellStyle name="_Heading_Assa Reference" xfId="1042" xr:uid="{00000000-0005-0000-0000-0000FF020000}"/>
    <cellStyle name="_Heading_Assa Reference 2" xfId="1043" xr:uid="{00000000-0005-0000-0000-000000030000}"/>
    <cellStyle name="_Heading_Assa Reference 3" xfId="1044" xr:uid="{00000000-0005-0000-0000-000001030000}"/>
    <cellStyle name="_Heading_BAE Systems" xfId="1045" xr:uid="{00000000-0005-0000-0000-000002030000}"/>
    <cellStyle name="_Heading_BAE Systems 2" xfId="1046" xr:uid="{00000000-0005-0000-0000-000003030000}"/>
    <cellStyle name="_Heading_BAE Systems 3" xfId="1047" xr:uid="{00000000-0005-0000-0000-000004030000}"/>
    <cellStyle name="_Heading_BLS" xfId="1048" xr:uid="{00000000-0005-0000-0000-000005030000}"/>
    <cellStyle name="_Heading_bls roic" xfId="1049" xr:uid="{00000000-0005-0000-0000-000006030000}"/>
    <cellStyle name="_Heading_bls roic 2" xfId="1050" xr:uid="{00000000-0005-0000-0000-000007030000}"/>
    <cellStyle name="_Heading_Book9" xfId="1051" xr:uid="{00000000-0005-0000-0000-000008030000}"/>
    <cellStyle name="_Heading_Broadband Comps" xfId="1052" xr:uid="{00000000-0005-0000-0000-000009030000}"/>
    <cellStyle name="_Heading_capital expenditures 6-18-02" xfId="1053" xr:uid="{00000000-0005-0000-0000-00000A030000}"/>
    <cellStyle name="_Heading_capital expenditures 6-18-02 2" xfId="1054" xr:uid="{00000000-0005-0000-0000-00000B030000}"/>
    <cellStyle name="_Heading_Civil" xfId="1055" xr:uid="{00000000-0005-0000-0000-00000C030000}"/>
    <cellStyle name="_Heading_Civil 2" xfId="1056" xr:uid="{00000000-0005-0000-0000-00000D030000}"/>
    <cellStyle name="_Heading_Civil 3" xfId="1057" xr:uid="{00000000-0005-0000-0000-00000E030000}"/>
    <cellStyle name="_Heading_Copy of IFRS consol ABB Final Version4" xfId="1058" xr:uid="{00000000-0005-0000-0000-00000F030000}"/>
    <cellStyle name="_Heading_CROCI" xfId="1059" xr:uid="{00000000-0005-0000-0000-000010030000}"/>
    <cellStyle name="_Heading_CROCI 2" xfId="1060" xr:uid="{00000000-0005-0000-0000-000011030000}"/>
    <cellStyle name="_Heading_CTCO" xfId="1061" xr:uid="{00000000-0005-0000-0000-000012030000}"/>
    <cellStyle name="_Heading_Date of fillings" xfId="1062" xr:uid="{00000000-0005-0000-0000-000013030000}"/>
    <cellStyle name="_Heading_easyJet1" xfId="1063" xr:uid="{00000000-0005-0000-0000-000014030000}"/>
    <cellStyle name="_Heading_easyJet1 2" xfId="1064" xr:uid="{00000000-0005-0000-0000-000015030000}"/>
    <cellStyle name="_Heading_easyJet1 3" xfId="1065" xr:uid="{00000000-0005-0000-0000-000016030000}"/>
    <cellStyle name="_Heading_Electrolux CF" xfId="1066" xr:uid="{00000000-0005-0000-0000-000017030000}"/>
    <cellStyle name="_Heading_Electrolux MW" xfId="1067" xr:uid="{00000000-0005-0000-0000-000018030000}"/>
    <cellStyle name="_Heading_Electrolux MW 2" xfId="1068" xr:uid="{00000000-0005-0000-0000-000019030000}"/>
    <cellStyle name="_Heading_Electrolux Old Nick Paton Mark Wilson Model" xfId="1069" xr:uid="{00000000-0005-0000-0000-00001A030000}"/>
    <cellStyle name="_Heading_Electrolux WIP Bhavna" xfId="1070" xr:uid="{00000000-0005-0000-0000-00001B030000}"/>
    <cellStyle name="_Heading_Finmeccanica" xfId="1071" xr:uid="{00000000-0005-0000-0000-00001C030000}"/>
    <cellStyle name="_Heading_Finmeccanica 2" xfId="1072" xr:uid="{00000000-0005-0000-0000-00001D030000}"/>
    <cellStyle name="_Heading_Finmeccanica 3" xfId="1073" xr:uid="{00000000-0005-0000-0000-00001E030000}"/>
    <cellStyle name="_Heading_Finmeccanica SOP" xfId="1074" xr:uid="{00000000-0005-0000-0000-00001F030000}"/>
    <cellStyle name="_Heading_Finmeccanica SOP 2" xfId="1075" xr:uid="{00000000-0005-0000-0000-000020030000}"/>
    <cellStyle name="_Heading_Finmeccanica SOP 3" xfId="1076" xr:uid="{00000000-0005-0000-0000-000021030000}"/>
    <cellStyle name="_Heading_prestemp" xfId="173" xr:uid="{00000000-0005-0000-0000-000022030000}"/>
    <cellStyle name="_Heading_Q" xfId="1077" xr:uid="{00000000-0005-0000-0000-000023030000}"/>
    <cellStyle name="_Heading_q - new guidance" xfId="1078" xr:uid="{00000000-0005-0000-0000-000024030000}"/>
    <cellStyle name="_Heading_q - valuation" xfId="1079" xr:uid="{00000000-0005-0000-0000-000025030000}"/>
    <cellStyle name="_Heading_Q model_041802" xfId="1080" xr:uid="{00000000-0005-0000-0000-000026030000}"/>
    <cellStyle name="_Heading_Q_update" xfId="1081" xr:uid="{00000000-0005-0000-0000-000027030000}"/>
    <cellStyle name="_Heading_Qwest Analysis" xfId="1082" xr:uid="{00000000-0005-0000-0000-000028030000}"/>
    <cellStyle name="_Heading_RBOC historicals" xfId="1083" xr:uid="{00000000-0005-0000-0000-000029030000}"/>
    <cellStyle name="_Heading_RBOC historicals 2" xfId="1084" xr:uid="{00000000-0005-0000-0000-00002A030000}"/>
    <cellStyle name="_Heading_Rheinmetall" xfId="1085" xr:uid="{00000000-0005-0000-0000-00002B030000}"/>
    <cellStyle name="_Heading_Rheinmetall 2" xfId="1086" xr:uid="{00000000-0005-0000-0000-00002C030000}"/>
    <cellStyle name="_Heading_Rheinmetall 3" xfId="1087" xr:uid="{00000000-0005-0000-0000-00002D030000}"/>
    <cellStyle name="_Heading_RHM" xfId="1088" xr:uid="{00000000-0005-0000-0000-00002E030000}"/>
    <cellStyle name="_Heading_RHM 2" xfId="1089" xr:uid="{00000000-0005-0000-0000-00002F030000}"/>
    <cellStyle name="_Heading_RHM 3" xfId="1090" xr:uid="{00000000-0005-0000-0000-000030030000}"/>
    <cellStyle name="_Heading_ROIC" xfId="1091" xr:uid="{00000000-0005-0000-0000-000031030000}"/>
    <cellStyle name="_Heading_ROIC 2" xfId="1092" xr:uid="{00000000-0005-0000-0000-000032030000}"/>
    <cellStyle name="_Heading_ROIC 3" xfId="1093" xr:uid="{00000000-0005-0000-0000-000033030000}"/>
    <cellStyle name="_Heading_Rolls-Royce" xfId="1094" xr:uid="{00000000-0005-0000-0000-000034030000}"/>
    <cellStyle name="_Heading_Rolls-Royce 2" xfId="1095" xr:uid="{00000000-0005-0000-0000-000035030000}"/>
    <cellStyle name="_Heading_Rolls-Royce 3" xfId="1096" xr:uid="{00000000-0005-0000-0000-000036030000}"/>
    <cellStyle name="_Heading_Ryanair1" xfId="1097" xr:uid="{00000000-0005-0000-0000-000037030000}"/>
    <cellStyle name="_Heading_Ryanair1 2" xfId="1098" xr:uid="{00000000-0005-0000-0000-000038030000}"/>
    <cellStyle name="_Heading_Ryanair1 3" xfId="1099" xr:uid="{00000000-0005-0000-0000-000039030000}"/>
    <cellStyle name="_Heading_SaabOLD" xfId="1100" xr:uid="{00000000-0005-0000-0000-00003A030000}"/>
    <cellStyle name="_Heading_SaabOLD 2" xfId="1101" xr:uid="{00000000-0005-0000-0000-00003B030000}"/>
    <cellStyle name="_Heading_SaabOLD 3" xfId="1102" xr:uid="{00000000-0005-0000-0000-00003C030000}"/>
    <cellStyle name="_Heading_Sandvik CF - Remodelling" xfId="1103" xr:uid="{00000000-0005-0000-0000-00003D030000}"/>
    <cellStyle name="_Heading_Sandvik CF - Remodelling 2" xfId="1104" xr:uid="{00000000-0005-0000-0000-00003E030000}"/>
    <cellStyle name="_Heading_Sandvik CF - Remodelling 3" xfId="1105" xr:uid="{00000000-0005-0000-0000-00003F030000}"/>
    <cellStyle name="_Heading_SIFI OLD" xfId="1106" xr:uid="{00000000-0005-0000-0000-000040030000}"/>
    <cellStyle name="_Heading_SIFI OLD 2" xfId="1107" xr:uid="{00000000-0005-0000-0000-000041030000}"/>
    <cellStyle name="_Heading_SIFI OLD 3" xfId="1108" xr:uid="{00000000-0005-0000-0000-000042030000}"/>
    <cellStyle name="_Heading_SIFINEW" xfId="1109" xr:uid="{00000000-0005-0000-0000-000043030000}"/>
    <cellStyle name="_Heading_SKF reference" xfId="1110" xr:uid="{00000000-0005-0000-0000-000044030000}"/>
    <cellStyle name="_Heading_SKF reference 2" xfId="1111" xr:uid="{00000000-0005-0000-0000-000045030000}"/>
    <cellStyle name="_Heading_SKF reference 3" xfId="1112" xr:uid="{00000000-0005-0000-0000-000046030000}"/>
    <cellStyle name="_Heading_Smiths Group" xfId="1113" xr:uid="{00000000-0005-0000-0000-000047030000}"/>
    <cellStyle name="_Heading_Smiths Group - OLD" xfId="1114" xr:uid="{00000000-0005-0000-0000-000048030000}"/>
    <cellStyle name="_Heading_Smiths Group - OLD 2" xfId="1115" xr:uid="{00000000-0005-0000-0000-000049030000}"/>
    <cellStyle name="_Heading_Smiths Group - OLD 3" xfId="1116" xr:uid="{00000000-0005-0000-0000-00004A030000}"/>
    <cellStyle name="_Heading_Smiths Group 2" xfId="1117" xr:uid="{00000000-0005-0000-0000-00004B030000}"/>
    <cellStyle name="_Heading_Smiths Group 3" xfId="1118" xr:uid="{00000000-0005-0000-0000-00004C030000}"/>
    <cellStyle name="_Heading_Snecma competitive landscape chart sauvegarde" xfId="1119" xr:uid="{00000000-0005-0000-0000-00004D030000}"/>
    <cellStyle name="_Heading_Snecma competitive landscape chart sauvegarde 2" xfId="1120" xr:uid="{00000000-0005-0000-0000-00004E030000}"/>
    <cellStyle name="_Heading_Snecma competitive landscape chart sauvegarde 3" xfId="1121" xr:uid="{00000000-0005-0000-0000-00004F030000}"/>
    <cellStyle name="_Heading_T - new" xfId="1122" xr:uid="{00000000-0005-0000-0000-000050030000}"/>
    <cellStyle name="_Heading_T - new 2" xfId="1123" xr:uid="{00000000-0005-0000-0000-000051030000}"/>
    <cellStyle name="_Heading_Vinci" xfId="1124" xr:uid="{00000000-0005-0000-0000-000052030000}"/>
    <cellStyle name="_Heading_Vinci 2" xfId="1125" xr:uid="{00000000-0005-0000-0000-000053030000}"/>
    <cellStyle name="_Heading_Vinci 3" xfId="1126" xr:uid="{00000000-0005-0000-0000-000054030000}"/>
    <cellStyle name="_Heading_VZ" xfId="1127" xr:uid="{00000000-0005-0000-0000-000055030000}"/>
    <cellStyle name="_Headline" xfId="1128" xr:uid="{00000000-0005-0000-0000-000056030000}"/>
    <cellStyle name="_Headline 2" xfId="1129" xr:uid="{00000000-0005-0000-0000-000057030000}"/>
    <cellStyle name="_Headline 3" xfId="1130" xr:uid="{00000000-0005-0000-0000-000058030000}"/>
    <cellStyle name="_Highlight" xfId="174" xr:uid="{00000000-0005-0000-0000-000059030000}"/>
    <cellStyle name="_Highlight 2" xfId="1131" xr:uid="{00000000-0005-0000-0000-00005A030000}"/>
    <cellStyle name="_Highlight 3" xfId="1132" xr:uid="{00000000-0005-0000-0000-00005B030000}"/>
    <cellStyle name="_KPN Fixed" xfId="1133" xr:uid="{00000000-0005-0000-0000-00005C030000}"/>
    <cellStyle name="_msft-dcf" xfId="1134" xr:uid="{00000000-0005-0000-0000-00005D030000}"/>
    <cellStyle name="_MTU Aero Engines" xfId="1135" xr:uid="{00000000-0005-0000-0000-00005E030000}"/>
    <cellStyle name="_MTU Aero Engines 2" xfId="1136" xr:uid="{00000000-0005-0000-0000-00005F030000}"/>
    <cellStyle name="_MTU Aero Engines 3" xfId="1137" xr:uid="{00000000-0005-0000-0000-000060030000}"/>
    <cellStyle name="_MTU Aero EnginesMICHA EVENING6" xfId="1138" xr:uid="{00000000-0005-0000-0000-000061030000}"/>
    <cellStyle name="_MTU Aero EnginesMICHA EVENING6 2" xfId="1139" xr:uid="{00000000-0005-0000-0000-000062030000}"/>
    <cellStyle name="_MTU Aero EnginesMICHA EVENING6 3" xfId="1140" xr:uid="{00000000-0005-0000-0000-000063030000}"/>
    <cellStyle name="_Multiple" xfId="175" xr:uid="{00000000-0005-0000-0000-000064030000}"/>
    <cellStyle name="_Multiple 2" xfId="1141" xr:uid="{00000000-0005-0000-0000-000065030000}"/>
    <cellStyle name="_Multiple 3" xfId="1142" xr:uid="{00000000-0005-0000-0000-000066030000}"/>
    <cellStyle name="_Multiple_01 adj for merger plan" xfId="176" xr:uid="{00000000-0005-0000-0000-000067030000}"/>
    <cellStyle name="_Multiple_05 CSC_Picabia_02042002" xfId="1143" xr:uid="{00000000-0005-0000-0000-000068030000}"/>
    <cellStyle name="_Multiple_05 CSC_Picabia_02042002 2" xfId="1144" xr:uid="{00000000-0005-0000-0000-000069030000}"/>
    <cellStyle name="_Multiple_05 CSC_Picabia_02042002 3" xfId="1145" xr:uid="{00000000-0005-0000-0000-00006A030000}"/>
    <cellStyle name="_Multiple_2001 YTD Performance" xfId="1146" xr:uid="{00000000-0005-0000-0000-00006B030000}"/>
    <cellStyle name="_Multiple_2001 YTD Performance 2" xfId="1147" xr:uid="{00000000-0005-0000-0000-00006C030000}"/>
    <cellStyle name="_Multiple_2001 YTD Performance 3" xfId="1148" xr:uid="{00000000-0005-0000-0000-00006D030000}"/>
    <cellStyle name="_Multiple_Ability to Pay Analysis" xfId="177" xr:uid="{00000000-0005-0000-0000-00006E030000}"/>
    <cellStyle name="_Multiple_ABP1" xfId="1149" xr:uid="{00000000-0005-0000-0000-00006F030000}"/>
    <cellStyle name="_Multiple_ABP1 2" xfId="1150" xr:uid="{00000000-0005-0000-0000-000070030000}"/>
    <cellStyle name="_Multiple_ABP1 3" xfId="1151" xr:uid="{00000000-0005-0000-0000-000071030000}"/>
    <cellStyle name="_Multiple_Aero DCF" xfId="1152" xr:uid="{00000000-0005-0000-0000-000072030000}"/>
    <cellStyle name="_Multiple_Aero DCF 2" xfId="1153" xr:uid="{00000000-0005-0000-0000-000073030000}"/>
    <cellStyle name="_Multiple_Aero DCF 3" xfId="1154" xr:uid="{00000000-0005-0000-0000-000074030000}"/>
    <cellStyle name="_Multiple_AFL" xfId="178" xr:uid="{00000000-0005-0000-0000-000075030000}"/>
    <cellStyle name="_Multiple_AIZ" xfId="179" xr:uid="{00000000-0005-0000-0000-000076030000}"/>
    <cellStyle name="_Multiple_Alstom WIP Bhavna" xfId="1155" xr:uid="{00000000-0005-0000-0000-000077030000}"/>
    <cellStyle name="_Multiple_Alstom WIP Bhavna 2" xfId="1156" xr:uid="{00000000-0005-0000-0000-000078030000}"/>
    <cellStyle name="_Multiple_AMP" xfId="180" xr:uid="{00000000-0005-0000-0000-000079030000}"/>
    <cellStyle name="_Multiple_ASF" xfId="1157" xr:uid="{00000000-0005-0000-0000-00007A030000}"/>
    <cellStyle name="_Multiple_ASF 2" xfId="1158" xr:uid="{00000000-0005-0000-0000-00007B030000}"/>
    <cellStyle name="_Multiple_ASF 3" xfId="1159" xr:uid="{00000000-0005-0000-0000-00007C030000}"/>
    <cellStyle name="_Multiple_ASF1" xfId="1160" xr:uid="{00000000-0005-0000-0000-00007D030000}"/>
    <cellStyle name="_Multiple_ASF1 2" xfId="1161" xr:uid="{00000000-0005-0000-0000-00007E030000}"/>
    <cellStyle name="_Multiple_ASF1 3" xfId="1162" xr:uid="{00000000-0005-0000-0000-00007F030000}"/>
    <cellStyle name="_Multiple_Assa CF" xfId="1163" xr:uid="{00000000-0005-0000-0000-000080030000}"/>
    <cellStyle name="_Multiple_Assa CF 2" xfId="1164" xr:uid="{00000000-0005-0000-0000-000081030000}"/>
    <cellStyle name="_Multiple_Assa CF 3" xfId="1165" xr:uid="{00000000-0005-0000-0000-000082030000}"/>
    <cellStyle name="_Multiple_Assa Reference" xfId="1166" xr:uid="{00000000-0005-0000-0000-000083030000}"/>
    <cellStyle name="_Multiple_Assa Reference 2" xfId="1167" xr:uid="{00000000-0005-0000-0000-000084030000}"/>
    <cellStyle name="_Multiple_Assa Reference 3" xfId="1168" xr:uid="{00000000-0005-0000-0000-000085030000}"/>
    <cellStyle name="_Multiple_Assa vs Competition" xfId="1169" xr:uid="{00000000-0005-0000-0000-000086030000}"/>
    <cellStyle name="_Multiple_Assa vs Competition 2" xfId="1170" xr:uid="{00000000-0005-0000-0000-000087030000}"/>
    <cellStyle name="_Multiple_Assa vs Competition 3" xfId="1171" xr:uid="{00000000-0005-0000-0000-000088030000}"/>
    <cellStyle name="_Multiple_Atlas Copco CF" xfId="1172" xr:uid="{00000000-0005-0000-0000-000089030000}"/>
    <cellStyle name="_Multiple_Atlas Copco CF 2" xfId="1173" xr:uid="{00000000-0005-0000-0000-00008A030000}"/>
    <cellStyle name="_Multiple_AVP" xfId="1174" xr:uid="{00000000-0005-0000-0000-00008B030000}"/>
    <cellStyle name="_Multiple_AVP 2" xfId="1175" xr:uid="{00000000-0005-0000-0000-00008C030000}"/>
    <cellStyle name="_Multiple_AVP 3" xfId="1176" xr:uid="{00000000-0005-0000-0000-00008D030000}"/>
    <cellStyle name="_Multiple_BAE_model_new" xfId="1177" xr:uid="{00000000-0005-0000-0000-00008E030000}"/>
    <cellStyle name="_Multiple_BAE_model_new 2" xfId="1178" xr:uid="{00000000-0005-0000-0000-00008F030000}"/>
    <cellStyle name="_Multiple_BAE_model_new 3" xfId="1179" xr:uid="{00000000-0005-0000-0000-000090030000}"/>
    <cellStyle name="_Multiple_Balance Sheet" xfId="181" xr:uid="{00000000-0005-0000-0000-000091030000}"/>
    <cellStyle name="_Multiple_BHI" xfId="1180" xr:uid="{00000000-0005-0000-0000-000092030000}"/>
    <cellStyle name="_Multiple_BHI_Copy of IFRS consol ABB Final Version4" xfId="1181" xr:uid="{00000000-0005-0000-0000-000093030000}"/>
    <cellStyle name="_Multiple_bls roic" xfId="1182" xr:uid="{00000000-0005-0000-0000-000094030000}"/>
    <cellStyle name="_Multiple_bls roic_Copy of IFRS consol ABB Final Version4" xfId="1183" xr:uid="{00000000-0005-0000-0000-000095030000}"/>
    <cellStyle name="_Multiple_Book1" xfId="182" xr:uid="{00000000-0005-0000-0000-000096030000}"/>
    <cellStyle name="_Multiple_Book1 2" xfId="1184" xr:uid="{00000000-0005-0000-0000-000097030000}"/>
    <cellStyle name="_Multiple_Book1 3" xfId="1185" xr:uid="{00000000-0005-0000-0000-000098030000}"/>
    <cellStyle name="_Multiple_Book1_WACC" xfId="1186" xr:uid="{00000000-0005-0000-0000-000099030000}"/>
    <cellStyle name="_Multiple_Book1_WACC 2" xfId="1187" xr:uid="{00000000-0005-0000-0000-00009A030000}"/>
    <cellStyle name="_Multiple_Book1_WACC 3" xfId="1188" xr:uid="{00000000-0005-0000-0000-00009B030000}"/>
    <cellStyle name="_Multiple_Book29" xfId="183" xr:uid="{00000000-0005-0000-0000-00009C030000}"/>
    <cellStyle name="_Multiple_Book3" xfId="184" xr:uid="{00000000-0005-0000-0000-00009D030000}"/>
    <cellStyle name="_Multiple_Book3_1" xfId="185" xr:uid="{00000000-0005-0000-0000-00009E030000}"/>
    <cellStyle name="_Multiple_capital expenditures 6-18-02" xfId="1189" xr:uid="{00000000-0005-0000-0000-00009F030000}"/>
    <cellStyle name="_Multiple_capital expenditures 6-18-02_Copy of IFRS consol ABB Final Version4" xfId="1190" xr:uid="{00000000-0005-0000-0000-0000A0030000}"/>
    <cellStyle name="_Multiple_CNO" xfId="186" xr:uid="{00000000-0005-0000-0000-0000A1030000}"/>
    <cellStyle name="_Multiple_Comdot - gStyle Excel Slides" xfId="1191" xr:uid="{00000000-0005-0000-0000-0000A2030000}"/>
    <cellStyle name="_Multiple_Comdot - gStyle Excel Slides 2" xfId="1192" xr:uid="{00000000-0005-0000-0000-0000A3030000}"/>
    <cellStyle name="_Multiple_Comdot - gStyle Excel Slides 3" xfId="1193" xr:uid="{00000000-0005-0000-0000-0000A4030000}"/>
    <cellStyle name="_Multiple_Comdot LBO Short Form - v3" xfId="1194" xr:uid="{00000000-0005-0000-0000-0000A5030000}"/>
    <cellStyle name="_Multiple_Comdot LBO Short Form - v3 2" xfId="1195" xr:uid="{00000000-0005-0000-0000-0000A6030000}"/>
    <cellStyle name="_Multiple_Comdot LBO Short Form - v3 3" xfId="1196" xr:uid="{00000000-0005-0000-0000-0000A7030000}"/>
    <cellStyle name="_Multiple_contribution_analysis" xfId="1197" xr:uid="{00000000-0005-0000-0000-0000A8030000}"/>
    <cellStyle name="_Multiple_Copy of IFRS consol ABB Final Version4" xfId="1198" xr:uid="{00000000-0005-0000-0000-0000A9030000}"/>
    <cellStyle name="_Multiple_Copy of IFRS consol ABB Final Version4 2" xfId="1199" xr:uid="{00000000-0005-0000-0000-0000AA030000}"/>
    <cellStyle name="_Multiple_Copy of IFRS consol ABB Final Version4_1" xfId="1200" xr:uid="{00000000-0005-0000-0000-0000AB030000}"/>
    <cellStyle name="_Multiple_Copy of IFRS consol ABB Final Version4_1 2" xfId="1201" xr:uid="{00000000-0005-0000-0000-0000AC030000}"/>
    <cellStyle name="_Multiple_Copy of Spirent_now" xfId="1202" xr:uid="{00000000-0005-0000-0000-0000AD030000}"/>
    <cellStyle name="_Multiple_Copy of Spirent_now 2" xfId="1203" xr:uid="{00000000-0005-0000-0000-0000AE030000}"/>
    <cellStyle name="_Multiple_Copy of Spirent_now 3" xfId="1204" xr:uid="{00000000-0005-0000-0000-0000AF030000}"/>
    <cellStyle name="_Multiple_CROCI" xfId="1205" xr:uid="{00000000-0005-0000-0000-0000B0030000}"/>
    <cellStyle name="_Multiple_CROCI 2" xfId="1206" xr:uid="{00000000-0005-0000-0000-0000B1030000}"/>
    <cellStyle name="_Multiple_csc" xfId="1207" xr:uid="{00000000-0005-0000-0000-0000B2030000}"/>
    <cellStyle name="_Multiple_csc 2" xfId="1208" xr:uid="{00000000-0005-0000-0000-0000B3030000}"/>
    <cellStyle name="_Multiple_csc 3" xfId="1209" xr:uid="{00000000-0005-0000-0000-0000B4030000}"/>
    <cellStyle name="_Multiple_CSC_Picabia_29062001" xfId="1210" xr:uid="{00000000-0005-0000-0000-0000B5030000}"/>
    <cellStyle name="_Multiple_CSC_Picabia_29062001 2" xfId="1211" xr:uid="{00000000-0005-0000-0000-0000B6030000}"/>
    <cellStyle name="_Multiple_CSC_Picabia_29062001 3" xfId="1212" xr:uid="{00000000-0005-0000-0000-0000B7030000}"/>
    <cellStyle name="_Multiple_DCF - July 2, 2001" xfId="1213" xr:uid="{00000000-0005-0000-0000-0000B8030000}"/>
    <cellStyle name="_Multiple_DCF - July 2, 2001 2" xfId="1214" xr:uid="{00000000-0005-0000-0000-0000B9030000}"/>
    <cellStyle name="_Multiple_DCF - July 2, 2001 3" xfId="1215" xr:uid="{00000000-0005-0000-0000-0000BA030000}"/>
    <cellStyle name="_Multiple_DCF Alexander Forbes" xfId="187" xr:uid="{00000000-0005-0000-0000-0000BB030000}"/>
    <cellStyle name="_Multiple_DCF Model + WACC" xfId="1216" xr:uid="{00000000-0005-0000-0000-0000BC030000}"/>
    <cellStyle name="_Multiple_DCF Model + WACC 2" xfId="1217" xr:uid="{00000000-0005-0000-0000-0000BD030000}"/>
    <cellStyle name="_Multiple_DCF Model + WACC 3" xfId="1218" xr:uid="{00000000-0005-0000-0000-0000BE030000}"/>
    <cellStyle name="_Multiple_Electrolux CF" xfId="1219" xr:uid="{00000000-0005-0000-0000-0000BF030000}"/>
    <cellStyle name="_Multiple_Electrolux CF 2" xfId="1220" xr:uid="{00000000-0005-0000-0000-0000C0030000}"/>
    <cellStyle name="_Multiple_Electrolux CF_1" xfId="1221" xr:uid="{00000000-0005-0000-0000-0000C1030000}"/>
    <cellStyle name="_Multiple_Electrolux CF_1 2" xfId="1222" xr:uid="{00000000-0005-0000-0000-0000C2030000}"/>
    <cellStyle name="_Multiple_Electrolux MW" xfId="1223" xr:uid="{00000000-0005-0000-0000-0000C3030000}"/>
    <cellStyle name="_Multiple_Electrolux MW 2" xfId="1224" xr:uid="{00000000-0005-0000-0000-0000C4030000}"/>
    <cellStyle name="_Multiple_Electrolux Old Nick Paton Mark Wilson Model" xfId="1225" xr:uid="{00000000-0005-0000-0000-0000C5030000}"/>
    <cellStyle name="_Multiple_Electrolux Old Nick Paton Mark Wilson Model 2" xfId="1226" xr:uid="{00000000-0005-0000-0000-0000C6030000}"/>
    <cellStyle name="_Multiple_Electrolux WIP Bhavna" xfId="1227" xr:uid="{00000000-0005-0000-0000-0000C7030000}"/>
    <cellStyle name="_Multiple_Electrolux WIP Bhavna 2" xfId="1228" xr:uid="{00000000-0005-0000-0000-0000C8030000}"/>
    <cellStyle name="_Multiple_Eng" xfId="1229" xr:uid="{00000000-0005-0000-0000-0000C9030000}"/>
    <cellStyle name="_Multiple_Eng 2" xfId="1230" xr:uid="{00000000-0005-0000-0000-0000CA030000}"/>
    <cellStyle name="_Multiple_Eng 3" xfId="1231" xr:uid="{00000000-0005-0000-0000-0000CB030000}"/>
    <cellStyle name="_Multiple_Finmeccanica" xfId="1232" xr:uid="{00000000-0005-0000-0000-0000CC030000}"/>
    <cellStyle name="_Multiple_Finmeccanica SOP" xfId="1233" xr:uid="{00000000-0005-0000-0000-0000CD030000}"/>
    <cellStyle name="_Multiple_fmbi counties" xfId="188" xr:uid="{00000000-0005-0000-0000-0000CE030000}"/>
    <cellStyle name="_Multiple_FMBI MBHI Graphs" xfId="189" xr:uid="{00000000-0005-0000-0000-0000CF030000}"/>
    <cellStyle name="_Multiple_FMBI MBHI Graphs 07102001" xfId="190" xr:uid="{00000000-0005-0000-0000-0000D0030000}"/>
    <cellStyle name="_Multiple_FMBI MBHI Graphs_7601" xfId="191" xr:uid="{00000000-0005-0000-0000-0000D1030000}"/>
    <cellStyle name="_Multiple_Global ROIC 2007" xfId="1234" xr:uid="{00000000-0005-0000-0000-0000D2030000}"/>
    <cellStyle name="_Multiple_Global ROIC 2007 2" xfId="1235" xr:uid="{00000000-0005-0000-0000-0000D3030000}"/>
    <cellStyle name="_Multiple_Global ROIC 2007_Copy of IFRS consol ABB Final Version4" xfId="1236" xr:uid="{00000000-0005-0000-0000-0000D4030000}"/>
    <cellStyle name="_Multiple_Global ROIC 2007_Copy of IFRS consol ABB Final Version4 2" xfId="1237" xr:uid="{00000000-0005-0000-0000-0000D5030000}"/>
    <cellStyle name="_Multiple_GNW" xfId="192" xr:uid="{00000000-0005-0000-0000-0000D6030000}"/>
    <cellStyle name="_Multiple_Insurance Brokerage CSC_1Q2002" xfId="193" xr:uid="{00000000-0005-0000-0000-0000D7030000}"/>
    <cellStyle name="_Multiple_integrated_standalone_ba" xfId="1238" xr:uid="{00000000-0005-0000-0000-0000D8030000}"/>
    <cellStyle name="_Multiple_integrated_standalone_ba 2" xfId="1239" xr:uid="{00000000-0005-0000-0000-0000D9030000}"/>
    <cellStyle name="_Multiple_integrated_standalone_ba 3" xfId="1240" xr:uid="{00000000-0005-0000-0000-0000DA030000}"/>
    <cellStyle name="_Multiple_JP" xfId="194" xr:uid="{00000000-0005-0000-0000-0000DB030000}"/>
    <cellStyle name="_Multiple_LBO Model Zannier - 04-09-01" xfId="1241" xr:uid="{00000000-0005-0000-0000-0000DC030000}"/>
    <cellStyle name="_Multiple_LBO Model Zannier - 04-09-01 2" xfId="1242" xr:uid="{00000000-0005-0000-0000-0000DD030000}"/>
    <cellStyle name="_Multiple_LBO Model Zannier - 04-09-01 3" xfId="1243" xr:uid="{00000000-0005-0000-0000-0000DE030000}"/>
    <cellStyle name="_Multiple_LNC" xfId="195" xr:uid="{00000000-0005-0000-0000-0000DF030000}"/>
    <cellStyle name="_Multiple_MET" xfId="196" xr:uid="{00000000-0005-0000-0000-0000E0030000}"/>
    <cellStyle name="_Multiple_MET04" xfId="197" xr:uid="{00000000-0005-0000-0000-0000E1030000}"/>
    <cellStyle name="_Multiple_Model Vague 07 conso - Dannaud" xfId="1244" xr:uid="{00000000-0005-0000-0000-0000E2030000}"/>
    <cellStyle name="_Multiple_Model Vague 07 conso - Dannaud 2" xfId="1245" xr:uid="{00000000-0005-0000-0000-0000E3030000}"/>
    <cellStyle name="_Multiple_Model Vague 07 conso - Dannaud 3" xfId="1246" xr:uid="{00000000-0005-0000-0000-0000E4030000}"/>
    <cellStyle name="_Multiple_MTU Aero Engines" xfId="1247" xr:uid="{00000000-0005-0000-0000-0000E5030000}"/>
    <cellStyle name="_Multiple_MTU Aero Engines 2" xfId="1248" xr:uid="{00000000-0005-0000-0000-0000E6030000}"/>
    <cellStyle name="_Multiple_MTU Aero Engines 3" xfId="1249" xr:uid="{00000000-0005-0000-0000-0000E7030000}"/>
    <cellStyle name="_Multiple_MTU Aero EnginesMICHA EVENING6" xfId="1250" xr:uid="{00000000-0005-0000-0000-0000E8030000}"/>
    <cellStyle name="_Multiple_MTU Aero EnginesMICHA EVENING6 2" xfId="1251" xr:uid="{00000000-0005-0000-0000-0000E9030000}"/>
    <cellStyle name="_Multiple_MTU Aero EnginesMICHA EVENING6 3" xfId="1252" xr:uid="{00000000-0005-0000-0000-0000EA030000}"/>
    <cellStyle name="_Multiple_MTU FX sheet" xfId="1253" xr:uid="{00000000-0005-0000-0000-0000EB030000}"/>
    <cellStyle name="_Multiple_MTU FX sheet 2" xfId="1254" xr:uid="{00000000-0005-0000-0000-0000EC030000}"/>
    <cellStyle name="_Multiple_MTU FX sheet 3" xfId="1255" xr:uid="{00000000-0005-0000-0000-0000ED030000}"/>
    <cellStyle name="_Multiple_NFS" xfId="198" xr:uid="{00000000-0005-0000-0000-0000EE030000}"/>
    <cellStyle name="_Multiple_output" xfId="1256" xr:uid="{00000000-0005-0000-0000-0000EF030000}"/>
    <cellStyle name="_Multiple_output 2" xfId="1257" xr:uid="{00000000-0005-0000-0000-0000F0030000}"/>
    <cellStyle name="_Multiple_output 3" xfId="1258" xr:uid="{00000000-0005-0000-0000-0000F1030000}"/>
    <cellStyle name="_Multiple_Overview3" xfId="199" xr:uid="{00000000-0005-0000-0000-0000F2030000}"/>
    <cellStyle name="_Multiple_phil data" xfId="200" xr:uid="{00000000-0005-0000-0000-0000F3030000}"/>
    <cellStyle name="_Multiple_Price Performance Charts" xfId="201" xr:uid="{00000000-0005-0000-0000-0000F4030000}"/>
    <cellStyle name="_Multiple_PRU" xfId="202" xr:uid="{00000000-0005-0000-0000-0000F5030000}"/>
    <cellStyle name="_Multiple_PRU04" xfId="203" xr:uid="{00000000-0005-0000-0000-0000F6030000}"/>
    <cellStyle name="_Multiple_QP_XXX" xfId="1259" xr:uid="{00000000-0005-0000-0000-0000F7030000}"/>
    <cellStyle name="_Multiple_QP_XXX 2" xfId="1260" xr:uid="{00000000-0005-0000-0000-0000F8030000}"/>
    <cellStyle name="_Multiple_QP_XXX_Copy of IFRS consol ABB Final Version4" xfId="1261" xr:uid="{00000000-0005-0000-0000-0000F9030000}"/>
    <cellStyle name="_Multiple_QP_XXX_Copy of IFRS consol ABB Final Version4 2" xfId="1262" xr:uid="{00000000-0005-0000-0000-0000FA030000}"/>
    <cellStyle name="_Multiple_RBOC historicals" xfId="1263" xr:uid="{00000000-0005-0000-0000-0000FB030000}"/>
    <cellStyle name="_Multiple_RBOC historicals_Copy of IFRS consol ABB Final Version4" xfId="1264" xr:uid="{00000000-0005-0000-0000-0000FC030000}"/>
    <cellStyle name="_Multiple_Rheinmetall" xfId="1265" xr:uid="{00000000-0005-0000-0000-0000FD030000}"/>
    <cellStyle name="_Multiple_Rheinmetall_1" xfId="1266" xr:uid="{00000000-0005-0000-0000-0000FE030000}"/>
    <cellStyle name="_Multiple_Rheinmetall_1 2" xfId="1267" xr:uid="{00000000-0005-0000-0000-0000FF030000}"/>
    <cellStyle name="_Multiple_Rheinmetall_1 3" xfId="1268" xr:uid="{00000000-0005-0000-0000-000000040000}"/>
    <cellStyle name="_Multiple_RHM" xfId="1269" xr:uid="{00000000-0005-0000-0000-000001040000}"/>
    <cellStyle name="_Multiple_RiskReward" xfId="204" xr:uid="{00000000-0005-0000-0000-000002040000}"/>
    <cellStyle name="_Multiple_ROIC" xfId="1270" xr:uid="{00000000-0005-0000-0000-000003040000}"/>
    <cellStyle name="_Multiple_ROIC 2" xfId="1271" xr:uid="{00000000-0005-0000-0000-000004040000}"/>
    <cellStyle name="_Multiple_ROIC 3" xfId="1272" xr:uid="{00000000-0005-0000-0000-000005040000}"/>
    <cellStyle name="_Multiple_Rolls-Royce" xfId="1273" xr:uid="{00000000-0005-0000-0000-000006040000}"/>
    <cellStyle name="_Multiple_Rolls-Royce Micha" xfId="1274" xr:uid="{00000000-0005-0000-0000-000007040000}"/>
    <cellStyle name="_Multiple_Rolls-Royce Micha 2" xfId="1275" xr:uid="{00000000-0005-0000-0000-000008040000}"/>
    <cellStyle name="_Multiple_Rolls-Royce Micha 3" xfId="1276" xr:uid="{00000000-0005-0000-0000-000009040000}"/>
    <cellStyle name="_Multiple_Rolls-RoyceFINAL130206" xfId="1277" xr:uid="{00000000-0005-0000-0000-00000A040000}"/>
    <cellStyle name="_Multiple_Rolls-RoyceFINAL130206 2" xfId="1278" xr:uid="{00000000-0005-0000-0000-00000B040000}"/>
    <cellStyle name="_Multiple_Rolls-RoyceFINAL130206 3" xfId="1279" xr:uid="{00000000-0005-0000-0000-00000C040000}"/>
    <cellStyle name="_Multiple_RR FY06" xfId="1280" xr:uid="{00000000-0005-0000-0000-00000D040000}"/>
    <cellStyle name="_Multiple_RR FY06 2" xfId="1281" xr:uid="{00000000-0005-0000-0000-00000E040000}"/>
    <cellStyle name="_Multiple_RR FY06 3" xfId="1282" xr:uid="{00000000-0005-0000-0000-00000F040000}"/>
    <cellStyle name="_Multiple_SaabOLD" xfId="1283" xr:uid="{00000000-0005-0000-0000-000010040000}"/>
    <cellStyle name="_Multiple_Safran" xfId="1284" xr:uid="{00000000-0005-0000-0000-000011040000}"/>
    <cellStyle name="_Multiple_Safran 2" xfId="1285" xr:uid="{00000000-0005-0000-0000-000012040000}"/>
    <cellStyle name="_Multiple_Safran 3" xfId="1286" xr:uid="{00000000-0005-0000-0000-000013040000}"/>
    <cellStyle name="_Multiple_Saft vs Peers" xfId="1287" xr:uid="{00000000-0005-0000-0000-000014040000}"/>
    <cellStyle name="_Multiple_Saft vs Peers 2" xfId="1288" xr:uid="{00000000-0005-0000-0000-000015040000}"/>
    <cellStyle name="_Multiple_Saft vs Peers 3" xfId="1289" xr:uid="{00000000-0005-0000-0000-000016040000}"/>
    <cellStyle name="_Multiple_SFG" xfId="205" xr:uid="{00000000-0005-0000-0000-000017040000}"/>
    <cellStyle name="_Multiple_Sheet1" xfId="206" xr:uid="{00000000-0005-0000-0000-000018040000}"/>
    <cellStyle name="_Multiple_SIFI OLD" xfId="1290" xr:uid="{00000000-0005-0000-0000-000019040000}"/>
    <cellStyle name="_Multiple_SIFINEW" xfId="1291" xr:uid="{00000000-0005-0000-0000-00001A040000}"/>
    <cellStyle name="_Multiple_SIFINEW 2" xfId="1292" xr:uid="{00000000-0005-0000-0000-00001B040000}"/>
    <cellStyle name="_Multiple_SIFINEW 3" xfId="1293" xr:uid="{00000000-0005-0000-0000-00001C040000}"/>
    <cellStyle name="_Multiple_Smiths Group" xfId="1294" xr:uid="{00000000-0005-0000-0000-00001D040000}"/>
    <cellStyle name="_Multiple_Smiths Group - OLD" xfId="1295" xr:uid="{00000000-0005-0000-0000-00001E040000}"/>
    <cellStyle name="_Multiple_Stock-QTR1 FDS" xfId="207" xr:uid="{00000000-0005-0000-0000-00001F040000}"/>
    <cellStyle name="_Multiple_T - new" xfId="1296" xr:uid="{00000000-0005-0000-0000-000020040000}"/>
    <cellStyle name="_Multiple_T - new_Copy of IFRS consol ABB Final Version4" xfId="1297" xr:uid="{00000000-0005-0000-0000-000021040000}"/>
    <cellStyle name="_Multiple_TMK" xfId="208" xr:uid="{00000000-0005-0000-0000-000022040000}"/>
    <cellStyle name="_Multiple_Updated Valuation Changes" xfId="209" xr:uid="{00000000-0005-0000-0000-000023040000}"/>
    <cellStyle name="_Multiple_Vague LBO Model - 19 July 2001" xfId="1298" xr:uid="{00000000-0005-0000-0000-000024040000}"/>
    <cellStyle name="_Multiple_Vague LBO Model - 19 July 2001 2" xfId="1299" xr:uid="{00000000-0005-0000-0000-000025040000}"/>
    <cellStyle name="_Multiple_Vague LBO Model - 19 July 2001 3" xfId="1300" xr:uid="{00000000-0005-0000-0000-000026040000}"/>
    <cellStyle name="_Multiple_Valuation Graphs" xfId="210" xr:uid="{00000000-0005-0000-0000-000027040000}"/>
    <cellStyle name="_Multiple_Vinci" xfId="1301" xr:uid="{00000000-0005-0000-0000-000028040000}"/>
    <cellStyle name="_Multiple_WPP_YNR_merger_plans" xfId="1302" xr:uid="{00000000-0005-0000-0000-000029040000}"/>
    <cellStyle name="_Multiple_WPP_YNR_merger_plans 2" xfId="1303" xr:uid="{00000000-0005-0000-0000-00002A040000}"/>
    <cellStyle name="_Multiple_WPP_YNR_merger_plans 3" xfId="1304" xr:uid="{00000000-0005-0000-0000-00002B040000}"/>
    <cellStyle name="_Multiple_xratio - historical mkt val" xfId="211" xr:uid="{00000000-0005-0000-0000-00002C040000}"/>
    <cellStyle name="_MultipleSpace" xfId="212" xr:uid="{00000000-0005-0000-0000-00002D040000}"/>
    <cellStyle name="_MultipleSpace 2" xfId="1305" xr:uid="{00000000-0005-0000-0000-00002E040000}"/>
    <cellStyle name="_MultipleSpace 3" xfId="1306" xr:uid="{00000000-0005-0000-0000-00002F040000}"/>
    <cellStyle name="_MultipleSpace_01 adj for merger plan" xfId="213" xr:uid="{00000000-0005-0000-0000-000030040000}"/>
    <cellStyle name="_MultipleSpace_05 CSC_Picabia_02042002" xfId="1307" xr:uid="{00000000-0005-0000-0000-000031040000}"/>
    <cellStyle name="_MultipleSpace_05 CSC_Picabia_02042002 2" xfId="1308" xr:uid="{00000000-0005-0000-0000-000032040000}"/>
    <cellStyle name="_MultipleSpace_05 CSC_Picabia_02042002 3" xfId="1309" xr:uid="{00000000-0005-0000-0000-000033040000}"/>
    <cellStyle name="_MultipleSpace_2001 YTD Performance" xfId="1310" xr:uid="{00000000-0005-0000-0000-000034040000}"/>
    <cellStyle name="_MultipleSpace_2001 YTD Performance 2" xfId="1311" xr:uid="{00000000-0005-0000-0000-000035040000}"/>
    <cellStyle name="_MultipleSpace_2001 YTD Performance 3" xfId="1312" xr:uid="{00000000-0005-0000-0000-000036040000}"/>
    <cellStyle name="_MultipleSpace_Ability to Pay Analysis" xfId="214" xr:uid="{00000000-0005-0000-0000-000037040000}"/>
    <cellStyle name="_MultipleSpace_ABP1" xfId="1313" xr:uid="{00000000-0005-0000-0000-000038040000}"/>
    <cellStyle name="_MultipleSpace_ABP1 2" xfId="1314" xr:uid="{00000000-0005-0000-0000-000039040000}"/>
    <cellStyle name="_MultipleSpace_ABP1 3" xfId="1315" xr:uid="{00000000-0005-0000-0000-00003A040000}"/>
    <cellStyle name="_MultipleSpace_Aero DCF" xfId="1316" xr:uid="{00000000-0005-0000-0000-00003B040000}"/>
    <cellStyle name="_MultipleSpace_Aero DCF 2" xfId="1317" xr:uid="{00000000-0005-0000-0000-00003C040000}"/>
    <cellStyle name="_MultipleSpace_Aero DCF 3" xfId="1318" xr:uid="{00000000-0005-0000-0000-00003D040000}"/>
    <cellStyle name="_MultipleSpace_AFL" xfId="215" xr:uid="{00000000-0005-0000-0000-00003E040000}"/>
    <cellStyle name="_MultipleSpace_AIZ" xfId="216" xr:uid="{00000000-0005-0000-0000-00003F040000}"/>
    <cellStyle name="_MultipleSpace_Alstom WIP Bhavna" xfId="1319" xr:uid="{00000000-0005-0000-0000-000040040000}"/>
    <cellStyle name="_MultipleSpace_Alstom WIP Bhavna 2" xfId="1320" xr:uid="{00000000-0005-0000-0000-000041040000}"/>
    <cellStyle name="_MultipleSpace_AMP" xfId="217" xr:uid="{00000000-0005-0000-0000-000042040000}"/>
    <cellStyle name="_MultipleSpace_ASF" xfId="1321" xr:uid="{00000000-0005-0000-0000-000043040000}"/>
    <cellStyle name="_MultipleSpace_ASF 2" xfId="1322" xr:uid="{00000000-0005-0000-0000-000044040000}"/>
    <cellStyle name="_MultipleSpace_ASF 3" xfId="1323" xr:uid="{00000000-0005-0000-0000-000045040000}"/>
    <cellStyle name="_MultipleSpace_ASF1" xfId="1324" xr:uid="{00000000-0005-0000-0000-000046040000}"/>
    <cellStyle name="_MultipleSpace_ASF1 2" xfId="1325" xr:uid="{00000000-0005-0000-0000-000047040000}"/>
    <cellStyle name="_MultipleSpace_ASF1 3" xfId="1326" xr:uid="{00000000-0005-0000-0000-000048040000}"/>
    <cellStyle name="_MultipleSpace_Assa CF" xfId="1327" xr:uid="{00000000-0005-0000-0000-000049040000}"/>
    <cellStyle name="_MultipleSpace_Assa CF 2" xfId="1328" xr:uid="{00000000-0005-0000-0000-00004A040000}"/>
    <cellStyle name="_MultipleSpace_Assa CF 3" xfId="1329" xr:uid="{00000000-0005-0000-0000-00004B040000}"/>
    <cellStyle name="_MultipleSpace_Assa Reference" xfId="1330" xr:uid="{00000000-0005-0000-0000-00004C040000}"/>
    <cellStyle name="_MultipleSpace_Assa Reference 2" xfId="1331" xr:uid="{00000000-0005-0000-0000-00004D040000}"/>
    <cellStyle name="_MultipleSpace_Assa Reference 3" xfId="1332" xr:uid="{00000000-0005-0000-0000-00004E040000}"/>
    <cellStyle name="_MultipleSpace_Assa vs Competition" xfId="1333" xr:uid="{00000000-0005-0000-0000-00004F040000}"/>
    <cellStyle name="_MultipleSpace_Assa vs Competition 2" xfId="1334" xr:uid="{00000000-0005-0000-0000-000050040000}"/>
    <cellStyle name="_MultipleSpace_Assa vs Competition 3" xfId="1335" xr:uid="{00000000-0005-0000-0000-000051040000}"/>
    <cellStyle name="_MultipleSpace_Atlas Copco CF" xfId="1336" xr:uid="{00000000-0005-0000-0000-000052040000}"/>
    <cellStyle name="_MultipleSpace_Atlas Copco CF 2" xfId="1337" xr:uid="{00000000-0005-0000-0000-000053040000}"/>
    <cellStyle name="_MultipleSpace_AVP" xfId="1338" xr:uid="{00000000-0005-0000-0000-000054040000}"/>
    <cellStyle name="_MultipleSpace_AVP 2" xfId="1339" xr:uid="{00000000-0005-0000-0000-000055040000}"/>
    <cellStyle name="_MultipleSpace_AVP 3" xfId="1340" xr:uid="{00000000-0005-0000-0000-000056040000}"/>
    <cellStyle name="_MultipleSpace_BAE_model_new" xfId="1341" xr:uid="{00000000-0005-0000-0000-000057040000}"/>
    <cellStyle name="_MultipleSpace_BAE_model_new 2" xfId="1342" xr:uid="{00000000-0005-0000-0000-000058040000}"/>
    <cellStyle name="_MultipleSpace_BAE_model_new 3" xfId="1343" xr:uid="{00000000-0005-0000-0000-000059040000}"/>
    <cellStyle name="_MultipleSpace_Balance Sheet" xfId="218" xr:uid="{00000000-0005-0000-0000-00005A040000}"/>
    <cellStyle name="_MultipleSpace_BHI" xfId="1344" xr:uid="{00000000-0005-0000-0000-00005B040000}"/>
    <cellStyle name="_MultipleSpace_BHI_Copy of IFRS consol ABB Final Version4" xfId="1345" xr:uid="{00000000-0005-0000-0000-00005C040000}"/>
    <cellStyle name="_MultipleSpace_bls roic" xfId="1346" xr:uid="{00000000-0005-0000-0000-00005D040000}"/>
    <cellStyle name="_MultipleSpace_bls roic_Copy of IFRS consol ABB Final Version4" xfId="1347" xr:uid="{00000000-0005-0000-0000-00005E040000}"/>
    <cellStyle name="_MultipleSpace_Book1" xfId="219" xr:uid="{00000000-0005-0000-0000-00005F040000}"/>
    <cellStyle name="_MultipleSpace_Book1 2" xfId="1348" xr:uid="{00000000-0005-0000-0000-000060040000}"/>
    <cellStyle name="_MultipleSpace_Book1 3" xfId="1349" xr:uid="{00000000-0005-0000-0000-000061040000}"/>
    <cellStyle name="_MultipleSpace_Book1_WACC" xfId="1350" xr:uid="{00000000-0005-0000-0000-000062040000}"/>
    <cellStyle name="_MultipleSpace_Book1_WACC 2" xfId="1351" xr:uid="{00000000-0005-0000-0000-000063040000}"/>
    <cellStyle name="_MultipleSpace_Book1_WACC 3" xfId="1352" xr:uid="{00000000-0005-0000-0000-000064040000}"/>
    <cellStyle name="_MultipleSpace_Book29" xfId="220" xr:uid="{00000000-0005-0000-0000-000065040000}"/>
    <cellStyle name="_MultipleSpace_Book3" xfId="221" xr:uid="{00000000-0005-0000-0000-000066040000}"/>
    <cellStyle name="_MultipleSpace_Book3_1" xfId="222" xr:uid="{00000000-0005-0000-0000-000067040000}"/>
    <cellStyle name="_MultipleSpace_capital expenditures 6-18-02" xfId="1353" xr:uid="{00000000-0005-0000-0000-000068040000}"/>
    <cellStyle name="_MultipleSpace_capital expenditures 6-18-02_Copy of IFRS consol ABB Final Version4" xfId="1354" xr:uid="{00000000-0005-0000-0000-000069040000}"/>
    <cellStyle name="_MultipleSpace_CNO" xfId="223" xr:uid="{00000000-0005-0000-0000-00006A040000}"/>
    <cellStyle name="_MultipleSpace_Comdot - gStyle Excel Slides" xfId="1355" xr:uid="{00000000-0005-0000-0000-00006B040000}"/>
    <cellStyle name="_MultipleSpace_Comdot - gStyle Excel Slides 2" xfId="1356" xr:uid="{00000000-0005-0000-0000-00006C040000}"/>
    <cellStyle name="_MultipleSpace_Comdot - gStyle Excel Slides 3" xfId="1357" xr:uid="{00000000-0005-0000-0000-00006D040000}"/>
    <cellStyle name="_MultipleSpace_contribution_analysis" xfId="1358" xr:uid="{00000000-0005-0000-0000-00006E040000}"/>
    <cellStyle name="_MultipleSpace_Copy of IFRS consol ABB Final Version4" xfId="1359" xr:uid="{00000000-0005-0000-0000-00006F040000}"/>
    <cellStyle name="_MultipleSpace_Copy of IFRS consol ABB Final Version4 2" xfId="1360" xr:uid="{00000000-0005-0000-0000-000070040000}"/>
    <cellStyle name="_MultipleSpace_Copy of IFRS consol ABB Final Version4_1" xfId="1361" xr:uid="{00000000-0005-0000-0000-000071040000}"/>
    <cellStyle name="_MultipleSpace_Copy of IFRS consol ABB Final Version4_1 2" xfId="1362" xr:uid="{00000000-0005-0000-0000-000072040000}"/>
    <cellStyle name="_MultipleSpace_Copy of Spirent_now" xfId="1363" xr:uid="{00000000-0005-0000-0000-000073040000}"/>
    <cellStyle name="_MultipleSpace_Copy of Spirent_now 2" xfId="1364" xr:uid="{00000000-0005-0000-0000-000074040000}"/>
    <cellStyle name="_MultipleSpace_Copy of Spirent_now 3" xfId="1365" xr:uid="{00000000-0005-0000-0000-000075040000}"/>
    <cellStyle name="_MultipleSpace_CROCI" xfId="1366" xr:uid="{00000000-0005-0000-0000-000076040000}"/>
    <cellStyle name="_MultipleSpace_CROCI 2" xfId="1367" xr:uid="{00000000-0005-0000-0000-000077040000}"/>
    <cellStyle name="_MultipleSpace_csc" xfId="1368" xr:uid="{00000000-0005-0000-0000-000078040000}"/>
    <cellStyle name="_MultipleSpace_csc 2" xfId="1369" xr:uid="{00000000-0005-0000-0000-000079040000}"/>
    <cellStyle name="_MultipleSpace_csc 3" xfId="1370" xr:uid="{00000000-0005-0000-0000-00007A040000}"/>
    <cellStyle name="_MultipleSpace_CSC_Picabia_29062001" xfId="1371" xr:uid="{00000000-0005-0000-0000-00007B040000}"/>
    <cellStyle name="_MultipleSpace_CSC_Picabia_29062001 2" xfId="1372" xr:uid="{00000000-0005-0000-0000-00007C040000}"/>
    <cellStyle name="_MultipleSpace_CSC_Picabia_29062001 3" xfId="1373" xr:uid="{00000000-0005-0000-0000-00007D040000}"/>
    <cellStyle name="_MultipleSpace_DCF - July 2, 2001" xfId="1374" xr:uid="{00000000-0005-0000-0000-00007E040000}"/>
    <cellStyle name="_MultipleSpace_DCF - July 2, 2001 2" xfId="1375" xr:uid="{00000000-0005-0000-0000-00007F040000}"/>
    <cellStyle name="_MultipleSpace_DCF - July 2, 2001 3" xfId="1376" xr:uid="{00000000-0005-0000-0000-000080040000}"/>
    <cellStyle name="_MultipleSpace_DCF Alexander Forbes" xfId="224" xr:uid="{00000000-0005-0000-0000-000081040000}"/>
    <cellStyle name="_MultipleSpace_DCF Model + WACC" xfId="1377" xr:uid="{00000000-0005-0000-0000-000082040000}"/>
    <cellStyle name="_MultipleSpace_DCF Model + WACC 2" xfId="1378" xr:uid="{00000000-0005-0000-0000-000083040000}"/>
    <cellStyle name="_MultipleSpace_DCF Model + WACC 3" xfId="1379" xr:uid="{00000000-0005-0000-0000-000084040000}"/>
    <cellStyle name="_MultipleSpace_DCF-Synergies2" xfId="1380" xr:uid="{00000000-0005-0000-0000-000085040000}"/>
    <cellStyle name="_MultipleSpace_DCF-Synergies2 2" xfId="1381" xr:uid="{00000000-0005-0000-0000-000086040000}"/>
    <cellStyle name="_MultipleSpace_DCF-Synergies2 3" xfId="1382" xr:uid="{00000000-0005-0000-0000-000087040000}"/>
    <cellStyle name="_MultipleSpace_Electrolux CF" xfId="1383" xr:uid="{00000000-0005-0000-0000-000088040000}"/>
    <cellStyle name="_MultipleSpace_Electrolux CF 2" xfId="1384" xr:uid="{00000000-0005-0000-0000-000089040000}"/>
    <cellStyle name="_MultipleSpace_Electrolux CF_1" xfId="1385" xr:uid="{00000000-0005-0000-0000-00008A040000}"/>
    <cellStyle name="_MultipleSpace_Electrolux CF_1 2" xfId="1386" xr:uid="{00000000-0005-0000-0000-00008B040000}"/>
    <cellStyle name="_MultipleSpace_Electrolux MW" xfId="1387" xr:uid="{00000000-0005-0000-0000-00008C040000}"/>
    <cellStyle name="_MultipleSpace_Electrolux MW 2" xfId="1388" xr:uid="{00000000-0005-0000-0000-00008D040000}"/>
    <cellStyle name="_MultipleSpace_Electrolux Old Nick Paton Mark Wilson Model" xfId="1389" xr:uid="{00000000-0005-0000-0000-00008E040000}"/>
    <cellStyle name="_MultipleSpace_Electrolux Old Nick Paton Mark Wilson Model 2" xfId="1390" xr:uid="{00000000-0005-0000-0000-00008F040000}"/>
    <cellStyle name="_MultipleSpace_Electrolux WIP Bhavna" xfId="1391" xr:uid="{00000000-0005-0000-0000-000090040000}"/>
    <cellStyle name="_MultipleSpace_Electrolux WIP Bhavna 2" xfId="1392" xr:uid="{00000000-0005-0000-0000-000091040000}"/>
    <cellStyle name="_MultipleSpace_Eng" xfId="1393" xr:uid="{00000000-0005-0000-0000-000092040000}"/>
    <cellStyle name="_MultipleSpace_Eng 2" xfId="1394" xr:uid="{00000000-0005-0000-0000-000093040000}"/>
    <cellStyle name="_MultipleSpace_Eng 3" xfId="1395" xr:uid="{00000000-0005-0000-0000-000094040000}"/>
    <cellStyle name="_MultipleSpace_Finmeccanica" xfId="1396" xr:uid="{00000000-0005-0000-0000-000095040000}"/>
    <cellStyle name="_MultipleSpace_Finmeccanica SOP" xfId="1397" xr:uid="{00000000-0005-0000-0000-000096040000}"/>
    <cellStyle name="_MultipleSpace_fmbi counties" xfId="225" xr:uid="{00000000-0005-0000-0000-000097040000}"/>
    <cellStyle name="_MultipleSpace_FMBI MBHI Graphs" xfId="226" xr:uid="{00000000-0005-0000-0000-000098040000}"/>
    <cellStyle name="_MultipleSpace_FMBI MBHI Graphs 07102001" xfId="227" xr:uid="{00000000-0005-0000-0000-000099040000}"/>
    <cellStyle name="_MultipleSpace_FMBI MBHI Graphs_7601" xfId="228" xr:uid="{00000000-0005-0000-0000-00009A040000}"/>
    <cellStyle name="_MultipleSpace_Global ROIC 2007" xfId="1398" xr:uid="{00000000-0005-0000-0000-00009B040000}"/>
    <cellStyle name="_MultipleSpace_Global ROIC 2007 2" xfId="1399" xr:uid="{00000000-0005-0000-0000-00009C040000}"/>
    <cellStyle name="_MultipleSpace_Global ROIC 2007_Copy of IFRS consol ABB Final Version4" xfId="1400" xr:uid="{00000000-0005-0000-0000-00009D040000}"/>
    <cellStyle name="_MultipleSpace_Global ROIC 2007_Copy of IFRS consol ABB Final Version4 2" xfId="1401" xr:uid="{00000000-0005-0000-0000-00009E040000}"/>
    <cellStyle name="_MultipleSpace_GNW" xfId="229" xr:uid="{00000000-0005-0000-0000-00009F040000}"/>
    <cellStyle name="_MultipleSpace_Insurance Brokerage CSC_1Q2002" xfId="230" xr:uid="{00000000-0005-0000-0000-0000A0040000}"/>
    <cellStyle name="_MultipleSpace_integrated_standalone_ba" xfId="1402" xr:uid="{00000000-0005-0000-0000-0000A1040000}"/>
    <cellStyle name="_MultipleSpace_integrated_standalone_ba 2" xfId="1403" xr:uid="{00000000-0005-0000-0000-0000A2040000}"/>
    <cellStyle name="_MultipleSpace_integrated_standalone_ba 3" xfId="1404" xr:uid="{00000000-0005-0000-0000-0000A3040000}"/>
    <cellStyle name="_MultipleSpace_JP" xfId="231" xr:uid="{00000000-0005-0000-0000-0000A4040000}"/>
    <cellStyle name="_MultipleSpace_LBO Model Zannier - 04-09-01" xfId="1405" xr:uid="{00000000-0005-0000-0000-0000A5040000}"/>
    <cellStyle name="_MultipleSpace_LBO Model Zannier - 04-09-01 2" xfId="1406" xr:uid="{00000000-0005-0000-0000-0000A6040000}"/>
    <cellStyle name="_MultipleSpace_LBO Model Zannier - 04-09-01 3" xfId="1407" xr:uid="{00000000-0005-0000-0000-0000A7040000}"/>
    <cellStyle name="_MultipleSpace_LNC" xfId="232" xr:uid="{00000000-0005-0000-0000-0000A8040000}"/>
    <cellStyle name="_MultipleSpace_MET" xfId="233" xr:uid="{00000000-0005-0000-0000-0000A9040000}"/>
    <cellStyle name="_MultipleSpace_MET04" xfId="234" xr:uid="{00000000-0005-0000-0000-0000AA040000}"/>
    <cellStyle name="_MultipleSpace_Model Vague 07 conso - Dannaud" xfId="1408" xr:uid="{00000000-0005-0000-0000-0000AB040000}"/>
    <cellStyle name="_MultipleSpace_Model Vague 07 conso - Dannaud 2" xfId="1409" xr:uid="{00000000-0005-0000-0000-0000AC040000}"/>
    <cellStyle name="_MultipleSpace_Model Vague 07 conso - Dannaud 3" xfId="1410" xr:uid="{00000000-0005-0000-0000-0000AD040000}"/>
    <cellStyle name="_MultipleSpace_MTU Aero Engines" xfId="1411" xr:uid="{00000000-0005-0000-0000-0000AE040000}"/>
    <cellStyle name="_MultipleSpace_MTU Aero Engines 2" xfId="1412" xr:uid="{00000000-0005-0000-0000-0000AF040000}"/>
    <cellStyle name="_MultipleSpace_MTU Aero Engines 3" xfId="1413" xr:uid="{00000000-0005-0000-0000-0000B0040000}"/>
    <cellStyle name="_MultipleSpace_MTU Aero EnginesMICHA EVENING6" xfId="1414" xr:uid="{00000000-0005-0000-0000-0000B1040000}"/>
    <cellStyle name="_MultipleSpace_MTU Aero EnginesMICHA EVENING6 2" xfId="1415" xr:uid="{00000000-0005-0000-0000-0000B2040000}"/>
    <cellStyle name="_MultipleSpace_MTU Aero EnginesMICHA EVENING6 3" xfId="1416" xr:uid="{00000000-0005-0000-0000-0000B3040000}"/>
    <cellStyle name="_MultipleSpace_MTU FX sheet" xfId="1417" xr:uid="{00000000-0005-0000-0000-0000B4040000}"/>
    <cellStyle name="_MultipleSpace_MTU FX sheet 2" xfId="1418" xr:uid="{00000000-0005-0000-0000-0000B5040000}"/>
    <cellStyle name="_MultipleSpace_MTU FX sheet 3" xfId="1419" xr:uid="{00000000-0005-0000-0000-0000B6040000}"/>
    <cellStyle name="_MultipleSpace_NFS" xfId="235" xr:uid="{00000000-0005-0000-0000-0000B7040000}"/>
    <cellStyle name="_MultipleSpace_output" xfId="1420" xr:uid="{00000000-0005-0000-0000-0000B8040000}"/>
    <cellStyle name="_MultipleSpace_output 2" xfId="1421" xr:uid="{00000000-0005-0000-0000-0000B9040000}"/>
    <cellStyle name="_MultipleSpace_output 3" xfId="1422" xr:uid="{00000000-0005-0000-0000-0000BA040000}"/>
    <cellStyle name="_MultipleSpace_Overview3" xfId="236" xr:uid="{00000000-0005-0000-0000-0000BB040000}"/>
    <cellStyle name="_MultipleSpace_phil data" xfId="237" xr:uid="{00000000-0005-0000-0000-0000BC040000}"/>
    <cellStyle name="_MultipleSpace_Price Performance Charts" xfId="238" xr:uid="{00000000-0005-0000-0000-0000BD040000}"/>
    <cellStyle name="_MultipleSpace_PRU" xfId="239" xr:uid="{00000000-0005-0000-0000-0000BE040000}"/>
    <cellStyle name="_MultipleSpace_PRU04" xfId="240" xr:uid="{00000000-0005-0000-0000-0000BF040000}"/>
    <cellStyle name="_MultipleSpace_QP_XXX" xfId="1423" xr:uid="{00000000-0005-0000-0000-0000C0040000}"/>
    <cellStyle name="_MultipleSpace_QP_XXX 2" xfId="1424" xr:uid="{00000000-0005-0000-0000-0000C1040000}"/>
    <cellStyle name="_MultipleSpace_QP_XXX_Copy of IFRS consol ABB Final Version4" xfId="1425" xr:uid="{00000000-0005-0000-0000-0000C2040000}"/>
    <cellStyle name="_MultipleSpace_QP_XXX_Copy of IFRS consol ABB Final Version4 2" xfId="1426" xr:uid="{00000000-0005-0000-0000-0000C3040000}"/>
    <cellStyle name="_MultipleSpace_RBOC historicals" xfId="1427" xr:uid="{00000000-0005-0000-0000-0000C4040000}"/>
    <cellStyle name="_MultipleSpace_RBOC historicals_Copy of IFRS consol ABB Final Version4" xfId="1428" xr:uid="{00000000-0005-0000-0000-0000C5040000}"/>
    <cellStyle name="_MultipleSpace_Rheinmetall" xfId="1429" xr:uid="{00000000-0005-0000-0000-0000C6040000}"/>
    <cellStyle name="_MultipleSpace_Rheinmetall_1" xfId="1430" xr:uid="{00000000-0005-0000-0000-0000C7040000}"/>
    <cellStyle name="_MultipleSpace_Rheinmetall_1 2" xfId="1431" xr:uid="{00000000-0005-0000-0000-0000C8040000}"/>
    <cellStyle name="_MultipleSpace_Rheinmetall_1 3" xfId="1432" xr:uid="{00000000-0005-0000-0000-0000C9040000}"/>
    <cellStyle name="_MultipleSpace_RHM" xfId="1433" xr:uid="{00000000-0005-0000-0000-0000CA040000}"/>
    <cellStyle name="_MultipleSpace_RiskReward" xfId="241" xr:uid="{00000000-0005-0000-0000-0000CB040000}"/>
    <cellStyle name="_MultipleSpace_ROIC" xfId="1434" xr:uid="{00000000-0005-0000-0000-0000CC040000}"/>
    <cellStyle name="_MultipleSpace_ROIC 2" xfId="1435" xr:uid="{00000000-0005-0000-0000-0000CD040000}"/>
    <cellStyle name="_MultipleSpace_ROIC 3" xfId="1436" xr:uid="{00000000-0005-0000-0000-0000CE040000}"/>
    <cellStyle name="_MultipleSpace_Rolls-Royce" xfId="1437" xr:uid="{00000000-0005-0000-0000-0000CF040000}"/>
    <cellStyle name="_MultipleSpace_Rolls-Royce Micha" xfId="1438" xr:uid="{00000000-0005-0000-0000-0000D0040000}"/>
    <cellStyle name="_MultipleSpace_Rolls-Royce Micha 2" xfId="1439" xr:uid="{00000000-0005-0000-0000-0000D1040000}"/>
    <cellStyle name="_MultipleSpace_Rolls-Royce Micha 3" xfId="1440" xr:uid="{00000000-0005-0000-0000-0000D2040000}"/>
    <cellStyle name="_MultipleSpace_Rolls-RoyceFINAL130206" xfId="1441" xr:uid="{00000000-0005-0000-0000-0000D3040000}"/>
    <cellStyle name="_MultipleSpace_Rolls-RoyceFINAL130206 2" xfId="1442" xr:uid="{00000000-0005-0000-0000-0000D4040000}"/>
    <cellStyle name="_MultipleSpace_Rolls-RoyceFINAL130206 3" xfId="1443" xr:uid="{00000000-0005-0000-0000-0000D5040000}"/>
    <cellStyle name="_MultipleSpace_RR FY06" xfId="1444" xr:uid="{00000000-0005-0000-0000-0000D6040000}"/>
    <cellStyle name="_MultipleSpace_RR FY06 2" xfId="1445" xr:uid="{00000000-0005-0000-0000-0000D7040000}"/>
    <cellStyle name="_MultipleSpace_RR FY06 3" xfId="1446" xr:uid="{00000000-0005-0000-0000-0000D8040000}"/>
    <cellStyle name="_MultipleSpace_SaabOLD" xfId="1447" xr:uid="{00000000-0005-0000-0000-0000D9040000}"/>
    <cellStyle name="_MultipleSpace_Safran" xfId="1448" xr:uid="{00000000-0005-0000-0000-0000DA040000}"/>
    <cellStyle name="_MultipleSpace_Safran 2" xfId="1449" xr:uid="{00000000-0005-0000-0000-0000DB040000}"/>
    <cellStyle name="_MultipleSpace_Safran 3" xfId="1450" xr:uid="{00000000-0005-0000-0000-0000DC040000}"/>
    <cellStyle name="_MultipleSpace_Saft vs Peers" xfId="1451" xr:uid="{00000000-0005-0000-0000-0000DD040000}"/>
    <cellStyle name="_MultipleSpace_Saft vs Peers 2" xfId="1452" xr:uid="{00000000-0005-0000-0000-0000DE040000}"/>
    <cellStyle name="_MultipleSpace_Saft vs Peers 3" xfId="1453" xr:uid="{00000000-0005-0000-0000-0000DF040000}"/>
    <cellStyle name="_MultipleSpace_SFG" xfId="242" xr:uid="{00000000-0005-0000-0000-0000E0040000}"/>
    <cellStyle name="_MultipleSpace_Sheet1" xfId="243" xr:uid="{00000000-0005-0000-0000-0000E1040000}"/>
    <cellStyle name="_MultipleSpace_SIFI OLD" xfId="1454" xr:uid="{00000000-0005-0000-0000-0000E2040000}"/>
    <cellStyle name="_MultipleSpace_SIFINEW" xfId="1455" xr:uid="{00000000-0005-0000-0000-0000E3040000}"/>
    <cellStyle name="_MultipleSpace_SIFINEW 2" xfId="1456" xr:uid="{00000000-0005-0000-0000-0000E4040000}"/>
    <cellStyle name="_MultipleSpace_SIFINEW 3" xfId="1457" xr:uid="{00000000-0005-0000-0000-0000E5040000}"/>
    <cellStyle name="_MultipleSpace_Smiths Group" xfId="1458" xr:uid="{00000000-0005-0000-0000-0000E6040000}"/>
    <cellStyle name="_MultipleSpace_Smiths Group - OLD" xfId="1459" xr:uid="{00000000-0005-0000-0000-0000E7040000}"/>
    <cellStyle name="_MultipleSpace_Stock-QTR1 FDS" xfId="244" xr:uid="{00000000-0005-0000-0000-0000E8040000}"/>
    <cellStyle name="_MultipleSpace_T - new" xfId="1460" xr:uid="{00000000-0005-0000-0000-0000E9040000}"/>
    <cellStyle name="_MultipleSpace_T - new_Copy of IFRS consol ABB Final Version4" xfId="1461" xr:uid="{00000000-0005-0000-0000-0000EA040000}"/>
    <cellStyle name="_MultipleSpace_TMK" xfId="245" xr:uid="{00000000-0005-0000-0000-0000EB040000}"/>
    <cellStyle name="_MultipleSpace_Updated Valuation Changes" xfId="246" xr:uid="{00000000-0005-0000-0000-0000EC040000}"/>
    <cellStyle name="_MultipleSpace_Vague LBO Model - 19 July 2001" xfId="1462" xr:uid="{00000000-0005-0000-0000-0000ED040000}"/>
    <cellStyle name="_MultipleSpace_Vague LBO Model - 19 July 2001 2" xfId="1463" xr:uid="{00000000-0005-0000-0000-0000EE040000}"/>
    <cellStyle name="_MultipleSpace_Vague LBO Model - 19 July 2001 3" xfId="1464" xr:uid="{00000000-0005-0000-0000-0000EF040000}"/>
    <cellStyle name="_MultipleSpace_Valuation Graphs" xfId="247" xr:uid="{00000000-0005-0000-0000-0000F0040000}"/>
    <cellStyle name="_MultipleSpace_Vinci" xfId="1465" xr:uid="{00000000-0005-0000-0000-0000F1040000}"/>
    <cellStyle name="_MultipleSpace_WACC" xfId="1466" xr:uid="{00000000-0005-0000-0000-0000F2040000}"/>
    <cellStyle name="_MultipleSpace_WACC 2" xfId="1467" xr:uid="{00000000-0005-0000-0000-0000F3040000}"/>
    <cellStyle name="_MultipleSpace_WACC 3" xfId="1468" xr:uid="{00000000-0005-0000-0000-0000F4040000}"/>
    <cellStyle name="_MultipleSpace_WACC Analysis" xfId="1469" xr:uid="{00000000-0005-0000-0000-0000F5040000}"/>
    <cellStyle name="_MultipleSpace_WACC Analysis 2" xfId="1470" xr:uid="{00000000-0005-0000-0000-0000F6040000}"/>
    <cellStyle name="_MultipleSpace_WACC Analysis 3" xfId="1471" xr:uid="{00000000-0005-0000-0000-0000F7040000}"/>
    <cellStyle name="_MultipleSpace_xratio - historical mkt val" xfId="248" xr:uid="{00000000-0005-0000-0000-0000F8040000}"/>
    <cellStyle name="_NOK_now" xfId="1472" xr:uid="{00000000-0005-0000-0000-0000F9040000}"/>
    <cellStyle name="_Percent" xfId="249" xr:uid="{00000000-0005-0000-0000-0000FA040000}"/>
    <cellStyle name="_Percent 2" xfId="1473" xr:uid="{00000000-0005-0000-0000-0000FB040000}"/>
    <cellStyle name="_Percent 3" xfId="1474" xr:uid="{00000000-0005-0000-0000-0000FC040000}"/>
    <cellStyle name="_Percent_05 CSC_Picabia_02042002" xfId="1475" xr:uid="{00000000-0005-0000-0000-0000FD040000}"/>
    <cellStyle name="_Percent_05 CSC_Picabia_02042002 2" xfId="1476" xr:uid="{00000000-0005-0000-0000-0000FE040000}"/>
    <cellStyle name="_Percent_05 CSC_Picabia_02042002 3" xfId="1477" xr:uid="{00000000-0005-0000-0000-0000FF040000}"/>
    <cellStyle name="_Percent_Aero DCF" xfId="1478" xr:uid="{00000000-0005-0000-0000-000000050000}"/>
    <cellStyle name="_Percent_Aero DCF 2" xfId="1479" xr:uid="{00000000-0005-0000-0000-000001050000}"/>
    <cellStyle name="_Percent_Aero DCF 3" xfId="1480" xr:uid="{00000000-0005-0000-0000-000002050000}"/>
    <cellStyle name="_Percent_ASF" xfId="1481" xr:uid="{00000000-0005-0000-0000-000003050000}"/>
    <cellStyle name="_Percent_ASF 2" xfId="1482" xr:uid="{00000000-0005-0000-0000-000004050000}"/>
    <cellStyle name="_Percent_ASF 3" xfId="1483" xr:uid="{00000000-0005-0000-0000-000005050000}"/>
    <cellStyle name="_Percent_ASF1" xfId="1484" xr:uid="{00000000-0005-0000-0000-000006050000}"/>
    <cellStyle name="_Percent_ASF1 2" xfId="1485" xr:uid="{00000000-0005-0000-0000-000007050000}"/>
    <cellStyle name="_Percent_ASF1 3" xfId="1486" xr:uid="{00000000-0005-0000-0000-000008050000}"/>
    <cellStyle name="_Percent_Assa CF" xfId="1487" xr:uid="{00000000-0005-0000-0000-000009050000}"/>
    <cellStyle name="_Percent_Assa CF 2" xfId="1488" xr:uid="{00000000-0005-0000-0000-00000A050000}"/>
    <cellStyle name="_Percent_Assa CF 3" xfId="1489" xr:uid="{00000000-0005-0000-0000-00000B050000}"/>
    <cellStyle name="_Percent_Assa Reference" xfId="1490" xr:uid="{00000000-0005-0000-0000-00000C050000}"/>
    <cellStyle name="_Percent_Assa Reference 2" xfId="1491" xr:uid="{00000000-0005-0000-0000-00000D050000}"/>
    <cellStyle name="_Percent_Assa Reference 3" xfId="1492" xr:uid="{00000000-0005-0000-0000-00000E050000}"/>
    <cellStyle name="_Percent_Assa vs Competition" xfId="1493" xr:uid="{00000000-0005-0000-0000-00000F050000}"/>
    <cellStyle name="_Percent_Assa vs Competition 2" xfId="1494" xr:uid="{00000000-0005-0000-0000-000010050000}"/>
    <cellStyle name="_Percent_Assa vs Competition 3" xfId="1495" xr:uid="{00000000-0005-0000-0000-000011050000}"/>
    <cellStyle name="_Percent_Atlas Copco CF" xfId="1496" xr:uid="{00000000-0005-0000-0000-000012050000}"/>
    <cellStyle name="_Percent_Atlas Copco CF 2" xfId="1497" xr:uid="{00000000-0005-0000-0000-000013050000}"/>
    <cellStyle name="_Percent_AVP" xfId="1498" xr:uid="{00000000-0005-0000-0000-000014050000}"/>
    <cellStyle name="_Percent_AVP 2" xfId="1499" xr:uid="{00000000-0005-0000-0000-000015050000}"/>
    <cellStyle name="_Percent_AVP 3" xfId="1500" xr:uid="{00000000-0005-0000-0000-000016050000}"/>
    <cellStyle name="_Percent_BAE_model_new" xfId="1501" xr:uid="{00000000-0005-0000-0000-000017050000}"/>
    <cellStyle name="_Percent_BAE_model_new 2" xfId="1502" xr:uid="{00000000-0005-0000-0000-000018050000}"/>
    <cellStyle name="_Percent_BAE_model_new 3" xfId="1503" xr:uid="{00000000-0005-0000-0000-000019050000}"/>
    <cellStyle name="_Percent_BHI" xfId="1504" xr:uid="{00000000-0005-0000-0000-00001A050000}"/>
    <cellStyle name="_Percent_BHI_Copy of IFRS consol ABB Final Version4" xfId="1505" xr:uid="{00000000-0005-0000-0000-00001B050000}"/>
    <cellStyle name="_Percent_Book1" xfId="1506" xr:uid="{00000000-0005-0000-0000-00001C050000}"/>
    <cellStyle name="_Percent_Book1 2" xfId="1507" xr:uid="{00000000-0005-0000-0000-00001D050000}"/>
    <cellStyle name="_Percent_Book1 3" xfId="1508" xr:uid="{00000000-0005-0000-0000-00001E050000}"/>
    <cellStyle name="_Percent_Comdot - gStyle Excel Slides" xfId="1509" xr:uid="{00000000-0005-0000-0000-00001F050000}"/>
    <cellStyle name="_Percent_Comdot - gStyle Excel Slides 2" xfId="1510" xr:uid="{00000000-0005-0000-0000-000020050000}"/>
    <cellStyle name="_Percent_Comdot - gStyle Excel Slides 3" xfId="1511" xr:uid="{00000000-0005-0000-0000-000021050000}"/>
    <cellStyle name="_Percent_Comdot LBO Short Form - v3" xfId="1512" xr:uid="{00000000-0005-0000-0000-000022050000}"/>
    <cellStyle name="_Percent_Comdot LBO Short Form - v3 2" xfId="1513" xr:uid="{00000000-0005-0000-0000-000023050000}"/>
    <cellStyle name="_Percent_Comdot LBO Short Form - v3 3" xfId="1514" xr:uid="{00000000-0005-0000-0000-000024050000}"/>
    <cellStyle name="_Percent_contribution_analysis" xfId="1515" xr:uid="{00000000-0005-0000-0000-000025050000}"/>
    <cellStyle name="_Percent_Copy of IFRS consol ABB Final Version4" xfId="1516" xr:uid="{00000000-0005-0000-0000-000026050000}"/>
    <cellStyle name="_Percent_Copy of IFRS consol ABB Final Version4 2" xfId="1517" xr:uid="{00000000-0005-0000-0000-000027050000}"/>
    <cellStyle name="_Percent_Copy of IFRS consol ABB Final Version4_1" xfId="1518" xr:uid="{00000000-0005-0000-0000-000028050000}"/>
    <cellStyle name="_Percent_Copy of IFRS consol ABB Final Version4_1 2" xfId="1519" xr:uid="{00000000-0005-0000-0000-000029050000}"/>
    <cellStyle name="_Percent_Copy of Spirent_now" xfId="1520" xr:uid="{00000000-0005-0000-0000-00002A050000}"/>
    <cellStyle name="_Percent_Copy of Spirent_now 2" xfId="1521" xr:uid="{00000000-0005-0000-0000-00002B050000}"/>
    <cellStyle name="_Percent_Copy of Spirent_now 3" xfId="1522" xr:uid="{00000000-0005-0000-0000-00002C050000}"/>
    <cellStyle name="_Percent_CROCI" xfId="1523" xr:uid="{00000000-0005-0000-0000-00002D050000}"/>
    <cellStyle name="_Percent_CROCI 2" xfId="1524" xr:uid="{00000000-0005-0000-0000-00002E050000}"/>
    <cellStyle name="_Percent_DCF - July 2, 2001" xfId="1525" xr:uid="{00000000-0005-0000-0000-00002F050000}"/>
    <cellStyle name="_Percent_DCF - July 2, 2001 2" xfId="1526" xr:uid="{00000000-0005-0000-0000-000030050000}"/>
    <cellStyle name="_Percent_DCF - July 2, 2001 3" xfId="1527" xr:uid="{00000000-0005-0000-0000-000031050000}"/>
    <cellStyle name="_Percent_DCF Alexander Forbes" xfId="250" xr:uid="{00000000-0005-0000-0000-000032050000}"/>
    <cellStyle name="_Percent_Electrolux CF" xfId="1528" xr:uid="{00000000-0005-0000-0000-000033050000}"/>
    <cellStyle name="_Percent_Electrolux CF 2" xfId="1529" xr:uid="{00000000-0005-0000-0000-000034050000}"/>
    <cellStyle name="_Percent_Eng" xfId="1530" xr:uid="{00000000-0005-0000-0000-000035050000}"/>
    <cellStyle name="_Percent_Eng 2" xfId="1531" xr:uid="{00000000-0005-0000-0000-000036050000}"/>
    <cellStyle name="_Percent_Eng 3" xfId="1532" xr:uid="{00000000-0005-0000-0000-000037050000}"/>
    <cellStyle name="_Percent_FMBI MBHI Graphs" xfId="251" xr:uid="{00000000-0005-0000-0000-000038050000}"/>
    <cellStyle name="_Percent_FMBI MBHI Graphs 07102001" xfId="252" xr:uid="{00000000-0005-0000-0000-000039050000}"/>
    <cellStyle name="_Percent_FMBI MBHI Graphs_7601" xfId="253" xr:uid="{00000000-0005-0000-0000-00003A050000}"/>
    <cellStyle name="_Percent_Global ROIC 2007" xfId="1533" xr:uid="{00000000-0005-0000-0000-00003B050000}"/>
    <cellStyle name="_Percent_Global ROIC 2007 2" xfId="1534" xr:uid="{00000000-0005-0000-0000-00003C050000}"/>
    <cellStyle name="_Percent_Global ROIC 2007_Copy of IFRS consol ABB Final Version4" xfId="1535" xr:uid="{00000000-0005-0000-0000-00003D050000}"/>
    <cellStyle name="_Percent_Global ROIC 2007_Copy of IFRS consol ABB Final Version4 2" xfId="1536" xr:uid="{00000000-0005-0000-0000-00003E050000}"/>
    <cellStyle name="_Percent_LBO Model Zannier - 04-09-01" xfId="1537" xr:uid="{00000000-0005-0000-0000-00003F050000}"/>
    <cellStyle name="_Percent_LBO Model Zannier - 04-09-01 2" xfId="1538" xr:uid="{00000000-0005-0000-0000-000040050000}"/>
    <cellStyle name="_Percent_LBO Model Zannier - 04-09-01 3" xfId="1539" xr:uid="{00000000-0005-0000-0000-000041050000}"/>
    <cellStyle name="_Percent_Model Vague 07 conso - Dannaud" xfId="1540" xr:uid="{00000000-0005-0000-0000-000042050000}"/>
    <cellStyle name="_Percent_Model Vague 07 conso - Dannaud 2" xfId="1541" xr:uid="{00000000-0005-0000-0000-000043050000}"/>
    <cellStyle name="_Percent_Model Vague 07 conso - Dannaud 3" xfId="1542" xr:uid="{00000000-0005-0000-0000-000044050000}"/>
    <cellStyle name="_Percent_MTU Aero Engines" xfId="1543" xr:uid="{00000000-0005-0000-0000-000045050000}"/>
    <cellStyle name="_Percent_MTU Aero Engines 2" xfId="1544" xr:uid="{00000000-0005-0000-0000-000046050000}"/>
    <cellStyle name="_Percent_MTU Aero Engines 3" xfId="1545" xr:uid="{00000000-0005-0000-0000-000047050000}"/>
    <cellStyle name="_Percent_MTU Aero EnginesMICHA EVENING6" xfId="1546" xr:uid="{00000000-0005-0000-0000-000048050000}"/>
    <cellStyle name="_Percent_MTU Aero EnginesMICHA EVENING6 2" xfId="1547" xr:uid="{00000000-0005-0000-0000-000049050000}"/>
    <cellStyle name="_Percent_MTU Aero EnginesMICHA EVENING6 3" xfId="1548" xr:uid="{00000000-0005-0000-0000-00004A050000}"/>
    <cellStyle name="_Percent_MTU FX sheet" xfId="1549" xr:uid="{00000000-0005-0000-0000-00004B050000}"/>
    <cellStyle name="_Percent_MTU FX sheet 2" xfId="1550" xr:uid="{00000000-0005-0000-0000-00004C050000}"/>
    <cellStyle name="_Percent_MTU FX sheet 3" xfId="1551" xr:uid="{00000000-0005-0000-0000-00004D050000}"/>
    <cellStyle name="_Percent_QP_XXX" xfId="1552" xr:uid="{00000000-0005-0000-0000-00004E050000}"/>
    <cellStyle name="_Percent_QP_XXX 2" xfId="1553" xr:uid="{00000000-0005-0000-0000-00004F050000}"/>
    <cellStyle name="_Percent_QP_XXX_Copy of IFRS consol ABB Final Version4" xfId="1554" xr:uid="{00000000-0005-0000-0000-000050050000}"/>
    <cellStyle name="_Percent_QP_XXX_Copy of IFRS consol ABB Final Version4 2" xfId="1555" xr:uid="{00000000-0005-0000-0000-000051050000}"/>
    <cellStyle name="_Percent_Rheinmetall" xfId="1556" xr:uid="{00000000-0005-0000-0000-000052050000}"/>
    <cellStyle name="_Percent_Rheinmetall 2" xfId="1557" xr:uid="{00000000-0005-0000-0000-000053050000}"/>
    <cellStyle name="_Percent_Rheinmetall 3" xfId="1558" xr:uid="{00000000-0005-0000-0000-000054050000}"/>
    <cellStyle name="_Percent_ROIC" xfId="1559" xr:uid="{00000000-0005-0000-0000-000055050000}"/>
    <cellStyle name="_Percent_ROIC 2" xfId="1560" xr:uid="{00000000-0005-0000-0000-000056050000}"/>
    <cellStyle name="_Percent_ROIC 3" xfId="1561" xr:uid="{00000000-0005-0000-0000-000057050000}"/>
    <cellStyle name="_Percent_Rolls-Royce" xfId="1562" xr:uid="{00000000-0005-0000-0000-000058050000}"/>
    <cellStyle name="_Percent_Rolls-Royce 2" xfId="1563" xr:uid="{00000000-0005-0000-0000-000059050000}"/>
    <cellStyle name="_Percent_Rolls-Royce 3" xfId="1564" xr:uid="{00000000-0005-0000-0000-00005A050000}"/>
    <cellStyle name="_Percent_Rolls-Royce Micha" xfId="1565" xr:uid="{00000000-0005-0000-0000-00005B050000}"/>
    <cellStyle name="_Percent_Rolls-Royce Micha 2" xfId="1566" xr:uid="{00000000-0005-0000-0000-00005C050000}"/>
    <cellStyle name="_Percent_Rolls-Royce Micha 3" xfId="1567" xr:uid="{00000000-0005-0000-0000-00005D050000}"/>
    <cellStyle name="_Percent_Rolls-RoyceFINAL130206" xfId="1568" xr:uid="{00000000-0005-0000-0000-00005E050000}"/>
    <cellStyle name="_Percent_Rolls-RoyceFINAL130206 2" xfId="1569" xr:uid="{00000000-0005-0000-0000-00005F050000}"/>
    <cellStyle name="_Percent_Rolls-RoyceFINAL130206 3" xfId="1570" xr:uid="{00000000-0005-0000-0000-000060050000}"/>
    <cellStyle name="_Percent_RR FY06" xfId="1571" xr:uid="{00000000-0005-0000-0000-000061050000}"/>
    <cellStyle name="_Percent_RR FY06 2" xfId="1572" xr:uid="{00000000-0005-0000-0000-000062050000}"/>
    <cellStyle name="_Percent_RR FY06 3" xfId="1573" xr:uid="{00000000-0005-0000-0000-000063050000}"/>
    <cellStyle name="_Percent_Safran" xfId="1574" xr:uid="{00000000-0005-0000-0000-000064050000}"/>
    <cellStyle name="_Percent_Safran 2" xfId="1575" xr:uid="{00000000-0005-0000-0000-000065050000}"/>
    <cellStyle name="_Percent_Safran 3" xfId="1576" xr:uid="{00000000-0005-0000-0000-000066050000}"/>
    <cellStyle name="_Percent_Saft vs Peers" xfId="1577" xr:uid="{00000000-0005-0000-0000-000067050000}"/>
    <cellStyle name="_Percent_Saft vs Peers 2" xfId="1578" xr:uid="{00000000-0005-0000-0000-000068050000}"/>
    <cellStyle name="_Percent_Saft vs Peers 3" xfId="1579" xr:uid="{00000000-0005-0000-0000-000069050000}"/>
    <cellStyle name="_Percent_WACC" xfId="1580" xr:uid="{00000000-0005-0000-0000-00006A050000}"/>
    <cellStyle name="_Percent_WACC 2" xfId="1581" xr:uid="{00000000-0005-0000-0000-00006B050000}"/>
    <cellStyle name="_Percent_WACC 3" xfId="1582" xr:uid="{00000000-0005-0000-0000-00006C050000}"/>
    <cellStyle name="_PercentSpace" xfId="254" xr:uid="{00000000-0005-0000-0000-00006D050000}"/>
    <cellStyle name="_PercentSpace 2" xfId="1583" xr:uid="{00000000-0005-0000-0000-00006E050000}"/>
    <cellStyle name="_PercentSpace 3" xfId="1584" xr:uid="{00000000-0005-0000-0000-00006F050000}"/>
    <cellStyle name="_PercentSpace_01 adj for merger plan" xfId="255" xr:uid="{00000000-0005-0000-0000-000070050000}"/>
    <cellStyle name="_PercentSpace_Atlas Copco CF" xfId="1585" xr:uid="{00000000-0005-0000-0000-000071050000}"/>
    <cellStyle name="_PercentSpace_Atlas Copco CF 2" xfId="1586" xr:uid="{00000000-0005-0000-0000-000072050000}"/>
    <cellStyle name="_PercentSpace_AVP" xfId="1587" xr:uid="{00000000-0005-0000-0000-000073050000}"/>
    <cellStyle name="_PercentSpace_AVP 2" xfId="1588" xr:uid="{00000000-0005-0000-0000-000074050000}"/>
    <cellStyle name="_PercentSpace_AVP 3" xfId="1589" xr:uid="{00000000-0005-0000-0000-000075050000}"/>
    <cellStyle name="_PercentSpace_BHI" xfId="1590" xr:uid="{00000000-0005-0000-0000-000076050000}"/>
    <cellStyle name="_PercentSpace_BHI_Copy of IFRS consol ABB Final Version4" xfId="1591" xr:uid="{00000000-0005-0000-0000-000077050000}"/>
    <cellStyle name="_PercentSpace_Book1" xfId="1592" xr:uid="{00000000-0005-0000-0000-000078050000}"/>
    <cellStyle name="_PercentSpace_Book1 2" xfId="1593" xr:uid="{00000000-0005-0000-0000-000079050000}"/>
    <cellStyle name="_PercentSpace_Book1 3" xfId="1594" xr:uid="{00000000-0005-0000-0000-00007A050000}"/>
    <cellStyle name="_PercentSpace_Comdot - gStyle Excel Slides" xfId="1595" xr:uid="{00000000-0005-0000-0000-00007B050000}"/>
    <cellStyle name="_PercentSpace_Comdot - gStyle Excel Slides 2" xfId="1596" xr:uid="{00000000-0005-0000-0000-00007C050000}"/>
    <cellStyle name="_PercentSpace_Comdot - gStyle Excel Slides 3" xfId="1597" xr:uid="{00000000-0005-0000-0000-00007D050000}"/>
    <cellStyle name="_PercentSpace_Comdot LBO Short Form - v3" xfId="1598" xr:uid="{00000000-0005-0000-0000-00007E050000}"/>
    <cellStyle name="_PercentSpace_Comdot LBO Short Form - v3 2" xfId="1599" xr:uid="{00000000-0005-0000-0000-00007F050000}"/>
    <cellStyle name="_PercentSpace_Comdot LBO Short Form - v3 3" xfId="1600" xr:uid="{00000000-0005-0000-0000-000080050000}"/>
    <cellStyle name="_PercentSpace_contribution_analysis" xfId="1601" xr:uid="{00000000-0005-0000-0000-000081050000}"/>
    <cellStyle name="_PercentSpace_Copy of IFRS consol ABB Final Version4" xfId="1602" xr:uid="{00000000-0005-0000-0000-000082050000}"/>
    <cellStyle name="_PercentSpace_Copy of IFRS consol ABB Final Version4 2" xfId="1603" xr:uid="{00000000-0005-0000-0000-000083050000}"/>
    <cellStyle name="_PercentSpace_Copy of IFRS consol ABB Final Version4_1" xfId="1604" xr:uid="{00000000-0005-0000-0000-000084050000}"/>
    <cellStyle name="_PercentSpace_Copy of IFRS consol ABB Final Version4_1 2" xfId="1605" xr:uid="{00000000-0005-0000-0000-000085050000}"/>
    <cellStyle name="_PercentSpace_CROCI" xfId="1606" xr:uid="{00000000-0005-0000-0000-000086050000}"/>
    <cellStyle name="_PercentSpace_CROCI 2" xfId="1607" xr:uid="{00000000-0005-0000-0000-000087050000}"/>
    <cellStyle name="_PercentSpace_DCF - July 2, 2001" xfId="1608" xr:uid="{00000000-0005-0000-0000-000088050000}"/>
    <cellStyle name="_PercentSpace_DCF - July 2, 2001 2" xfId="1609" xr:uid="{00000000-0005-0000-0000-000089050000}"/>
    <cellStyle name="_PercentSpace_DCF - July 2, 2001 3" xfId="1610" xr:uid="{00000000-0005-0000-0000-00008A050000}"/>
    <cellStyle name="_PercentSpace_DCF Alexander Forbes" xfId="256" xr:uid="{00000000-0005-0000-0000-00008B050000}"/>
    <cellStyle name="_PercentSpace_Electrolux CF" xfId="1611" xr:uid="{00000000-0005-0000-0000-00008C050000}"/>
    <cellStyle name="_PercentSpace_Electrolux CF 2" xfId="1612" xr:uid="{00000000-0005-0000-0000-00008D050000}"/>
    <cellStyle name="_PercentSpace_FMBI MBHI Graphs" xfId="257" xr:uid="{00000000-0005-0000-0000-00008E050000}"/>
    <cellStyle name="_PercentSpace_FMBI MBHI Graphs 07102001" xfId="258" xr:uid="{00000000-0005-0000-0000-00008F050000}"/>
    <cellStyle name="_PercentSpace_FMBI MBHI Graphs_7601" xfId="259" xr:uid="{00000000-0005-0000-0000-000090050000}"/>
    <cellStyle name="_PercentSpace_LBO Model Zannier - 04-09-01" xfId="1613" xr:uid="{00000000-0005-0000-0000-000091050000}"/>
    <cellStyle name="_PercentSpace_LBO Model Zannier - 04-09-01 2" xfId="1614" xr:uid="{00000000-0005-0000-0000-000092050000}"/>
    <cellStyle name="_PercentSpace_LBO Model Zannier - 04-09-01 3" xfId="1615" xr:uid="{00000000-0005-0000-0000-000093050000}"/>
    <cellStyle name="_PercentSpace_Model Vague 07 conso - Dannaud" xfId="1616" xr:uid="{00000000-0005-0000-0000-000094050000}"/>
    <cellStyle name="_PercentSpace_Model Vague 07 conso - Dannaud 2" xfId="1617" xr:uid="{00000000-0005-0000-0000-000095050000}"/>
    <cellStyle name="_PercentSpace_Model Vague 07 conso - Dannaud 3" xfId="1618" xr:uid="{00000000-0005-0000-0000-000096050000}"/>
    <cellStyle name="_PercentSpace_QP_XXX" xfId="1619" xr:uid="{00000000-0005-0000-0000-000097050000}"/>
    <cellStyle name="_PercentSpace_QP_XXX 2" xfId="1620" xr:uid="{00000000-0005-0000-0000-000098050000}"/>
    <cellStyle name="_PercentSpace_QP_XXX_Copy of IFRS consol ABB Final Version4" xfId="1621" xr:uid="{00000000-0005-0000-0000-000099050000}"/>
    <cellStyle name="_PercentSpace_QP_XXX_Copy of IFRS consol ABB Final Version4 2" xfId="1622" xr:uid="{00000000-0005-0000-0000-00009A050000}"/>
    <cellStyle name="_PercentSpace_WACC" xfId="1623" xr:uid="{00000000-0005-0000-0000-00009B050000}"/>
    <cellStyle name="_PercentSpace_WACC 2" xfId="1624" xr:uid="{00000000-0005-0000-0000-00009C050000}"/>
    <cellStyle name="_PercentSpace_WACC 3" xfId="1625" xr:uid="{00000000-0005-0000-0000-00009D050000}"/>
    <cellStyle name="_Rheinmetall" xfId="1626" xr:uid="{00000000-0005-0000-0000-00009E050000}"/>
    <cellStyle name="_Rheinmetall 2" xfId="1627" xr:uid="{00000000-0005-0000-0000-00009F050000}"/>
    <cellStyle name="_Rheinmetall 3" xfId="1628" xr:uid="{00000000-0005-0000-0000-0000A0050000}"/>
    <cellStyle name="_Rolls NOW" xfId="1629" xr:uid="{00000000-0005-0000-0000-0000A1050000}"/>
    <cellStyle name="_Rolls-Royce" xfId="1630" xr:uid="{00000000-0005-0000-0000-0000A2050000}"/>
    <cellStyle name="_Rolls-Royce Micha" xfId="1631" xr:uid="{00000000-0005-0000-0000-0000A3050000}"/>
    <cellStyle name="_Rolls-Royce Micha 2" xfId="1632" xr:uid="{00000000-0005-0000-0000-0000A4050000}"/>
    <cellStyle name="_Rolls-Royce Micha 3" xfId="1633" xr:uid="{00000000-0005-0000-0000-0000A5050000}"/>
    <cellStyle name="_Rolls-Royce120208" xfId="1634" xr:uid="{00000000-0005-0000-0000-0000A6050000}"/>
    <cellStyle name="_Rolls-RoyceFINAL130206" xfId="1635" xr:uid="{00000000-0005-0000-0000-0000A7050000}"/>
    <cellStyle name="_RR FY06" xfId="1636" xr:uid="{00000000-0005-0000-0000-0000A8050000}"/>
    <cellStyle name="_Safran" xfId="1637" xr:uid="{00000000-0005-0000-0000-0000A9050000}"/>
    <cellStyle name="_Safran 2" xfId="1638" xr:uid="{00000000-0005-0000-0000-0000AA050000}"/>
    <cellStyle name="_Safran 3" xfId="1639" xr:uid="{00000000-0005-0000-0000-0000AB050000}"/>
    <cellStyle name="_SubHeading" xfId="260" xr:uid="{00000000-0005-0000-0000-0000AC050000}"/>
    <cellStyle name="_SubHeading_Ability to Pay Analysis" xfId="261" xr:uid="{00000000-0005-0000-0000-0000AD050000}"/>
    <cellStyle name="_SubHeading_Alstom WIP Bhavna" xfId="1640" xr:uid="{00000000-0005-0000-0000-0000AE050000}"/>
    <cellStyle name="_SubHeading_Alstom WIP Bhavna 2" xfId="1641" xr:uid="{00000000-0005-0000-0000-0000AF050000}"/>
    <cellStyle name="_SubHeading_ASF interim sheet" xfId="1642" xr:uid="{00000000-0005-0000-0000-0000B0050000}"/>
    <cellStyle name="_SubHeading_ASF interim sheet 2" xfId="1643" xr:uid="{00000000-0005-0000-0000-0000B1050000}"/>
    <cellStyle name="_SubHeading_ASF interim sheet 3" xfId="1644" xr:uid="{00000000-0005-0000-0000-0000B2050000}"/>
    <cellStyle name="_SubHeading_Assa CF" xfId="1645" xr:uid="{00000000-0005-0000-0000-0000B3050000}"/>
    <cellStyle name="_SubHeading_Assa CF 2" xfId="1646" xr:uid="{00000000-0005-0000-0000-0000B4050000}"/>
    <cellStyle name="_SubHeading_Assa CF 3" xfId="1647" xr:uid="{00000000-0005-0000-0000-0000B5050000}"/>
    <cellStyle name="_SubHeading_Assa Reference" xfId="1648" xr:uid="{00000000-0005-0000-0000-0000B6050000}"/>
    <cellStyle name="_SubHeading_Assa Reference 2" xfId="1649" xr:uid="{00000000-0005-0000-0000-0000B7050000}"/>
    <cellStyle name="_SubHeading_Assa Reference 3" xfId="1650" xr:uid="{00000000-0005-0000-0000-0000B8050000}"/>
    <cellStyle name="_SubHeading_BAE Systems" xfId="1651" xr:uid="{00000000-0005-0000-0000-0000B9050000}"/>
    <cellStyle name="_SubHeading_BAE Systems 2" xfId="1652" xr:uid="{00000000-0005-0000-0000-0000BA050000}"/>
    <cellStyle name="_SubHeading_BAE Systems 3" xfId="1653" xr:uid="{00000000-0005-0000-0000-0000BB050000}"/>
    <cellStyle name="_SubHeading_BankUnited Model" xfId="262" xr:uid="{00000000-0005-0000-0000-0000BC050000}"/>
    <cellStyle name="_SubHeading_BLS" xfId="1654" xr:uid="{00000000-0005-0000-0000-0000BD050000}"/>
    <cellStyle name="_SubHeading_bls roic" xfId="1655" xr:uid="{00000000-0005-0000-0000-0000BE050000}"/>
    <cellStyle name="_SubHeading_bls roic 2" xfId="1656" xr:uid="{00000000-0005-0000-0000-0000BF050000}"/>
    <cellStyle name="_SubHeading_Book9" xfId="1657" xr:uid="{00000000-0005-0000-0000-0000C0050000}"/>
    <cellStyle name="_SubHeading_Broadband Comps" xfId="1658" xr:uid="{00000000-0005-0000-0000-0000C1050000}"/>
    <cellStyle name="_SubHeading_capital expenditures 6-18-02" xfId="1659" xr:uid="{00000000-0005-0000-0000-0000C2050000}"/>
    <cellStyle name="_SubHeading_capital expenditures 6-18-02 2" xfId="1660" xr:uid="{00000000-0005-0000-0000-0000C3050000}"/>
    <cellStyle name="_SubHeading_Civil" xfId="1661" xr:uid="{00000000-0005-0000-0000-0000C4050000}"/>
    <cellStyle name="_SubHeading_Civil 2" xfId="1662" xr:uid="{00000000-0005-0000-0000-0000C5050000}"/>
    <cellStyle name="_SubHeading_Civil 3" xfId="1663" xr:uid="{00000000-0005-0000-0000-0000C6050000}"/>
    <cellStyle name="_SubHeading_Copy of IFRS consol ABB Final Version4" xfId="1664" xr:uid="{00000000-0005-0000-0000-0000C7050000}"/>
    <cellStyle name="_SubHeading_CROCI" xfId="1665" xr:uid="{00000000-0005-0000-0000-0000C8050000}"/>
    <cellStyle name="_SubHeading_CROCI 2" xfId="1666" xr:uid="{00000000-0005-0000-0000-0000C9050000}"/>
    <cellStyle name="_SubHeading_CSC_Picabia_29062001" xfId="1667" xr:uid="{00000000-0005-0000-0000-0000CA050000}"/>
    <cellStyle name="_SubHeading_CSC_Picabia_29062001 2" xfId="1668" xr:uid="{00000000-0005-0000-0000-0000CB050000}"/>
    <cellStyle name="_SubHeading_CSC_Picabia_29062001 3" xfId="1669" xr:uid="{00000000-0005-0000-0000-0000CC050000}"/>
    <cellStyle name="_SubHeading_CTCO" xfId="1670" xr:uid="{00000000-0005-0000-0000-0000CD050000}"/>
    <cellStyle name="_SubHeading_Date of fillings" xfId="1671" xr:uid="{00000000-0005-0000-0000-0000CE050000}"/>
    <cellStyle name="_SubHeading_easyJet1" xfId="1672" xr:uid="{00000000-0005-0000-0000-0000CF050000}"/>
    <cellStyle name="_SubHeading_easyJet1 2" xfId="1673" xr:uid="{00000000-0005-0000-0000-0000D0050000}"/>
    <cellStyle name="_SubHeading_easyJet1 3" xfId="1674" xr:uid="{00000000-0005-0000-0000-0000D1050000}"/>
    <cellStyle name="_SubHeading_Electrolux CF" xfId="1675" xr:uid="{00000000-0005-0000-0000-0000D2050000}"/>
    <cellStyle name="_SubHeading_Electrolux MW" xfId="1676" xr:uid="{00000000-0005-0000-0000-0000D3050000}"/>
    <cellStyle name="_SubHeading_Electrolux MW 2" xfId="1677" xr:uid="{00000000-0005-0000-0000-0000D4050000}"/>
    <cellStyle name="_SubHeading_Electrolux Old Nick Paton Mark Wilson Model" xfId="1678" xr:uid="{00000000-0005-0000-0000-0000D5050000}"/>
    <cellStyle name="_SubHeading_Electrolux WIP Bhavna" xfId="1679" xr:uid="{00000000-0005-0000-0000-0000D6050000}"/>
    <cellStyle name="_SubHeading_Finmeccanica" xfId="1680" xr:uid="{00000000-0005-0000-0000-0000D7050000}"/>
    <cellStyle name="_SubHeading_Finmeccanica 2" xfId="1681" xr:uid="{00000000-0005-0000-0000-0000D8050000}"/>
    <cellStyle name="_SubHeading_Finmeccanica 3" xfId="1682" xr:uid="{00000000-0005-0000-0000-0000D9050000}"/>
    <cellStyle name="_SubHeading_Finmeccanica SOP" xfId="1683" xr:uid="{00000000-0005-0000-0000-0000DA050000}"/>
    <cellStyle name="_SubHeading_Finmeccanica SOP 2" xfId="1684" xr:uid="{00000000-0005-0000-0000-0000DB050000}"/>
    <cellStyle name="_SubHeading_Finmeccanica SOP 3" xfId="1685" xr:uid="{00000000-0005-0000-0000-0000DC050000}"/>
    <cellStyle name="_SubHeading_fmbi counties" xfId="263" xr:uid="{00000000-0005-0000-0000-0000DD050000}"/>
    <cellStyle name="_SubHeading_FMBI MBHI Graphs" xfId="264" xr:uid="{00000000-0005-0000-0000-0000DE050000}"/>
    <cellStyle name="_SubHeading_FMBI MBHI Graphs 07102001" xfId="265" xr:uid="{00000000-0005-0000-0000-0000DF050000}"/>
    <cellStyle name="_SubHeading_FMBI MBHI Graphs_7601" xfId="266" xr:uid="{00000000-0005-0000-0000-0000E0050000}"/>
    <cellStyle name="_SubHeading_prestemp" xfId="267" xr:uid="{00000000-0005-0000-0000-0000E1050000}"/>
    <cellStyle name="_SubHeading_prestemp 2" xfId="1686" xr:uid="{00000000-0005-0000-0000-0000E2050000}"/>
    <cellStyle name="_SubHeading_prestemp 3" xfId="1687" xr:uid="{00000000-0005-0000-0000-0000E3050000}"/>
    <cellStyle name="_SubHeading_prestemp_Insurance Brokerage CSC_1Q2002" xfId="268" xr:uid="{00000000-0005-0000-0000-0000E4050000}"/>
    <cellStyle name="_SubHeading_prestemp_Overview3" xfId="269" xr:uid="{00000000-0005-0000-0000-0000E5050000}"/>
    <cellStyle name="_SubHeading_prestemp_Updated Valuation Changes" xfId="270" xr:uid="{00000000-0005-0000-0000-0000E6050000}"/>
    <cellStyle name="_SubHeading_Q" xfId="1688" xr:uid="{00000000-0005-0000-0000-0000E7050000}"/>
    <cellStyle name="_SubHeading_q - new guidance" xfId="1689" xr:uid="{00000000-0005-0000-0000-0000E8050000}"/>
    <cellStyle name="_SubHeading_q - valuation" xfId="1690" xr:uid="{00000000-0005-0000-0000-0000E9050000}"/>
    <cellStyle name="_SubHeading_Q model_041802" xfId="1691" xr:uid="{00000000-0005-0000-0000-0000EA050000}"/>
    <cellStyle name="_SubHeading_Q_update" xfId="1692" xr:uid="{00000000-0005-0000-0000-0000EB050000}"/>
    <cellStyle name="_SubHeading_Qwest Analysis" xfId="1693" xr:uid="{00000000-0005-0000-0000-0000EC050000}"/>
    <cellStyle name="_SubHeading_RBOC historicals" xfId="1694" xr:uid="{00000000-0005-0000-0000-0000ED050000}"/>
    <cellStyle name="_SubHeading_RBOC historicals 2" xfId="1695" xr:uid="{00000000-0005-0000-0000-0000EE050000}"/>
    <cellStyle name="_SubHeading_Rheinmetall" xfId="1696" xr:uid="{00000000-0005-0000-0000-0000EF050000}"/>
    <cellStyle name="_SubHeading_Rheinmetall 2" xfId="1697" xr:uid="{00000000-0005-0000-0000-0000F0050000}"/>
    <cellStyle name="_SubHeading_Rheinmetall 3" xfId="1698" xr:uid="{00000000-0005-0000-0000-0000F1050000}"/>
    <cellStyle name="_SubHeading_RHM" xfId="1699" xr:uid="{00000000-0005-0000-0000-0000F2050000}"/>
    <cellStyle name="_SubHeading_RHM 2" xfId="1700" xr:uid="{00000000-0005-0000-0000-0000F3050000}"/>
    <cellStyle name="_SubHeading_RHM 3" xfId="1701" xr:uid="{00000000-0005-0000-0000-0000F4050000}"/>
    <cellStyle name="_SubHeading_ROIC" xfId="1702" xr:uid="{00000000-0005-0000-0000-0000F5050000}"/>
    <cellStyle name="_SubHeading_ROIC 2" xfId="1703" xr:uid="{00000000-0005-0000-0000-0000F6050000}"/>
    <cellStyle name="_SubHeading_ROIC 3" xfId="1704" xr:uid="{00000000-0005-0000-0000-0000F7050000}"/>
    <cellStyle name="_SubHeading_Rolls-Royce" xfId="1705" xr:uid="{00000000-0005-0000-0000-0000F8050000}"/>
    <cellStyle name="_SubHeading_Rolls-Royce 2" xfId="1706" xr:uid="{00000000-0005-0000-0000-0000F9050000}"/>
    <cellStyle name="_SubHeading_Rolls-Royce 3" xfId="1707" xr:uid="{00000000-0005-0000-0000-0000FA050000}"/>
    <cellStyle name="_SubHeading_Ryanair1" xfId="1708" xr:uid="{00000000-0005-0000-0000-0000FB050000}"/>
    <cellStyle name="_SubHeading_Ryanair1 2" xfId="1709" xr:uid="{00000000-0005-0000-0000-0000FC050000}"/>
    <cellStyle name="_SubHeading_Ryanair1 3" xfId="1710" xr:uid="{00000000-0005-0000-0000-0000FD050000}"/>
    <cellStyle name="_SubHeading_SaabOLD" xfId="1711" xr:uid="{00000000-0005-0000-0000-0000FE050000}"/>
    <cellStyle name="_SubHeading_SaabOLD 2" xfId="1712" xr:uid="{00000000-0005-0000-0000-0000FF050000}"/>
    <cellStyle name="_SubHeading_SaabOLD 3" xfId="1713" xr:uid="{00000000-0005-0000-0000-000000060000}"/>
    <cellStyle name="_SubHeading_Sandvik CF - Remodelling" xfId="1714" xr:uid="{00000000-0005-0000-0000-000001060000}"/>
    <cellStyle name="_SubHeading_Sandvik CF - Remodelling 2" xfId="1715" xr:uid="{00000000-0005-0000-0000-000002060000}"/>
    <cellStyle name="_SubHeading_Sandvik CF - Remodelling 3" xfId="1716" xr:uid="{00000000-0005-0000-0000-000003060000}"/>
    <cellStyle name="_SubHeading_SIFI OLD" xfId="1717" xr:uid="{00000000-0005-0000-0000-000004060000}"/>
    <cellStyle name="_SubHeading_SIFI OLD 2" xfId="1718" xr:uid="{00000000-0005-0000-0000-000005060000}"/>
    <cellStyle name="_SubHeading_SIFI OLD 3" xfId="1719" xr:uid="{00000000-0005-0000-0000-000006060000}"/>
    <cellStyle name="_SubHeading_SIFINEW" xfId="1720" xr:uid="{00000000-0005-0000-0000-000007060000}"/>
    <cellStyle name="_SubHeading_SKF reference" xfId="1721" xr:uid="{00000000-0005-0000-0000-000008060000}"/>
    <cellStyle name="_SubHeading_SKF reference 2" xfId="1722" xr:uid="{00000000-0005-0000-0000-000009060000}"/>
    <cellStyle name="_SubHeading_SKF reference 3" xfId="1723" xr:uid="{00000000-0005-0000-0000-00000A060000}"/>
    <cellStyle name="_SubHeading_Smiths Group" xfId="1724" xr:uid="{00000000-0005-0000-0000-00000B060000}"/>
    <cellStyle name="_SubHeading_Smiths Group - OLD" xfId="1725" xr:uid="{00000000-0005-0000-0000-00000C060000}"/>
    <cellStyle name="_SubHeading_Smiths Group - OLD 2" xfId="1726" xr:uid="{00000000-0005-0000-0000-00000D060000}"/>
    <cellStyle name="_SubHeading_Smiths Group - OLD 3" xfId="1727" xr:uid="{00000000-0005-0000-0000-00000E060000}"/>
    <cellStyle name="_SubHeading_Smiths Group 2" xfId="1728" xr:uid="{00000000-0005-0000-0000-00000F060000}"/>
    <cellStyle name="_SubHeading_Smiths Group 3" xfId="1729" xr:uid="{00000000-0005-0000-0000-000010060000}"/>
    <cellStyle name="_SubHeading_Snecma competitive landscape chart sauvegarde" xfId="1730" xr:uid="{00000000-0005-0000-0000-000011060000}"/>
    <cellStyle name="_SubHeading_Snecma competitive landscape chart sauvegarde 2" xfId="1731" xr:uid="{00000000-0005-0000-0000-000012060000}"/>
    <cellStyle name="_SubHeading_Snecma competitive landscape chart sauvegarde 3" xfId="1732" xr:uid="{00000000-0005-0000-0000-000013060000}"/>
    <cellStyle name="_SubHeading_T - new" xfId="1733" xr:uid="{00000000-0005-0000-0000-000014060000}"/>
    <cellStyle name="_SubHeading_T - new 2" xfId="1734" xr:uid="{00000000-0005-0000-0000-000015060000}"/>
    <cellStyle name="_SubHeading_Vinci" xfId="1735" xr:uid="{00000000-0005-0000-0000-000016060000}"/>
    <cellStyle name="_SubHeading_Vinci 2" xfId="1736" xr:uid="{00000000-0005-0000-0000-000017060000}"/>
    <cellStyle name="_SubHeading_Vinci 3" xfId="1737" xr:uid="{00000000-0005-0000-0000-000018060000}"/>
    <cellStyle name="_SubHeading_VZ" xfId="1738" xr:uid="{00000000-0005-0000-0000-000019060000}"/>
    <cellStyle name="_SubHeading_xratio - historical mkt val" xfId="271" xr:uid="{00000000-0005-0000-0000-00001A060000}"/>
    <cellStyle name="_Table" xfId="272" xr:uid="{00000000-0005-0000-0000-00001B060000}"/>
    <cellStyle name="_Table_Ability to Pay Analysis" xfId="273" xr:uid="{00000000-0005-0000-0000-00001C060000}"/>
    <cellStyle name="_Table_BankUnited Model" xfId="274" xr:uid="{00000000-0005-0000-0000-00001D060000}"/>
    <cellStyle name="_Table_BLS" xfId="1739" xr:uid="{00000000-0005-0000-0000-00001E060000}"/>
    <cellStyle name="_Table_bls roic" xfId="1740" xr:uid="{00000000-0005-0000-0000-00001F060000}"/>
    <cellStyle name="_Table_Book9" xfId="1741" xr:uid="{00000000-0005-0000-0000-000020060000}"/>
    <cellStyle name="_Table_Broadband Comps" xfId="1742" xr:uid="{00000000-0005-0000-0000-000021060000}"/>
    <cellStyle name="_Table_capital expenditures 6-18-02" xfId="1743" xr:uid="{00000000-0005-0000-0000-000022060000}"/>
    <cellStyle name="_Table_Copy of IFRS consol ABB Final Version4" xfId="1744" xr:uid="{00000000-0005-0000-0000-000023060000}"/>
    <cellStyle name="_Table_CSC_Picabia_29062001" xfId="1745" xr:uid="{00000000-0005-0000-0000-000024060000}"/>
    <cellStyle name="_Table_CTCO" xfId="1746" xr:uid="{00000000-0005-0000-0000-000025060000}"/>
    <cellStyle name="_Table_Date of fillings" xfId="1747" xr:uid="{00000000-0005-0000-0000-000026060000}"/>
    <cellStyle name="_Table_Date of fillings 2" xfId="1748" xr:uid="{00000000-0005-0000-0000-000027060000}"/>
    <cellStyle name="_Table_Date of fillings 3" xfId="1749" xr:uid="{00000000-0005-0000-0000-000028060000}"/>
    <cellStyle name="_Table_DCF Model + WACC" xfId="1750" xr:uid="{00000000-0005-0000-0000-000029060000}"/>
    <cellStyle name="_Table_fmbi counties" xfId="275" xr:uid="{00000000-0005-0000-0000-00002A060000}"/>
    <cellStyle name="_Table_Q" xfId="1751" xr:uid="{00000000-0005-0000-0000-00002B060000}"/>
    <cellStyle name="_Table_q - new guidance" xfId="1752" xr:uid="{00000000-0005-0000-0000-00002C060000}"/>
    <cellStyle name="_Table_q - valuation" xfId="1753" xr:uid="{00000000-0005-0000-0000-00002D060000}"/>
    <cellStyle name="_Table_Q model_041802" xfId="1754" xr:uid="{00000000-0005-0000-0000-00002E060000}"/>
    <cellStyle name="_Table_Q_update" xfId="1755" xr:uid="{00000000-0005-0000-0000-00002F060000}"/>
    <cellStyle name="_Table_Qwest Analysis" xfId="1756" xr:uid="{00000000-0005-0000-0000-000030060000}"/>
    <cellStyle name="_Table_RBOC historicals" xfId="1757" xr:uid="{00000000-0005-0000-0000-000031060000}"/>
    <cellStyle name="_Table_T - new" xfId="1758" xr:uid="{00000000-0005-0000-0000-000032060000}"/>
    <cellStyle name="_Table_Vague LBO Model - 31 July 2001_PAI Base Case" xfId="1759" xr:uid="{00000000-0005-0000-0000-000033060000}"/>
    <cellStyle name="_Table_VZ" xfId="1760" xr:uid="{00000000-0005-0000-0000-000034060000}"/>
    <cellStyle name="_Table_WACC" xfId="1761" xr:uid="{00000000-0005-0000-0000-000035060000}"/>
    <cellStyle name="_Table_xratio - historical mkt val" xfId="276" xr:uid="{00000000-0005-0000-0000-000036060000}"/>
    <cellStyle name="_TableHead" xfId="277" xr:uid="{00000000-0005-0000-0000-000037060000}"/>
    <cellStyle name="_TableHead_BLS" xfId="1762" xr:uid="{00000000-0005-0000-0000-000038060000}"/>
    <cellStyle name="_TableHead_bls roic" xfId="1763" xr:uid="{00000000-0005-0000-0000-000039060000}"/>
    <cellStyle name="_TableHead_Book9" xfId="1764" xr:uid="{00000000-0005-0000-0000-00003A060000}"/>
    <cellStyle name="_TableHead_Broadband Comps" xfId="1765" xr:uid="{00000000-0005-0000-0000-00003B060000}"/>
    <cellStyle name="_TableHead_capital expenditures 6-18-02" xfId="1766" xr:uid="{00000000-0005-0000-0000-00003C060000}"/>
    <cellStyle name="_TableHead_Copy of IFRS consol ABB Final Version4" xfId="1767" xr:uid="{00000000-0005-0000-0000-00003D060000}"/>
    <cellStyle name="_TableHead_CTCO" xfId="1768" xr:uid="{00000000-0005-0000-0000-00003E060000}"/>
    <cellStyle name="_TableHead_Date of fillings" xfId="1769" xr:uid="{00000000-0005-0000-0000-00003F060000}"/>
    <cellStyle name="_TableHead_Date of fillings 2" xfId="1770" xr:uid="{00000000-0005-0000-0000-000040060000}"/>
    <cellStyle name="_TableHead_Date of fillings 3" xfId="1771" xr:uid="{00000000-0005-0000-0000-000041060000}"/>
    <cellStyle name="_TableHead_Q" xfId="1772" xr:uid="{00000000-0005-0000-0000-000042060000}"/>
    <cellStyle name="_TableHead_q - new guidance" xfId="1773" xr:uid="{00000000-0005-0000-0000-000043060000}"/>
    <cellStyle name="_TableHead_q - valuation" xfId="1774" xr:uid="{00000000-0005-0000-0000-000044060000}"/>
    <cellStyle name="_TableHead_Q model_041802" xfId="1775" xr:uid="{00000000-0005-0000-0000-000045060000}"/>
    <cellStyle name="_TableHead_Q_update" xfId="1776" xr:uid="{00000000-0005-0000-0000-000046060000}"/>
    <cellStyle name="_TableHead_QP_XXX" xfId="1777" xr:uid="{00000000-0005-0000-0000-000047060000}"/>
    <cellStyle name="_TableHead_Qwest Analysis" xfId="1778" xr:uid="{00000000-0005-0000-0000-000048060000}"/>
    <cellStyle name="_TableHead_RBOC historicals" xfId="1779" xr:uid="{00000000-0005-0000-0000-000049060000}"/>
    <cellStyle name="_TableHead_T - new" xfId="1780" xr:uid="{00000000-0005-0000-0000-00004A060000}"/>
    <cellStyle name="_TableHead_VZ" xfId="1781" xr:uid="{00000000-0005-0000-0000-00004B060000}"/>
    <cellStyle name="_TableHeading" xfId="1782" xr:uid="{00000000-0005-0000-0000-00004C060000}"/>
    <cellStyle name="_TableRowBorder" xfId="1783" xr:uid="{00000000-0005-0000-0000-00004D060000}"/>
    <cellStyle name="_TableRowBorder 2" xfId="1784" xr:uid="{00000000-0005-0000-0000-00004E060000}"/>
    <cellStyle name="_TableRowBorder 3" xfId="1785" xr:uid="{00000000-0005-0000-0000-00004F060000}"/>
    <cellStyle name="_TableRowHead" xfId="278" xr:uid="{00000000-0005-0000-0000-000050060000}"/>
    <cellStyle name="_TableRowHead_BLS" xfId="1786" xr:uid="{00000000-0005-0000-0000-000051060000}"/>
    <cellStyle name="_TableRowHead_bls roic" xfId="1787" xr:uid="{00000000-0005-0000-0000-000052060000}"/>
    <cellStyle name="_TableRowHead_Book9" xfId="1788" xr:uid="{00000000-0005-0000-0000-000053060000}"/>
    <cellStyle name="_TableRowHead_Broadband Comps" xfId="1789" xr:uid="{00000000-0005-0000-0000-000054060000}"/>
    <cellStyle name="_TableRowHead_capital expenditures 6-18-02" xfId="1790" xr:uid="{00000000-0005-0000-0000-000055060000}"/>
    <cellStyle name="_TableRowHead_Copy of IFRS consol ABB Final Version4" xfId="1791" xr:uid="{00000000-0005-0000-0000-000056060000}"/>
    <cellStyle name="_TableRowHead_CTCO" xfId="1792" xr:uid="{00000000-0005-0000-0000-000057060000}"/>
    <cellStyle name="_TableRowHead_Date of fillings" xfId="1793" xr:uid="{00000000-0005-0000-0000-000058060000}"/>
    <cellStyle name="_TableRowHead_Date of fillings 2" xfId="1794" xr:uid="{00000000-0005-0000-0000-000059060000}"/>
    <cellStyle name="_TableRowHead_Date of fillings 3" xfId="1795" xr:uid="{00000000-0005-0000-0000-00005A060000}"/>
    <cellStyle name="_TableRowHead_Q" xfId="1796" xr:uid="{00000000-0005-0000-0000-00005B060000}"/>
    <cellStyle name="_TableRowHead_q - new guidance" xfId="1797" xr:uid="{00000000-0005-0000-0000-00005C060000}"/>
    <cellStyle name="_TableRowHead_q - valuation" xfId="1798" xr:uid="{00000000-0005-0000-0000-00005D060000}"/>
    <cellStyle name="_TableRowHead_Q model_041802" xfId="1799" xr:uid="{00000000-0005-0000-0000-00005E060000}"/>
    <cellStyle name="_TableRowHead_Q_update" xfId="1800" xr:uid="{00000000-0005-0000-0000-00005F060000}"/>
    <cellStyle name="_TableRowHead_QP_XXX" xfId="1801" xr:uid="{00000000-0005-0000-0000-000060060000}"/>
    <cellStyle name="_TableRowHead_Qwest Analysis" xfId="1802" xr:uid="{00000000-0005-0000-0000-000061060000}"/>
    <cellStyle name="_TableRowHead_RBOC historicals" xfId="1803" xr:uid="{00000000-0005-0000-0000-000062060000}"/>
    <cellStyle name="_TableRowHead_T - new" xfId="1804" xr:uid="{00000000-0005-0000-0000-000063060000}"/>
    <cellStyle name="_TableRowHead_VZ" xfId="1805" xr:uid="{00000000-0005-0000-0000-000064060000}"/>
    <cellStyle name="_TableRowHeading" xfId="1806" xr:uid="{00000000-0005-0000-0000-000065060000}"/>
    <cellStyle name="_TableSuperHead" xfId="279" xr:uid="{00000000-0005-0000-0000-000066060000}"/>
    <cellStyle name="_TableSuperHead_Ability to Pay Analysis" xfId="280" xr:uid="{00000000-0005-0000-0000-000067060000}"/>
    <cellStyle name="_TableSuperHead_BankUnited Model" xfId="281" xr:uid="{00000000-0005-0000-0000-000068060000}"/>
    <cellStyle name="_TableSuperHead_BLS" xfId="1807" xr:uid="{00000000-0005-0000-0000-000069060000}"/>
    <cellStyle name="_TableSuperHead_bls roic" xfId="1808" xr:uid="{00000000-0005-0000-0000-00006A060000}"/>
    <cellStyle name="_TableSuperHead_Book9" xfId="1809" xr:uid="{00000000-0005-0000-0000-00006B060000}"/>
    <cellStyle name="_TableSuperHead_Broadband Comps" xfId="1810" xr:uid="{00000000-0005-0000-0000-00006C060000}"/>
    <cellStyle name="_TableSuperHead_capital expenditures 6-18-02" xfId="1811" xr:uid="{00000000-0005-0000-0000-00006D060000}"/>
    <cellStyle name="_TableSuperHead_Copy of IFRS consol ABB Final Version4" xfId="1812" xr:uid="{00000000-0005-0000-0000-00006E060000}"/>
    <cellStyle name="_TableSuperHead_CTCO" xfId="1813" xr:uid="{00000000-0005-0000-0000-00006F060000}"/>
    <cellStyle name="_TableSuperHead_Date of fillings" xfId="1814" xr:uid="{00000000-0005-0000-0000-000070060000}"/>
    <cellStyle name="_TableSuperHead_Date of fillings 2" xfId="1815" xr:uid="{00000000-0005-0000-0000-000071060000}"/>
    <cellStyle name="_TableSuperHead_Date of fillings 3" xfId="1816" xr:uid="{00000000-0005-0000-0000-000072060000}"/>
    <cellStyle name="_TableSuperHead_DCF Model + WACC" xfId="1817" xr:uid="{00000000-0005-0000-0000-000073060000}"/>
    <cellStyle name="_TableSuperHead_fmbi counties" xfId="282" xr:uid="{00000000-0005-0000-0000-000074060000}"/>
    <cellStyle name="_TableSuperHead_Q" xfId="1818" xr:uid="{00000000-0005-0000-0000-000075060000}"/>
    <cellStyle name="_TableSuperHead_q - new guidance" xfId="1819" xr:uid="{00000000-0005-0000-0000-000076060000}"/>
    <cellStyle name="_TableSuperHead_q - valuation" xfId="1820" xr:uid="{00000000-0005-0000-0000-000077060000}"/>
    <cellStyle name="_TableSuperHead_Q model_041802" xfId="1821" xr:uid="{00000000-0005-0000-0000-000078060000}"/>
    <cellStyle name="_TableSuperHead_Q_update" xfId="1822" xr:uid="{00000000-0005-0000-0000-000079060000}"/>
    <cellStyle name="_TableSuperHead_Qwest Analysis" xfId="1823" xr:uid="{00000000-0005-0000-0000-00007A060000}"/>
    <cellStyle name="_TableSuperHead_RBOC historicals" xfId="1824" xr:uid="{00000000-0005-0000-0000-00007B060000}"/>
    <cellStyle name="_TableSuperHead_T - new" xfId="1825" xr:uid="{00000000-0005-0000-0000-00007C060000}"/>
    <cellStyle name="_TableSuperHead_Vague LBO Model - 31 July 2001_PAI Base Case" xfId="1826" xr:uid="{00000000-0005-0000-0000-00007D060000}"/>
    <cellStyle name="_TableSuperHead_VZ" xfId="1827" xr:uid="{00000000-0005-0000-0000-00007E060000}"/>
    <cellStyle name="_TableSuperHead_WACC" xfId="1828" xr:uid="{00000000-0005-0000-0000-00007F060000}"/>
    <cellStyle name="_TableSuperHead_xratio - historical mkt val" xfId="283" xr:uid="{00000000-0005-0000-0000-000080060000}"/>
    <cellStyle name="_TableSuperHeading" xfId="1829" xr:uid="{00000000-0005-0000-0000-000081060000}"/>
    <cellStyle name="_TableText" xfId="1830" xr:uid="{00000000-0005-0000-0000-000082060000}"/>
    <cellStyle name="“ü—Í—“" xfId="2" xr:uid="{00000000-0005-0000-0000-000083060000}"/>
    <cellStyle name="£3places" xfId="1831" xr:uid="{00000000-0005-0000-0000-000084060000}"/>
    <cellStyle name="0" xfId="3" xr:uid="{00000000-0005-0000-0000-000085060000}"/>
    <cellStyle name="0.0" xfId="4" xr:uid="{00000000-0005-0000-0000-000086060000}"/>
    <cellStyle name="0.0%" xfId="5" xr:uid="{00000000-0005-0000-0000-000087060000}"/>
    <cellStyle name="0.0_BAE Systems model" xfId="6" xr:uid="{00000000-0005-0000-0000-000088060000}"/>
    <cellStyle name="0.00" xfId="7" xr:uid="{00000000-0005-0000-0000-000089060000}"/>
    <cellStyle name="0.00%" xfId="8" xr:uid="{00000000-0005-0000-0000-00008A060000}"/>
    <cellStyle name="0.00_BAE Systems model" xfId="9" xr:uid="{00000000-0005-0000-0000-00008B060000}"/>
    <cellStyle name="0.000" xfId="1832" xr:uid="{00000000-0005-0000-0000-00008C060000}"/>
    <cellStyle name="0_BAE Systems model" xfId="10" xr:uid="{00000000-0005-0000-0000-00008D060000}"/>
    <cellStyle name="0_Charts 1" xfId="11" xr:uid="{00000000-0005-0000-0000-00008E060000}"/>
    <cellStyle name="0_CROCI" xfId="12" xr:uid="{00000000-0005-0000-0000-00008F060000}"/>
    <cellStyle name="0_CROCI 2" xfId="13" xr:uid="{00000000-0005-0000-0000-000090060000}"/>
    <cellStyle name="0_Financials" xfId="14" xr:uid="{00000000-0005-0000-0000-000091060000}"/>
    <cellStyle name="0_Financials 2" xfId="15" xr:uid="{00000000-0005-0000-0000-000092060000}"/>
    <cellStyle name="0_Financials 3" xfId="1833" xr:uid="{00000000-0005-0000-0000-000093060000}"/>
    <cellStyle name="0_Structure" xfId="16" xr:uid="{00000000-0005-0000-0000-000094060000}"/>
    <cellStyle name="0_Val" xfId="1834" xr:uid="{00000000-0005-0000-0000-000095060000}"/>
    <cellStyle name="0_Val 2" xfId="1835" xr:uid="{00000000-0005-0000-0000-000096060000}"/>
    <cellStyle name="1parte" xfId="17" xr:uid="{00000000-0005-0000-0000-000097060000}"/>
    <cellStyle name="1parte 2" xfId="18" xr:uid="{00000000-0005-0000-0000-000098060000}"/>
    <cellStyle name="1parte 2 2" xfId="1836" xr:uid="{00000000-0005-0000-0000-000099060000}"/>
    <cellStyle name="1parte 3" xfId="19" xr:uid="{00000000-0005-0000-0000-00009A060000}"/>
    <cellStyle name="20% - Accent1 2" xfId="1837" xr:uid="{00000000-0005-0000-0000-00009B060000}"/>
    <cellStyle name="20% - Accent2 2" xfId="1838" xr:uid="{00000000-0005-0000-0000-00009C060000}"/>
    <cellStyle name="20% - Accent3 2" xfId="1839" xr:uid="{00000000-0005-0000-0000-00009D060000}"/>
    <cellStyle name="20% - Accent4 2" xfId="1840" xr:uid="{00000000-0005-0000-0000-00009E060000}"/>
    <cellStyle name="20% - Accent5 2" xfId="1841" xr:uid="{00000000-0005-0000-0000-00009F060000}"/>
    <cellStyle name="20% - Accent6 2" xfId="1842" xr:uid="{00000000-0005-0000-0000-0000A0060000}"/>
    <cellStyle name="2parte" xfId="20" xr:uid="{00000000-0005-0000-0000-0000A1060000}"/>
    <cellStyle name="2parte 2" xfId="1843" xr:uid="{00000000-0005-0000-0000-0000A2060000}"/>
    <cellStyle name="40% - Accent1 2" xfId="1844" xr:uid="{00000000-0005-0000-0000-0000A3060000}"/>
    <cellStyle name="40% - Accent2 2" xfId="1845" xr:uid="{00000000-0005-0000-0000-0000A4060000}"/>
    <cellStyle name="40% - Accent3 2" xfId="1846" xr:uid="{00000000-0005-0000-0000-0000A5060000}"/>
    <cellStyle name="40% - Accent4 2" xfId="1847" xr:uid="{00000000-0005-0000-0000-0000A6060000}"/>
    <cellStyle name="40% - Accent5 2" xfId="1848" xr:uid="{00000000-0005-0000-0000-0000A7060000}"/>
    <cellStyle name="40% - Accent6 2" xfId="1849" xr:uid="{00000000-0005-0000-0000-0000A8060000}"/>
    <cellStyle name="60% - Accent1 2" xfId="1850" xr:uid="{00000000-0005-0000-0000-0000A9060000}"/>
    <cellStyle name="60% - Accent2 2" xfId="1851" xr:uid="{00000000-0005-0000-0000-0000AA060000}"/>
    <cellStyle name="60% - Accent3 2" xfId="1852" xr:uid="{00000000-0005-0000-0000-0000AB060000}"/>
    <cellStyle name="60% - Accent4 2" xfId="1853" xr:uid="{00000000-0005-0000-0000-0000AC060000}"/>
    <cellStyle name="60% - Accent5 2" xfId="1854" xr:uid="{00000000-0005-0000-0000-0000AD060000}"/>
    <cellStyle name="60% - Accent6 2" xfId="1855" xr:uid="{00000000-0005-0000-0000-0000AE060000}"/>
    <cellStyle name="A$2places" xfId="1856" xr:uid="{00000000-0005-0000-0000-0000AF060000}"/>
    <cellStyle name="A$3places" xfId="1857" xr:uid="{00000000-0005-0000-0000-0000B0060000}"/>
    <cellStyle name="Accent1 2" xfId="1858" xr:uid="{00000000-0005-0000-0000-0000B1060000}"/>
    <cellStyle name="Accent2 2" xfId="1859" xr:uid="{00000000-0005-0000-0000-0000B2060000}"/>
    <cellStyle name="Accent3 2" xfId="1860" xr:uid="{00000000-0005-0000-0000-0000B3060000}"/>
    <cellStyle name="Accent4 2" xfId="1861" xr:uid="{00000000-0005-0000-0000-0000B4060000}"/>
    <cellStyle name="Accent5 2" xfId="1862" xr:uid="{00000000-0005-0000-0000-0000B5060000}"/>
    <cellStyle name="Accent6 2" xfId="1863" xr:uid="{00000000-0005-0000-0000-0000B6060000}"/>
    <cellStyle name="act" xfId="1864" xr:uid="{00000000-0005-0000-0000-0000B7060000}"/>
    <cellStyle name="act 2" xfId="1865" xr:uid="{00000000-0005-0000-0000-0000B8060000}"/>
    <cellStyle name="act 3" xfId="1866" xr:uid="{00000000-0005-0000-0000-0000B9060000}"/>
    <cellStyle name="Actual data" xfId="284" xr:uid="{00000000-0005-0000-0000-0000BA060000}"/>
    <cellStyle name="Actual year" xfId="285" xr:uid="{00000000-0005-0000-0000-0000BB060000}"/>
    <cellStyle name="Actual year 2" xfId="1867" xr:uid="{00000000-0005-0000-0000-0000BC060000}"/>
    <cellStyle name="Actual year 3" xfId="1868" xr:uid="{00000000-0005-0000-0000-0000BD060000}"/>
    <cellStyle name="Actuals Cells" xfId="286" xr:uid="{00000000-0005-0000-0000-0000BE060000}"/>
    <cellStyle name="Adj L1" xfId="1869" xr:uid="{00000000-0005-0000-0000-0000BF060000}"/>
    <cellStyle name="Adj L2" xfId="1870" xr:uid="{00000000-0005-0000-0000-0000C0060000}"/>
    <cellStyle name="Adj L3" xfId="1871" xr:uid="{00000000-0005-0000-0000-0000C1060000}"/>
    <cellStyle name="Adj Space" xfId="1872" xr:uid="{00000000-0005-0000-0000-0000C2060000}"/>
    <cellStyle name="AFE" xfId="287" xr:uid="{00000000-0005-0000-0000-0000C3060000}"/>
    <cellStyle name="afl" xfId="288" xr:uid="{00000000-0005-0000-0000-0000C4060000}"/>
    <cellStyle name="AJHCustom" xfId="1873" xr:uid="{00000000-0005-0000-0000-0000C5060000}"/>
    <cellStyle name="Andre's Title" xfId="289" xr:uid="{00000000-0005-0000-0000-0000C6060000}"/>
    <cellStyle name="Ȧormal_VALC" xfId="1874" xr:uid="{00000000-0005-0000-0000-0000C7060000}"/>
    <cellStyle name="Arial" xfId="1875" xr:uid="{00000000-0005-0000-0000-0000C8060000}"/>
    <cellStyle name="Arial 12" xfId="21" xr:uid="{00000000-0005-0000-0000-0000C9060000}"/>
    <cellStyle name="Arial6Bold" xfId="1876" xr:uid="{00000000-0005-0000-0000-0000CA060000}"/>
    <cellStyle name="Arial8Bold" xfId="1877" xr:uid="{00000000-0005-0000-0000-0000CB060000}"/>
    <cellStyle name="Arial8Bold 2" xfId="1878" xr:uid="{00000000-0005-0000-0000-0000CC060000}"/>
    <cellStyle name="Arial8Italic" xfId="1879" xr:uid="{00000000-0005-0000-0000-0000CD060000}"/>
    <cellStyle name="Arial8Italic 2" xfId="1880" xr:uid="{00000000-0005-0000-0000-0000CE060000}"/>
    <cellStyle name="ArialNormal" xfId="1881" xr:uid="{00000000-0005-0000-0000-0000CF060000}"/>
    <cellStyle name="ArialNormal 2" xfId="1882" xr:uid="{00000000-0005-0000-0000-0000D0060000}"/>
    <cellStyle name="ArialNormal 3" xfId="1883" xr:uid="{00000000-0005-0000-0000-0000D1060000}"/>
    <cellStyle name="Bad" xfId="60" builtinId="27"/>
    <cellStyle name="Bad 2" xfId="1884" xr:uid="{00000000-0005-0000-0000-0000D3060000}"/>
    <cellStyle name="BalanceSheet" xfId="1885" xr:uid="{00000000-0005-0000-0000-0000D4060000}"/>
    <cellStyle name="Banner" xfId="1886" xr:uid="{00000000-0005-0000-0000-0000D5060000}"/>
    <cellStyle name="bbox" xfId="1887" xr:uid="{00000000-0005-0000-0000-0000D6060000}"/>
    <cellStyle name="Blank" xfId="290" xr:uid="{00000000-0005-0000-0000-0000D7060000}"/>
    <cellStyle name="Blue" xfId="291" xr:uid="{00000000-0005-0000-0000-0000D8060000}"/>
    <cellStyle name="blue shading" xfId="1888" xr:uid="{00000000-0005-0000-0000-0000D9060000}"/>
    <cellStyle name="Blue Title" xfId="292" xr:uid="{00000000-0005-0000-0000-0000DA060000}"/>
    <cellStyle name="Blue_CROCI" xfId="1889" xr:uid="{00000000-0005-0000-0000-0000DB060000}"/>
    <cellStyle name="Body_$Numeric" xfId="1890" xr:uid="{00000000-0005-0000-0000-0000DC060000}"/>
    <cellStyle name="bord" xfId="1891" xr:uid="{00000000-0005-0000-0000-0000DD060000}"/>
    <cellStyle name="bord 2" xfId="1892" xr:uid="{00000000-0005-0000-0000-0000DE060000}"/>
    <cellStyle name="bord 3" xfId="1893" xr:uid="{00000000-0005-0000-0000-0000DF060000}"/>
    <cellStyle name="Border Heavy" xfId="1894" xr:uid="{00000000-0005-0000-0000-0000E0060000}"/>
    <cellStyle name="Border Heavy 2" xfId="1895" xr:uid="{00000000-0005-0000-0000-0000E1060000}"/>
    <cellStyle name="Border Heavy 3" xfId="1896" xr:uid="{00000000-0005-0000-0000-0000E2060000}"/>
    <cellStyle name="Border Thin" xfId="1897" xr:uid="{00000000-0005-0000-0000-0000E3060000}"/>
    <cellStyle name="Border Thin 2" xfId="1898" xr:uid="{00000000-0005-0000-0000-0000E4060000}"/>
    <cellStyle name="Border Thin 3" xfId="1899" xr:uid="{00000000-0005-0000-0000-0000E5060000}"/>
    <cellStyle name="c" xfId="1900" xr:uid="{00000000-0005-0000-0000-0000E6060000}"/>
    <cellStyle name="c_Copy of IFRS consol ABB Final Version4" xfId="1901" xr:uid="{00000000-0005-0000-0000-0000E7060000}"/>
    <cellStyle name="C௯mma [0]" xfId="1902" xr:uid="{00000000-0005-0000-0000-0000E8060000}"/>
    <cellStyle name="C௯mma [0] 2" xfId="1903" xr:uid="{00000000-0005-0000-0000-0000E9060000}"/>
    <cellStyle name="C௯mma [0] 3" xfId="1904" xr:uid="{00000000-0005-0000-0000-0000EA060000}"/>
    <cellStyle name="Cabecera 1" xfId="1905" xr:uid="{00000000-0005-0000-0000-0000EB060000}"/>
    <cellStyle name="Cabecera 2" xfId="1906" xr:uid="{00000000-0005-0000-0000-0000EC060000}"/>
    <cellStyle name="Cabecera 2 2" xfId="1907" xr:uid="{00000000-0005-0000-0000-0000ED060000}"/>
    <cellStyle name="Cabecera 2 3" xfId="1908" xr:uid="{00000000-0005-0000-0000-0000EE060000}"/>
    <cellStyle name="Calc Cells" xfId="293" xr:uid="{00000000-0005-0000-0000-0000EF060000}"/>
    <cellStyle name="Calc Currency (0)" xfId="1909" xr:uid="{00000000-0005-0000-0000-0000F0060000}"/>
    <cellStyle name="Calc Currency (0) 2" xfId="1910" xr:uid="{00000000-0005-0000-0000-0000F1060000}"/>
    <cellStyle name="Calculation 2" xfId="1911" xr:uid="{00000000-0005-0000-0000-0000F2060000}"/>
    <cellStyle name="Case" xfId="294" xr:uid="{00000000-0005-0000-0000-0000F3060000}"/>
    <cellStyle name="CashFlow" xfId="1912" xr:uid="{00000000-0005-0000-0000-0000F4060000}"/>
    <cellStyle name="Center" xfId="1913" xr:uid="{00000000-0005-0000-0000-0000F5060000}"/>
    <cellStyle name="Center 2" xfId="1914" xr:uid="{00000000-0005-0000-0000-0000F6060000}"/>
    <cellStyle name="Center 3" xfId="1915" xr:uid="{00000000-0005-0000-0000-0000F7060000}"/>
    <cellStyle name="Changeable" xfId="1916" xr:uid="{00000000-0005-0000-0000-0000F8060000}"/>
    <cellStyle name="check" xfId="1917" xr:uid="{00000000-0005-0000-0000-0000F9060000}"/>
    <cellStyle name="Check Cell 2" xfId="1918" xr:uid="{00000000-0005-0000-0000-0000FA060000}"/>
    <cellStyle name="claire" xfId="1919" xr:uid="{00000000-0005-0000-0000-0000FB060000}"/>
    <cellStyle name="claire 2" xfId="1920" xr:uid="{00000000-0005-0000-0000-0000FC060000}"/>
    <cellStyle name="claire 3" xfId="1921" xr:uid="{00000000-0005-0000-0000-0000FD060000}"/>
    <cellStyle name="Co. Names" xfId="295" xr:uid="{00000000-0005-0000-0000-0000FE060000}"/>
    <cellStyle name="Co. Names - Bold" xfId="296" xr:uid="{00000000-0005-0000-0000-0000FF060000}"/>
    <cellStyle name="Co. Names_Blend" xfId="297" xr:uid="{00000000-0005-0000-0000-000000070000}"/>
    <cellStyle name="Col Head" xfId="298" xr:uid="{00000000-0005-0000-0000-000001070000}"/>
    <cellStyle name="ColHeading" xfId="22" xr:uid="{00000000-0005-0000-0000-000002070000}"/>
    <cellStyle name="Comma" xfId="383" builtinId="3"/>
    <cellStyle name="comma (1)" xfId="1922" xr:uid="{00000000-0005-0000-0000-000004070000}"/>
    <cellStyle name="Comma [1]" xfId="1923" xr:uid="{00000000-0005-0000-0000-000005070000}"/>
    <cellStyle name="Comma 0" xfId="1924" xr:uid="{00000000-0005-0000-0000-000006070000}"/>
    <cellStyle name="Comma 0*" xfId="1925" xr:uid="{00000000-0005-0000-0000-000007070000}"/>
    <cellStyle name="Comma 0_ACCC" xfId="1926" xr:uid="{00000000-0005-0000-0000-000008070000}"/>
    <cellStyle name="Comma 1" xfId="1927" xr:uid="{00000000-0005-0000-0000-000009070000}"/>
    <cellStyle name="Comma 10" xfId="1928" xr:uid="{00000000-0005-0000-0000-00000A070000}"/>
    <cellStyle name="Comma 11" xfId="1929" xr:uid="{00000000-0005-0000-0000-00000B070000}"/>
    <cellStyle name="Comma 12" xfId="1930" xr:uid="{00000000-0005-0000-0000-00000C070000}"/>
    <cellStyle name="Comma 13" xfId="1931" xr:uid="{00000000-0005-0000-0000-00000D070000}"/>
    <cellStyle name="Comma 14" xfId="1932" xr:uid="{00000000-0005-0000-0000-00000E070000}"/>
    <cellStyle name="Comma 15" xfId="1933" xr:uid="{00000000-0005-0000-0000-00000F070000}"/>
    <cellStyle name="Comma 16" xfId="1934" xr:uid="{00000000-0005-0000-0000-000010070000}"/>
    <cellStyle name="Comma 17" xfId="1935" xr:uid="{00000000-0005-0000-0000-000011070000}"/>
    <cellStyle name="Comma 18" xfId="1936" xr:uid="{00000000-0005-0000-0000-000012070000}"/>
    <cellStyle name="Comma 19" xfId="1937" xr:uid="{00000000-0005-0000-0000-000013070000}"/>
    <cellStyle name="Comma 2" xfId="23" xr:uid="{00000000-0005-0000-0000-000014070000}"/>
    <cellStyle name="Comma 20" xfId="2514" xr:uid="{00000000-0005-0000-0000-000015070000}"/>
    <cellStyle name="Comma 20 2" xfId="2524" xr:uid="{9D026E6A-47AB-4F95-8B76-D1D8CBCA7E04}"/>
    <cellStyle name="Comma 21" xfId="2521" xr:uid="{00000000-0005-0000-0000-000016070000}"/>
    <cellStyle name="Comma 22" xfId="2522" xr:uid="{984A5F96-8E9C-4ED2-B035-4C1975AD9ACF}"/>
    <cellStyle name="Comma 23" xfId="2526" xr:uid="{9E0A8AF4-AD05-49BC-B609-4E2F1C8C1502}"/>
    <cellStyle name="Comma 3" xfId="24" xr:uid="{00000000-0005-0000-0000-000017070000}"/>
    <cellStyle name="Comma 3 2" xfId="1938" xr:uid="{00000000-0005-0000-0000-000018070000}"/>
    <cellStyle name="Comma 3 3" xfId="1939" xr:uid="{00000000-0005-0000-0000-000019070000}"/>
    <cellStyle name="Comma 3 4" xfId="2518" xr:uid="{00000000-0005-0000-0000-00001A070000}"/>
    <cellStyle name="Comma 4" xfId="1940" xr:uid="{00000000-0005-0000-0000-00001B070000}"/>
    <cellStyle name="Comma 4 2" xfId="2513" xr:uid="{00000000-0005-0000-0000-00001C070000}"/>
    <cellStyle name="Comma 4 2 2" xfId="2523" xr:uid="{BEED889B-2965-400D-B7B5-6C2404B84BEC}"/>
    <cellStyle name="Comma 5" xfId="1941" xr:uid="{00000000-0005-0000-0000-00001D070000}"/>
    <cellStyle name="Comma 6" xfId="1942" xr:uid="{00000000-0005-0000-0000-00001E070000}"/>
    <cellStyle name="Comma 7" xfId="1943" xr:uid="{00000000-0005-0000-0000-00001F070000}"/>
    <cellStyle name="Comma 8" xfId="1944" xr:uid="{00000000-0005-0000-0000-000020070000}"/>
    <cellStyle name="Comma 9" xfId="1945" xr:uid="{00000000-0005-0000-0000-000021070000}"/>
    <cellStyle name="Comma(0)" xfId="1946" xr:uid="{00000000-0005-0000-0000-000022070000}"/>
    <cellStyle name="Comma(1)" xfId="1947" xr:uid="{00000000-0005-0000-0000-000023070000}"/>
    <cellStyle name="comma(2)" xfId="1948" xr:uid="{00000000-0005-0000-0000-000024070000}"/>
    <cellStyle name="Comma(3)" xfId="1949" xr:uid="{00000000-0005-0000-0000-000025070000}"/>
    <cellStyle name="Comma[0]" xfId="1950" xr:uid="{00000000-0005-0000-0000-000026070000}"/>
    <cellStyle name="Comma0" xfId="299" xr:uid="{00000000-0005-0000-0000-000027070000}"/>
    <cellStyle name="Comma0 2" xfId="1951" xr:uid="{00000000-0005-0000-0000-000028070000}"/>
    <cellStyle name="Company" xfId="25" xr:uid="{00000000-0005-0000-0000-000029070000}"/>
    <cellStyle name="Company name" xfId="300" xr:uid="{00000000-0005-0000-0000-00002A070000}"/>
    <cellStyle name="Company_CROCI" xfId="1952" xr:uid="{00000000-0005-0000-0000-00002B070000}"/>
    <cellStyle name="CompanyTitle" xfId="301" xr:uid="{00000000-0005-0000-0000-00002C070000}"/>
    <cellStyle name="Copied" xfId="1953" xr:uid="{00000000-0005-0000-0000-00002D070000}"/>
    <cellStyle name="Copied 2" xfId="1954" xr:uid="{00000000-0005-0000-0000-00002E070000}"/>
    <cellStyle name="Cover Date" xfId="1955" xr:uid="{00000000-0005-0000-0000-00002F070000}"/>
    <cellStyle name="Cover Subtitle" xfId="1956" xr:uid="{00000000-0005-0000-0000-000030070000}"/>
    <cellStyle name="Cover Title" xfId="1957" xr:uid="{00000000-0005-0000-0000-000031070000}"/>
    <cellStyle name="CurRatio" xfId="26" xr:uid="{00000000-0005-0000-0000-000032070000}"/>
    <cellStyle name="Currency (3)" xfId="1958" xr:uid="{00000000-0005-0000-0000-000033070000}"/>
    <cellStyle name="Currency (B)" xfId="27" xr:uid="{00000000-0005-0000-0000-000034070000}"/>
    <cellStyle name="Currency [2]" xfId="302" xr:uid="{00000000-0005-0000-0000-000035070000}"/>
    <cellStyle name="Currency 0" xfId="1959" xr:uid="{00000000-0005-0000-0000-000036070000}"/>
    <cellStyle name="Currency 1" xfId="1960" xr:uid="{00000000-0005-0000-0000-000037070000}"/>
    <cellStyle name="Currency 2" xfId="1961" xr:uid="{00000000-0005-0000-0000-000038070000}"/>
    <cellStyle name="Currency 3" xfId="1962" xr:uid="{00000000-0005-0000-0000-000039070000}"/>
    <cellStyle name="Currency$" xfId="1963" xr:uid="{00000000-0005-0000-0000-00003A070000}"/>
    <cellStyle name="currency(0)" xfId="1964" xr:uid="{00000000-0005-0000-0000-00003B070000}"/>
    <cellStyle name="Currency(1)" xfId="1965" xr:uid="{00000000-0005-0000-0000-00003C070000}"/>
    <cellStyle name="Currency(2)" xfId="1966" xr:uid="{00000000-0005-0000-0000-00003D070000}"/>
    <cellStyle name="Currency0" xfId="303" xr:uid="{00000000-0005-0000-0000-00003E070000}"/>
    <cellStyle name="Currency0 2" xfId="1967" xr:uid="{00000000-0005-0000-0000-00003F070000}"/>
    <cellStyle name="Currency2" xfId="1968" xr:uid="{00000000-0005-0000-0000-000040070000}"/>
    <cellStyle name="Currencyunder" xfId="1969" xr:uid="{00000000-0005-0000-0000-000041070000}"/>
    <cellStyle name="custom" xfId="1970" xr:uid="{00000000-0005-0000-0000-000042070000}"/>
    <cellStyle name="custom 2" xfId="1971" xr:uid="{00000000-0005-0000-0000-000043070000}"/>
    <cellStyle name="d_yield" xfId="1972" xr:uid="{00000000-0005-0000-0000-000044070000}"/>
    <cellStyle name="d_yield_Copy of IFRS consol ABB Final Version4" xfId="1973" xr:uid="{00000000-0005-0000-0000-000045070000}"/>
    <cellStyle name="Data_0dp" xfId="1974" xr:uid="{00000000-0005-0000-0000-000046070000}"/>
    <cellStyle name="date" xfId="304" xr:uid="{00000000-0005-0000-0000-000047070000}"/>
    <cellStyle name="Date [mmm-yy]" xfId="1975" xr:uid="{00000000-0005-0000-0000-000048070000}"/>
    <cellStyle name="Date 2" xfId="1976" xr:uid="{00000000-0005-0000-0000-000049070000}"/>
    <cellStyle name="Date Aligned" xfId="1977" xr:uid="{00000000-0005-0000-0000-00004A070000}"/>
    <cellStyle name="Date_Copy of IFRS consol ABB Final Version4" xfId="1978" xr:uid="{00000000-0005-0000-0000-00004B070000}"/>
    <cellStyle name="Dates" xfId="1979" xr:uid="{00000000-0005-0000-0000-00004C070000}"/>
    <cellStyle name="DateYear" xfId="1980" xr:uid="{00000000-0005-0000-0000-00004D070000}"/>
    <cellStyle name="days" xfId="1981" xr:uid="{00000000-0005-0000-0000-00004E070000}"/>
    <cellStyle name="Dec_0" xfId="1982" xr:uid="{00000000-0005-0000-0000-00004F070000}"/>
    <cellStyle name="default" xfId="305" xr:uid="{00000000-0005-0000-0000-000050070000}"/>
    <cellStyle name="Derive" xfId="1983" xr:uid="{00000000-0005-0000-0000-000051070000}"/>
    <cellStyle name="DOH" xfId="28" xr:uid="{00000000-0005-0000-0000-000052070000}"/>
    <cellStyle name="Dollar" xfId="306" xr:uid="{00000000-0005-0000-0000-000053070000}"/>
    <cellStyle name="dollar [0]" xfId="1984" xr:uid="{00000000-0005-0000-0000-000054070000}"/>
    <cellStyle name="dollar [1]" xfId="1985" xr:uid="{00000000-0005-0000-0000-000055070000}"/>
    <cellStyle name="Dollar 2" xfId="1986" xr:uid="{00000000-0005-0000-0000-000056070000}"/>
    <cellStyle name="Dollar 3" xfId="1987" xr:uid="{00000000-0005-0000-0000-000057070000}"/>
    <cellStyle name="Dollar_CROCI" xfId="1988" xr:uid="{00000000-0005-0000-0000-000058070000}"/>
    <cellStyle name="Dollars" xfId="1989" xr:uid="{00000000-0005-0000-0000-000059070000}"/>
    <cellStyle name="DollarWhole" xfId="1990" xr:uid="{00000000-0005-0000-0000-00005A070000}"/>
    <cellStyle name="Dotted Line" xfId="1991" xr:uid="{00000000-0005-0000-0000-00005B070000}"/>
    <cellStyle name="Duizenden" xfId="1992" xr:uid="{00000000-0005-0000-0000-00005C070000}"/>
    <cellStyle name="E" xfId="1993" xr:uid="{00000000-0005-0000-0000-00005D070000}"/>
    <cellStyle name="emp" xfId="307" xr:uid="{00000000-0005-0000-0000-00005E070000}"/>
    <cellStyle name="Entered" xfId="1994" xr:uid="{00000000-0005-0000-0000-00005F070000}"/>
    <cellStyle name="Entered 2" xfId="1995" xr:uid="{00000000-0005-0000-0000-000060070000}"/>
    <cellStyle name="Entries" xfId="1996" xr:uid="{00000000-0005-0000-0000-000061070000}"/>
    <cellStyle name="Entry" xfId="1997" xr:uid="{00000000-0005-0000-0000-000062070000}"/>
    <cellStyle name="Entry 2" xfId="1998" xr:uid="{00000000-0005-0000-0000-000063070000}"/>
    <cellStyle name="Entry 3" xfId="1999" xr:uid="{00000000-0005-0000-0000-000064070000}"/>
    <cellStyle name="EPS" xfId="2000" xr:uid="{00000000-0005-0000-0000-000065070000}"/>
    <cellStyle name="eps$" xfId="2001" xr:uid="{00000000-0005-0000-0000-000066070000}"/>
    <cellStyle name="eps$A" xfId="2002" xr:uid="{00000000-0005-0000-0000-000067070000}"/>
    <cellStyle name="eps$E" xfId="2003" xr:uid="{00000000-0005-0000-0000-000068070000}"/>
    <cellStyle name="eps_AOL Model Master" xfId="2004" xr:uid="{00000000-0005-0000-0000-000069070000}"/>
    <cellStyle name="epsA" xfId="2005" xr:uid="{00000000-0005-0000-0000-00006A070000}"/>
    <cellStyle name="EPSActual" xfId="2006" xr:uid="{00000000-0005-0000-0000-00006B070000}"/>
    <cellStyle name="EPSActual 2" xfId="2007" xr:uid="{00000000-0005-0000-0000-00006C070000}"/>
    <cellStyle name="EPSActual 3" xfId="2008" xr:uid="{00000000-0005-0000-0000-00006D070000}"/>
    <cellStyle name="epsE" xfId="2009" xr:uid="{00000000-0005-0000-0000-00006E070000}"/>
    <cellStyle name="EPSEstimate" xfId="2010" xr:uid="{00000000-0005-0000-0000-00006F070000}"/>
    <cellStyle name="EPSEstimate 2" xfId="2011" xr:uid="{00000000-0005-0000-0000-000070070000}"/>
    <cellStyle name="EPSEstimate 3" xfId="2012" xr:uid="{00000000-0005-0000-0000-000071070000}"/>
    <cellStyle name="Euro" xfId="2013" xr:uid="{00000000-0005-0000-0000-000072070000}"/>
    <cellStyle name="Euro 2" xfId="2014" xr:uid="{00000000-0005-0000-0000-000073070000}"/>
    <cellStyle name="Exchange_rates" xfId="2015" xr:uid="{00000000-0005-0000-0000-000074070000}"/>
    <cellStyle name="ExchRate" xfId="2016" xr:uid="{00000000-0005-0000-0000-000075070000}"/>
    <cellStyle name="exp" xfId="2017" xr:uid="{00000000-0005-0000-0000-000076070000}"/>
    <cellStyle name="exp 2" xfId="2018" xr:uid="{00000000-0005-0000-0000-000077070000}"/>
    <cellStyle name="exp 3" xfId="2019" xr:uid="{00000000-0005-0000-0000-000078070000}"/>
    <cellStyle name="Explanatory Text 2" xfId="2020" xr:uid="{00000000-0005-0000-0000-000079070000}"/>
    <cellStyle name="External File Cells" xfId="308" xr:uid="{00000000-0005-0000-0000-00007A070000}"/>
    <cellStyle name="External File Cells 2" xfId="2021" xr:uid="{00000000-0005-0000-0000-00007B070000}"/>
    <cellStyle name="External File Cells 3" xfId="2022" xr:uid="{00000000-0005-0000-0000-00007C070000}"/>
    <cellStyle name="Fecha" xfId="2023" xr:uid="{00000000-0005-0000-0000-00007D070000}"/>
    <cellStyle name="Fecha 2" xfId="2024" xr:uid="{00000000-0005-0000-0000-00007E070000}"/>
    <cellStyle name="Fecha 3" xfId="2025" xr:uid="{00000000-0005-0000-0000-00007F070000}"/>
    <cellStyle name="FF" xfId="2026" xr:uid="{00000000-0005-0000-0000-000080070000}"/>
    <cellStyle name="Fijo" xfId="2027" xr:uid="{00000000-0005-0000-0000-000081070000}"/>
    <cellStyle name="Fijo 2" xfId="2028" xr:uid="{00000000-0005-0000-0000-000082070000}"/>
    <cellStyle name="Fijo 3" xfId="2029" xr:uid="{00000000-0005-0000-0000-000083070000}"/>
    <cellStyle name="Financial" xfId="2030" xr:uid="{00000000-0005-0000-0000-000084070000}"/>
    <cellStyle name="Fit" xfId="309" xr:uid="{00000000-0005-0000-0000-000085070000}"/>
    <cellStyle name="five" xfId="2031" xr:uid="{00000000-0005-0000-0000-000086070000}"/>
    <cellStyle name="Fixed" xfId="310" xr:uid="{00000000-0005-0000-0000-000087070000}"/>
    <cellStyle name="Fixed 2" xfId="2032" xr:uid="{00000000-0005-0000-0000-000088070000}"/>
    <cellStyle name="Footer SBILogo1" xfId="2033" xr:uid="{00000000-0005-0000-0000-000089070000}"/>
    <cellStyle name="Footer SBILogo2" xfId="2034" xr:uid="{00000000-0005-0000-0000-00008A070000}"/>
    <cellStyle name="Footnote" xfId="2035" xr:uid="{00000000-0005-0000-0000-00008B070000}"/>
    <cellStyle name="Footnote Reference" xfId="2036" xr:uid="{00000000-0005-0000-0000-00008C070000}"/>
    <cellStyle name="Footnote_ACCC" xfId="2037" xr:uid="{00000000-0005-0000-0000-00008D070000}"/>
    <cellStyle name="Footnotes" xfId="311" xr:uid="{00000000-0005-0000-0000-00008E070000}"/>
    <cellStyle name="Forecast Cells" xfId="312" xr:uid="{00000000-0005-0000-0000-00008F070000}"/>
    <cellStyle name="four" xfId="2038" xr:uid="{00000000-0005-0000-0000-000090070000}"/>
    <cellStyle name="fourdecplace" xfId="2039" xr:uid="{00000000-0005-0000-0000-000091070000}"/>
    <cellStyle name="fourdecplace 2" xfId="2040" xr:uid="{00000000-0005-0000-0000-000092070000}"/>
    <cellStyle name="fy_eps$" xfId="2041" xr:uid="{00000000-0005-0000-0000-000093070000}"/>
    <cellStyle name="g_rate" xfId="2042" xr:uid="{00000000-0005-0000-0000-000094070000}"/>
    <cellStyle name="g_rate_AOL_Model_Master" xfId="2043" xr:uid="{00000000-0005-0000-0000-000095070000}"/>
    <cellStyle name="g_rate_AOL_Model_Master_Copy of IFRS consol ABB Final Version4" xfId="2044" xr:uid="{00000000-0005-0000-0000-000096070000}"/>
    <cellStyle name="G1_1999 figures" xfId="313" xr:uid="{00000000-0005-0000-0000-000097070000}"/>
    <cellStyle name="gbox" xfId="2045" xr:uid="{00000000-0005-0000-0000-000098070000}"/>
    <cellStyle name="gbox 2" xfId="2046" xr:uid="{00000000-0005-0000-0000-000099070000}"/>
    <cellStyle name="General" xfId="2047" xr:uid="{00000000-0005-0000-0000-00009A070000}"/>
    <cellStyle name="GIRExhibit-Bold" xfId="29" xr:uid="{00000000-0005-0000-0000-00009B070000}"/>
    <cellStyle name="Good" xfId="59" builtinId="26"/>
    <cellStyle name="Good 2" xfId="2048" xr:uid="{00000000-0005-0000-0000-00009D070000}"/>
    <cellStyle name="Grey" xfId="2049" xr:uid="{00000000-0005-0000-0000-00009E070000}"/>
    <cellStyle name="Grey 2" xfId="2050" xr:uid="{00000000-0005-0000-0000-00009F070000}"/>
    <cellStyle name="GrowthRate" xfId="2051" xr:uid="{00000000-0005-0000-0000-0000A0070000}"/>
    <cellStyle name="GrowthSeq" xfId="2052" xr:uid="{00000000-0005-0000-0000-0000A1070000}"/>
    <cellStyle name="H_1998_col_head" xfId="314" xr:uid="{00000000-0005-0000-0000-0000A2070000}"/>
    <cellStyle name="H_1998_col_head 2" xfId="2053" xr:uid="{00000000-0005-0000-0000-0000A3070000}"/>
    <cellStyle name="H_1998_col_head_BHI" xfId="2054" xr:uid="{00000000-0005-0000-0000-0000A4070000}"/>
    <cellStyle name="H_1998_col_head_BHI_Copy of IFRS consol ABB Final Version4" xfId="2055" xr:uid="{00000000-0005-0000-0000-0000A5070000}"/>
    <cellStyle name="H_1998_col_head_BHI_working7" xfId="2056" xr:uid="{00000000-0005-0000-0000-0000A6070000}"/>
    <cellStyle name="H_1998_col_head_BJS" xfId="2057" xr:uid="{00000000-0005-0000-0000-0000A7070000}"/>
    <cellStyle name="H_1998_col_head_BJS_Copy of IFRS consol ABB Final Version4" xfId="2058" xr:uid="{00000000-0005-0000-0000-0000A8070000}"/>
    <cellStyle name="H_1998_col_head_bjs-working9" xfId="2059" xr:uid="{00000000-0005-0000-0000-0000A9070000}"/>
    <cellStyle name="H_1998_col_head_EVA" xfId="2060" xr:uid="{00000000-0005-0000-0000-0000AA070000}"/>
    <cellStyle name="H_1998_col_head_HAL" xfId="2061" xr:uid="{00000000-0005-0000-0000-0000AB070000}"/>
    <cellStyle name="H_1998_col_head_HAL - 7" xfId="2062" xr:uid="{00000000-0005-0000-0000-0000AC070000}"/>
    <cellStyle name="H_1998_col_head_HAL - 7_Copy of IFRS consol ABB Final Version4" xfId="2063" xr:uid="{00000000-0005-0000-0000-0000AD070000}"/>
    <cellStyle name="H_1998_col_head_HAL_Copy of IFRS consol ABB Final Version4" xfId="2064" xr:uid="{00000000-0005-0000-0000-0000AE070000}"/>
    <cellStyle name="H_1998_col_head_HALY_working13" xfId="2065" xr:uid="{00000000-0005-0000-0000-0000AF070000}"/>
    <cellStyle name="H_1998_col_head_IS" xfId="2066" xr:uid="{00000000-0005-0000-0000-0000B0070000}"/>
    <cellStyle name="H_1998_col_head_IS - Rptd" xfId="2067" xr:uid="{00000000-0005-0000-0000-0000B1070000}"/>
    <cellStyle name="H_1998_col_head_IS - Rptd_1" xfId="2068" xr:uid="{00000000-0005-0000-0000-0000B2070000}"/>
    <cellStyle name="H_1998_col_head_IS - Rptd_1_Copy of IFRS consol ABB Final Version4" xfId="2069" xr:uid="{00000000-0005-0000-0000-0000B3070000}"/>
    <cellStyle name="H_1998_col_head_IS_Copy of IFRS consol ABB Final Version4" xfId="2070" xr:uid="{00000000-0005-0000-0000-0000B4070000}"/>
    <cellStyle name="H_1998_col_head_Japanese Peers" xfId="2071" xr:uid="{00000000-0005-0000-0000-0000B5070000}"/>
    <cellStyle name="H_1998_col_head_Japanese Peers 2" xfId="2072" xr:uid="{00000000-0005-0000-0000-0000B6070000}"/>
    <cellStyle name="H_1998_col_head_SII" xfId="2073" xr:uid="{00000000-0005-0000-0000-0000B7070000}"/>
    <cellStyle name="H_1998_col_head_SII-Post 3Q05 v4" xfId="2074" xr:uid="{00000000-0005-0000-0000-0000B8070000}"/>
    <cellStyle name="H_1998_col_head_SLB" xfId="2075" xr:uid="{00000000-0005-0000-0000-0000B9070000}"/>
    <cellStyle name="H_1998_col_head_SLB_Copy of IFRS consol ABB Final Version4" xfId="2076" xr:uid="{00000000-0005-0000-0000-0000BA070000}"/>
    <cellStyle name="H_1998_col_head_SLB-working7" xfId="2077" xr:uid="{00000000-0005-0000-0000-0000BB070000}"/>
    <cellStyle name="H_1999_col_head" xfId="315" xr:uid="{00000000-0005-0000-0000-0000BC070000}"/>
    <cellStyle name="H1_1998 figures" xfId="316" xr:uid="{00000000-0005-0000-0000-0000BD070000}"/>
    <cellStyle name="hard no." xfId="2078" xr:uid="{00000000-0005-0000-0000-0000BE070000}"/>
    <cellStyle name="hard no. 2" xfId="2079" xr:uid="{00000000-0005-0000-0000-0000BF070000}"/>
    <cellStyle name="Hard Percent" xfId="2080" xr:uid="{00000000-0005-0000-0000-0000C0070000}"/>
    <cellStyle name="Header" xfId="2081" xr:uid="{00000000-0005-0000-0000-0000C1070000}"/>
    <cellStyle name="Header Draft Stamp" xfId="2082" xr:uid="{00000000-0005-0000-0000-0000C2070000}"/>
    <cellStyle name="Header_ACCC" xfId="2083" xr:uid="{00000000-0005-0000-0000-0000C3070000}"/>
    <cellStyle name="Header1" xfId="2084" xr:uid="{00000000-0005-0000-0000-0000C4070000}"/>
    <cellStyle name="Header2" xfId="2085" xr:uid="{00000000-0005-0000-0000-0000C5070000}"/>
    <cellStyle name="Heading" xfId="317" xr:uid="{00000000-0005-0000-0000-0000C6070000}"/>
    <cellStyle name="Heading 1 2" xfId="2086" xr:uid="{00000000-0005-0000-0000-0000C7070000}"/>
    <cellStyle name="Heading 1 Above" xfId="2087" xr:uid="{00000000-0005-0000-0000-0000C8070000}"/>
    <cellStyle name="Heading 1+" xfId="2088" xr:uid="{00000000-0005-0000-0000-0000C9070000}"/>
    <cellStyle name="Heading 2 2" xfId="2089" xr:uid="{00000000-0005-0000-0000-0000CA070000}"/>
    <cellStyle name="Heading 2 Below" xfId="2090" xr:uid="{00000000-0005-0000-0000-0000CB070000}"/>
    <cellStyle name="Heading 2+" xfId="2091" xr:uid="{00000000-0005-0000-0000-0000CC070000}"/>
    <cellStyle name="Heading 3 2" xfId="2092" xr:uid="{00000000-0005-0000-0000-0000CD070000}"/>
    <cellStyle name="Heading 3+" xfId="2093" xr:uid="{00000000-0005-0000-0000-0000CE070000}"/>
    <cellStyle name="Heading 4 2" xfId="2094" xr:uid="{00000000-0005-0000-0000-0000CF070000}"/>
    <cellStyle name="Heading1" xfId="30" xr:uid="{00000000-0005-0000-0000-0000D0070000}"/>
    <cellStyle name="Heading1 2" xfId="31" xr:uid="{00000000-0005-0000-0000-0000D1070000}"/>
    <cellStyle name="Heading1 3" xfId="32" xr:uid="{00000000-0005-0000-0000-0000D2070000}"/>
    <cellStyle name="HeadingS" xfId="33" xr:uid="{00000000-0005-0000-0000-0000D3070000}"/>
    <cellStyle name="HeadingS 2" xfId="34" xr:uid="{00000000-0005-0000-0000-0000D4070000}"/>
    <cellStyle name="HeadingS 2 2" xfId="2095" xr:uid="{00000000-0005-0000-0000-0000D5070000}"/>
    <cellStyle name="HeadingS 3" xfId="35" xr:uid="{00000000-0005-0000-0000-0000D6070000}"/>
    <cellStyle name="Hyperlink" xfId="374" builtinId="8"/>
    <cellStyle name="iannumber" xfId="2096" xr:uid="{00000000-0005-0000-0000-0000D8070000}"/>
    <cellStyle name="iannumber 2" xfId="2097" xr:uid="{00000000-0005-0000-0000-0000D9070000}"/>
    <cellStyle name="iannumber 3" xfId="2098" xr:uid="{00000000-0005-0000-0000-0000DA070000}"/>
    <cellStyle name="ianpercent" xfId="2099" xr:uid="{00000000-0005-0000-0000-0000DB070000}"/>
    <cellStyle name="ianpercent 2" xfId="2100" xr:uid="{00000000-0005-0000-0000-0000DC070000}"/>
    <cellStyle name="ianpercent 3" xfId="2101" xr:uid="{00000000-0005-0000-0000-0000DD070000}"/>
    <cellStyle name="IncomeStatement" xfId="2102" xr:uid="{00000000-0005-0000-0000-0000DE070000}"/>
    <cellStyle name="Info_Main" xfId="2103" xr:uid="{00000000-0005-0000-0000-0000DF070000}"/>
    <cellStyle name="Input [yellow]" xfId="2104" xr:uid="{00000000-0005-0000-0000-0000E0070000}"/>
    <cellStyle name="Input [yellow] 2" xfId="2105" xr:uid="{00000000-0005-0000-0000-0000E1070000}"/>
    <cellStyle name="Input 10" xfId="2106" xr:uid="{00000000-0005-0000-0000-0000E2070000}"/>
    <cellStyle name="Input 11" xfId="2107" xr:uid="{00000000-0005-0000-0000-0000E3070000}"/>
    <cellStyle name="Input 12" xfId="2108" xr:uid="{00000000-0005-0000-0000-0000E4070000}"/>
    <cellStyle name="Input 2" xfId="2109" xr:uid="{00000000-0005-0000-0000-0000E5070000}"/>
    <cellStyle name="Input 3" xfId="2110" xr:uid="{00000000-0005-0000-0000-0000E6070000}"/>
    <cellStyle name="Input 4" xfId="2111" xr:uid="{00000000-0005-0000-0000-0000E7070000}"/>
    <cellStyle name="Input 5" xfId="2112" xr:uid="{00000000-0005-0000-0000-0000E8070000}"/>
    <cellStyle name="Input 6" xfId="2113" xr:uid="{00000000-0005-0000-0000-0000E9070000}"/>
    <cellStyle name="Input 7" xfId="2114" xr:uid="{00000000-0005-0000-0000-0000EA070000}"/>
    <cellStyle name="Input 8" xfId="2115" xr:uid="{00000000-0005-0000-0000-0000EB070000}"/>
    <cellStyle name="Input 9" xfId="2116" xr:uid="{00000000-0005-0000-0000-0000EC070000}"/>
    <cellStyle name="Input Cells" xfId="318" xr:uid="{00000000-0005-0000-0000-0000ED070000}"/>
    <cellStyle name="Input Currency" xfId="2117" xr:uid="{00000000-0005-0000-0000-0000EE070000}"/>
    <cellStyle name="Input Currency 2" xfId="2118" xr:uid="{00000000-0005-0000-0000-0000EF070000}"/>
    <cellStyle name="Input Currency_BHI" xfId="2119" xr:uid="{00000000-0005-0000-0000-0000F0070000}"/>
    <cellStyle name="Input Multiple" xfId="2120" xr:uid="{00000000-0005-0000-0000-0000F1070000}"/>
    <cellStyle name="Input Percent" xfId="2121" xr:uid="{00000000-0005-0000-0000-0000F2070000}"/>
    <cellStyle name="InputCurrency" xfId="2122" xr:uid="{00000000-0005-0000-0000-0000F3070000}"/>
    <cellStyle name="InputCurrency2" xfId="2123" xr:uid="{00000000-0005-0000-0000-0000F4070000}"/>
    <cellStyle name="InputDateDMth" xfId="2124" xr:uid="{00000000-0005-0000-0000-0000F5070000}"/>
    <cellStyle name="InputDateNorm" xfId="2125" xr:uid="{00000000-0005-0000-0000-0000F6070000}"/>
    <cellStyle name="InputMultiple1" xfId="2126" xr:uid="{00000000-0005-0000-0000-0000F7070000}"/>
    <cellStyle name="InputPercent1" xfId="2127" xr:uid="{00000000-0005-0000-0000-0000F8070000}"/>
    <cellStyle name="InputUlineNumeric" xfId="2128" xr:uid="{00000000-0005-0000-0000-0000F9070000}"/>
    <cellStyle name="Integer" xfId="36" xr:uid="{00000000-0005-0000-0000-0000FA070000}"/>
    <cellStyle name="IntInputBk" xfId="37" xr:uid="{00000000-0005-0000-0000-0000FB070000}"/>
    <cellStyle name="IntInputBu" xfId="38" xr:uid="{00000000-0005-0000-0000-0000FC070000}"/>
    <cellStyle name="Italics" xfId="2129" xr:uid="{00000000-0005-0000-0000-0000FD070000}"/>
    <cellStyle name="Item" xfId="39" xr:uid="{00000000-0005-0000-0000-0000FE070000}"/>
    <cellStyle name="Item Descriptions" xfId="319" xr:uid="{00000000-0005-0000-0000-0000FF070000}"/>
    <cellStyle name="Items_Optional" xfId="2130" xr:uid="{00000000-0005-0000-0000-000000080000}"/>
    <cellStyle name="ItemTypeClass" xfId="40" xr:uid="{00000000-0005-0000-0000-000001080000}"/>
    <cellStyle name="Jason" xfId="2131" xr:uid="{00000000-0005-0000-0000-000002080000}"/>
    <cellStyle name="Jason 2" xfId="2132" xr:uid="{00000000-0005-0000-0000-000003080000}"/>
    <cellStyle name="Komma_p&amp;l (2)" xfId="2133" xr:uid="{00000000-0005-0000-0000-000004080000}"/>
    <cellStyle name="lead" xfId="2134" xr:uid="{00000000-0005-0000-0000-000005080000}"/>
    <cellStyle name="lead 2" xfId="2135" xr:uid="{00000000-0005-0000-0000-000006080000}"/>
    <cellStyle name="Line" xfId="320" xr:uid="{00000000-0005-0000-0000-000007080000}"/>
    <cellStyle name="linked" xfId="2136" xr:uid="{00000000-0005-0000-0000-000008080000}"/>
    <cellStyle name="Linked Cell 2" xfId="2137" xr:uid="{00000000-0005-0000-0000-000009080000}"/>
    <cellStyle name="LN" xfId="2138" xr:uid="{00000000-0005-0000-0000-00000A080000}"/>
    <cellStyle name="LN 2" xfId="2139" xr:uid="{00000000-0005-0000-0000-00000B080000}"/>
    <cellStyle name="LN 3" xfId="2140" xr:uid="{00000000-0005-0000-0000-00000C080000}"/>
    <cellStyle name="LTGR" xfId="2141" xr:uid="{00000000-0005-0000-0000-00000D080000}"/>
    <cellStyle name="m" xfId="2142" xr:uid="{00000000-0005-0000-0000-00000E080000}"/>
    <cellStyle name="m 2" xfId="2143" xr:uid="{00000000-0005-0000-0000-00000F080000}"/>
    <cellStyle name="m 3" xfId="2144" xr:uid="{00000000-0005-0000-0000-000010080000}"/>
    <cellStyle name="m$" xfId="2145" xr:uid="{00000000-0005-0000-0000-000011080000}"/>
    <cellStyle name="m_AOL_Model_Master" xfId="2146" xr:uid="{00000000-0005-0000-0000-000012080000}"/>
    <cellStyle name="m_AOL_Model_Master_Copy of IFRS consol ABB Final Version4" xfId="2147" xr:uid="{00000000-0005-0000-0000-000013080000}"/>
    <cellStyle name="m_CROCI" xfId="2148" xr:uid="{00000000-0005-0000-0000-000014080000}"/>
    <cellStyle name="Mainhead" xfId="321" xr:uid="{00000000-0005-0000-0000-000015080000}"/>
    <cellStyle name="Major item" xfId="2149" xr:uid="{00000000-0005-0000-0000-000016080000}"/>
    <cellStyle name="Margin" xfId="2150" xr:uid="{00000000-0005-0000-0000-000017080000}"/>
    <cellStyle name="Margin 2" xfId="2151" xr:uid="{00000000-0005-0000-0000-000018080000}"/>
    <cellStyle name="Margin 3" xfId="2152" xr:uid="{00000000-0005-0000-0000-000019080000}"/>
    <cellStyle name="Margins" xfId="2153" xr:uid="{00000000-0005-0000-0000-00001A080000}"/>
    <cellStyle name="Merrill" xfId="322" xr:uid="{00000000-0005-0000-0000-00001B080000}"/>
    <cellStyle name="Migliaia (0)_Bourse" xfId="2154" xr:uid="{00000000-0005-0000-0000-00001C080000}"/>
    <cellStyle name="Migliaia_Bourse" xfId="2155" xr:uid="{00000000-0005-0000-0000-00001D080000}"/>
    <cellStyle name="Milliers [0]_CEP 1605" xfId="2156" xr:uid="{00000000-0005-0000-0000-00001E080000}"/>
    <cellStyle name="Milliers_CEP 1605" xfId="2157" xr:uid="{00000000-0005-0000-0000-00001F080000}"/>
    <cellStyle name="Mix" xfId="323" xr:uid="{00000000-0005-0000-0000-000020080000}"/>
    <cellStyle name="mm" xfId="2158" xr:uid="{00000000-0005-0000-0000-000021080000}"/>
    <cellStyle name="Monétaire [0]_CEP 1605" xfId="2159" xr:uid="{00000000-0005-0000-0000-000022080000}"/>
    <cellStyle name="Monétaire_CEP 1605" xfId="2160" xr:uid="{00000000-0005-0000-0000-000023080000}"/>
    <cellStyle name="Monetario" xfId="2161" xr:uid="{00000000-0005-0000-0000-000024080000}"/>
    <cellStyle name="Monetario 2" xfId="2162" xr:uid="{00000000-0005-0000-0000-000025080000}"/>
    <cellStyle name="Monetario 3" xfId="2163" xr:uid="{00000000-0005-0000-0000-000026080000}"/>
    <cellStyle name="Monetario0" xfId="2164" xr:uid="{00000000-0005-0000-0000-000027080000}"/>
    <cellStyle name="Monetario0 2" xfId="2165" xr:uid="{00000000-0005-0000-0000-000028080000}"/>
    <cellStyle name="Monetario0 3" xfId="2166" xr:uid="{00000000-0005-0000-0000-000029080000}"/>
    <cellStyle name="Monitor" xfId="324" xr:uid="{00000000-0005-0000-0000-00002A080000}"/>
    <cellStyle name="muiltiple" xfId="2167" xr:uid="{00000000-0005-0000-0000-00002B080000}"/>
    <cellStyle name="Multiple" xfId="325" xr:uid="{00000000-0005-0000-0000-00002C080000}"/>
    <cellStyle name="Multiple 2" xfId="2168" xr:uid="{00000000-0005-0000-0000-00002D080000}"/>
    <cellStyle name="Multiple 3" xfId="2169" xr:uid="{00000000-0005-0000-0000-00002E080000}"/>
    <cellStyle name="Multiple1" xfId="2170" xr:uid="{00000000-0005-0000-0000-00002F080000}"/>
    <cellStyle name="MultipleBelow" xfId="2171" xr:uid="{00000000-0005-0000-0000-000030080000}"/>
    <cellStyle name="MultipleSpace" xfId="2172" xr:uid="{00000000-0005-0000-0000-000031080000}"/>
    <cellStyle name="Neutral" xfId="61" builtinId="28"/>
    <cellStyle name="Neutral 2" xfId="2173" xr:uid="{00000000-0005-0000-0000-000033080000}"/>
    <cellStyle name="new style" xfId="2174" xr:uid="{00000000-0005-0000-0000-000034080000}"/>
    <cellStyle name="no dec" xfId="2175" xr:uid="{00000000-0005-0000-0000-000035080000}"/>
    <cellStyle name="no dec 2" xfId="2176" xr:uid="{00000000-0005-0000-0000-000036080000}"/>
    <cellStyle name="nonmultiple" xfId="2177" xr:uid="{00000000-0005-0000-0000-000037080000}"/>
    <cellStyle name="nonmultiple 2" xfId="2178" xr:uid="{00000000-0005-0000-0000-000038080000}"/>
    <cellStyle name="nonmultiple 3" xfId="2179" xr:uid="{00000000-0005-0000-0000-000039080000}"/>
    <cellStyle name="Normal" xfId="0" builtinId="0"/>
    <cellStyle name="Normal - Style1" xfId="326" xr:uid="{00000000-0005-0000-0000-00003B080000}"/>
    <cellStyle name="Normal (B)" xfId="41" xr:uid="{00000000-0005-0000-0000-00003C080000}"/>
    <cellStyle name="Normal (G)" xfId="42" xr:uid="{00000000-0005-0000-0000-00003D080000}"/>
    <cellStyle name="Normal 10" xfId="2180" xr:uid="{00000000-0005-0000-0000-00003E080000}"/>
    <cellStyle name="Normal 10 2" xfId="2181" xr:uid="{00000000-0005-0000-0000-00003F080000}"/>
    <cellStyle name="Normal 10 2 2" xfId="2525" xr:uid="{4F717BDA-2B51-4610-A713-E107921DAFD9}"/>
    <cellStyle name="Normal 10 3" xfId="2182" xr:uid="{00000000-0005-0000-0000-000040080000}"/>
    <cellStyle name="Normal 101" xfId="2519" xr:uid="{00000000-0005-0000-0000-000041080000}"/>
    <cellStyle name="Normal 11" xfId="2183" xr:uid="{00000000-0005-0000-0000-000042080000}"/>
    <cellStyle name="Normal 12" xfId="2184" xr:uid="{00000000-0005-0000-0000-000043080000}"/>
    <cellStyle name="Normal 13" xfId="2185" xr:uid="{00000000-0005-0000-0000-000044080000}"/>
    <cellStyle name="Normal 14" xfId="2186" xr:uid="{00000000-0005-0000-0000-000045080000}"/>
    <cellStyle name="Normal 15" xfId="2187" xr:uid="{00000000-0005-0000-0000-000046080000}"/>
    <cellStyle name="Normal 16" xfId="2188" xr:uid="{00000000-0005-0000-0000-000047080000}"/>
    <cellStyle name="Normal 17" xfId="2189" xr:uid="{00000000-0005-0000-0000-000048080000}"/>
    <cellStyle name="Normal 18" xfId="2190" xr:uid="{00000000-0005-0000-0000-000049080000}"/>
    <cellStyle name="Normal 19" xfId="2191" xr:uid="{00000000-0005-0000-0000-00004A080000}"/>
    <cellStyle name="Normal 2" xfId="1" xr:uid="{00000000-0005-0000-0000-00004B080000}"/>
    <cellStyle name="Normal 2 2" xfId="2517" xr:uid="{00000000-0005-0000-0000-00004C080000}"/>
    <cellStyle name="Normal 20" xfId="2192" xr:uid="{00000000-0005-0000-0000-00004D080000}"/>
    <cellStyle name="Normal 21" xfId="2511" xr:uid="{00000000-0005-0000-0000-00004E080000}"/>
    <cellStyle name="Normal 22" xfId="2512" xr:uid="{00000000-0005-0000-0000-00004F080000}"/>
    <cellStyle name="Normal 3" xfId="43" xr:uid="{00000000-0005-0000-0000-000050080000}"/>
    <cellStyle name="Normal 3 2" xfId="2516" xr:uid="{00000000-0005-0000-0000-000051080000}"/>
    <cellStyle name="Normal 4" xfId="375" xr:uid="{00000000-0005-0000-0000-000052080000}"/>
    <cellStyle name="Normal 5" xfId="380" xr:uid="{00000000-0005-0000-0000-000053080000}"/>
    <cellStyle name="Normal 6" xfId="381" xr:uid="{00000000-0005-0000-0000-000054080000}"/>
    <cellStyle name="Normal 7" xfId="382" xr:uid="{00000000-0005-0000-0000-000055080000}"/>
    <cellStyle name="Normal 8" xfId="2193" xr:uid="{00000000-0005-0000-0000-000056080000}"/>
    <cellStyle name="Normal 9" xfId="2194" xr:uid="{00000000-0005-0000-0000-000057080000}"/>
    <cellStyle name="Normal 9 2" xfId="2195" xr:uid="{00000000-0005-0000-0000-000058080000}"/>
    <cellStyle name="Normal 9 3" xfId="2196" xr:uid="{00000000-0005-0000-0000-000059080000}"/>
    <cellStyle name="Normal Cells" xfId="327" xr:uid="{00000000-0005-0000-0000-00005A080000}"/>
    <cellStyle name="Normal_Q outNEW 2" xfId="2515" xr:uid="{00000000-0005-0000-0000-00005B080000}"/>
    <cellStyle name="Normal_Sector_Summary_Pack_Eur" xfId="2520" xr:uid="{00000000-0005-0000-0000-00005C080000}"/>
    <cellStyle name="Normal2" xfId="2197" xr:uid="{00000000-0005-0000-0000-00005D080000}"/>
    <cellStyle name="Normale_Acesa" xfId="2198" xr:uid="{00000000-0005-0000-0000-00005E080000}"/>
    <cellStyle name="NormalGB" xfId="2199" xr:uid="{00000000-0005-0000-0000-00005F080000}"/>
    <cellStyle name="Normal-HelBold" xfId="2200" xr:uid="{00000000-0005-0000-0000-000060080000}"/>
    <cellStyle name="Normal-HelUnderline" xfId="2201" xr:uid="{00000000-0005-0000-0000-000061080000}"/>
    <cellStyle name="Normal-Helvetica" xfId="2202" xr:uid="{00000000-0005-0000-0000-000062080000}"/>
    <cellStyle name="Normalny_SAQ_NEW" xfId="2203" xr:uid="{00000000-0005-0000-0000-000063080000}"/>
    <cellStyle name="Note 2" xfId="2204" xr:uid="{00000000-0005-0000-0000-000064080000}"/>
    <cellStyle name="Notes" xfId="2205" xr:uid="{00000000-0005-0000-0000-000065080000}"/>
    <cellStyle name="Number" xfId="328" xr:uid="{00000000-0005-0000-0000-000066080000}"/>
    <cellStyle name="number2" xfId="2206" xr:uid="{00000000-0005-0000-0000-000067080000}"/>
    <cellStyle name="Numbers" xfId="329" xr:uid="{00000000-0005-0000-0000-000068080000}"/>
    <cellStyle name="Numbers - Bold" xfId="330" xr:uid="{00000000-0005-0000-0000-000069080000}"/>
    <cellStyle name="Numbers - Bold - Italic" xfId="331" xr:uid="{00000000-0005-0000-0000-00006A080000}"/>
    <cellStyle name="Numbers - Bold_Blend" xfId="332" xr:uid="{00000000-0005-0000-0000-00006B080000}"/>
    <cellStyle name="Numbers - Large" xfId="333" xr:uid="{00000000-0005-0000-0000-00006C080000}"/>
    <cellStyle name="Numbers_Comps" xfId="334" xr:uid="{00000000-0005-0000-0000-00006D080000}"/>
    <cellStyle name="NumberX" xfId="2207" xr:uid="{00000000-0005-0000-0000-00006E080000}"/>
    <cellStyle name="Œ…‹æØ‚è [0.00]_Capital Structure" xfId="2208" xr:uid="{00000000-0005-0000-0000-00006F080000}"/>
    <cellStyle name="Œ…‹æØ‚è_Capital Structure" xfId="2209" xr:uid="{00000000-0005-0000-0000-000070080000}"/>
    <cellStyle name="Original L1" xfId="2210" xr:uid="{00000000-0005-0000-0000-000071080000}"/>
    <cellStyle name="Original L2" xfId="2211" xr:uid="{00000000-0005-0000-0000-000072080000}"/>
    <cellStyle name="Original L3" xfId="2212" xr:uid="{00000000-0005-0000-0000-000073080000}"/>
    <cellStyle name="Original Space" xfId="2213" xr:uid="{00000000-0005-0000-0000-000074080000}"/>
    <cellStyle name="OSW_ColumnLabels" xfId="335" xr:uid="{00000000-0005-0000-0000-000075080000}"/>
    <cellStyle name="Output" xfId="62" builtinId="21"/>
    <cellStyle name="Output 2" xfId="2214" xr:uid="{00000000-0005-0000-0000-000077080000}"/>
    <cellStyle name="p" xfId="2215" xr:uid="{00000000-0005-0000-0000-000078080000}"/>
    <cellStyle name="p 2" xfId="2216" xr:uid="{00000000-0005-0000-0000-000079080000}"/>
    <cellStyle name="p 3" xfId="2217" xr:uid="{00000000-0005-0000-0000-00007A080000}"/>
    <cellStyle name="P/E" xfId="2218" xr:uid="{00000000-0005-0000-0000-00007B080000}"/>
    <cellStyle name="Page" xfId="336" xr:uid="{00000000-0005-0000-0000-00007C080000}"/>
    <cellStyle name="Page header" xfId="337" xr:uid="{00000000-0005-0000-0000-00007D080000}"/>
    <cellStyle name="Page Number" xfId="2219" xr:uid="{00000000-0005-0000-0000-00007E080000}"/>
    <cellStyle name="Palatino" xfId="2220" xr:uid="{00000000-0005-0000-0000-00007F080000}"/>
    <cellStyle name="pe" xfId="2221" xr:uid="{00000000-0005-0000-0000-000080080000}"/>
    <cellStyle name="PE Multiple" xfId="2222" xr:uid="{00000000-0005-0000-0000-000081080000}"/>
    <cellStyle name="PE/LTGR" xfId="2223" xr:uid="{00000000-0005-0000-0000-000082080000}"/>
    <cellStyle name="pe_Copy of IFRS consol ABB Final Version4" xfId="2224" xr:uid="{00000000-0005-0000-0000-000083080000}"/>
    <cellStyle name="PEG" xfId="2225" xr:uid="{00000000-0005-0000-0000-000084080000}"/>
    <cellStyle name="Pence" xfId="2226" xr:uid="{00000000-0005-0000-0000-000085080000}"/>
    <cellStyle name="Per aandeel" xfId="2227" xr:uid="{00000000-0005-0000-0000-000086080000}"/>
    <cellStyle name="Percent" xfId="384" builtinId="5"/>
    <cellStyle name="Percent (M)" xfId="44" xr:uid="{00000000-0005-0000-0000-000088080000}"/>
    <cellStyle name="Percent [1]" xfId="2228" xr:uid="{00000000-0005-0000-0000-000089080000}"/>
    <cellStyle name="Percent [1] 2" xfId="2229" xr:uid="{00000000-0005-0000-0000-00008A080000}"/>
    <cellStyle name="Percent [2]" xfId="2230" xr:uid="{00000000-0005-0000-0000-00008B080000}"/>
    <cellStyle name="Percent [2] 2" xfId="2231" xr:uid="{00000000-0005-0000-0000-00008C080000}"/>
    <cellStyle name="Percent 10" xfId="2232" xr:uid="{00000000-0005-0000-0000-00008D080000}"/>
    <cellStyle name="Percent 11" xfId="2233" xr:uid="{00000000-0005-0000-0000-00008E080000}"/>
    <cellStyle name="Percent 12" xfId="2234" xr:uid="{00000000-0005-0000-0000-00008F080000}"/>
    <cellStyle name="Percent 13" xfId="2235" xr:uid="{00000000-0005-0000-0000-000090080000}"/>
    <cellStyle name="Percent 14" xfId="2236" xr:uid="{00000000-0005-0000-0000-000091080000}"/>
    <cellStyle name="Percent 15" xfId="2237" xr:uid="{00000000-0005-0000-0000-000092080000}"/>
    <cellStyle name="Percent 16" xfId="2238" xr:uid="{00000000-0005-0000-0000-000093080000}"/>
    <cellStyle name="Percent 17" xfId="2239" xr:uid="{00000000-0005-0000-0000-000094080000}"/>
    <cellStyle name="Percent 18" xfId="2240" xr:uid="{00000000-0005-0000-0000-000095080000}"/>
    <cellStyle name="Percent 2" xfId="45" xr:uid="{00000000-0005-0000-0000-000096080000}"/>
    <cellStyle name="Percent 3" xfId="46" xr:uid="{00000000-0005-0000-0000-000097080000}"/>
    <cellStyle name="Percent 4" xfId="378" xr:uid="{00000000-0005-0000-0000-000098080000}"/>
    <cellStyle name="Percent 5" xfId="376" xr:uid="{00000000-0005-0000-0000-000099080000}"/>
    <cellStyle name="Percent 6" xfId="379" xr:uid="{00000000-0005-0000-0000-00009A080000}"/>
    <cellStyle name="Percent 7" xfId="377" xr:uid="{00000000-0005-0000-0000-00009B080000}"/>
    <cellStyle name="Percent 8" xfId="2241" xr:uid="{00000000-0005-0000-0000-00009C080000}"/>
    <cellStyle name="Percent 9" xfId="2242" xr:uid="{00000000-0005-0000-0000-00009D080000}"/>
    <cellStyle name="Percent(1)" xfId="2243" xr:uid="{00000000-0005-0000-0000-00009E080000}"/>
    <cellStyle name="Percent(3)" xfId="2244" xr:uid="{00000000-0005-0000-0000-00009F080000}"/>
    <cellStyle name="Percent1" xfId="2245" xr:uid="{00000000-0005-0000-0000-0000A0080000}"/>
    <cellStyle name="percent3" xfId="2246" xr:uid="{00000000-0005-0000-0000-0000A1080000}"/>
    <cellStyle name="Percentage" xfId="338" xr:uid="{00000000-0005-0000-0000-0000A2080000}"/>
    <cellStyle name="PercentChange" xfId="47" xr:uid="{00000000-0005-0000-0000-0000A3080000}"/>
    <cellStyle name="PercentPresentation" xfId="2247" xr:uid="{00000000-0005-0000-0000-0000A4080000}"/>
    <cellStyle name="PerShare" xfId="2248" xr:uid="{00000000-0005-0000-0000-0000A5080000}"/>
    <cellStyle name="POPS" xfId="2249" xr:uid="{00000000-0005-0000-0000-0000A6080000}"/>
    <cellStyle name="Porcentaje" xfId="2250" xr:uid="{00000000-0005-0000-0000-0000A7080000}"/>
    <cellStyle name="Porcentaje 2" xfId="2251" xr:uid="{00000000-0005-0000-0000-0000A8080000}"/>
    <cellStyle name="Porcentaje 3" xfId="2252" xr:uid="{00000000-0005-0000-0000-0000A9080000}"/>
    <cellStyle name="pound" xfId="2253" xr:uid="{00000000-0005-0000-0000-0000AA080000}"/>
    <cellStyle name="pound 2" xfId="2254" xr:uid="{00000000-0005-0000-0000-0000AB080000}"/>
    <cellStyle name="pound 3" xfId="2255" xr:uid="{00000000-0005-0000-0000-0000AC080000}"/>
    <cellStyle name="Presentation" xfId="2256" xr:uid="{00000000-0005-0000-0000-0000AD080000}"/>
    <cellStyle name="PresentationZero" xfId="2257" xr:uid="{00000000-0005-0000-0000-0000AE080000}"/>
    <cellStyle name="Price" xfId="339" xr:uid="{00000000-0005-0000-0000-0000AF080000}"/>
    <cellStyle name="Procenten" xfId="2258" xr:uid="{00000000-0005-0000-0000-0000B0080000}"/>
    <cellStyle name="Procenten estimate" xfId="2259" xr:uid="{00000000-0005-0000-0000-0000B1080000}"/>
    <cellStyle name="Procenten_EMI" xfId="2260" xr:uid="{00000000-0005-0000-0000-0000B2080000}"/>
    <cellStyle name="ProjectionInput" xfId="48" xr:uid="{00000000-0005-0000-0000-0000B3080000}"/>
    <cellStyle name="prot" xfId="340" xr:uid="{00000000-0005-0000-0000-0000B4080000}"/>
    <cellStyle name="Punto" xfId="341" xr:uid="{00000000-0005-0000-0000-0000B5080000}"/>
    <cellStyle name="Punto 2" xfId="2261" xr:uid="{00000000-0005-0000-0000-0000B6080000}"/>
    <cellStyle name="Punto 3" xfId="2262" xr:uid="{00000000-0005-0000-0000-0000B7080000}"/>
    <cellStyle name="Punto0" xfId="2263" xr:uid="{00000000-0005-0000-0000-0000B8080000}"/>
    <cellStyle name="Punto0 2" xfId="2264" xr:uid="{00000000-0005-0000-0000-0000B9080000}"/>
    <cellStyle name="Punto0 3" xfId="2265" xr:uid="{00000000-0005-0000-0000-0000BA080000}"/>
    <cellStyle name="q" xfId="2266" xr:uid="{00000000-0005-0000-0000-0000BB080000}"/>
    <cellStyle name="q_Copy of IFRS consol ABB Final Version4" xfId="2267" xr:uid="{00000000-0005-0000-0000-0000BC080000}"/>
    <cellStyle name="QEPS-h" xfId="2268" xr:uid="{00000000-0005-0000-0000-0000BD080000}"/>
    <cellStyle name="QEPS-H1" xfId="2269" xr:uid="{00000000-0005-0000-0000-0000BE080000}"/>
    <cellStyle name="qRange" xfId="2270" xr:uid="{00000000-0005-0000-0000-0000BF080000}"/>
    <cellStyle name="r" xfId="342" xr:uid="{00000000-0005-0000-0000-0000C0080000}"/>
    <cellStyle name="R_BUSINESS AREA" xfId="2271" xr:uid="{00000000-0005-0000-0000-0000C1080000}"/>
    <cellStyle name="R_BUSINESS AREA_asbru" xfId="2272" xr:uid="{00000000-0005-0000-0000-0000C2080000}"/>
    <cellStyle name="R_BUSINESS AREA_asbru 2" xfId="2273" xr:uid="{00000000-0005-0000-0000-0000C3080000}"/>
    <cellStyle name="R_BUSINESS AREA_asbru 3" xfId="2274" xr:uid="{00000000-0005-0000-0000-0000C4080000}"/>
    <cellStyle name="R_BUSINESS AREA_Lafarge" xfId="2275" xr:uid="{00000000-0005-0000-0000-0000C5080000}"/>
    <cellStyle name="R_BUSINESS AREA_Scenario Analysis April 2005" xfId="2276" xr:uid="{00000000-0005-0000-0000-0000C6080000}"/>
    <cellStyle name="R_BUSINESS AREA_Scenario Analysis April 2005 2" xfId="2277" xr:uid="{00000000-0005-0000-0000-0000C7080000}"/>
    <cellStyle name="R_BUSINESS AREA_Scenario Analysis April 2005 3" xfId="2278" xr:uid="{00000000-0005-0000-0000-0000C8080000}"/>
    <cellStyle name="R_BUSINESS AREA_Stora Enso Model" xfId="2279" xr:uid="{00000000-0005-0000-0000-0000C9080000}"/>
    <cellStyle name="R_BUSINESS AREA_Stora Enso Model 2" xfId="2280" xr:uid="{00000000-0005-0000-0000-0000CA080000}"/>
    <cellStyle name="R_BUSINESS AREA_Stora Enso Model 3" xfId="2281" xr:uid="{00000000-0005-0000-0000-0000CB080000}"/>
    <cellStyle name="R_BUSINESS AREA_UPM-Kymmene Model" xfId="2282" xr:uid="{00000000-0005-0000-0000-0000CC080000}"/>
    <cellStyle name="r_LAYOUTS bank" xfId="2283" xr:uid="{00000000-0005-0000-0000-0000CD080000}"/>
    <cellStyle name="r_LAYOUTS bank_asbru" xfId="2284" xr:uid="{00000000-0005-0000-0000-0000CE080000}"/>
    <cellStyle name="r_LAYOUTS bank_asbru 2" xfId="2285" xr:uid="{00000000-0005-0000-0000-0000CF080000}"/>
    <cellStyle name="r_LAYOUTS bank_asbru 3" xfId="2286" xr:uid="{00000000-0005-0000-0000-0000D0080000}"/>
    <cellStyle name="r_LAYOUTS bank_exp" xfId="2287" xr:uid="{00000000-0005-0000-0000-0000D1080000}"/>
    <cellStyle name="r_LAYOUTS bank_Lafarge" xfId="2288" xr:uid="{00000000-0005-0000-0000-0000D2080000}"/>
    <cellStyle name="r_LAYOUTS bank_Scenario Analysis April 2005" xfId="2289" xr:uid="{00000000-0005-0000-0000-0000D3080000}"/>
    <cellStyle name="r_LAYOUTS bank_Scenario Analysis April 2005 2" xfId="2290" xr:uid="{00000000-0005-0000-0000-0000D4080000}"/>
    <cellStyle name="r_LAYOUTS bank_Scenario Analysis April 2005 3" xfId="2291" xr:uid="{00000000-0005-0000-0000-0000D5080000}"/>
    <cellStyle name="r_LAYOUTS bank_Stora Enso Model" xfId="2292" xr:uid="{00000000-0005-0000-0000-0000D6080000}"/>
    <cellStyle name="r_LAYOUTS bank_Stora Enso Model 2" xfId="2293" xr:uid="{00000000-0005-0000-0000-0000D7080000}"/>
    <cellStyle name="r_LAYOUTS bank_Stora Enso Model 3" xfId="2294" xr:uid="{00000000-0005-0000-0000-0000D8080000}"/>
    <cellStyle name="r_LAYOUTS bank_UPM-Kymmene Model" xfId="2295" xr:uid="{00000000-0005-0000-0000-0000D9080000}"/>
    <cellStyle name="Randig" xfId="2296" xr:uid="{00000000-0005-0000-0000-0000DA080000}"/>
    <cellStyle name="range" xfId="2297" xr:uid="{00000000-0005-0000-0000-0000DB080000}"/>
    <cellStyle name="RatioX" xfId="49" xr:uid="{00000000-0005-0000-0000-0000DC080000}"/>
    <cellStyle name="Report" xfId="2298" xr:uid="{00000000-0005-0000-0000-0000DD080000}"/>
    <cellStyle name="results" xfId="2299" xr:uid="{00000000-0005-0000-0000-0000DE080000}"/>
    <cellStyle name="results 2" xfId="2300" xr:uid="{00000000-0005-0000-0000-0000DF080000}"/>
    <cellStyle name="Reuters Cells" xfId="343" xr:uid="{00000000-0005-0000-0000-0000E0080000}"/>
    <cellStyle name="revenue_model_q" xfId="50" xr:uid="{00000000-0005-0000-0000-0000E1080000}"/>
    <cellStyle name="RevList" xfId="2301" xr:uid="{00000000-0005-0000-0000-0000E2080000}"/>
    <cellStyle name="s" xfId="344" xr:uid="{00000000-0005-0000-0000-0000E3080000}"/>
    <cellStyle name="Salomon Logo" xfId="2302" xr:uid="{00000000-0005-0000-0000-0000E4080000}"/>
    <cellStyle name="ScripFactor" xfId="51" xr:uid="{00000000-0005-0000-0000-0000E5080000}"/>
    <cellStyle name="SectionHeading" xfId="52" xr:uid="{00000000-0005-0000-0000-0000E6080000}"/>
    <cellStyle name="SEK [1]" xfId="2303" xr:uid="{00000000-0005-0000-0000-0000E7080000}"/>
    <cellStyle name="Shade" xfId="2304" xr:uid="{00000000-0005-0000-0000-0000E8080000}"/>
    <cellStyle name="Shade 2" xfId="2305" xr:uid="{00000000-0005-0000-0000-0000E9080000}"/>
    <cellStyle name="ShadedCells_Database" xfId="345" xr:uid="{00000000-0005-0000-0000-0000EA080000}"/>
    <cellStyle name="Share" xfId="2306" xr:uid="{00000000-0005-0000-0000-0000EB080000}"/>
    <cellStyle name="Shares" xfId="2307" xr:uid="{00000000-0005-0000-0000-0000EC080000}"/>
    <cellStyle name="Sheet Title" xfId="346" xr:uid="{00000000-0005-0000-0000-0000ED080000}"/>
    <cellStyle name="ShOut" xfId="347" xr:uid="{00000000-0005-0000-0000-0000EE080000}"/>
    <cellStyle name="ShOut 2" xfId="2308" xr:uid="{00000000-0005-0000-0000-0000EF080000}"/>
    <cellStyle name="ShOut 3" xfId="2309" xr:uid="{00000000-0005-0000-0000-0000F0080000}"/>
    <cellStyle name="Sing" xfId="2310" xr:uid="{00000000-0005-0000-0000-0000F1080000}"/>
    <cellStyle name="SN" xfId="2311" xr:uid="{00000000-0005-0000-0000-0000F2080000}"/>
    <cellStyle name="SN 2" xfId="2312" xr:uid="{00000000-0005-0000-0000-0000F3080000}"/>
    <cellStyle name="SN 3" xfId="2313" xr:uid="{00000000-0005-0000-0000-0000F4080000}"/>
    <cellStyle name="Source" xfId="2314" xr:uid="{00000000-0005-0000-0000-0000F5080000}"/>
    <cellStyle name="Space" xfId="2315" xr:uid="{00000000-0005-0000-0000-0000F6080000}"/>
    <cellStyle name="SS1000" xfId="2316" xr:uid="{00000000-0005-0000-0000-0000F7080000}"/>
    <cellStyle name="Standaard_Map2" xfId="2317" xr:uid="{00000000-0005-0000-0000-0000F8080000}"/>
    <cellStyle name="Standard_BAE_model_new" xfId="2318" xr:uid="{00000000-0005-0000-0000-0000F9080000}"/>
    <cellStyle name="std" xfId="2319" xr:uid="{00000000-0005-0000-0000-0000FA080000}"/>
    <cellStyle name="sterling [0]" xfId="2320" xr:uid="{00000000-0005-0000-0000-0000FB080000}"/>
    <cellStyle name="sterling [1]" xfId="2321" xr:uid="{00000000-0005-0000-0000-0000FC080000}"/>
    <cellStyle name="Stock price" xfId="2322" xr:uid="{00000000-0005-0000-0000-0000FD080000}"/>
    <cellStyle name="Stock price 2" xfId="2323" xr:uid="{00000000-0005-0000-0000-0000FE080000}"/>
    <cellStyle name="Style 1" xfId="348" xr:uid="{00000000-0005-0000-0000-0000FF080000}"/>
    <cellStyle name="Style 1 2" xfId="2324" xr:uid="{00000000-0005-0000-0000-000000090000}"/>
    <cellStyle name="Style 1 3" xfId="2325" xr:uid="{00000000-0005-0000-0000-000001090000}"/>
    <cellStyle name="Style 10" xfId="2326" xr:uid="{00000000-0005-0000-0000-000002090000}"/>
    <cellStyle name="Style 10 2" xfId="2327" xr:uid="{00000000-0005-0000-0000-000003090000}"/>
    <cellStyle name="Style 10 3" xfId="2328" xr:uid="{00000000-0005-0000-0000-000004090000}"/>
    <cellStyle name="Style 11" xfId="2329" xr:uid="{00000000-0005-0000-0000-000005090000}"/>
    <cellStyle name="Style 11 2" xfId="2330" xr:uid="{00000000-0005-0000-0000-000006090000}"/>
    <cellStyle name="Style 11 3" xfId="2331" xr:uid="{00000000-0005-0000-0000-000007090000}"/>
    <cellStyle name="Style 12" xfId="2332" xr:uid="{00000000-0005-0000-0000-000008090000}"/>
    <cellStyle name="Style 12 2" xfId="2333" xr:uid="{00000000-0005-0000-0000-000009090000}"/>
    <cellStyle name="Style 12 3" xfId="2334" xr:uid="{00000000-0005-0000-0000-00000A090000}"/>
    <cellStyle name="Style 13" xfId="2335" xr:uid="{00000000-0005-0000-0000-00000B090000}"/>
    <cellStyle name="Style 13 2" xfId="2336" xr:uid="{00000000-0005-0000-0000-00000C090000}"/>
    <cellStyle name="Style 13 3" xfId="2337" xr:uid="{00000000-0005-0000-0000-00000D090000}"/>
    <cellStyle name="Style 14" xfId="2338" xr:uid="{00000000-0005-0000-0000-00000E090000}"/>
    <cellStyle name="Style 14 2" xfId="2339" xr:uid="{00000000-0005-0000-0000-00000F090000}"/>
    <cellStyle name="Style 14 3" xfId="2340" xr:uid="{00000000-0005-0000-0000-000010090000}"/>
    <cellStyle name="Style 15" xfId="2341" xr:uid="{00000000-0005-0000-0000-000011090000}"/>
    <cellStyle name="Style 15 2" xfId="2342" xr:uid="{00000000-0005-0000-0000-000012090000}"/>
    <cellStyle name="Style 15 3" xfId="2343" xr:uid="{00000000-0005-0000-0000-000013090000}"/>
    <cellStyle name="Style 16" xfId="2344" xr:uid="{00000000-0005-0000-0000-000014090000}"/>
    <cellStyle name="Style 16 2" xfId="2345" xr:uid="{00000000-0005-0000-0000-000015090000}"/>
    <cellStyle name="Style 16 3" xfId="2346" xr:uid="{00000000-0005-0000-0000-000016090000}"/>
    <cellStyle name="Style 17" xfId="2347" xr:uid="{00000000-0005-0000-0000-000017090000}"/>
    <cellStyle name="Style 17 2" xfId="2348" xr:uid="{00000000-0005-0000-0000-000018090000}"/>
    <cellStyle name="Style 17 3" xfId="2349" xr:uid="{00000000-0005-0000-0000-000019090000}"/>
    <cellStyle name="Style 18" xfId="2350" xr:uid="{00000000-0005-0000-0000-00001A090000}"/>
    <cellStyle name="Style 18 2" xfId="2351" xr:uid="{00000000-0005-0000-0000-00001B090000}"/>
    <cellStyle name="Style 18 3" xfId="2352" xr:uid="{00000000-0005-0000-0000-00001C090000}"/>
    <cellStyle name="Style 19" xfId="2353" xr:uid="{00000000-0005-0000-0000-00001D090000}"/>
    <cellStyle name="Style 19 2" xfId="2354" xr:uid="{00000000-0005-0000-0000-00001E090000}"/>
    <cellStyle name="Style 19 3" xfId="2355" xr:uid="{00000000-0005-0000-0000-00001F090000}"/>
    <cellStyle name="Style 2" xfId="349" xr:uid="{00000000-0005-0000-0000-000020090000}"/>
    <cellStyle name="Style 2 2" xfId="2356" xr:uid="{00000000-0005-0000-0000-000021090000}"/>
    <cellStyle name="Style 2 3" xfId="2357" xr:uid="{00000000-0005-0000-0000-000022090000}"/>
    <cellStyle name="Style 20" xfId="2358" xr:uid="{00000000-0005-0000-0000-000023090000}"/>
    <cellStyle name="Style 20 2" xfId="2359" xr:uid="{00000000-0005-0000-0000-000024090000}"/>
    <cellStyle name="Style 20 3" xfId="2360" xr:uid="{00000000-0005-0000-0000-000025090000}"/>
    <cellStyle name="Style 21" xfId="2361" xr:uid="{00000000-0005-0000-0000-000026090000}"/>
    <cellStyle name="Style 21 2" xfId="2362" xr:uid="{00000000-0005-0000-0000-000027090000}"/>
    <cellStyle name="Style 21 3" xfId="2363" xr:uid="{00000000-0005-0000-0000-000028090000}"/>
    <cellStyle name="Style 22" xfId="2364" xr:uid="{00000000-0005-0000-0000-000029090000}"/>
    <cellStyle name="Style 22 2" xfId="2365" xr:uid="{00000000-0005-0000-0000-00002A090000}"/>
    <cellStyle name="Style 22 3" xfId="2366" xr:uid="{00000000-0005-0000-0000-00002B090000}"/>
    <cellStyle name="Style 23" xfId="2367" xr:uid="{00000000-0005-0000-0000-00002C090000}"/>
    <cellStyle name="Style 23 2" xfId="2368" xr:uid="{00000000-0005-0000-0000-00002D090000}"/>
    <cellStyle name="Style 23 3" xfId="2369" xr:uid="{00000000-0005-0000-0000-00002E090000}"/>
    <cellStyle name="Style 24" xfId="2370" xr:uid="{00000000-0005-0000-0000-00002F090000}"/>
    <cellStyle name="Style 24 2" xfId="2371" xr:uid="{00000000-0005-0000-0000-000030090000}"/>
    <cellStyle name="Style 24 3" xfId="2372" xr:uid="{00000000-0005-0000-0000-000031090000}"/>
    <cellStyle name="Style 25" xfId="2373" xr:uid="{00000000-0005-0000-0000-000032090000}"/>
    <cellStyle name="Style 25 2" xfId="2374" xr:uid="{00000000-0005-0000-0000-000033090000}"/>
    <cellStyle name="Style 25 3" xfId="2375" xr:uid="{00000000-0005-0000-0000-000034090000}"/>
    <cellStyle name="Style 26" xfId="2376" xr:uid="{00000000-0005-0000-0000-000035090000}"/>
    <cellStyle name="Style 26 2" xfId="2377" xr:uid="{00000000-0005-0000-0000-000036090000}"/>
    <cellStyle name="Style 26 3" xfId="2378" xr:uid="{00000000-0005-0000-0000-000037090000}"/>
    <cellStyle name="Style 27" xfId="2379" xr:uid="{00000000-0005-0000-0000-000038090000}"/>
    <cellStyle name="Style 27 2" xfId="2380" xr:uid="{00000000-0005-0000-0000-000039090000}"/>
    <cellStyle name="Style 27 3" xfId="2381" xr:uid="{00000000-0005-0000-0000-00003A090000}"/>
    <cellStyle name="Style 3" xfId="350" xr:uid="{00000000-0005-0000-0000-00003B090000}"/>
    <cellStyle name="Style 3 2" xfId="2382" xr:uid="{00000000-0005-0000-0000-00003C090000}"/>
    <cellStyle name="Style 3 3" xfId="2383" xr:uid="{00000000-0005-0000-0000-00003D090000}"/>
    <cellStyle name="Style 4" xfId="2384" xr:uid="{00000000-0005-0000-0000-00003E090000}"/>
    <cellStyle name="Style 4 2" xfId="2385" xr:uid="{00000000-0005-0000-0000-00003F090000}"/>
    <cellStyle name="Style 4 3" xfId="2386" xr:uid="{00000000-0005-0000-0000-000040090000}"/>
    <cellStyle name="Style 5" xfId="2387" xr:uid="{00000000-0005-0000-0000-000041090000}"/>
    <cellStyle name="Style 5 2" xfId="2388" xr:uid="{00000000-0005-0000-0000-000042090000}"/>
    <cellStyle name="Style 5 3" xfId="2389" xr:uid="{00000000-0005-0000-0000-000043090000}"/>
    <cellStyle name="Style 6" xfId="2390" xr:uid="{00000000-0005-0000-0000-000044090000}"/>
    <cellStyle name="Style 6 2" xfId="2391" xr:uid="{00000000-0005-0000-0000-000045090000}"/>
    <cellStyle name="Style 6 3" xfId="2392" xr:uid="{00000000-0005-0000-0000-000046090000}"/>
    <cellStyle name="Style 7" xfId="2393" xr:uid="{00000000-0005-0000-0000-000047090000}"/>
    <cellStyle name="Style 7 2" xfId="2394" xr:uid="{00000000-0005-0000-0000-000048090000}"/>
    <cellStyle name="Style 7 3" xfId="2395" xr:uid="{00000000-0005-0000-0000-000049090000}"/>
    <cellStyle name="Style 8" xfId="2396" xr:uid="{00000000-0005-0000-0000-00004A090000}"/>
    <cellStyle name="Style 8 2" xfId="2397" xr:uid="{00000000-0005-0000-0000-00004B090000}"/>
    <cellStyle name="Style 8 3" xfId="2398" xr:uid="{00000000-0005-0000-0000-00004C090000}"/>
    <cellStyle name="Style 9" xfId="2399" xr:uid="{00000000-0005-0000-0000-00004D090000}"/>
    <cellStyle name="Style 9 2" xfId="2400" xr:uid="{00000000-0005-0000-0000-00004E090000}"/>
    <cellStyle name="Style 9 3" xfId="2401" xr:uid="{00000000-0005-0000-0000-00004F090000}"/>
    <cellStyle name="Style D green" xfId="351" xr:uid="{00000000-0005-0000-0000-000050090000}"/>
    <cellStyle name="Style D green 2" xfId="2402" xr:uid="{00000000-0005-0000-0000-000051090000}"/>
    <cellStyle name="Style D green 3" xfId="2403" xr:uid="{00000000-0005-0000-0000-000052090000}"/>
    <cellStyle name="Style E" xfId="352" xr:uid="{00000000-0005-0000-0000-000053090000}"/>
    <cellStyle name="Style H" xfId="353" xr:uid="{00000000-0005-0000-0000-000054090000}"/>
    <cellStyle name="Sub total" xfId="354" xr:uid="{00000000-0005-0000-0000-000055090000}"/>
    <cellStyle name="SubHeading1" xfId="53" xr:uid="{00000000-0005-0000-0000-000056090000}"/>
    <cellStyle name="Subtotal" xfId="2404" xr:uid="{00000000-0005-0000-0000-000057090000}"/>
    <cellStyle name="Subtotal 2" xfId="2405" xr:uid="{00000000-0005-0000-0000-000058090000}"/>
    <cellStyle name="Sum" xfId="355" xr:uid="{00000000-0005-0000-0000-000059090000}"/>
    <cellStyle name="Swiss" xfId="356" xr:uid="{00000000-0005-0000-0000-00005A090000}"/>
    <cellStyle name="swisses" xfId="2406" xr:uid="{00000000-0005-0000-0000-00005B090000}"/>
    <cellStyle name="swisses 2" xfId="2407" xr:uid="{00000000-0005-0000-0000-00005C090000}"/>
    <cellStyle name="swisses 3" xfId="2408" xr:uid="{00000000-0005-0000-0000-00005D090000}"/>
    <cellStyle name="SymbolBlue" xfId="2409" xr:uid="{00000000-0005-0000-0000-00005E090000}"/>
    <cellStyle name="Synopsis" xfId="2410" xr:uid="{00000000-0005-0000-0000-00005F090000}"/>
    <cellStyle name="Synopsis 2" xfId="2411" xr:uid="{00000000-0005-0000-0000-000060090000}"/>
    <cellStyle name="t" xfId="357" xr:uid="{00000000-0005-0000-0000-000061090000}"/>
    <cellStyle name="Table end" xfId="358" xr:uid="{00000000-0005-0000-0000-000062090000}"/>
    <cellStyle name="Table head" xfId="359" xr:uid="{00000000-0005-0000-0000-000063090000}"/>
    <cellStyle name="Table Head Aligned" xfId="2412" xr:uid="{00000000-0005-0000-0000-000064090000}"/>
    <cellStyle name="Table Head Blue" xfId="2413" xr:uid="{00000000-0005-0000-0000-000065090000}"/>
    <cellStyle name="Table Head Green" xfId="2414" xr:uid="{00000000-0005-0000-0000-000066090000}"/>
    <cellStyle name="Table Head_4. Debt Schedule" xfId="2415" xr:uid="{00000000-0005-0000-0000-000067090000}"/>
    <cellStyle name="Table Source" xfId="2416" xr:uid="{00000000-0005-0000-0000-000068090000}"/>
    <cellStyle name="Table Sub Head" xfId="2417" xr:uid="{00000000-0005-0000-0000-000069090000}"/>
    <cellStyle name="Table Text" xfId="2418" xr:uid="{00000000-0005-0000-0000-00006A090000}"/>
    <cellStyle name="table text bold" xfId="360" xr:uid="{00000000-0005-0000-0000-00006B090000}"/>
    <cellStyle name="table text bold green" xfId="361" xr:uid="{00000000-0005-0000-0000-00006C090000}"/>
    <cellStyle name="table text bold_BHI" xfId="2419" xr:uid="{00000000-0005-0000-0000-00006D090000}"/>
    <cellStyle name="table text light" xfId="362" xr:uid="{00000000-0005-0000-0000-00006E090000}"/>
    <cellStyle name="Table Text_Copy of IFRS consol ABB Final Version4" xfId="2420" xr:uid="{00000000-0005-0000-0000-00006F090000}"/>
    <cellStyle name="Table Title" xfId="363" xr:uid="{00000000-0005-0000-0000-000070090000}"/>
    <cellStyle name="Table Units" xfId="364" xr:uid="{00000000-0005-0000-0000-000071090000}"/>
    <cellStyle name="Table_Title" xfId="2421" xr:uid="{00000000-0005-0000-0000-000072090000}"/>
    <cellStyle name="TableBody" xfId="2422" xr:uid="{00000000-0005-0000-0000-000073090000}"/>
    <cellStyle name="TableBodyR" xfId="2423" xr:uid="{00000000-0005-0000-0000-000074090000}"/>
    <cellStyle name="TableColHeads" xfId="2424" xr:uid="{00000000-0005-0000-0000-000075090000}"/>
    <cellStyle name="tcn" xfId="2425" xr:uid="{00000000-0005-0000-0000-000076090000}"/>
    <cellStyle name="Teksti" xfId="2426" xr:uid="{00000000-0005-0000-0000-000077090000}"/>
    <cellStyle name="Text" xfId="2427" xr:uid="{00000000-0005-0000-0000-000078090000}"/>
    <cellStyle name="Text 1" xfId="2428" xr:uid="{00000000-0005-0000-0000-000079090000}"/>
    <cellStyle name="Text 2" xfId="2429" xr:uid="{00000000-0005-0000-0000-00007A090000}"/>
    <cellStyle name="Text Head" xfId="2430" xr:uid="{00000000-0005-0000-0000-00007B090000}"/>
    <cellStyle name="Text Head 1" xfId="2431" xr:uid="{00000000-0005-0000-0000-00007C090000}"/>
    <cellStyle name="Text Head 2" xfId="2432" xr:uid="{00000000-0005-0000-0000-00007D090000}"/>
    <cellStyle name="Text Head_BHI" xfId="2433" xr:uid="{00000000-0005-0000-0000-00007E090000}"/>
    <cellStyle name="Text Indent 1" xfId="2434" xr:uid="{00000000-0005-0000-0000-00007F090000}"/>
    <cellStyle name="Text Indent 2" xfId="2435" xr:uid="{00000000-0005-0000-0000-000080090000}"/>
    <cellStyle name="Text_Copy of IFRS consol ABB Final Version4" xfId="2436" xr:uid="{00000000-0005-0000-0000-000081090000}"/>
    <cellStyle name="threedecplace" xfId="2437" xr:uid="{00000000-0005-0000-0000-000082090000}"/>
    <cellStyle name="threedecplace 2" xfId="2438" xr:uid="{00000000-0005-0000-0000-000083090000}"/>
    <cellStyle name="Time" xfId="365" xr:uid="{00000000-0005-0000-0000-000084090000}"/>
    <cellStyle name="times" xfId="2439" xr:uid="{00000000-0005-0000-0000-000085090000}"/>
    <cellStyle name="times [2]" xfId="2440" xr:uid="{00000000-0005-0000-0000-000086090000}"/>
    <cellStyle name="times 2" xfId="2441" xr:uid="{00000000-0005-0000-0000-000087090000}"/>
    <cellStyle name="times 3" xfId="2442" xr:uid="{00000000-0005-0000-0000-000088090000}"/>
    <cellStyle name="Times_Snecma competitive landscape chart sauvegarde" xfId="2443" xr:uid="{00000000-0005-0000-0000-000089090000}"/>
    <cellStyle name="times2" xfId="2444" xr:uid="{00000000-0005-0000-0000-00008A090000}"/>
    <cellStyle name="times2 2" xfId="2445" xr:uid="{00000000-0005-0000-0000-00008B090000}"/>
    <cellStyle name="times2 3" xfId="2446" xr:uid="{00000000-0005-0000-0000-00008C090000}"/>
    <cellStyle name="timesales2under" xfId="2447" xr:uid="{00000000-0005-0000-0000-00008D090000}"/>
    <cellStyle name="Title - PROJECT" xfId="366" xr:uid="{00000000-0005-0000-0000-00008E090000}"/>
    <cellStyle name="Title - Underline" xfId="367" xr:uid="{00000000-0005-0000-0000-00008F090000}"/>
    <cellStyle name="Title 10" xfId="2448" xr:uid="{00000000-0005-0000-0000-000090090000}"/>
    <cellStyle name="Title 11" xfId="2449" xr:uid="{00000000-0005-0000-0000-000091090000}"/>
    <cellStyle name="Title 12" xfId="2450" xr:uid="{00000000-0005-0000-0000-000092090000}"/>
    <cellStyle name="Title 2" xfId="2451" xr:uid="{00000000-0005-0000-0000-000093090000}"/>
    <cellStyle name="Title 3" xfId="2452" xr:uid="{00000000-0005-0000-0000-000094090000}"/>
    <cellStyle name="Title 4" xfId="2453" xr:uid="{00000000-0005-0000-0000-000095090000}"/>
    <cellStyle name="Title 5" xfId="2454" xr:uid="{00000000-0005-0000-0000-000096090000}"/>
    <cellStyle name="Title 6" xfId="2455" xr:uid="{00000000-0005-0000-0000-000097090000}"/>
    <cellStyle name="Title 7" xfId="2456" xr:uid="{00000000-0005-0000-0000-000098090000}"/>
    <cellStyle name="Title 8" xfId="2457" xr:uid="{00000000-0005-0000-0000-000099090000}"/>
    <cellStyle name="Title 9" xfId="2458" xr:uid="{00000000-0005-0000-0000-00009A090000}"/>
    <cellStyle name="Title1" xfId="368" xr:uid="{00000000-0005-0000-0000-00009B090000}"/>
    <cellStyle name="Title2" xfId="369" xr:uid="{00000000-0005-0000-0000-00009C090000}"/>
    <cellStyle name="TitleII" xfId="2459" xr:uid="{00000000-0005-0000-0000-00009D090000}"/>
    <cellStyle name="Titles" xfId="54" xr:uid="{00000000-0005-0000-0000-00009E090000}"/>
    <cellStyle name="Titles - Col. Headings" xfId="370" xr:uid="{00000000-0005-0000-0000-00009F090000}"/>
    <cellStyle name="Titles - Other" xfId="371" xr:uid="{00000000-0005-0000-0000-0000A0090000}"/>
    <cellStyle name="tn" xfId="2460" xr:uid="{00000000-0005-0000-0000-0000A1090000}"/>
    <cellStyle name="TOC 1" xfId="2461" xr:uid="{00000000-0005-0000-0000-0000A2090000}"/>
    <cellStyle name="TOC 2" xfId="2462" xr:uid="{00000000-0005-0000-0000-0000A3090000}"/>
    <cellStyle name="Topline" xfId="2463" xr:uid="{00000000-0005-0000-0000-0000A4090000}"/>
    <cellStyle name="Total 2" xfId="2464" xr:uid="{00000000-0005-0000-0000-0000A5090000}"/>
    <cellStyle name="Total Currency" xfId="2465" xr:uid="{00000000-0005-0000-0000-0000A6090000}"/>
    <cellStyle name="Total Normal" xfId="2466" xr:uid="{00000000-0005-0000-0000-0000A7090000}"/>
    <cellStyle name="TotalCurrency" xfId="2467" xr:uid="{00000000-0005-0000-0000-0000A8090000}"/>
    <cellStyle name="TR 8" xfId="2468" xr:uid="{00000000-0005-0000-0000-0000A9090000}"/>
    <cellStyle name="TR 8 2" xfId="2469" xr:uid="{00000000-0005-0000-0000-0000AA090000}"/>
    <cellStyle name="TR 8B" xfId="2470" xr:uid="{00000000-0005-0000-0000-0000AB090000}"/>
    <cellStyle name="TR 8B 2" xfId="2471" xr:uid="{00000000-0005-0000-0000-0000AC090000}"/>
    <cellStyle name="triple space" xfId="2472" xr:uid="{00000000-0005-0000-0000-0000AD090000}"/>
    <cellStyle name="Tusental (0)_laroux" xfId="2473" xr:uid="{00000000-0005-0000-0000-0000AE090000}"/>
    <cellStyle name="Tusental_laroux" xfId="2474" xr:uid="{00000000-0005-0000-0000-0000AF090000}"/>
    <cellStyle name="twodecplace" xfId="2475" xr:uid="{00000000-0005-0000-0000-0000B0090000}"/>
    <cellStyle name="twodecplace 2" xfId="2476" xr:uid="{00000000-0005-0000-0000-0000B1090000}"/>
    <cellStyle name="twodecplace 3" xfId="2477" xr:uid="{00000000-0005-0000-0000-0000B2090000}"/>
    <cellStyle name="Twodig" xfId="2478" xr:uid="{00000000-0005-0000-0000-0000B3090000}"/>
    <cellStyle name="Underline" xfId="2479" xr:uid="{00000000-0005-0000-0000-0000B4090000}"/>
    <cellStyle name="undernum" xfId="2480" xr:uid="{00000000-0005-0000-0000-0000B5090000}"/>
    <cellStyle name="unm" xfId="372" xr:uid="{00000000-0005-0000-0000-0000B6090000}"/>
    <cellStyle name="Upper Line" xfId="2481" xr:uid="{00000000-0005-0000-0000-0000B7090000}"/>
    <cellStyle name="Upper Line 2" xfId="2482" xr:uid="{00000000-0005-0000-0000-0000B8090000}"/>
    <cellStyle name="Upper Line 3" xfId="2483" xr:uid="{00000000-0005-0000-0000-0000B9090000}"/>
    <cellStyle name="Use_1dp" xfId="2484" xr:uid="{00000000-0005-0000-0000-0000BA090000}"/>
    <cellStyle name="UseB_1dp" xfId="2485" xr:uid="{00000000-0005-0000-0000-0000BB090000}"/>
    <cellStyle name="Validation" xfId="2486" xr:uid="{00000000-0005-0000-0000-0000BC090000}"/>
    <cellStyle name="Validation 2" xfId="2487" xr:uid="{00000000-0005-0000-0000-0000BD090000}"/>
    <cellStyle name="Validation 3" xfId="2488" xr:uid="{00000000-0005-0000-0000-0000BE090000}"/>
    <cellStyle name="Valuta (0)_Bourse" xfId="2489" xr:uid="{00000000-0005-0000-0000-0000BF090000}"/>
    <cellStyle name="Valuta_Bourse" xfId="2490" xr:uid="{00000000-0005-0000-0000-0000C0090000}"/>
    <cellStyle name="Warning Text 2" xfId="2491" xr:uid="{00000000-0005-0000-0000-0000C1090000}"/>
    <cellStyle name="weden" xfId="2492" xr:uid="{00000000-0005-0000-0000-0000C2090000}"/>
    <cellStyle name="WhiteCells" xfId="2493" xr:uid="{00000000-0005-0000-0000-0000C3090000}"/>
    <cellStyle name="WholeNumber" xfId="2494" xr:uid="{00000000-0005-0000-0000-0000C4090000}"/>
    <cellStyle name="wild guess" xfId="2495" xr:uid="{00000000-0005-0000-0000-0000C5090000}"/>
    <cellStyle name="Wildguess" xfId="2496" xr:uid="{00000000-0005-0000-0000-0000C6090000}"/>
    <cellStyle name="WingdingsBlack" xfId="2497" xr:uid="{00000000-0005-0000-0000-0000C7090000}"/>
    <cellStyle name="WingdingsRed" xfId="2498" xr:uid="{00000000-0005-0000-0000-0000C8090000}"/>
    <cellStyle name="WingdingsWhite" xfId="2499" xr:uid="{00000000-0005-0000-0000-0000C9090000}"/>
    <cellStyle name="x" xfId="2500" xr:uid="{00000000-0005-0000-0000-0000CA090000}"/>
    <cellStyle name="x_Copy of IFRS consol ABB Final Version4" xfId="2501" xr:uid="{00000000-0005-0000-0000-0000CB090000}"/>
    <cellStyle name="Year" xfId="373" xr:uid="{00000000-0005-0000-0000-0000CC090000}"/>
    <cellStyle name="Year Estimate" xfId="2502" xr:uid="{00000000-0005-0000-0000-0000CD090000}"/>
    <cellStyle name="Year Estimate 2" xfId="2503" xr:uid="{00000000-0005-0000-0000-0000CE090000}"/>
    <cellStyle name="year_BHI" xfId="2504" xr:uid="{00000000-0005-0000-0000-0000CF090000}"/>
    <cellStyle name="YearInput" xfId="55" xr:uid="{00000000-0005-0000-0000-0000D0090000}"/>
    <cellStyle name="YearInputBk" xfId="56" xr:uid="{00000000-0005-0000-0000-0000D1090000}"/>
    <cellStyle name="YearInputBu" xfId="57" xr:uid="{00000000-0005-0000-0000-0000D2090000}"/>
    <cellStyle name="years" xfId="58" xr:uid="{00000000-0005-0000-0000-0000D3090000}"/>
    <cellStyle name="yen" xfId="2505" xr:uid="{00000000-0005-0000-0000-0000D4090000}"/>
    <cellStyle name="yen 2" xfId="2506" xr:uid="{00000000-0005-0000-0000-0000D5090000}"/>
    <cellStyle name="yläots" xfId="2507" xr:uid="{00000000-0005-0000-0000-0000D6090000}"/>
    <cellStyle name="ynergos" xfId="2508" xr:uid="{00000000-0005-0000-0000-0000D7090000}"/>
    <cellStyle name="常规_全进度数据" xfId="2509" xr:uid="{00000000-0005-0000-0000-0000D8090000}"/>
    <cellStyle name="標準_6472 NTN" xfId="2510" xr:uid="{00000000-0005-0000-0000-0000D9090000}"/>
  </cellStyles>
  <dxfs count="14">
    <dxf>
      <font>
        <b val="0"/>
        <i val="0"/>
        <color rgb="FF000000"/>
      </font>
      <border>
        <left style="thin">
          <color rgb="FFFF0000"/>
        </left>
        <right style="thin">
          <color rgb="FFFF0000"/>
        </right>
        <top style="thin">
          <color rgb="FFFF0000"/>
        </top>
        <bottom style="thin">
          <color rgb="FFFF0000"/>
        </bottom>
      </border>
    </dxf>
    <dxf>
      <fill>
        <patternFill>
          <bgColor rgb="FFA5A5A5"/>
        </patternFill>
      </fill>
    </dxf>
    <dxf>
      <fill>
        <patternFill>
          <bgColor rgb="FFA5A5A5"/>
        </patternFill>
      </fill>
    </dxf>
    <dxf>
      <fill>
        <patternFill>
          <bgColor rgb="FFCCCCCC"/>
        </patternFill>
      </fill>
    </dxf>
    <dxf>
      <fill>
        <patternFill>
          <bgColor rgb="FFCCFFCC"/>
        </patternFill>
      </fill>
    </dxf>
    <dxf>
      <font>
        <b val="0"/>
        <i val="0"/>
        <color rgb="FF000000"/>
      </font>
      <fill>
        <patternFill>
          <bgColor rgb="FFFFC000"/>
        </patternFill>
      </fill>
    </dxf>
    <dxf>
      <font>
        <b val="0"/>
        <i val="0"/>
        <color rgb="FF000000"/>
      </font>
      <border>
        <left style="thin">
          <color rgb="FFFF0000"/>
        </left>
        <right style="thin">
          <color rgb="FFFF0000"/>
        </right>
        <top style="thin">
          <color rgb="FFFF0000"/>
        </top>
        <bottom style="thin">
          <color rgb="FFFF0000"/>
        </bottom>
      </border>
    </dxf>
    <dxf>
      <fill>
        <patternFill>
          <bgColor rgb="FFA5A5A5"/>
        </patternFill>
      </fill>
    </dxf>
    <dxf>
      <fill>
        <patternFill>
          <bgColor rgb="FFA5A5A5"/>
        </patternFill>
      </fill>
    </dxf>
    <dxf>
      <fill>
        <patternFill>
          <bgColor rgb="FFCCCCCC"/>
        </patternFill>
      </fill>
    </dxf>
    <dxf>
      <fill>
        <patternFill>
          <bgColor rgb="FFCCFFCC"/>
        </patternFill>
      </fill>
    </dxf>
    <dxf>
      <font>
        <b val="0"/>
        <i val="0"/>
        <color rgb="FF000000"/>
      </font>
      <fill>
        <patternFill>
          <bgColor rgb="FFFFC000"/>
        </patternFill>
      </fill>
    </dxf>
    <dxf>
      <font>
        <b val="0"/>
        <i val="0"/>
        <color rgb="FF000000"/>
      </font>
      <border>
        <left style="thin">
          <color rgb="FFFF0000"/>
        </left>
        <right style="thin">
          <color rgb="FFFF0000"/>
        </right>
        <top style="thin">
          <color rgb="FFFF0000"/>
        </top>
        <bottom style="thin">
          <color rgb="FFFF0000"/>
        </bottom>
      </border>
    </dxf>
    <dxf>
      <font>
        <color rgb="FF9C0006"/>
      </font>
      <fill>
        <patternFill>
          <bgColor rgb="FFFFC7CE"/>
        </patternFill>
      </fill>
    </dxf>
  </dxfs>
  <tableStyles count="1" defaultTableStyle="TableStyleMedium2" defaultPivotStyle="PivotStyleLight16">
    <tableStyle name="Invisible" pivot="0" table="0" count="0" xr9:uid="{451C5020-C1CD-4022-8711-D0E9B2C20E14}"/>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5E76AA"/>
      <rgbColor rgb="00CFD6E6"/>
      <rgbColor rgb="009EADCC"/>
      <rgbColor rgb="00EFF1F6"/>
      <rgbColor rgb="00BFC8DD"/>
      <rgbColor rgb="008E9FC4"/>
      <rgbColor rgb="00DFE4EE"/>
      <rgbColor rgb="00AEBAD5"/>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0000FF"/>
      <color rgb="FFFFFFCC"/>
      <color rgb="FF00FFFF"/>
      <color rgb="FFF67F26"/>
      <color rgb="FFD8D8D8"/>
      <color rgb="FFEBF6FF"/>
      <color rgb="FFACD4F1"/>
      <color rgb="FFD5ECFF"/>
      <color rgb="FF00355F"/>
      <color rgb="FF007D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ustomXml" Target="../customXml/item4.xml"/><Relationship Id="rId21" Type="http://schemas.openxmlformats.org/officeDocument/2006/relationships/worksheet" Target="worksheets/sheet21.xml"/><Relationship Id="rId34" Type="http://schemas.microsoft.com/office/2017/10/relationships/person" Target="persons/perso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heetMetadata" Target="metadata.xml"/><Relationship Id="rId38"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aredStrings" Target="sharedStrings.xml"/><Relationship Id="rId37"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theme" Target="theme/theme1.xml"/><Relationship Id="rId35"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7.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chartUserShapes" Target="../drawings/drawing8.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chartUserShapes" Target="../drawings/drawing9.xml"/><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3" Type="http://schemas.openxmlformats.org/officeDocument/2006/relationships/chartUserShapes" Target="../drawings/drawing10.xml"/><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chartUserShapes" Target="../drawings/drawing11.xml"/><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12.xml"/><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1" Type="http://schemas.openxmlformats.org/officeDocument/2006/relationships/chartUserShapes" Target="../drawings/drawing13.xml"/></Relationships>
</file>

<file path=xl/charts/_rels/chart11.xml.rels><?xml version="1.0" encoding="UTF-8" standalone="yes"?>
<Relationships xmlns="http://schemas.openxmlformats.org/package/2006/relationships"><Relationship Id="rId3" Type="http://schemas.openxmlformats.org/officeDocument/2006/relationships/chartUserShapes" Target="../drawings/drawing14.xml"/><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3" Type="http://schemas.openxmlformats.org/officeDocument/2006/relationships/chartUserShapes" Target="../drawings/drawing15.xml"/><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4.xml.rels><?xml version="1.0" encoding="UTF-8" standalone="yes"?>
<Relationships xmlns="http://schemas.openxmlformats.org/package/2006/relationships"><Relationship Id="rId3" Type="http://schemas.openxmlformats.org/officeDocument/2006/relationships/chartUserShapes" Target="../drawings/drawing17.xml"/><Relationship Id="rId2" Type="http://schemas.microsoft.com/office/2011/relationships/chartColorStyle" Target="colors13.xml"/><Relationship Id="rId1" Type="http://schemas.microsoft.com/office/2011/relationships/chartStyle" Target="style13.xml"/></Relationships>
</file>

<file path=xl/charts/_rels/chart15.xml.rels><?xml version="1.0" encoding="UTF-8" standalone="yes"?>
<Relationships xmlns="http://schemas.openxmlformats.org/package/2006/relationships"><Relationship Id="rId3" Type="http://schemas.openxmlformats.org/officeDocument/2006/relationships/chartUserShapes" Target="../drawings/drawing18.xml"/><Relationship Id="rId2" Type="http://schemas.microsoft.com/office/2011/relationships/chartColorStyle" Target="colors14.xml"/><Relationship Id="rId1" Type="http://schemas.microsoft.com/office/2011/relationships/chartStyle" Target="style14.xml"/></Relationships>
</file>

<file path=xl/charts/_rels/chart16.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7.xml.rels><?xml version="1.0" encoding="UTF-8" standalone="yes"?>
<Relationships xmlns="http://schemas.openxmlformats.org/package/2006/relationships"><Relationship Id="rId3" Type="http://schemas.openxmlformats.org/officeDocument/2006/relationships/chartUserShapes" Target="../drawings/drawing19.xml"/><Relationship Id="rId2" Type="http://schemas.microsoft.com/office/2011/relationships/chartColorStyle" Target="colors16.xml"/><Relationship Id="rId1" Type="http://schemas.microsoft.com/office/2011/relationships/chartStyle" Target="style16.xml"/></Relationships>
</file>

<file path=xl/charts/_rels/chart18.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9.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20.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1" i="0" u="none" strike="noStrike" kern="1200" spc="0" baseline="0">
                <a:solidFill>
                  <a:schemeClr val="tx1"/>
                </a:solidFill>
                <a:latin typeface="Arial" panose="020B0604020202020204" pitchFamily="34" charset="0"/>
                <a:ea typeface="+mn-ea"/>
                <a:cs typeface="Arial" panose="020B0604020202020204" pitchFamily="34" charset="0"/>
              </a:defRPr>
            </a:pPr>
            <a:r>
              <a:rPr lang="en-GB" sz="1100" b="1"/>
              <a:t>Safran</a:t>
            </a:r>
            <a:r>
              <a:rPr lang="en-GB" sz="1100" b="1" baseline="0"/>
              <a:t> </a:t>
            </a:r>
          </a:p>
          <a:p>
            <a:pPr>
              <a:defRPr sz="1100" b="1"/>
            </a:pPr>
            <a:r>
              <a:rPr lang="en-GB" sz="1100" b="0" baseline="0"/>
              <a:t>GS modelled returns</a:t>
            </a:r>
            <a:endParaRPr lang="en-GB" sz="1100" b="0"/>
          </a:p>
        </c:rich>
      </c:tx>
      <c:layout>
        <c:manualLayout>
          <c:xMode val="edge"/>
          <c:yMode val="edge"/>
          <c:x val="0.35067339528204916"/>
          <c:y val="0"/>
        </c:manualLayout>
      </c:layout>
      <c:overlay val="0"/>
      <c:spPr>
        <a:noFill/>
        <a:ln>
          <a:noFill/>
        </a:ln>
        <a:effectLst/>
      </c:spPr>
      <c:txPr>
        <a:bodyPr rot="0" spcFirstLastPara="1" vertOverflow="ellipsis" vert="horz" wrap="square" anchor="ctr" anchorCtr="1"/>
        <a:lstStyle/>
        <a:p>
          <a:pPr>
            <a:defRPr sz="1100" b="1" i="0" u="none" strike="noStrike" kern="1200" spc="0" baseline="0">
              <a:solidFill>
                <a:schemeClr val="tx1"/>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8.3659898450937756E-2"/>
          <c:y val="0.2937475341898052"/>
          <c:w val="0.90856245577243921"/>
          <c:h val="0.57376742644011591"/>
        </c:manualLayout>
      </c:layout>
      <c:barChart>
        <c:barDir val="col"/>
        <c:grouping val="stacked"/>
        <c:varyColors val="0"/>
        <c:ser>
          <c:idx val="2"/>
          <c:order val="1"/>
          <c:tx>
            <c:strRef>
              <c:f>Multiples!$I$55</c:f>
              <c:strCache>
                <c:ptCount val="1"/>
                <c:pt idx="0">
                  <c:v>1yr fwd Buyback</c:v>
                </c:pt>
              </c:strCache>
            </c:strRef>
          </c:tx>
          <c:spPr>
            <a:solidFill>
              <a:schemeClr val="accent1"/>
            </a:solidFill>
            <a:ln>
              <a:noFill/>
            </a:ln>
            <a:effectLst/>
          </c:spPr>
          <c:invertIfNegative val="0"/>
          <c:cat>
            <c:numRef>
              <c:f>Multiples!$J$52:$O$52</c:f>
              <c:numCache>
                <c:formatCode>0</c:formatCode>
                <c:ptCount val="6"/>
                <c:pt idx="0">
                  <c:v>2020</c:v>
                </c:pt>
                <c:pt idx="1">
                  <c:v>2021</c:v>
                </c:pt>
                <c:pt idx="2">
                  <c:v>2022</c:v>
                </c:pt>
                <c:pt idx="3">
                  <c:v>2023</c:v>
                </c:pt>
                <c:pt idx="4">
                  <c:v>2024</c:v>
                </c:pt>
                <c:pt idx="5">
                  <c:v>2025</c:v>
                </c:pt>
              </c:numCache>
            </c:numRef>
          </c:cat>
          <c:val>
            <c:numRef>
              <c:f>Multiples!$J$55:$O$55</c:f>
              <c:numCache>
                <c:formatCode>0%</c:formatCode>
                <c:ptCount val="6"/>
                <c:pt idx="0">
                  <c:v>0</c:v>
                </c:pt>
                <c:pt idx="1">
                  <c:v>0</c:v>
                </c:pt>
                <c:pt idx="2" formatCode="0.0%">
                  <c:v>0</c:v>
                </c:pt>
                <c:pt idx="3" formatCode="0.0%">
                  <c:v>0</c:v>
                </c:pt>
                <c:pt idx="4" formatCode="0.0%">
                  <c:v>1.5095781218775445E-2</c:v>
                </c:pt>
                <c:pt idx="5" formatCode="0.0%">
                  <c:v>1.2279699387738218E-2</c:v>
                </c:pt>
              </c:numCache>
            </c:numRef>
          </c:val>
          <c:extLst>
            <c:ext xmlns:c16="http://schemas.microsoft.com/office/drawing/2014/chart" uri="{C3380CC4-5D6E-409C-BE32-E72D297353CC}">
              <c16:uniqueId val="{00000000-88EA-4EBC-B19A-4750A58054E4}"/>
            </c:ext>
          </c:extLst>
        </c:ser>
        <c:ser>
          <c:idx val="3"/>
          <c:order val="2"/>
          <c:tx>
            <c:strRef>
              <c:f>Multiples!$I$56</c:f>
              <c:strCache>
                <c:ptCount val="1"/>
                <c:pt idx="0">
                  <c:v>1yr fwd price return</c:v>
                </c:pt>
              </c:strCache>
            </c:strRef>
          </c:tx>
          <c:spPr>
            <a:solidFill>
              <a:schemeClr val="accent2"/>
            </a:solidFill>
            <a:ln>
              <a:noFill/>
            </a:ln>
            <a:effectLst/>
          </c:spPr>
          <c:invertIfNegative val="0"/>
          <c:cat>
            <c:numRef>
              <c:f>Multiples!$J$52:$O$52</c:f>
              <c:numCache>
                <c:formatCode>0</c:formatCode>
                <c:ptCount val="6"/>
                <c:pt idx="0">
                  <c:v>2020</c:v>
                </c:pt>
                <c:pt idx="1">
                  <c:v>2021</c:v>
                </c:pt>
                <c:pt idx="2">
                  <c:v>2022</c:v>
                </c:pt>
                <c:pt idx="3">
                  <c:v>2023</c:v>
                </c:pt>
                <c:pt idx="4">
                  <c:v>2024</c:v>
                </c:pt>
                <c:pt idx="5">
                  <c:v>2025</c:v>
                </c:pt>
              </c:numCache>
            </c:numRef>
          </c:cat>
          <c:val>
            <c:numRef>
              <c:f>Multiples!$J$56:$O$56</c:f>
              <c:numCache>
                <c:formatCode>0.0%</c:formatCode>
                <c:ptCount val="6"/>
                <c:pt idx="0">
                  <c:v>0.19622222222222208</c:v>
                </c:pt>
                <c:pt idx="1">
                  <c:v>-2.192086197287757E-2</c:v>
                </c:pt>
                <c:pt idx="2">
                  <c:v>0.37606837606837606</c:v>
                </c:pt>
                <c:pt idx="3">
                  <c:v>0.18012422360248448</c:v>
                </c:pt>
                <c:pt idx="4">
                  <c:v>0.21637426900584789</c:v>
                </c:pt>
                <c:pt idx="5">
                  <c:v>0.15384615384615374</c:v>
                </c:pt>
              </c:numCache>
            </c:numRef>
          </c:val>
          <c:extLst>
            <c:ext xmlns:c16="http://schemas.microsoft.com/office/drawing/2014/chart" uri="{C3380CC4-5D6E-409C-BE32-E72D297353CC}">
              <c16:uniqueId val="{00000001-88EA-4EBC-B19A-4750A58054E4}"/>
            </c:ext>
          </c:extLst>
        </c:ser>
        <c:ser>
          <c:idx val="1"/>
          <c:order val="3"/>
          <c:tx>
            <c:strRef>
              <c:f>Multiples!$I$54</c:f>
              <c:strCache>
                <c:ptCount val="1"/>
                <c:pt idx="0">
                  <c:v>1yr fwd Dividend</c:v>
                </c:pt>
              </c:strCache>
            </c:strRef>
          </c:tx>
          <c:spPr>
            <a:solidFill>
              <a:schemeClr val="accent3"/>
            </a:solidFill>
            <a:ln>
              <a:noFill/>
            </a:ln>
            <a:effectLst/>
          </c:spPr>
          <c:invertIfNegative val="0"/>
          <c:cat>
            <c:numRef>
              <c:f>Multiples!$J$52:$O$52</c:f>
              <c:numCache>
                <c:formatCode>0</c:formatCode>
                <c:ptCount val="6"/>
                <c:pt idx="0">
                  <c:v>2020</c:v>
                </c:pt>
                <c:pt idx="1">
                  <c:v>2021</c:v>
                </c:pt>
                <c:pt idx="2">
                  <c:v>2022</c:v>
                </c:pt>
                <c:pt idx="3">
                  <c:v>2023</c:v>
                </c:pt>
                <c:pt idx="4">
                  <c:v>2024</c:v>
                </c:pt>
                <c:pt idx="5">
                  <c:v>2025</c:v>
                </c:pt>
              </c:numCache>
            </c:numRef>
          </c:cat>
          <c:val>
            <c:numRef>
              <c:f>Multiples!$J$54:$O$54</c:f>
              <c:numCache>
                <c:formatCode>0.0%</c:formatCode>
                <c:ptCount val="6"/>
                <c:pt idx="0">
                  <c:v>5.5555555555555558E-3</c:v>
                </c:pt>
                <c:pt idx="1">
                  <c:v>1.2539476128552853E-2</c:v>
                </c:pt>
                <c:pt idx="2">
                  <c:v>2.089268755935423E-2</c:v>
                </c:pt>
                <c:pt idx="3">
                  <c:v>2.0013802622498272E-2</c:v>
                </c:pt>
                <c:pt idx="4">
                  <c:v>1.9867417282407415E-2</c:v>
                </c:pt>
                <c:pt idx="5">
                  <c:v>2.1214566331687459E-2</c:v>
                </c:pt>
              </c:numCache>
            </c:numRef>
          </c:val>
          <c:extLst>
            <c:ext xmlns:c16="http://schemas.microsoft.com/office/drawing/2014/chart" uri="{C3380CC4-5D6E-409C-BE32-E72D297353CC}">
              <c16:uniqueId val="{00000002-88EA-4EBC-B19A-4750A58054E4}"/>
            </c:ext>
          </c:extLst>
        </c:ser>
        <c:dLbls>
          <c:showLegendKey val="0"/>
          <c:showVal val="0"/>
          <c:showCatName val="0"/>
          <c:showSerName val="0"/>
          <c:showPercent val="0"/>
          <c:showBubbleSize val="0"/>
        </c:dLbls>
        <c:gapWidth val="100"/>
        <c:overlap val="100"/>
        <c:axId val="741808591"/>
        <c:axId val="741799023"/>
      </c:barChart>
      <c:lineChart>
        <c:grouping val="standard"/>
        <c:varyColors val="0"/>
        <c:ser>
          <c:idx val="0"/>
          <c:order val="0"/>
          <c:tx>
            <c:strRef>
              <c:f>Multiples!$I$57</c:f>
              <c:strCache>
                <c:ptCount val="1"/>
                <c:pt idx="0">
                  <c:v>1yr fwd total return</c:v>
                </c:pt>
              </c:strCache>
            </c:strRef>
          </c:tx>
          <c:spPr>
            <a:ln w="25400" cap="rnd">
              <a:noFill/>
              <a:round/>
            </a:ln>
            <a:effectLst/>
          </c:spPr>
          <c:marker>
            <c:symbol val="diamond"/>
            <c:size val="8"/>
            <c:spPr>
              <a:solidFill>
                <a:schemeClr val="bg2"/>
              </a:solidFill>
              <a:ln w="9525">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Arial" panose="020B0604020202020204" pitchFamily="34" charset="0"/>
                    <a:ea typeface="+mn-ea"/>
                    <a:cs typeface="Arial" panose="020B0604020202020204" pitchFamily="34" charset="0"/>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Multiples!$J$52:$O$52</c:f>
              <c:numCache>
                <c:formatCode>0</c:formatCode>
                <c:ptCount val="6"/>
                <c:pt idx="0">
                  <c:v>2020</c:v>
                </c:pt>
                <c:pt idx="1">
                  <c:v>2021</c:v>
                </c:pt>
                <c:pt idx="2">
                  <c:v>2022</c:v>
                </c:pt>
                <c:pt idx="3">
                  <c:v>2023</c:v>
                </c:pt>
                <c:pt idx="4">
                  <c:v>2024</c:v>
                </c:pt>
                <c:pt idx="5">
                  <c:v>2025</c:v>
                </c:pt>
              </c:numCache>
            </c:numRef>
          </c:cat>
          <c:val>
            <c:numRef>
              <c:f>Multiples!$J$57:$O$57</c:f>
              <c:numCache>
                <c:formatCode>0.0%</c:formatCode>
                <c:ptCount val="6"/>
                <c:pt idx="0">
                  <c:v>0.20177777777777764</c:v>
                </c:pt>
                <c:pt idx="1">
                  <c:v>-9.3813858443247168E-3</c:v>
                </c:pt>
                <c:pt idx="2">
                  <c:v>0.39696106362773032</c:v>
                </c:pt>
                <c:pt idx="3">
                  <c:v>0.20013802622498275</c:v>
                </c:pt>
                <c:pt idx="4">
                  <c:v>0.25133746750703073</c:v>
                </c:pt>
                <c:pt idx="5">
                  <c:v>0.18734041956557942</c:v>
                </c:pt>
              </c:numCache>
            </c:numRef>
          </c:val>
          <c:smooth val="0"/>
          <c:extLst>
            <c:ext xmlns:c16="http://schemas.microsoft.com/office/drawing/2014/chart" uri="{C3380CC4-5D6E-409C-BE32-E72D297353CC}">
              <c16:uniqueId val="{00000003-88EA-4EBC-B19A-4750A58054E4}"/>
            </c:ext>
          </c:extLst>
        </c:ser>
        <c:dLbls>
          <c:showLegendKey val="0"/>
          <c:showVal val="0"/>
          <c:showCatName val="0"/>
          <c:showSerName val="0"/>
          <c:showPercent val="0"/>
          <c:showBubbleSize val="0"/>
        </c:dLbls>
        <c:marker val="1"/>
        <c:smooth val="0"/>
        <c:axId val="741808591"/>
        <c:axId val="741799023"/>
      </c:lineChart>
      <c:catAx>
        <c:axId val="741808591"/>
        <c:scaling>
          <c:orientation val="minMax"/>
        </c:scaling>
        <c:delete val="0"/>
        <c:axPos val="b"/>
        <c:numFmt formatCode="0" sourceLinked="1"/>
        <c:majorTickMark val="none"/>
        <c:minorTickMark val="none"/>
        <c:tickLblPos val="low"/>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741799023"/>
        <c:crosses val="autoZero"/>
        <c:auto val="1"/>
        <c:lblAlgn val="ctr"/>
        <c:lblOffset val="100"/>
        <c:noMultiLvlLbl val="0"/>
      </c:catAx>
      <c:valAx>
        <c:axId val="741799023"/>
        <c:scaling>
          <c:orientation val="minMax"/>
        </c:scaling>
        <c:delete val="0"/>
        <c:axPos val="l"/>
        <c:numFmt formatCode="0%" sourceLinked="0"/>
        <c:majorTickMark val="out"/>
        <c:minorTickMark val="none"/>
        <c:tickLblPos val="nextTo"/>
        <c:spPr>
          <a:noFill/>
          <a:ln>
            <a:solidFill>
              <a:schemeClr val="accent3">
                <a:lumMod val="40000"/>
                <a:lumOff val="60000"/>
              </a:schemeClr>
            </a:solidFill>
          </a:ln>
          <a:effectLst/>
        </c:spPr>
        <c:txPr>
          <a:bodyPr rot="-60000000" spcFirstLastPara="1" vertOverflow="ellipsis" vert="horz" wrap="square" anchor="ctr" anchorCtr="1"/>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741808591"/>
        <c:crosses val="autoZero"/>
        <c:crossBetween val="between"/>
      </c:valAx>
      <c:spPr>
        <a:noFill/>
        <a:ln>
          <a:noFill/>
        </a:ln>
        <a:effectLst/>
      </c:spPr>
    </c:plotArea>
    <c:legend>
      <c:legendPos val="r"/>
      <c:layout>
        <c:manualLayout>
          <c:xMode val="edge"/>
          <c:yMode val="edge"/>
          <c:x val="0.6497431314920894"/>
          <c:y val="1.2324906755076663E-2"/>
          <c:w val="0.3476329151192401"/>
          <c:h val="0.2441276419394944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chart>
  <c:spPr>
    <a:solidFill>
      <a:schemeClr val="bg1"/>
    </a:solidFill>
    <a:ln w="9525" cap="flat" cmpd="sng" algn="ctr">
      <a:noFill/>
      <a:round/>
    </a:ln>
    <a:effectLst/>
  </c:spPr>
  <c:txPr>
    <a:bodyPr/>
    <a:lstStyle/>
    <a:p>
      <a:pPr>
        <a:defRPr sz="1050">
          <a:solidFill>
            <a:schemeClr val="tx1"/>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orientation="portrait"/>
  </c:printSettings>
  <c:userShapes r:id="rId3"/>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chemeClr val="tx1"/>
                </a:solidFill>
                <a:latin typeface="Arial" panose="020B0604020202020204" pitchFamily="34" charset="0"/>
                <a:ea typeface="+mn-ea"/>
                <a:cs typeface="Arial" panose="020B0604020202020204" pitchFamily="34" charset="0"/>
              </a:defRPr>
            </a:pPr>
            <a:r>
              <a:rPr lang="en-GB" sz="1200" b="1"/>
              <a:t>Safran</a:t>
            </a:r>
            <a:r>
              <a:rPr lang="en-GB" sz="1200" b="1" baseline="0"/>
              <a:t> </a:t>
            </a:r>
          </a:p>
          <a:p>
            <a:pPr>
              <a:defRPr sz="1200" b="1"/>
            </a:pPr>
            <a:r>
              <a:rPr lang="en-GB" sz="1200" b="0" baseline="0"/>
              <a:t>GS modelled returns</a:t>
            </a:r>
            <a:endParaRPr lang="en-GB" sz="1200" b="0"/>
          </a:p>
        </c:rich>
      </c:tx>
      <c:layout>
        <c:manualLayout>
          <c:xMode val="edge"/>
          <c:yMode val="edge"/>
          <c:x val="0.35067339528204916"/>
          <c:y val="0"/>
        </c:manualLayout>
      </c:layout>
      <c:overlay val="0"/>
      <c:spPr>
        <a:noFill/>
        <a:ln>
          <a:noFill/>
        </a:ln>
        <a:effectLst/>
      </c:spPr>
      <c:txPr>
        <a:bodyPr rot="0" spcFirstLastPara="1" vertOverflow="ellipsis" vert="horz" wrap="square" anchor="ctr" anchorCtr="1"/>
        <a:lstStyle/>
        <a:p>
          <a:pPr>
            <a:defRPr sz="1200" b="1" i="0" u="none" strike="noStrike" kern="1200" spc="0" baseline="0">
              <a:solidFill>
                <a:schemeClr val="tx1"/>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8.3659898450937756E-2"/>
          <c:y val="0.2937475341898052"/>
          <c:w val="0.82152537182852148"/>
          <c:h val="0.57376742644011591"/>
        </c:manualLayout>
      </c:layout>
      <c:barChart>
        <c:barDir val="col"/>
        <c:grouping val="stacked"/>
        <c:varyColors val="0"/>
        <c:ser>
          <c:idx val="2"/>
          <c:order val="1"/>
          <c:tx>
            <c:strRef>
              <c:f>Multiples!$I$55</c:f>
              <c:strCache>
                <c:ptCount val="1"/>
                <c:pt idx="0">
                  <c:v>1yr fwd Buyback</c:v>
                </c:pt>
              </c:strCache>
            </c:strRef>
          </c:tx>
          <c:spPr>
            <a:solidFill>
              <a:schemeClr val="accent1"/>
            </a:solidFill>
            <a:ln>
              <a:noFill/>
            </a:ln>
            <a:effectLst/>
          </c:spPr>
          <c:invertIfNegative val="0"/>
          <c:cat>
            <c:numRef>
              <c:f>Multiples!$J$52:$O$52</c:f>
              <c:numCache>
                <c:formatCode>0</c:formatCode>
                <c:ptCount val="6"/>
                <c:pt idx="0">
                  <c:v>2020</c:v>
                </c:pt>
                <c:pt idx="1">
                  <c:v>2021</c:v>
                </c:pt>
                <c:pt idx="2">
                  <c:v>2022</c:v>
                </c:pt>
                <c:pt idx="3">
                  <c:v>2023</c:v>
                </c:pt>
                <c:pt idx="4">
                  <c:v>2024</c:v>
                </c:pt>
                <c:pt idx="5">
                  <c:v>2025</c:v>
                </c:pt>
              </c:numCache>
            </c:numRef>
          </c:cat>
          <c:val>
            <c:numRef>
              <c:f>Multiples!$J$55:$O$55</c:f>
              <c:numCache>
                <c:formatCode>0%</c:formatCode>
                <c:ptCount val="6"/>
                <c:pt idx="0">
                  <c:v>0</c:v>
                </c:pt>
                <c:pt idx="1">
                  <c:v>0</c:v>
                </c:pt>
                <c:pt idx="2" formatCode="0.0%">
                  <c:v>0</c:v>
                </c:pt>
                <c:pt idx="3" formatCode="0.0%">
                  <c:v>0</c:v>
                </c:pt>
                <c:pt idx="4" formatCode="0.0%">
                  <c:v>1.5095781218775445E-2</c:v>
                </c:pt>
                <c:pt idx="5" formatCode="0.0%">
                  <c:v>1.2279699387738218E-2</c:v>
                </c:pt>
              </c:numCache>
            </c:numRef>
          </c:val>
          <c:extLst>
            <c:ext xmlns:c16="http://schemas.microsoft.com/office/drawing/2014/chart" uri="{C3380CC4-5D6E-409C-BE32-E72D297353CC}">
              <c16:uniqueId val="{00000000-74B3-44ED-AB45-185234583218}"/>
            </c:ext>
          </c:extLst>
        </c:ser>
        <c:ser>
          <c:idx val="3"/>
          <c:order val="2"/>
          <c:tx>
            <c:strRef>
              <c:f>Multiples!$I$56</c:f>
              <c:strCache>
                <c:ptCount val="1"/>
                <c:pt idx="0">
                  <c:v>1yr fwd price return</c:v>
                </c:pt>
              </c:strCache>
            </c:strRef>
          </c:tx>
          <c:spPr>
            <a:solidFill>
              <a:schemeClr val="accent2"/>
            </a:solidFill>
            <a:ln>
              <a:noFill/>
            </a:ln>
            <a:effectLst/>
          </c:spPr>
          <c:invertIfNegative val="0"/>
          <c:cat>
            <c:numRef>
              <c:f>Multiples!$J$52:$O$52</c:f>
              <c:numCache>
                <c:formatCode>0</c:formatCode>
                <c:ptCount val="6"/>
                <c:pt idx="0">
                  <c:v>2020</c:v>
                </c:pt>
                <c:pt idx="1">
                  <c:v>2021</c:v>
                </c:pt>
                <c:pt idx="2">
                  <c:v>2022</c:v>
                </c:pt>
                <c:pt idx="3">
                  <c:v>2023</c:v>
                </c:pt>
                <c:pt idx="4">
                  <c:v>2024</c:v>
                </c:pt>
                <c:pt idx="5">
                  <c:v>2025</c:v>
                </c:pt>
              </c:numCache>
            </c:numRef>
          </c:cat>
          <c:val>
            <c:numRef>
              <c:f>Multiples!$J$56:$O$56</c:f>
              <c:numCache>
                <c:formatCode>0.0%</c:formatCode>
                <c:ptCount val="6"/>
                <c:pt idx="0">
                  <c:v>0.19622222222222208</c:v>
                </c:pt>
                <c:pt idx="1">
                  <c:v>-2.192086197287757E-2</c:v>
                </c:pt>
                <c:pt idx="2">
                  <c:v>0.37606837606837606</c:v>
                </c:pt>
                <c:pt idx="3">
                  <c:v>0.18012422360248448</c:v>
                </c:pt>
                <c:pt idx="4">
                  <c:v>0.21637426900584789</c:v>
                </c:pt>
                <c:pt idx="5">
                  <c:v>0.15384615384615374</c:v>
                </c:pt>
              </c:numCache>
            </c:numRef>
          </c:val>
          <c:extLst>
            <c:ext xmlns:c16="http://schemas.microsoft.com/office/drawing/2014/chart" uri="{C3380CC4-5D6E-409C-BE32-E72D297353CC}">
              <c16:uniqueId val="{00000001-74B3-44ED-AB45-185234583218}"/>
            </c:ext>
          </c:extLst>
        </c:ser>
        <c:ser>
          <c:idx val="1"/>
          <c:order val="3"/>
          <c:tx>
            <c:strRef>
              <c:f>Multiples!$I$54</c:f>
              <c:strCache>
                <c:ptCount val="1"/>
                <c:pt idx="0">
                  <c:v>1yr fwd Dividend</c:v>
                </c:pt>
              </c:strCache>
            </c:strRef>
          </c:tx>
          <c:spPr>
            <a:solidFill>
              <a:schemeClr val="accent3"/>
            </a:solidFill>
            <a:ln>
              <a:noFill/>
            </a:ln>
            <a:effectLst/>
          </c:spPr>
          <c:invertIfNegative val="0"/>
          <c:cat>
            <c:numRef>
              <c:f>Multiples!$J$52:$O$52</c:f>
              <c:numCache>
                <c:formatCode>0</c:formatCode>
                <c:ptCount val="6"/>
                <c:pt idx="0">
                  <c:v>2020</c:v>
                </c:pt>
                <c:pt idx="1">
                  <c:v>2021</c:v>
                </c:pt>
                <c:pt idx="2">
                  <c:v>2022</c:v>
                </c:pt>
                <c:pt idx="3">
                  <c:v>2023</c:v>
                </c:pt>
                <c:pt idx="4">
                  <c:v>2024</c:v>
                </c:pt>
                <c:pt idx="5">
                  <c:v>2025</c:v>
                </c:pt>
              </c:numCache>
            </c:numRef>
          </c:cat>
          <c:val>
            <c:numRef>
              <c:f>Multiples!$J$54:$O$54</c:f>
              <c:numCache>
                <c:formatCode>0.0%</c:formatCode>
                <c:ptCount val="6"/>
                <c:pt idx="0">
                  <c:v>5.5555555555555558E-3</c:v>
                </c:pt>
                <c:pt idx="1">
                  <c:v>1.2539476128552853E-2</c:v>
                </c:pt>
                <c:pt idx="2">
                  <c:v>2.089268755935423E-2</c:v>
                </c:pt>
                <c:pt idx="3">
                  <c:v>2.0013802622498272E-2</c:v>
                </c:pt>
                <c:pt idx="4">
                  <c:v>1.9867417282407415E-2</c:v>
                </c:pt>
                <c:pt idx="5">
                  <c:v>2.1214566331687459E-2</c:v>
                </c:pt>
              </c:numCache>
            </c:numRef>
          </c:val>
          <c:extLst>
            <c:ext xmlns:c16="http://schemas.microsoft.com/office/drawing/2014/chart" uri="{C3380CC4-5D6E-409C-BE32-E72D297353CC}">
              <c16:uniqueId val="{00000002-74B3-44ED-AB45-185234583218}"/>
            </c:ext>
          </c:extLst>
        </c:ser>
        <c:dLbls>
          <c:showLegendKey val="0"/>
          <c:showVal val="0"/>
          <c:showCatName val="0"/>
          <c:showSerName val="0"/>
          <c:showPercent val="0"/>
          <c:showBubbleSize val="0"/>
        </c:dLbls>
        <c:gapWidth val="100"/>
        <c:overlap val="100"/>
        <c:axId val="741808591"/>
        <c:axId val="741799023"/>
      </c:barChart>
      <c:lineChart>
        <c:grouping val="standard"/>
        <c:varyColors val="0"/>
        <c:ser>
          <c:idx val="0"/>
          <c:order val="0"/>
          <c:tx>
            <c:strRef>
              <c:f>Multiples!$I$57</c:f>
              <c:strCache>
                <c:ptCount val="1"/>
                <c:pt idx="0">
                  <c:v>1yr fwd total return</c:v>
                </c:pt>
              </c:strCache>
            </c:strRef>
          </c:tx>
          <c:spPr>
            <a:ln w="25400" cap="rnd">
              <a:noFill/>
              <a:round/>
            </a:ln>
            <a:effectLst/>
          </c:spPr>
          <c:marker>
            <c:symbol val="diamond"/>
            <c:size val="8"/>
            <c:spPr>
              <a:solidFill>
                <a:schemeClr val="bg2"/>
              </a:solidFill>
              <a:ln w="9525">
                <a:noFill/>
              </a:ln>
              <a:effectLst/>
            </c:spPr>
          </c:marker>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2"/>
                    </a:solidFill>
                    <a:latin typeface="Arial" panose="020B0604020202020204" pitchFamily="34" charset="0"/>
                    <a:ea typeface="+mn-ea"/>
                    <a:cs typeface="Arial" panose="020B0604020202020204" pitchFamily="34" charset="0"/>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Multiples!$J$52:$O$52</c:f>
              <c:numCache>
                <c:formatCode>0</c:formatCode>
                <c:ptCount val="6"/>
                <c:pt idx="0">
                  <c:v>2020</c:v>
                </c:pt>
                <c:pt idx="1">
                  <c:v>2021</c:v>
                </c:pt>
                <c:pt idx="2">
                  <c:v>2022</c:v>
                </c:pt>
                <c:pt idx="3">
                  <c:v>2023</c:v>
                </c:pt>
                <c:pt idx="4">
                  <c:v>2024</c:v>
                </c:pt>
                <c:pt idx="5">
                  <c:v>2025</c:v>
                </c:pt>
              </c:numCache>
            </c:numRef>
          </c:cat>
          <c:val>
            <c:numRef>
              <c:f>Multiples!$J$57:$O$57</c:f>
              <c:numCache>
                <c:formatCode>0.0%</c:formatCode>
                <c:ptCount val="6"/>
                <c:pt idx="0">
                  <c:v>0.20177777777777764</c:v>
                </c:pt>
                <c:pt idx="1">
                  <c:v>-9.3813858443247168E-3</c:v>
                </c:pt>
                <c:pt idx="2">
                  <c:v>0.39696106362773032</c:v>
                </c:pt>
                <c:pt idx="3">
                  <c:v>0.20013802622498275</c:v>
                </c:pt>
                <c:pt idx="4">
                  <c:v>0.25133746750703073</c:v>
                </c:pt>
                <c:pt idx="5">
                  <c:v>0.18734041956557942</c:v>
                </c:pt>
              </c:numCache>
            </c:numRef>
          </c:val>
          <c:smooth val="0"/>
          <c:extLst>
            <c:ext xmlns:c16="http://schemas.microsoft.com/office/drawing/2014/chart" uri="{C3380CC4-5D6E-409C-BE32-E72D297353CC}">
              <c16:uniqueId val="{00000003-74B3-44ED-AB45-185234583218}"/>
            </c:ext>
          </c:extLst>
        </c:ser>
        <c:dLbls>
          <c:showLegendKey val="0"/>
          <c:showVal val="0"/>
          <c:showCatName val="0"/>
          <c:showSerName val="0"/>
          <c:showPercent val="0"/>
          <c:showBubbleSize val="0"/>
        </c:dLbls>
        <c:marker val="1"/>
        <c:smooth val="0"/>
        <c:axId val="741808591"/>
        <c:axId val="741799023"/>
      </c:lineChart>
      <c:catAx>
        <c:axId val="741808591"/>
        <c:scaling>
          <c:orientation val="minMax"/>
        </c:scaling>
        <c:delete val="0"/>
        <c:axPos val="b"/>
        <c:numFmt formatCode="0" sourceLinked="1"/>
        <c:majorTickMark val="none"/>
        <c:minorTickMark val="none"/>
        <c:tickLblPos val="low"/>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105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741799023"/>
        <c:crosses val="autoZero"/>
        <c:auto val="1"/>
        <c:lblAlgn val="ctr"/>
        <c:lblOffset val="100"/>
        <c:noMultiLvlLbl val="0"/>
      </c:catAx>
      <c:valAx>
        <c:axId val="741799023"/>
        <c:scaling>
          <c:orientation val="minMax"/>
        </c:scaling>
        <c:delete val="0"/>
        <c:axPos val="l"/>
        <c:numFmt formatCode="0%" sourceLinked="0"/>
        <c:majorTickMark val="out"/>
        <c:minorTickMark val="none"/>
        <c:tickLblPos val="nextTo"/>
        <c:spPr>
          <a:noFill/>
          <a:ln>
            <a:solidFill>
              <a:schemeClr val="accent3">
                <a:lumMod val="40000"/>
                <a:lumOff val="60000"/>
              </a:schemeClr>
            </a:solidFill>
          </a:ln>
          <a:effectLst/>
        </c:spPr>
        <c:txPr>
          <a:bodyPr rot="-60000000" spcFirstLastPara="1" vertOverflow="ellipsis" vert="horz" wrap="square" anchor="ctr" anchorCtr="1"/>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741808591"/>
        <c:crosses val="autoZero"/>
        <c:crossBetween val="between"/>
      </c:valAx>
      <c:spPr>
        <a:noFill/>
        <a:ln>
          <a:noFill/>
        </a:ln>
        <a:effectLst/>
      </c:spPr>
    </c:plotArea>
    <c:legend>
      <c:legendPos val="r"/>
      <c:layout>
        <c:manualLayout>
          <c:xMode val="edge"/>
          <c:yMode val="edge"/>
          <c:x val="0.6497431314920894"/>
          <c:y val="1.2324906755076663E-2"/>
          <c:w val="0.3476329151192401"/>
          <c:h val="0.24412764193949443"/>
        </c:manualLayout>
      </c:layout>
      <c:overlay val="0"/>
      <c:spPr>
        <a:noFill/>
        <a:ln>
          <a:noFill/>
        </a:ln>
        <a:effectLst/>
      </c:spPr>
      <c:txPr>
        <a:bodyPr rot="0" spcFirstLastPara="1" vertOverflow="ellipsis" vert="horz" wrap="square" anchor="ctr" anchorCtr="1"/>
        <a:lstStyle/>
        <a:p>
          <a:pPr>
            <a:defRPr sz="105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chart>
  <c:spPr>
    <a:solidFill>
      <a:schemeClr val="bg1"/>
    </a:solidFill>
    <a:ln w="9525" cap="flat" cmpd="sng" algn="ctr">
      <a:noFill/>
      <a:round/>
    </a:ln>
    <a:effectLst/>
  </c:spPr>
  <c:txPr>
    <a:bodyPr/>
    <a:lstStyle/>
    <a:p>
      <a:pPr>
        <a:defRPr sz="1050">
          <a:solidFill>
            <a:schemeClr val="tx1"/>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orientation="portrait"/>
  </c:printSettings>
  <c:userShapes r:id="rId3"/>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1" i="0" u="none" strike="noStrike" kern="1200" spc="0" baseline="0">
                <a:solidFill>
                  <a:schemeClr val="tx1"/>
                </a:solidFill>
                <a:latin typeface="Arial" panose="020B0604020202020204" pitchFamily="34" charset="0"/>
                <a:ea typeface="+mn-ea"/>
                <a:cs typeface="Arial" panose="020B0604020202020204" pitchFamily="34" charset="0"/>
              </a:defRPr>
            </a:pPr>
            <a:r>
              <a:rPr lang="en-GB"/>
              <a:t>Civil AM Sales (GSe)</a:t>
            </a:r>
          </a:p>
        </c:rich>
      </c:tx>
      <c:layout>
        <c:manualLayout>
          <c:xMode val="edge"/>
          <c:yMode val="edge"/>
          <c:x val="0.43811046365934014"/>
          <c:y val="0"/>
        </c:manualLayout>
      </c:layout>
      <c:overlay val="0"/>
      <c:spPr>
        <a:noFill/>
        <a:ln>
          <a:noFill/>
        </a:ln>
        <a:effectLst/>
      </c:spPr>
      <c:txPr>
        <a:bodyPr rot="0" spcFirstLastPara="1" vertOverflow="ellipsis" vert="horz" wrap="square" anchor="ctr" anchorCtr="1"/>
        <a:lstStyle/>
        <a:p>
          <a:pPr>
            <a:defRPr sz="1100" b="1" i="0" u="none" strike="noStrike" kern="1200" spc="0" baseline="0">
              <a:solidFill>
                <a:schemeClr val="tx1"/>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5.7355368286248321E-2"/>
          <c:y val="8.1112093742658389E-2"/>
          <c:w val="0.9254817821942255"/>
          <c:h val="0.77333561578081089"/>
        </c:manualLayout>
      </c:layout>
      <c:lineChart>
        <c:grouping val="standard"/>
        <c:varyColors val="0"/>
        <c:ser>
          <c:idx val="0"/>
          <c:order val="0"/>
          <c:spPr>
            <a:ln w="28575" cap="rnd">
              <a:solidFill>
                <a:schemeClr val="accent1"/>
              </a:solidFill>
              <a:round/>
            </a:ln>
            <a:effectLst/>
          </c:spPr>
          <c:marker>
            <c:symbol val="none"/>
          </c:marker>
          <c:dPt>
            <c:idx val="42"/>
            <c:marker>
              <c:symbol val="none"/>
            </c:marker>
            <c:bubble3D val="0"/>
            <c:spPr>
              <a:ln w="28575" cap="rnd">
                <a:solidFill>
                  <a:schemeClr val="accent1"/>
                </a:solidFill>
                <a:round/>
              </a:ln>
              <a:effectLst/>
            </c:spPr>
            <c:extLst>
              <c:ext xmlns:c16="http://schemas.microsoft.com/office/drawing/2014/chart" uri="{C3380CC4-5D6E-409C-BE32-E72D297353CC}">
                <c16:uniqueId val="{00000001-A80D-40DC-9F05-211FB3284A11}"/>
              </c:ext>
            </c:extLst>
          </c:dPt>
          <c:dPt>
            <c:idx val="43"/>
            <c:marker>
              <c:symbol val="none"/>
            </c:marker>
            <c:bubble3D val="0"/>
            <c:spPr>
              <a:ln w="28575" cap="rnd">
                <a:solidFill>
                  <a:schemeClr val="accent1"/>
                </a:solidFill>
                <a:round/>
              </a:ln>
              <a:effectLst/>
            </c:spPr>
            <c:extLst>
              <c:ext xmlns:c16="http://schemas.microsoft.com/office/drawing/2014/chart" uri="{C3380CC4-5D6E-409C-BE32-E72D297353CC}">
                <c16:uniqueId val="{00000002-A80D-40DC-9F05-211FB3284A11}"/>
              </c:ext>
            </c:extLst>
          </c:dPt>
          <c:dPt>
            <c:idx val="44"/>
            <c:marker>
              <c:symbol val="none"/>
            </c:marker>
            <c:bubble3D val="0"/>
            <c:spPr>
              <a:ln w="28575" cap="rnd">
                <a:solidFill>
                  <a:schemeClr val="accent1"/>
                </a:solidFill>
                <a:round/>
              </a:ln>
              <a:effectLst/>
            </c:spPr>
            <c:extLst>
              <c:ext xmlns:c16="http://schemas.microsoft.com/office/drawing/2014/chart" uri="{C3380CC4-5D6E-409C-BE32-E72D297353CC}">
                <c16:uniqueId val="{00000003-A80D-40DC-9F05-211FB3284A11}"/>
              </c:ext>
            </c:extLst>
          </c:dPt>
          <c:dPt>
            <c:idx val="45"/>
            <c:marker>
              <c:symbol val="none"/>
            </c:marker>
            <c:bubble3D val="0"/>
            <c:spPr>
              <a:ln w="28575" cap="rnd">
                <a:solidFill>
                  <a:schemeClr val="bg2"/>
                </a:solidFill>
                <a:round/>
              </a:ln>
              <a:effectLst/>
            </c:spPr>
            <c:extLst>
              <c:ext xmlns:c16="http://schemas.microsoft.com/office/drawing/2014/chart" uri="{C3380CC4-5D6E-409C-BE32-E72D297353CC}">
                <c16:uniqueId val="{00000004-A80D-40DC-9F05-211FB3284A11}"/>
              </c:ext>
            </c:extLst>
          </c:dPt>
          <c:dPt>
            <c:idx val="46"/>
            <c:marker>
              <c:symbol val="none"/>
            </c:marker>
            <c:bubble3D val="0"/>
            <c:spPr>
              <a:ln w="28575" cap="rnd">
                <a:solidFill>
                  <a:schemeClr val="accent2"/>
                </a:solidFill>
                <a:round/>
              </a:ln>
              <a:effectLst/>
            </c:spPr>
            <c:extLst>
              <c:ext xmlns:c16="http://schemas.microsoft.com/office/drawing/2014/chart" uri="{C3380CC4-5D6E-409C-BE32-E72D297353CC}">
                <c16:uniqueId val="{00000006-A80D-40DC-9F05-211FB3284A11}"/>
              </c:ext>
            </c:extLst>
          </c:dPt>
          <c:dPt>
            <c:idx val="47"/>
            <c:marker>
              <c:symbol val="none"/>
            </c:marker>
            <c:bubble3D val="0"/>
            <c:spPr>
              <a:ln w="28575" cap="rnd">
                <a:solidFill>
                  <a:schemeClr val="accent2"/>
                </a:solidFill>
                <a:round/>
              </a:ln>
              <a:effectLst/>
            </c:spPr>
            <c:extLst>
              <c:ext xmlns:c16="http://schemas.microsoft.com/office/drawing/2014/chart" uri="{C3380CC4-5D6E-409C-BE32-E72D297353CC}">
                <c16:uniqueId val="{00000005-A80D-40DC-9F05-211FB3284A11}"/>
              </c:ext>
            </c:extLst>
          </c:dPt>
          <c:cat>
            <c:strRef>
              <c:f>OpMod!$CV$9:$EU$9</c:f>
              <c:strCache>
                <c:ptCount val="52"/>
                <c:pt idx="0">
                  <c:v>1Q 2012</c:v>
                </c:pt>
                <c:pt idx="1">
                  <c:v>2Q 2012</c:v>
                </c:pt>
                <c:pt idx="2">
                  <c:v>3Q 2012</c:v>
                </c:pt>
                <c:pt idx="3">
                  <c:v>4Q 2012</c:v>
                </c:pt>
                <c:pt idx="4">
                  <c:v>1Q 2013</c:v>
                </c:pt>
                <c:pt idx="5">
                  <c:v>2Q 2013</c:v>
                </c:pt>
                <c:pt idx="6">
                  <c:v>3Q 2013</c:v>
                </c:pt>
                <c:pt idx="7">
                  <c:v>4Q 2013</c:v>
                </c:pt>
                <c:pt idx="8">
                  <c:v>1Q 2014</c:v>
                </c:pt>
                <c:pt idx="9">
                  <c:v>2Q 2014</c:v>
                </c:pt>
                <c:pt idx="10">
                  <c:v>3Q 2014</c:v>
                </c:pt>
                <c:pt idx="11">
                  <c:v>4Q 2014</c:v>
                </c:pt>
                <c:pt idx="12">
                  <c:v>1Q 2015</c:v>
                </c:pt>
                <c:pt idx="13">
                  <c:v>2Q 2015</c:v>
                </c:pt>
                <c:pt idx="14">
                  <c:v>3Q 2015</c:v>
                </c:pt>
                <c:pt idx="15">
                  <c:v>4Q 2015</c:v>
                </c:pt>
                <c:pt idx="16">
                  <c:v>1Q 2016</c:v>
                </c:pt>
                <c:pt idx="17">
                  <c:v>2Q 2016</c:v>
                </c:pt>
                <c:pt idx="18">
                  <c:v>3Q 2016</c:v>
                </c:pt>
                <c:pt idx="19">
                  <c:v>4Q 2016</c:v>
                </c:pt>
                <c:pt idx="20">
                  <c:v>1Q 2017</c:v>
                </c:pt>
                <c:pt idx="21">
                  <c:v>2Q 2017</c:v>
                </c:pt>
                <c:pt idx="22">
                  <c:v>3Q 2017</c:v>
                </c:pt>
                <c:pt idx="23">
                  <c:v>4Q 2017</c:v>
                </c:pt>
                <c:pt idx="24">
                  <c:v>1Q 2018</c:v>
                </c:pt>
                <c:pt idx="25">
                  <c:v>2Q 2018</c:v>
                </c:pt>
                <c:pt idx="26">
                  <c:v>3Q 2018</c:v>
                </c:pt>
                <c:pt idx="27">
                  <c:v>4Q 2018</c:v>
                </c:pt>
                <c:pt idx="28">
                  <c:v>1Q 2019</c:v>
                </c:pt>
                <c:pt idx="29">
                  <c:v>2Q 2019</c:v>
                </c:pt>
                <c:pt idx="30">
                  <c:v>3Q 2019</c:v>
                </c:pt>
                <c:pt idx="31">
                  <c:v>4Q 2019</c:v>
                </c:pt>
                <c:pt idx="32">
                  <c:v>1Q 2020</c:v>
                </c:pt>
                <c:pt idx="33">
                  <c:v>2Q 2020</c:v>
                </c:pt>
                <c:pt idx="34">
                  <c:v>3Q 2020</c:v>
                </c:pt>
                <c:pt idx="35">
                  <c:v>4Q 2020</c:v>
                </c:pt>
                <c:pt idx="36">
                  <c:v>1Q 2021</c:v>
                </c:pt>
                <c:pt idx="37">
                  <c:v>2Q 2021</c:v>
                </c:pt>
                <c:pt idx="38">
                  <c:v>3Q 2021</c:v>
                </c:pt>
                <c:pt idx="39">
                  <c:v>4Q 2021</c:v>
                </c:pt>
                <c:pt idx="40">
                  <c:v>1Q 2022</c:v>
                </c:pt>
                <c:pt idx="41">
                  <c:v>2Q 2022</c:v>
                </c:pt>
                <c:pt idx="42">
                  <c:v>3Q 2022</c:v>
                </c:pt>
                <c:pt idx="43">
                  <c:v>4Q 2022</c:v>
                </c:pt>
                <c:pt idx="44">
                  <c:v>1Q 2023</c:v>
                </c:pt>
                <c:pt idx="45">
                  <c:v>2Q 2023</c:v>
                </c:pt>
                <c:pt idx="46">
                  <c:v>3Q 2023</c:v>
                </c:pt>
                <c:pt idx="47">
                  <c:v>4Q 2023</c:v>
                </c:pt>
                <c:pt idx="48">
                  <c:v>1Q 2024</c:v>
                </c:pt>
                <c:pt idx="49">
                  <c:v>2Q 2024</c:v>
                </c:pt>
                <c:pt idx="50">
                  <c:v>3Q 2024</c:v>
                </c:pt>
                <c:pt idx="51">
                  <c:v>4Q 2024</c:v>
                </c:pt>
              </c:strCache>
            </c:strRef>
          </c:cat>
          <c:val>
            <c:numRef>
              <c:f>'Aerospace Propulsion Division'!#REF!</c:f>
              <c:numCache>
                <c:formatCode>General</c:formatCode>
                <c:ptCount val="1"/>
                <c:pt idx="0">
                  <c:v>1</c:v>
                </c:pt>
              </c:numCache>
            </c:numRef>
          </c:val>
          <c:smooth val="1"/>
          <c:extLst>
            <c:ext xmlns:c16="http://schemas.microsoft.com/office/drawing/2014/chart" uri="{C3380CC4-5D6E-409C-BE32-E72D297353CC}">
              <c16:uniqueId val="{00000001-5CB6-4ABD-AB10-1680C3695453}"/>
            </c:ext>
          </c:extLst>
        </c:ser>
        <c:ser>
          <c:idx val="1"/>
          <c:order val="1"/>
          <c:tx>
            <c:v>Old</c:v>
          </c:tx>
          <c:spPr>
            <a:ln w="28575" cap="rnd">
              <a:solidFill>
                <a:schemeClr val="accent2"/>
              </a:solidFill>
              <a:round/>
            </a:ln>
            <a:effectLst/>
          </c:spPr>
          <c:marker>
            <c:symbol val="none"/>
          </c:marker>
          <c:cat>
            <c:strRef>
              <c:f>OpMod!$CV$9:$EU$9</c:f>
              <c:strCache>
                <c:ptCount val="52"/>
                <c:pt idx="0">
                  <c:v>1Q 2012</c:v>
                </c:pt>
                <c:pt idx="1">
                  <c:v>2Q 2012</c:v>
                </c:pt>
                <c:pt idx="2">
                  <c:v>3Q 2012</c:v>
                </c:pt>
                <c:pt idx="3">
                  <c:v>4Q 2012</c:v>
                </c:pt>
                <c:pt idx="4">
                  <c:v>1Q 2013</c:v>
                </c:pt>
                <c:pt idx="5">
                  <c:v>2Q 2013</c:v>
                </c:pt>
                <c:pt idx="6">
                  <c:v>3Q 2013</c:v>
                </c:pt>
                <c:pt idx="7">
                  <c:v>4Q 2013</c:v>
                </c:pt>
                <c:pt idx="8">
                  <c:v>1Q 2014</c:v>
                </c:pt>
                <c:pt idx="9">
                  <c:v>2Q 2014</c:v>
                </c:pt>
                <c:pt idx="10">
                  <c:v>3Q 2014</c:v>
                </c:pt>
                <c:pt idx="11">
                  <c:v>4Q 2014</c:v>
                </c:pt>
                <c:pt idx="12">
                  <c:v>1Q 2015</c:v>
                </c:pt>
                <c:pt idx="13">
                  <c:v>2Q 2015</c:v>
                </c:pt>
                <c:pt idx="14">
                  <c:v>3Q 2015</c:v>
                </c:pt>
                <c:pt idx="15">
                  <c:v>4Q 2015</c:v>
                </c:pt>
                <c:pt idx="16">
                  <c:v>1Q 2016</c:v>
                </c:pt>
                <c:pt idx="17">
                  <c:v>2Q 2016</c:v>
                </c:pt>
                <c:pt idx="18">
                  <c:v>3Q 2016</c:v>
                </c:pt>
                <c:pt idx="19">
                  <c:v>4Q 2016</c:v>
                </c:pt>
                <c:pt idx="20">
                  <c:v>1Q 2017</c:v>
                </c:pt>
                <c:pt idx="21">
                  <c:v>2Q 2017</c:v>
                </c:pt>
                <c:pt idx="22">
                  <c:v>3Q 2017</c:v>
                </c:pt>
                <c:pt idx="23">
                  <c:v>4Q 2017</c:v>
                </c:pt>
                <c:pt idx="24">
                  <c:v>1Q 2018</c:v>
                </c:pt>
                <c:pt idx="25">
                  <c:v>2Q 2018</c:v>
                </c:pt>
                <c:pt idx="26">
                  <c:v>3Q 2018</c:v>
                </c:pt>
                <c:pt idx="27">
                  <c:v>4Q 2018</c:v>
                </c:pt>
                <c:pt idx="28">
                  <c:v>1Q 2019</c:v>
                </c:pt>
                <c:pt idx="29">
                  <c:v>2Q 2019</c:v>
                </c:pt>
                <c:pt idx="30">
                  <c:v>3Q 2019</c:v>
                </c:pt>
                <c:pt idx="31">
                  <c:v>4Q 2019</c:v>
                </c:pt>
                <c:pt idx="32">
                  <c:v>1Q 2020</c:v>
                </c:pt>
                <c:pt idx="33">
                  <c:v>2Q 2020</c:v>
                </c:pt>
                <c:pt idx="34">
                  <c:v>3Q 2020</c:v>
                </c:pt>
                <c:pt idx="35">
                  <c:v>4Q 2020</c:v>
                </c:pt>
                <c:pt idx="36">
                  <c:v>1Q 2021</c:v>
                </c:pt>
                <c:pt idx="37">
                  <c:v>2Q 2021</c:v>
                </c:pt>
                <c:pt idx="38">
                  <c:v>3Q 2021</c:v>
                </c:pt>
                <c:pt idx="39">
                  <c:v>4Q 2021</c:v>
                </c:pt>
                <c:pt idx="40">
                  <c:v>1Q 2022</c:v>
                </c:pt>
                <c:pt idx="41">
                  <c:v>2Q 2022</c:v>
                </c:pt>
                <c:pt idx="42">
                  <c:v>3Q 2022</c:v>
                </c:pt>
                <c:pt idx="43">
                  <c:v>4Q 2022</c:v>
                </c:pt>
                <c:pt idx="44">
                  <c:v>1Q 2023</c:v>
                </c:pt>
                <c:pt idx="45">
                  <c:v>2Q 2023</c:v>
                </c:pt>
                <c:pt idx="46">
                  <c:v>3Q 2023</c:v>
                </c:pt>
                <c:pt idx="47">
                  <c:v>4Q 2023</c:v>
                </c:pt>
                <c:pt idx="48">
                  <c:v>1Q 2024</c:v>
                </c:pt>
                <c:pt idx="49">
                  <c:v>2Q 2024</c:v>
                </c:pt>
                <c:pt idx="50">
                  <c:v>3Q 2024</c:v>
                </c:pt>
                <c:pt idx="51">
                  <c:v>4Q 2024</c:v>
                </c:pt>
              </c:strCache>
            </c:strRef>
          </c:cat>
          <c:val>
            <c:numRef>
              <c:f>'Aerospace Propulsion Division'!#REF!</c:f>
              <c:numCache>
                <c:formatCode>General</c:formatCode>
                <c:ptCount val="1"/>
                <c:pt idx="0">
                  <c:v>1</c:v>
                </c:pt>
              </c:numCache>
            </c:numRef>
          </c:val>
          <c:smooth val="1"/>
          <c:extLst>
            <c:ext xmlns:c16="http://schemas.microsoft.com/office/drawing/2014/chart" uri="{C3380CC4-5D6E-409C-BE32-E72D297353CC}">
              <c16:uniqueId val="{00000003-5CB6-4ABD-AB10-1680C3695453}"/>
            </c:ext>
          </c:extLst>
        </c:ser>
        <c:dLbls>
          <c:showLegendKey val="0"/>
          <c:showVal val="0"/>
          <c:showCatName val="0"/>
          <c:showSerName val="0"/>
          <c:showPercent val="0"/>
          <c:showBubbleSize val="0"/>
        </c:dLbls>
        <c:smooth val="0"/>
        <c:axId val="314223296"/>
        <c:axId val="314217888"/>
      </c:lineChart>
      <c:catAx>
        <c:axId val="314223296"/>
        <c:scaling>
          <c:orientation val="minMax"/>
        </c:scaling>
        <c:delete val="0"/>
        <c:axPos val="b"/>
        <c:numFmt formatCode="General" sourceLinked="1"/>
        <c:majorTickMark val="out"/>
        <c:minorTickMark val="none"/>
        <c:tickLblPos val="low"/>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314217888"/>
        <c:crosses val="autoZero"/>
        <c:auto val="1"/>
        <c:lblAlgn val="ctr"/>
        <c:lblOffset val="100"/>
        <c:tickLblSkip val="1"/>
        <c:noMultiLvlLbl val="0"/>
      </c:catAx>
      <c:valAx>
        <c:axId val="314217888"/>
        <c:scaling>
          <c:orientation val="minMax"/>
        </c:scaling>
        <c:delete val="0"/>
        <c:axPos val="l"/>
        <c:numFmt formatCode="#,##0" sourceLinked="0"/>
        <c:majorTickMark val="out"/>
        <c:minorTickMark val="none"/>
        <c:tickLblPos val="nextTo"/>
        <c:spPr>
          <a:noFill/>
          <a:ln>
            <a:solidFill>
              <a:schemeClr val="lt1">
                <a:shade val="50000"/>
              </a:schemeClr>
            </a:solidFill>
          </a:ln>
          <a:effectLst/>
        </c:spPr>
        <c:txPr>
          <a:bodyPr rot="-60000000" spcFirstLastPara="1" vertOverflow="ellipsis" vert="horz" wrap="square" anchor="ctr" anchorCtr="1"/>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314223296"/>
        <c:crosses val="autoZero"/>
        <c:crossBetween val="midCat"/>
        <c:majorUnit val="200"/>
      </c:valAx>
      <c:spPr>
        <a:noFill/>
        <a:ln w="25400">
          <a:noFill/>
        </a:ln>
        <a:effectLst/>
      </c:spPr>
    </c:plotArea>
    <c:plotVisOnly val="1"/>
    <c:dispBlanksAs val="gap"/>
    <c:showDLblsOverMax val="0"/>
  </c:chart>
  <c:spPr>
    <a:solidFill>
      <a:schemeClr val="bg1"/>
    </a:solidFill>
    <a:ln w="9525" cap="flat" cmpd="sng" algn="ctr">
      <a:noFill/>
      <a:round/>
    </a:ln>
    <a:effectLst/>
  </c:spPr>
  <c:txPr>
    <a:bodyPr/>
    <a:lstStyle/>
    <a:p>
      <a:pPr>
        <a:defRPr sz="900">
          <a:solidFill>
            <a:schemeClr val="tx1"/>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orientation="portrait"/>
  </c:printSettings>
  <c:userShapes r:id="rId3"/>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80" b="1" i="0" u="none" strike="noStrike" kern="1200" spc="0" baseline="0">
                <a:solidFill>
                  <a:schemeClr val="tx1"/>
                </a:solidFill>
                <a:latin typeface="Arial" panose="020B0604020202020204" pitchFamily="34" charset="0"/>
                <a:ea typeface="+mn-ea"/>
                <a:cs typeface="Arial" panose="020B0604020202020204" pitchFamily="34" charset="0"/>
              </a:defRPr>
            </a:pPr>
            <a:r>
              <a:rPr lang="en-GB" b="1"/>
              <a:t>LEAP Deliveries</a:t>
            </a:r>
          </a:p>
          <a:p>
            <a:pPr>
              <a:defRPr b="1"/>
            </a:pPr>
            <a:r>
              <a:rPr lang="en-GB" b="0"/>
              <a:t>CFM International</a:t>
            </a:r>
          </a:p>
        </c:rich>
      </c:tx>
      <c:layout>
        <c:manualLayout>
          <c:xMode val="edge"/>
          <c:yMode val="edge"/>
          <c:x val="0.4027360017497813"/>
          <c:y val="0"/>
        </c:manualLayout>
      </c:layout>
      <c:overlay val="0"/>
      <c:spPr>
        <a:noFill/>
        <a:ln>
          <a:noFill/>
        </a:ln>
        <a:effectLst/>
      </c:spPr>
      <c:txPr>
        <a:bodyPr rot="0" spcFirstLastPara="1" vertOverflow="ellipsis" vert="horz" wrap="square" anchor="ctr" anchorCtr="1"/>
        <a:lstStyle/>
        <a:p>
          <a:pPr>
            <a:defRPr sz="1080" b="1" i="0" u="none" strike="noStrike" kern="1200" spc="0" baseline="0">
              <a:solidFill>
                <a:schemeClr val="tx1"/>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5.901149425287356E-2"/>
          <c:y val="0.15658581940186347"/>
          <c:w val="0.91216494252873559"/>
          <c:h val="0.61863799572519318"/>
        </c:manualLayout>
      </c:layout>
      <c:lineChart>
        <c:grouping val="standard"/>
        <c:varyColors val="0"/>
        <c:ser>
          <c:idx val="0"/>
          <c:order val="0"/>
          <c:spPr>
            <a:ln w="28575" cap="rnd">
              <a:solidFill>
                <a:schemeClr val="accent1"/>
              </a:solidFill>
              <a:round/>
            </a:ln>
            <a:effectLst/>
          </c:spPr>
          <c:marker>
            <c:symbol val="none"/>
          </c:marker>
          <c:dPt>
            <c:idx val="14"/>
            <c:marker>
              <c:symbol val="none"/>
            </c:marker>
            <c:bubble3D val="0"/>
            <c:spPr>
              <a:ln w="28575" cap="rnd">
                <a:solidFill>
                  <a:schemeClr val="accent1"/>
                </a:solidFill>
                <a:round/>
              </a:ln>
              <a:effectLst/>
            </c:spPr>
            <c:extLst>
              <c:ext xmlns:c16="http://schemas.microsoft.com/office/drawing/2014/chart" uri="{C3380CC4-5D6E-409C-BE32-E72D297353CC}">
                <c16:uniqueId val="{00000002-F359-418E-9745-7F6726A58569}"/>
              </c:ext>
            </c:extLst>
          </c:dPt>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accent1"/>
                    </a:solidFill>
                    <a:latin typeface="Arial" panose="020B0604020202020204" pitchFamily="34" charset="0"/>
                    <a:ea typeface="+mn-ea"/>
                    <a:cs typeface="Arial" panose="020B0604020202020204" pitchFamily="34" charset="0"/>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extLst>
                <c:ext xmlns:c15="http://schemas.microsoft.com/office/drawing/2012/chart" uri="{02D57815-91ED-43cb-92C2-25804820EDAC}">
                  <c15:fullRef>
                    <c15:sqref>OpMod!$DL$9:$EM$9</c15:sqref>
                  </c15:fullRef>
                </c:ext>
              </c:extLst>
              <c:f>(OpMod!$DL$9:$DZ$9,OpMod!$EB$9:$EM$9)</c:f>
              <c:strCache>
                <c:ptCount val="27"/>
                <c:pt idx="0">
                  <c:v>1Q 2016</c:v>
                </c:pt>
                <c:pt idx="1">
                  <c:v>2Q 2016</c:v>
                </c:pt>
                <c:pt idx="2">
                  <c:v>3Q 2016</c:v>
                </c:pt>
                <c:pt idx="3">
                  <c:v>4Q 2016</c:v>
                </c:pt>
                <c:pt idx="4">
                  <c:v>1Q 2017</c:v>
                </c:pt>
                <c:pt idx="5">
                  <c:v>2Q 2017</c:v>
                </c:pt>
                <c:pt idx="6">
                  <c:v>3Q 2017</c:v>
                </c:pt>
                <c:pt idx="7">
                  <c:v>4Q 2017</c:v>
                </c:pt>
                <c:pt idx="8">
                  <c:v>1Q 2018</c:v>
                </c:pt>
                <c:pt idx="9">
                  <c:v>2Q 2018</c:v>
                </c:pt>
                <c:pt idx="10">
                  <c:v>3Q 2018</c:v>
                </c:pt>
                <c:pt idx="11">
                  <c:v>4Q 2018</c:v>
                </c:pt>
                <c:pt idx="12">
                  <c:v>1Q 2019</c:v>
                </c:pt>
                <c:pt idx="13">
                  <c:v>2Q 2019</c:v>
                </c:pt>
                <c:pt idx="14">
                  <c:v>3Q 2019</c:v>
                </c:pt>
                <c:pt idx="15">
                  <c:v>1Q 2020</c:v>
                </c:pt>
                <c:pt idx="16">
                  <c:v>2Q 2020</c:v>
                </c:pt>
                <c:pt idx="17">
                  <c:v>3Q 2020</c:v>
                </c:pt>
                <c:pt idx="18">
                  <c:v>4Q 2020</c:v>
                </c:pt>
                <c:pt idx="19">
                  <c:v>1Q 2021</c:v>
                </c:pt>
                <c:pt idx="20">
                  <c:v>2Q 2021</c:v>
                </c:pt>
                <c:pt idx="21">
                  <c:v>3Q 2021</c:v>
                </c:pt>
                <c:pt idx="22">
                  <c:v>4Q 2021</c:v>
                </c:pt>
                <c:pt idx="23">
                  <c:v>1Q 2022</c:v>
                </c:pt>
                <c:pt idx="24">
                  <c:v>2Q 2022</c:v>
                </c:pt>
                <c:pt idx="25">
                  <c:v>3Q 2022</c:v>
                </c:pt>
                <c:pt idx="26">
                  <c:v>4Q 2022</c:v>
                </c:pt>
              </c:strCache>
            </c:strRef>
          </c:cat>
          <c:val>
            <c:numRef>
              <c:extLst>
                <c:ext xmlns:c15="http://schemas.microsoft.com/office/drawing/2012/chart" uri="{02D57815-91ED-43cb-92C2-25804820EDAC}">
                  <c15:fullRef>
                    <c15:sqref>OpMod!$DL$45:$EM$45</c15:sqref>
                  </c15:fullRef>
                </c:ext>
              </c:extLst>
              <c:f>(OpMod!$DL$45:$DZ$45,OpMod!$EB$45:$EM$45)</c:f>
              <c:numCache>
                <c:formatCode>0</c:formatCode>
                <c:ptCount val="27"/>
                <c:pt idx="0">
                  <c:v>0</c:v>
                </c:pt>
                <c:pt idx="1">
                  <c:v>11</c:v>
                </c:pt>
                <c:pt idx="2">
                  <c:v>22</c:v>
                </c:pt>
                <c:pt idx="3">
                  <c:v>44</c:v>
                </c:pt>
                <c:pt idx="4">
                  <c:v>77</c:v>
                </c:pt>
                <c:pt idx="5">
                  <c:v>69</c:v>
                </c:pt>
                <c:pt idx="6">
                  <c:v>111</c:v>
                </c:pt>
                <c:pt idx="7">
                  <c:v>202</c:v>
                </c:pt>
                <c:pt idx="8">
                  <c:v>186</c:v>
                </c:pt>
                <c:pt idx="9">
                  <c:v>250</c:v>
                </c:pt>
                <c:pt idx="10">
                  <c:v>303</c:v>
                </c:pt>
                <c:pt idx="11">
                  <c:v>379</c:v>
                </c:pt>
                <c:pt idx="12">
                  <c:v>424</c:v>
                </c:pt>
                <c:pt idx="13">
                  <c:v>437</c:v>
                </c:pt>
                <c:pt idx="14">
                  <c:v>455</c:v>
                </c:pt>
                <c:pt idx="15">
                  <c:v>272</c:v>
                </c:pt>
                <c:pt idx="16">
                  <c:v>178</c:v>
                </c:pt>
                <c:pt idx="17">
                  <c:v>172</c:v>
                </c:pt>
                <c:pt idx="18">
                  <c:v>193</c:v>
                </c:pt>
                <c:pt idx="19">
                  <c:v>188</c:v>
                </c:pt>
                <c:pt idx="20">
                  <c:v>211</c:v>
                </c:pt>
                <c:pt idx="21">
                  <c:v>226</c:v>
                </c:pt>
                <c:pt idx="22">
                  <c:v>220</c:v>
                </c:pt>
                <c:pt idx="23">
                  <c:v>239</c:v>
                </c:pt>
                <c:pt idx="24">
                  <c:v>226</c:v>
                </c:pt>
                <c:pt idx="25">
                  <c:v>347</c:v>
                </c:pt>
                <c:pt idx="26">
                  <c:v>324</c:v>
                </c:pt>
              </c:numCache>
            </c:numRef>
          </c:val>
          <c:smooth val="1"/>
          <c:extLst>
            <c:ext xmlns:c16="http://schemas.microsoft.com/office/drawing/2014/chart" uri="{C3380CC4-5D6E-409C-BE32-E72D297353CC}">
              <c16:uniqueId val="{00000000-F359-418E-9745-7F6726A58569}"/>
            </c:ext>
          </c:extLst>
        </c:ser>
        <c:dLbls>
          <c:showLegendKey val="0"/>
          <c:showVal val="0"/>
          <c:showCatName val="0"/>
          <c:showSerName val="0"/>
          <c:showPercent val="0"/>
          <c:showBubbleSize val="0"/>
        </c:dLbls>
        <c:smooth val="0"/>
        <c:axId val="1871316047"/>
        <c:axId val="1871332687"/>
      </c:lineChart>
      <c:catAx>
        <c:axId val="187131604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1871332687"/>
        <c:crosses val="autoZero"/>
        <c:auto val="1"/>
        <c:lblAlgn val="ctr"/>
        <c:lblOffset val="100"/>
        <c:noMultiLvlLbl val="0"/>
      </c:catAx>
      <c:valAx>
        <c:axId val="1871332687"/>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1871316047"/>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900">
          <a:solidFill>
            <a:schemeClr val="tx1"/>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orientation="portrait"/>
  </c:printSettings>
  <c:userShapes r:id="rId3"/>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1" i="0" u="none" strike="noStrike" kern="1200" spc="0" baseline="0">
                <a:solidFill>
                  <a:schemeClr val="tx1"/>
                </a:solidFill>
                <a:latin typeface="Arial" panose="020B0604020202020204" pitchFamily="34" charset="0"/>
                <a:ea typeface="+mn-ea"/>
                <a:cs typeface="Arial" panose="020B0604020202020204" pitchFamily="34" charset="0"/>
              </a:defRPr>
            </a:pPr>
            <a:r>
              <a:rPr lang="en-GB" sz="1100" b="1"/>
              <a:t>Group</a:t>
            </a:r>
          </a:p>
        </c:rich>
      </c:tx>
      <c:overlay val="0"/>
      <c:spPr>
        <a:noFill/>
        <a:ln>
          <a:noFill/>
        </a:ln>
        <a:effectLst/>
      </c:spPr>
      <c:txPr>
        <a:bodyPr rot="0" spcFirstLastPara="1" vertOverflow="ellipsis" vert="horz" wrap="square" anchor="ctr" anchorCtr="1"/>
        <a:lstStyle/>
        <a:p>
          <a:pPr>
            <a:defRPr sz="1100" b="1" i="0" u="none" strike="noStrike" kern="1200" spc="0" baseline="0">
              <a:solidFill>
                <a:schemeClr val="tx1"/>
              </a:solidFill>
              <a:latin typeface="Arial" panose="020B0604020202020204" pitchFamily="34" charset="0"/>
              <a:ea typeface="+mn-ea"/>
              <a:cs typeface="Arial" panose="020B0604020202020204" pitchFamily="34" charset="0"/>
            </a:defRPr>
          </a:pPr>
          <a:endParaRPr lang="en-US"/>
        </a:p>
      </c:txPr>
    </c:title>
    <c:autoTitleDeleted val="0"/>
    <c:plotArea>
      <c:layout/>
      <c:lineChart>
        <c:grouping val="standard"/>
        <c:varyColors val="0"/>
        <c:ser>
          <c:idx val="1"/>
          <c:order val="0"/>
          <c:tx>
            <c:v>Sales</c:v>
          </c:tx>
          <c:spPr>
            <a:ln w="28575" cap="rnd">
              <a:solidFill>
                <a:srgbClr val="00355F"/>
              </a:solidFill>
              <a:round/>
            </a:ln>
            <a:effectLst/>
          </c:spPr>
          <c:marker>
            <c:symbol val="none"/>
          </c:marker>
          <c:cat>
            <c:strRef>
              <c:f>OpMod!$BA$9:$BZ$9</c:f>
              <c:strCache>
                <c:ptCount val="26"/>
                <c:pt idx="0">
                  <c:v>1H 2011</c:v>
                </c:pt>
                <c:pt idx="1">
                  <c:v>2H 2011</c:v>
                </c:pt>
                <c:pt idx="2">
                  <c:v>1H 2012</c:v>
                </c:pt>
                <c:pt idx="3">
                  <c:v>2H 2012</c:v>
                </c:pt>
                <c:pt idx="4">
                  <c:v>1H 2013</c:v>
                </c:pt>
                <c:pt idx="5">
                  <c:v>2H 2013</c:v>
                </c:pt>
                <c:pt idx="6">
                  <c:v>1H 2014</c:v>
                </c:pt>
                <c:pt idx="7">
                  <c:v>2H 2014</c:v>
                </c:pt>
                <c:pt idx="8">
                  <c:v>1H 2015</c:v>
                </c:pt>
                <c:pt idx="9">
                  <c:v>2H 2015</c:v>
                </c:pt>
                <c:pt idx="10">
                  <c:v>1H 2016</c:v>
                </c:pt>
                <c:pt idx="11">
                  <c:v>2H 2016</c:v>
                </c:pt>
                <c:pt idx="12">
                  <c:v>1H 2017</c:v>
                </c:pt>
                <c:pt idx="13">
                  <c:v>2H 2017</c:v>
                </c:pt>
                <c:pt idx="14">
                  <c:v>1H 2018</c:v>
                </c:pt>
                <c:pt idx="15">
                  <c:v>2H 2018</c:v>
                </c:pt>
                <c:pt idx="16">
                  <c:v>1H 2019</c:v>
                </c:pt>
                <c:pt idx="17">
                  <c:v>2H 2019</c:v>
                </c:pt>
                <c:pt idx="18">
                  <c:v>1H 2020</c:v>
                </c:pt>
                <c:pt idx="19">
                  <c:v>2H 2020</c:v>
                </c:pt>
                <c:pt idx="20">
                  <c:v>1H 2021</c:v>
                </c:pt>
                <c:pt idx="21">
                  <c:v>2H 2021</c:v>
                </c:pt>
                <c:pt idx="22">
                  <c:v>1H 2022</c:v>
                </c:pt>
                <c:pt idx="23">
                  <c:v>2H 2022</c:v>
                </c:pt>
                <c:pt idx="24">
                  <c:v>1H 2023</c:v>
                </c:pt>
                <c:pt idx="25">
                  <c:v>2H 2023</c:v>
                </c:pt>
              </c:strCache>
            </c:strRef>
          </c:cat>
          <c:val>
            <c:numRef>
              <c:f>Interim!$D$16:$AC$16</c:f>
              <c:numCache>
                <c:formatCode>#,##0;\(#,##0\)</c:formatCode>
                <c:ptCount val="6"/>
                <c:pt idx="0">
                  <c:v>6876</c:v>
                </c:pt>
                <c:pt idx="1">
                  <c:v>8381</c:v>
                </c:pt>
                <c:pt idx="2">
                  <c:v>8560</c:v>
                </c:pt>
                <c:pt idx="3">
                  <c:v>10475</c:v>
                </c:pt>
                <c:pt idx="4">
                  <c:v>10945</c:v>
                </c:pt>
                <c:pt idx="5">
                  <c:v>12254</c:v>
                </c:pt>
              </c:numCache>
            </c:numRef>
          </c:val>
          <c:smooth val="1"/>
          <c:extLst>
            <c:ext xmlns:c16="http://schemas.microsoft.com/office/drawing/2014/chart" uri="{C3380CC4-5D6E-409C-BE32-E72D297353CC}">
              <c16:uniqueId val="{00000000-5FD6-4819-A6D5-A0959C69B88F}"/>
            </c:ext>
          </c:extLst>
        </c:ser>
        <c:dLbls>
          <c:showLegendKey val="0"/>
          <c:showVal val="0"/>
          <c:showCatName val="0"/>
          <c:showSerName val="0"/>
          <c:showPercent val="0"/>
          <c:showBubbleSize val="0"/>
        </c:dLbls>
        <c:marker val="1"/>
        <c:smooth val="0"/>
        <c:axId val="314223296"/>
        <c:axId val="314217888"/>
      </c:lineChart>
      <c:lineChart>
        <c:grouping val="standard"/>
        <c:varyColors val="0"/>
        <c:ser>
          <c:idx val="2"/>
          <c:order val="1"/>
          <c:tx>
            <c:v>EBITA margin (RHS)</c:v>
          </c:tx>
          <c:spPr>
            <a:ln w="28575" cap="rnd">
              <a:solidFill>
                <a:schemeClr val="accent2"/>
              </a:solidFill>
              <a:round/>
            </a:ln>
            <a:effectLst/>
          </c:spPr>
          <c:marker>
            <c:symbol val="none"/>
          </c:marker>
          <c:cat>
            <c:strRef>
              <c:f>OpMod!$BA$9:$BZ$9</c:f>
              <c:strCache>
                <c:ptCount val="26"/>
                <c:pt idx="0">
                  <c:v>1H 2011</c:v>
                </c:pt>
                <c:pt idx="1">
                  <c:v>2H 2011</c:v>
                </c:pt>
                <c:pt idx="2">
                  <c:v>1H 2012</c:v>
                </c:pt>
                <c:pt idx="3">
                  <c:v>2H 2012</c:v>
                </c:pt>
                <c:pt idx="4">
                  <c:v>1H 2013</c:v>
                </c:pt>
                <c:pt idx="5">
                  <c:v>2H 2013</c:v>
                </c:pt>
                <c:pt idx="6">
                  <c:v>1H 2014</c:v>
                </c:pt>
                <c:pt idx="7">
                  <c:v>2H 2014</c:v>
                </c:pt>
                <c:pt idx="8">
                  <c:v>1H 2015</c:v>
                </c:pt>
                <c:pt idx="9">
                  <c:v>2H 2015</c:v>
                </c:pt>
                <c:pt idx="10">
                  <c:v>1H 2016</c:v>
                </c:pt>
                <c:pt idx="11">
                  <c:v>2H 2016</c:v>
                </c:pt>
                <c:pt idx="12">
                  <c:v>1H 2017</c:v>
                </c:pt>
                <c:pt idx="13">
                  <c:v>2H 2017</c:v>
                </c:pt>
                <c:pt idx="14">
                  <c:v>1H 2018</c:v>
                </c:pt>
                <c:pt idx="15">
                  <c:v>2H 2018</c:v>
                </c:pt>
                <c:pt idx="16">
                  <c:v>1H 2019</c:v>
                </c:pt>
                <c:pt idx="17">
                  <c:v>2H 2019</c:v>
                </c:pt>
                <c:pt idx="18">
                  <c:v>1H 2020</c:v>
                </c:pt>
                <c:pt idx="19">
                  <c:v>2H 2020</c:v>
                </c:pt>
                <c:pt idx="20">
                  <c:v>1H 2021</c:v>
                </c:pt>
                <c:pt idx="21">
                  <c:v>2H 2021</c:v>
                </c:pt>
                <c:pt idx="22">
                  <c:v>1H 2022</c:v>
                </c:pt>
                <c:pt idx="23">
                  <c:v>2H 2022</c:v>
                </c:pt>
                <c:pt idx="24">
                  <c:v>1H 2023</c:v>
                </c:pt>
                <c:pt idx="25">
                  <c:v>2H 2023</c:v>
                </c:pt>
              </c:strCache>
            </c:strRef>
          </c:cat>
          <c:val>
            <c:numRef>
              <c:f>Interim!$D$57:$AC$57</c:f>
              <c:numCache>
                <c:formatCode>0.0%</c:formatCode>
                <c:ptCount val="6"/>
                <c:pt idx="0">
                  <c:v>9.5840605002908669E-2</c:v>
                </c:pt>
                <c:pt idx="1">
                  <c:v>0.13673785944398043</c:v>
                </c:pt>
                <c:pt idx="2">
                  <c:v>0.12231308411214953</c:v>
                </c:pt>
                <c:pt idx="3">
                  <c:v>0.12992840095465394</c:v>
                </c:pt>
                <c:pt idx="4">
                  <c:v>0.12763819095477386</c:v>
                </c:pt>
                <c:pt idx="5">
                  <c:v>0.14436102497143791</c:v>
                </c:pt>
              </c:numCache>
            </c:numRef>
          </c:val>
          <c:smooth val="1"/>
          <c:extLst>
            <c:ext xmlns:c16="http://schemas.microsoft.com/office/drawing/2014/chart" uri="{C3380CC4-5D6E-409C-BE32-E72D297353CC}">
              <c16:uniqueId val="{00000002-5FD6-4819-A6D5-A0959C69B88F}"/>
            </c:ext>
          </c:extLst>
        </c:ser>
        <c:dLbls>
          <c:showLegendKey val="0"/>
          <c:showVal val="0"/>
          <c:showCatName val="0"/>
          <c:showSerName val="0"/>
          <c:showPercent val="0"/>
          <c:showBubbleSize val="0"/>
        </c:dLbls>
        <c:marker val="1"/>
        <c:smooth val="0"/>
        <c:axId val="208161151"/>
        <c:axId val="208159487"/>
      </c:lineChart>
      <c:catAx>
        <c:axId val="31422329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314217888"/>
        <c:crosses val="autoZero"/>
        <c:auto val="1"/>
        <c:lblAlgn val="ctr"/>
        <c:lblOffset val="100"/>
        <c:tickLblSkip val="1"/>
        <c:noMultiLvlLbl val="0"/>
      </c:catAx>
      <c:valAx>
        <c:axId val="314217888"/>
        <c:scaling>
          <c:orientation val="minMax"/>
          <c:min val="4000"/>
        </c:scaling>
        <c:delete val="0"/>
        <c:axPos val="l"/>
        <c:numFmt formatCode="#,##0;\(#,##0\)" sourceLinked="1"/>
        <c:majorTickMark val="out"/>
        <c:minorTickMark val="none"/>
        <c:tickLblPos val="nextTo"/>
        <c:spPr>
          <a:noFill/>
          <a:ln>
            <a:solidFill>
              <a:schemeClr val="lt1">
                <a:shade val="50000"/>
              </a:schemeClr>
            </a:solidFill>
          </a:ln>
          <a:effectLst/>
        </c:spPr>
        <c:txPr>
          <a:bodyPr rot="-60000000" spcFirstLastPara="1" vertOverflow="ellipsis" vert="horz" wrap="square" anchor="ctr" anchorCtr="1"/>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314223296"/>
        <c:crosses val="autoZero"/>
        <c:crossBetween val="midCat"/>
        <c:dispUnits>
          <c:builtInUnit val="thousands"/>
        </c:dispUnits>
      </c:valAx>
      <c:valAx>
        <c:axId val="208159487"/>
        <c:scaling>
          <c:orientation val="minMax"/>
          <c:min val="8.0000000000000016E-2"/>
        </c:scaling>
        <c:delete val="0"/>
        <c:axPos val="r"/>
        <c:numFmt formatCode="0%" sourceLinked="0"/>
        <c:majorTickMark val="out"/>
        <c:minorTickMark val="none"/>
        <c:tickLblPos val="nextTo"/>
        <c:spPr>
          <a:noFill/>
          <a:ln>
            <a:solidFill>
              <a:schemeClr val="lt1">
                <a:shade val="50000"/>
              </a:schemeClr>
            </a:solidFill>
          </a:ln>
          <a:effectLst/>
        </c:spPr>
        <c:txPr>
          <a:bodyPr rot="-60000000" spcFirstLastPara="1" vertOverflow="ellipsis" vert="horz" wrap="square" anchor="ctr" anchorCtr="1"/>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208161151"/>
        <c:crosses val="max"/>
        <c:crossBetween val="between"/>
      </c:valAx>
      <c:catAx>
        <c:axId val="208161151"/>
        <c:scaling>
          <c:orientation val="minMax"/>
        </c:scaling>
        <c:delete val="1"/>
        <c:axPos val="b"/>
        <c:numFmt formatCode="General" sourceLinked="1"/>
        <c:majorTickMark val="out"/>
        <c:minorTickMark val="none"/>
        <c:tickLblPos val="nextTo"/>
        <c:crossAx val="208159487"/>
        <c:crosses val="autoZero"/>
        <c:auto val="1"/>
        <c:lblAlgn val="ctr"/>
        <c:lblOffset val="100"/>
        <c:noMultiLvlLbl val="0"/>
      </c:catAx>
      <c:spPr>
        <a:noFill/>
        <a:ln w="25400">
          <a:noFill/>
        </a:ln>
        <a:effectLst/>
      </c:spPr>
    </c:plotArea>
    <c:legend>
      <c:legendPos val="b"/>
      <c:layout>
        <c:manualLayout>
          <c:xMode val="edge"/>
          <c:yMode val="edge"/>
          <c:x val="0.29188730314960631"/>
          <c:y val="0.93284409448818895"/>
          <c:w val="0.47219654141944706"/>
          <c:h val="6.715586710703225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chart>
  <c:spPr>
    <a:solidFill>
      <a:schemeClr val="bg1"/>
    </a:solidFill>
    <a:ln w="9525" cap="flat" cmpd="sng" algn="ctr">
      <a:noFill/>
      <a:round/>
    </a:ln>
    <a:effectLst/>
  </c:spPr>
  <c:txPr>
    <a:bodyPr/>
    <a:lstStyle/>
    <a:p>
      <a:pPr>
        <a:defRPr sz="900">
          <a:solidFill>
            <a:schemeClr val="tx1"/>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orientation="portrait"/>
  </c:printSettings>
  <c:userShapes r:id="rId3"/>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1" i="0" u="none" strike="noStrike" kern="1200" spc="0" baseline="0">
                <a:solidFill>
                  <a:schemeClr val="tx1"/>
                </a:solidFill>
                <a:latin typeface="Arial" panose="020B0604020202020204" pitchFamily="34" charset="0"/>
                <a:ea typeface="+mn-ea"/>
                <a:cs typeface="Arial" panose="020B0604020202020204" pitchFamily="34" charset="0"/>
              </a:defRPr>
            </a:pPr>
            <a:r>
              <a:rPr lang="en-GB" sz="1100" b="1"/>
              <a:t>Aerospace Propulsion</a:t>
            </a:r>
          </a:p>
        </c:rich>
      </c:tx>
      <c:overlay val="0"/>
      <c:spPr>
        <a:noFill/>
        <a:ln>
          <a:noFill/>
        </a:ln>
        <a:effectLst/>
      </c:spPr>
      <c:txPr>
        <a:bodyPr rot="0" spcFirstLastPara="1" vertOverflow="ellipsis" vert="horz" wrap="square" anchor="ctr" anchorCtr="1"/>
        <a:lstStyle/>
        <a:p>
          <a:pPr>
            <a:defRPr sz="1100" b="1" i="0" u="none" strike="noStrike" kern="1200" spc="0" baseline="0">
              <a:solidFill>
                <a:schemeClr val="tx1"/>
              </a:solidFill>
              <a:latin typeface="Arial" panose="020B0604020202020204" pitchFamily="34" charset="0"/>
              <a:ea typeface="+mn-ea"/>
              <a:cs typeface="Arial" panose="020B0604020202020204" pitchFamily="34" charset="0"/>
            </a:defRPr>
          </a:pPr>
          <a:endParaRPr lang="en-US"/>
        </a:p>
      </c:txPr>
    </c:title>
    <c:autoTitleDeleted val="0"/>
    <c:plotArea>
      <c:layout/>
      <c:lineChart>
        <c:grouping val="standard"/>
        <c:varyColors val="0"/>
        <c:ser>
          <c:idx val="1"/>
          <c:order val="0"/>
          <c:tx>
            <c:v>Sales</c:v>
          </c:tx>
          <c:spPr>
            <a:ln w="28575" cap="rnd">
              <a:solidFill>
                <a:srgbClr val="00355F"/>
              </a:solidFill>
              <a:round/>
            </a:ln>
            <a:effectLst/>
          </c:spPr>
          <c:marker>
            <c:symbol val="none"/>
          </c:marker>
          <c:cat>
            <c:strRef>
              <c:f>OpMod!$BA$9:$BZ$9</c:f>
              <c:strCache>
                <c:ptCount val="26"/>
                <c:pt idx="0">
                  <c:v>1H 2011</c:v>
                </c:pt>
                <c:pt idx="1">
                  <c:v>2H 2011</c:v>
                </c:pt>
                <c:pt idx="2">
                  <c:v>1H 2012</c:v>
                </c:pt>
                <c:pt idx="3">
                  <c:v>2H 2012</c:v>
                </c:pt>
                <c:pt idx="4">
                  <c:v>1H 2013</c:v>
                </c:pt>
                <c:pt idx="5">
                  <c:v>2H 2013</c:v>
                </c:pt>
                <c:pt idx="6">
                  <c:v>1H 2014</c:v>
                </c:pt>
                <c:pt idx="7">
                  <c:v>2H 2014</c:v>
                </c:pt>
                <c:pt idx="8">
                  <c:v>1H 2015</c:v>
                </c:pt>
                <c:pt idx="9">
                  <c:v>2H 2015</c:v>
                </c:pt>
                <c:pt idx="10">
                  <c:v>1H 2016</c:v>
                </c:pt>
                <c:pt idx="11">
                  <c:v>2H 2016</c:v>
                </c:pt>
                <c:pt idx="12">
                  <c:v>1H 2017</c:v>
                </c:pt>
                <c:pt idx="13">
                  <c:v>2H 2017</c:v>
                </c:pt>
                <c:pt idx="14">
                  <c:v>1H 2018</c:v>
                </c:pt>
                <c:pt idx="15">
                  <c:v>2H 2018</c:v>
                </c:pt>
                <c:pt idx="16">
                  <c:v>1H 2019</c:v>
                </c:pt>
                <c:pt idx="17">
                  <c:v>2H 2019</c:v>
                </c:pt>
                <c:pt idx="18">
                  <c:v>1H 2020</c:v>
                </c:pt>
                <c:pt idx="19">
                  <c:v>2H 2020</c:v>
                </c:pt>
                <c:pt idx="20">
                  <c:v>1H 2021</c:v>
                </c:pt>
                <c:pt idx="21">
                  <c:v>2H 2021</c:v>
                </c:pt>
                <c:pt idx="22">
                  <c:v>1H 2022</c:v>
                </c:pt>
                <c:pt idx="23">
                  <c:v>2H 2022</c:v>
                </c:pt>
                <c:pt idx="24">
                  <c:v>1H 2023</c:v>
                </c:pt>
                <c:pt idx="25">
                  <c:v>2H 2023</c:v>
                </c:pt>
              </c:strCache>
            </c:strRef>
          </c:cat>
          <c:val>
            <c:numRef>
              <c:f>Interim!$D$6:$AC$6</c:f>
              <c:numCache>
                <c:formatCode>#,##0;\(#,##0\)</c:formatCode>
                <c:ptCount val="6"/>
                <c:pt idx="0">
                  <c:v>3249</c:v>
                </c:pt>
                <c:pt idx="1">
                  <c:v>4190</c:v>
                </c:pt>
                <c:pt idx="2">
                  <c:v>4176</c:v>
                </c:pt>
                <c:pt idx="3">
                  <c:v>5330</c:v>
                </c:pt>
                <c:pt idx="4">
                  <c:v>5677</c:v>
                </c:pt>
                <c:pt idx="5">
                  <c:v>6199</c:v>
                </c:pt>
              </c:numCache>
            </c:numRef>
          </c:val>
          <c:smooth val="1"/>
          <c:extLst>
            <c:ext xmlns:c16="http://schemas.microsoft.com/office/drawing/2014/chart" uri="{C3380CC4-5D6E-409C-BE32-E72D297353CC}">
              <c16:uniqueId val="{00000000-C8AA-4C6A-8410-A77D5BCA1AD8}"/>
            </c:ext>
          </c:extLst>
        </c:ser>
        <c:dLbls>
          <c:showLegendKey val="0"/>
          <c:showVal val="0"/>
          <c:showCatName val="0"/>
          <c:showSerName val="0"/>
          <c:showPercent val="0"/>
          <c:showBubbleSize val="0"/>
        </c:dLbls>
        <c:marker val="1"/>
        <c:smooth val="0"/>
        <c:axId val="314223296"/>
        <c:axId val="314217888"/>
      </c:lineChart>
      <c:lineChart>
        <c:grouping val="standard"/>
        <c:varyColors val="0"/>
        <c:ser>
          <c:idx val="2"/>
          <c:order val="1"/>
          <c:tx>
            <c:v>EBITA margin (RHS)</c:v>
          </c:tx>
          <c:spPr>
            <a:ln w="28575" cap="rnd">
              <a:solidFill>
                <a:schemeClr val="accent2"/>
              </a:solidFill>
              <a:round/>
            </a:ln>
            <a:effectLst/>
          </c:spPr>
          <c:marker>
            <c:symbol val="none"/>
          </c:marker>
          <c:cat>
            <c:strRef>
              <c:f>OpMod!$BA$9:$BZ$9</c:f>
              <c:strCache>
                <c:ptCount val="26"/>
                <c:pt idx="0">
                  <c:v>1H 2011</c:v>
                </c:pt>
                <c:pt idx="1">
                  <c:v>2H 2011</c:v>
                </c:pt>
                <c:pt idx="2">
                  <c:v>1H 2012</c:v>
                </c:pt>
                <c:pt idx="3">
                  <c:v>2H 2012</c:v>
                </c:pt>
                <c:pt idx="4">
                  <c:v>1H 2013</c:v>
                </c:pt>
                <c:pt idx="5">
                  <c:v>2H 2013</c:v>
                </c:pt>
                <c:pt idx="6">
                  <c:v>1H 2014</c:v>
                </c:pt>
                <c:pt idx="7">
                  <c:v>2H 2014</c:v>
                </c:pt>
                <c:pt idx="8">
                  <c:v>1H 2015</c:v>
                </c:pt>
                <c:pt idx="9">
                  <c:v>2H 2015</c:v>
                </c:pt>
                <c:pt idx="10">
                  <c:v>1H 2016</c:v>
                </c:pt>
                <c:pt idx="11">
                  <c:v>2H 2016</c:v>
                </c:pt>
                <c:pt idx="12">
                  <c:v>1H 2017</c:v>
                </c:pt>
                <c:pt idx="13">
                  <c:v>2H 2017</c:v>
                </c:pt>
                <c:pt idx="14">
                  <c:v>1H 2018</c:v>
                </c:pt>
                <c:pt idx="15">
                  <c:v>2H 2018</c:v>
                </c:pt>
                <c:pt idx="16">
                  <c:v>1H 2019</c:v>
                </c:pt>
                <c:pt idx="17">
                  <c:v>2H 2019</c:v>
                </c:pt>
                <c:pt idx="18">
                  <c:v>1H 2020</c:v>
                </c:pt>
                <c:pt idx="19">
                  <c:v>2H 2020</c:v>
                </c:pt>
                <c:pt idx="20">
                  <c:v>1H 2021</c:v>
                </c:pt>
                <c:pt idx="21">
                  <c:v>2H 2021</c:v>
                </c:pt>
                <c:pt idx="22">
                  <c:v>1H 2022</c:v>
                </c:pt>
                <c:pt idx="23">
                  <c:v>2H 2022</c:v>
                </c:pt>
                <c:pt idx="24">
                  <c:v>1H 2023</c:v>
                </c:pt>
                <c:pt idx="25">
                  <c:v>2H 2023</c:v>
                </c:pt>
              </c:strCache>
            </c:strRef>
          </c:cat>
          <c:val>
            <c:numRef>
              <c:f>Interim!$D$47:$AC$47</c:f>
              <c:numCache>
                <c:formatCode>0.0%</c:formatCode>
                <c:ptCount val="6"/>
                <c:pt idx="0">
                  <c:v>0.15512465373961218</c:v>
                </c:pt>
                <c:pt idx="1">
                  <c:v>0.2</c:v>
                </c:pt>
                <c:pt idx="2">
                  <c:v>0.17313218390804597</c:v>
                </c:pt>
                <c:pt idx="3">
                  <c:v>0.18517823639774858</c:v>
                </c:pt>
                <c:pt idx="4">
                  <c:v>0.18513299277787565</c:v>
                </c:pt>
                <c:pt idx="5">
                  <c:v>0.21600258106146153</c:v>
                </c:pt>
              </c:numCache>
            </c:numRef>
          </c:val>
          <c:smooth val="1"/>
          <c:extLst>
            <c:ext xmlns:c16="http://schemas.microsoft.com/office/drawing/2014/chart" uri="{C3380CC4-5D6E-409C-BE32-E72D297353CC}">
              <c16:uniqueId val="{00000001-C8AA-4C6A-8410-A77D5BCA1AD8}"/>
            </c:ext>
          </c:extLst>
        </c:ser>
        <c:dLbls>
          <c:showLegendKey val="0"/>
          <c:showVal val="0"/>
          <c:showCatName val="0"/>
          <c:showSerName val="0"/>
          <c:showPercent val="0"/>
          <c:showBubbleSize val="0"/>
        </c:dLbls>
        <c:marker val="1"/>
        <c:smooth val="0"/>
        <c:axId val="208161151"/>
        <c:axId val="208159487"/>
      </c:lineChart>
      <c:catAx>
        <c:axId val="31422329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314217888"/>
        <c:crosses val="autoZero"/>
        <c:auto val="1"/>
        <c:lblAlgn val="ctr"/>
        <c:lblOffset val="100"/>
        <c:tickLblSkip val="1"/>
        <c:noMultiLvlLbl val="0"/>
      </c:catAx>
      <c:valAx>
        <c:axId val="314217888"/>
        <c:scaling>
          <c:orientation val="minMax"/>
          <c:max val="8000"/>
          <c:min val="2000"/>
        </c:scaling>
        <c:delete val="0"/>
        <c:axPos val="l"/>
        <c:numFmt formatCode="#,##0;\(#,##0\)" sourceLinked="1"/>
        <c:majorTickMark val="out"/>
        <c:minorTickMark val="none"/>
        <c:tickLblPos val="nextTo"/>
        <c:spPr>
          <a:noFill/>
          <a:ln>
            <a:solidFill>
              <a:schemeClr val="lt1">
                <a:shade val="50000"/>
              </a:schemeClr>
            </a:solidFill>
          </a:ln>
          <a:effectLst/>
        </c:spPr>
        <c:txPr>
          <a:bodyPr rot="-60000000" spcFirstLastPara="1" vertOverflow="ellipsis" vert="horz" wrap="square" anchor="ctr" anchorCtr="1"/>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314223296"/>
        <c:crosses val="autoZero"/>
        <c:crossBetween val="midCat"/>
        <c:dispUnits>
          <c:builtInUnit val="thousands"/>
        </c:dispUnits>
      </c:valAx>
      <c:valAx>
        <c:axId val="208159487"/>
        <c:scaling>
          <c:orientation val="minMax"/>
          <c:max val="0.24000000000000002"/>
          <c:min val="0.1"/>
        </c:scaling>
        <c:delete val="0"/>
        <c:axPos val="r"/>
        <c:numFmt formatCode="0%" sourceLinked="0"/>
        <c:majorTickMark val="out"/>
        <c:minorTickMark val="none"/>
        <c:tickLblPos val="nextTo"/>
        <c:spPr>
          <a:noFill/>
          <a:ln>
            <a:solidFill>
              <a:schemeClr val="lt1">
                <a:shade val="50000"/>
              </a:schemeClr>
            </a:solidFill>
          </a:ln>
          <a:effectLst/>
        </c:spPr>
        <c:txPr>
          <a:bodyPr rot="-60000000" spcFirstLastPara="1" vertOverflow="ellipsis" vert="horz" wrap="square" anchor="ctr" anchorCtr="1"/>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208161151"/>
        <c:crosses val="max"/>
        <c:crossBetween val="between"/>
      </c:valAx>
      <c:catAx>
        <c:axId val="208161151"/>
        <c:scaling>
          <c:orientation val="minMax"/>
        </c:scaling>
        <c:delete val="1"/>
        <c:axPos val="b"/>
        <c:numFmt formatCode="General" sourceLinked="1"/>
        <c:majorTickMark val="out"/>
        <c:minorTickMark val="none"/>
        <c:tickLblPos val="nextTo"/>
        <c:crossAx val="208159487"/>
        <c:crosses val="autoZero"/>
        <c:auto val="1"/>
        <c:lblAlgn val="ctr"/>
        <c:lblOffset val="100"/>
        <c:noMultiLvlLbl val="0"/>
      </c:catAx>
      <c:spPr>
        <a:noFill/>
        <a:ln w="25400">
          <a:noFill/>
        </a:ln>
        <a:effectLst/>
      </c:spPr>
    </c:plotArea>
    <c:legend>
      <c:legendPos val="b"/>
      <c:layout>
        <c:manualLayout>
          <c:xMode val="edge"/>
          <c:yMode val="edge"/>
          <c:x val="0.29188730314960631"/>
          <c:y val="0.93284409448818895"/>
          <c:w val="0.48134534940944884"/>
          <c:h val="6.7155905511811026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chart>
  <c:spPr>
    <a:solidFill>
      <a:schemeClr val="bg1"/>
    </a:solidFill>
    <a:ln w="9525" cap="flat" cmpd="sng" algn="ctr">
      <a:noFill/>
      <a:round/>
    </a:ln>
    <a:effectLst/>
  </c:spPr>
  <c:txPr>
    <a:bodyPr/>
    <a:lstStyle/>
    <a:p>
      <a:pPr>
        <a:defRPr sz="900">
          <a:solidFill>
            <a:schemeClr val="tx1"/>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orientation="portrait"/>
  </c:printSettings>
  <c:userShapes r:id="rId3"/>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1" i="0" u="none" strike="noStrike" kern="1200" spc="0" baseline="0">
                <a:solidFill>
                  <a:schemeClr val="tx1"/>
                </a:solidFill>
                <a:latin typeface="Arial" panose="020B0604020202020204" pitchFamily="34" charset="0"/>
                <a:ea typeface="+mn-ea"/>
                <a:cs typeface="Arial" panose="020B0604020202020204" pitchFamily="34" charset="0"/>
              </a:defRPr>
            </a:pPr>
            <a:r>
              <a:rPr lang="en-GB" sz="1100" b="1"/>
              <a:t>AEDAS</a:t>
            </a:r>
          </a:p>
        </c:rich>
      </c:tx>
      <c:overlay val="0"/>
      <c:spPr>
        <a:noFill/>
        <a:ln>
          <a:noFill/>
        </a:ln>
        <a:effectLst/>
      </c:spPr>
      <c:txPr>
        <a:bodyPr rot="0" spcFirstLastPara="1" vertOverflow="ellipsis" vert="horz" wrap="square" anchor="ctr" anchorCtr="1"/>
        <a:lstStyle/>
        <a:p>
          <a:pPr>
            <a:defRPr sz="1100" b="1" i="0" u="none" strike="noStrike" kern="1200" spc="0" baseline="0">
              <a:solidFill>
                <a:schemeClr val="tx1"/>
              </a:solidFill>
              <a:latin typeface="Arial" panose="020B0604020202020204" pitchFamily="34" charset="0"/>
              <a:ea typeface="+mn-ea"/>
              <a:cs typeface="Arial" panose="020B0604020202020204" pitchFamily="34" charset="0"/>
            </a:defRPr>
          </a:pPr>
          <a:endParaRPr lang="en-US"/>
        </a:p>
      </c:txPr>
    </c:title>
    <c:autoTitleDeleted val="0"/>
    <c:plotArea>
      <c:layout/>
      <c:lineChart>
        <c:grouping val="standard"/>
        <c:varyColors val="0"/>
        <c:dLbls>
          <c:showLegendKey val="0"/>
          <c:showVal val="0"/>
          <c:showCatName val="0"/>
          <c:showSerName val="0"/>
          <c:showPercent val="0"/>
          <c:showBubbleSize val="0"/>
        </c:dLbls>
        <c:marker val="1"/>
        <c:smooth val="0"/>
        <c:axId val="314223296"/>
        <c:axId val="314217888"/>
        <c:extLst>
          <c:ext xmlns:c15="http://schemas.microsoft.com/office/drawing/2012/chart" uri="{02D57815-91ED-43cb-92C2-25804820EDAC}">
            <c15:filteredLineSeries>
              <c15:ser>
                <c:idx val="1"/>
                <c:order val="0"/>
                <c:tx>
                  <c:v>Sales</c:v>
                </c:tx>
                <c:spPr>
                  <a:ln w="28575" cap="rnd">
                    <a:solidFill>
                      <a:srgbClr val="00355F"/>
                    </a:solidFill>
                    <a:round/>
                  </a:ln>
                  <a:effectLst/>
                </c:spPr>
                <c:marker>
                  <c:symbol val="none"/>
                </c:marker>
                <c:cat>
                  <c:strRef>
                    <c:extLst>
                      <c:ext uri="{02D57815-91ED-43cb-92C2-25804820EDAC}">
                        <c15:fullRef>
                          <c15:sqref>OpMod!$BA$9:$BZ$9</c15:sqref>
                        </c15:fullRef>
                        <c15:formulaRef>
                          <c15:sqref>OpMod!$BO$9:$BZ$9</c15:sqref>
                        </c15:formulaRef>
                      </c:ext>
                    </c:extLst>
                    <c:strCache>
                      <c:ptCount val="26"/>
                      <c:pt idx="0">
                        <c:v>1H 2011</c:v>
                      </c:pt>
                      <c:pt idx="1">
                        <c:v>2H 2011</c:v>
                      </c:pt>
                      <c:pt idx="2">
                        <c:v>1H 2012</c:v>
                      </c:pt>
                      <c:pt idx="3">
                        <c:v>2H 2012</c:v>
                      </c:pt>
                      <c:pt idx="4">
                        <c:v>1H 2013</c:v>
                      </c:pt>
                      <c:pt idx="5">
                        <c:v>2H 2013</c:v>
                      </c:pt>
                      <c:pt idx="6">
                        <c:v>1H 2014</c:v>
                      </c:pt>
                      <c:pt idx="7">
                        <c:v>2H 2014</c:v>
                      </c:pt>
                      <c:pt idx="8">
                        <c:v>1H 2015</c:v>
                      </c:pt>
                      <c:pt idx="9">
                        <c:v>2H 2015</c:v>
                      </c:pt>
                      <c:pt idx="10">
                        <c:v>1H 2016</c:v>
                      </c:pt>
                      <c:pt idx="11">
                        <c:v>2H 2016</c:v>
                      </c:pt>
                      <c:pt idx="12">
                        <c:v>1H 2017</c:v>
                      </c:pt>
                      <c:pt idx="13">
                        <c:v>2H 2017</c:v>
                      </c:pt>
                      <c:pt idx="14">
                        <c:v>1H 2018</c:v>
                      </c:pt>
                      <c:pt idx="15">
                        <c:v>2H 2018</c:v>
                      </c:pt>
                      <c:pt idx="16">
                        <c:v>1H 2019</c:v>
                      </c:pt>
                      <c:pt idx="17">
                        <c:v>2H 2019</c:v>
                      </c:pt>
                      <c:pt idx="18">
                        <c:v>1H 2020</c:v>
                      </c:pt>
                      <c:pt idx="19">
                        <c:v>2H 2020</c:v>
                      </c:pt>
                      <c:pt idx="20">
                        <c:v>1H 2021</c:v>
                      </c:pt>
                      <c:pt idx="21">
                        <c:v>2H 2021</c:v>
                      </c:pt>
                      <c:pt idx="22">
                        <c:v>1H 2022</c:v>
                      </c:pt>
                      <c:pt idx="23">
                        <c:v>2H 2022</c:v>
                      </c:pt>
                      <c:pt idx="24">
                        <c:v>1H 2023</c:v>
                      </c:pt>
                      <c:pt idx="25">
                        <c:v>2H 2023</c:v>
                      </c:pt>
                    </c:strCache>
                  </c:strRef>
                </c:cat>
                <c:val>
                  <c:numRef>
                    <c:extLst>
                      <c:ext uri="{02D57815-91ED-43cb-92C2-25804820EDAC}">
                        <c15:fullRef>
                          <c15:sqref>Interim!$D$10:$AC$10</c15:sqref>
                        </c15:fullRef>
                        <c15:formulaRef>
                          <c15:sqref>Interim!$R$10:$AC$10</c15:sqref>
                        </c15:formulaRef>
                      </c:ext>
                    </c:extLst>
                    <c:numCache>
                      <c:formatCode>#,##0;\(#,##0\)</c:formatCode>
                      <c:ptCount val="6"/>
                      <c:pt idx="0">
                        <c:v>2972</c:v>
                      </c:pt>
                      <c:pt idx="1">
                        <c:v>3353</c:v>
                      </c:pt>
                      <c:pt idx="2">
                        <c:v>3506</c:v>
                      </c:pt>
                      <c:pt idx="3">
                        <c:v>4029</c:v>
                      </c:pt>
                      <c:pt idx="4">
                        <c:v>4100</c:v>
                      </c:pt>
                      <c:pt idx="5">
                        <c:v>4735</c:v>
                      </c:pt>
                    </c:numCache>
                  </c:numRef>
                </c:val>
                <c:smooth val="1"/>
                <c:extLst>
                  <c:ext xmlns:c16="http://schemas.microsoft.com/office/drawing/2014/chart" uri="{C3380CC4-5D6E-409C-BE32-E72D297353CC}">
                    <c16:uniqueId val="{00000000-F767-433F-AE27-1B2A7E1E96D0}"/>
                  </c:ext>
                </c:extLst>
              </c15:ser>
            </c15:filteredLineSeries>
          </c:ext>
        </c:extLst>
      </c:lineChart>
      <c:lineChart>
        <c:grouping val="standard"/>
        <c:varyColors val="0"/>
        <c:dLbls>
          <c:showLegendKey val="0"/>
          <c:showVal val="0"/>
          <c:showCatName val="0"/>
          <c:showSerName val="0"/>
          <c:showPercent val="0"/>
          <c:showBubbleSize val="0"/>
        </c:dLbls>
        <c:marker val="1"/>
        <c:smooth val="0"/>
        <c:axId val="208161151"/>
        <c:axId val="208159487"/>
        <c:extLst>
          <c:ext xmlns:c15="http://schemas.microsoft.com/office/drawing/2012/chart" uri="{02D57815-91ED-43cb-92C2-25804820EDAC}">
            <c15:filteredLineSeries>
              <c15:ser>
                <c:idx val="2"/>
                <c:order val="1"/>
                <c:tx>
                  <c:v>EBITA margin (RHS)</c:v>
                </c:tx>
                <c:spPr>
                  <a:ln w="28575" cap="rnd">
                    <a:solidFill>
                      <a:schemeClr val="accent2"/>
                    </a:solidFill>
                    <a:round/>
                  </a:ln>
                  <a:effectLst/>
                </c:spPr>
                <c:marker>
                  <c:symbol val="none"/>
                </c:marker>
                <c:cat>
                  <c:strRef>
                    <c:extLst>
                      <c:ext uri="{02D57815-91ED-43cb-92C2-25804820EDAC}">
                        <c15:fullRef>
                          <c15:sqref>OpMod!$BA$9:$BZ$9</c15:sqref>
                        </c15:fullRef>
                        <c15:formulaRef>
                          <c15:sqref>OpMod!$BO$9:$BZ$9</c15:sqref>
                        </c15:formulaRef>
                      </c:ext>
                    </c:extLst>
                    <c:strCache>
                      <c:ptCount val="26"/>
                      <c:pt idx="0">
                        <c:v>1H 2011</c:v>
                      </c:pt>
                      <c:pt idx="1">
                        <c:v>2H 2011</c:v>
                      </c:pt>
                      <c:pt idx="2">
                        <c:v>1H 2012</c:v>
                      </c:pt>
                      <c:pt idx="3">
                        <c:v>2H 2012</c:v>
                      </c:pt>
                      <c:pt idx="4">
                        <c:v>1H 2013</c:v>
                      </c:pt>
                      <c:pt idx="5">
                        <c:v>2H 2013</c:v>
                      </c:pt>
                      <c:pt idx="6">
                        <c:v>1H 2014</c:v>
                      </c:pt>
                      <c:pt idx="7">
                        <c:v>2H 2014</c:v>
                      </c:pt>
                      <c:pt idx="8">
                        <c:v>1H 2015</c:v>
                      </c:pt>
                      <c:pt idx="9">
                        <c:v>2H 2015</c:v>
                      </c:pt>
                      <c:pt idx="10">
                        <c:v>1H 2016</c:v>
                      </c:pt>
                      <c:pt idx="11">
                        <c:v>2H 2016</c:v>
                      </c:pt>
                      <c:pt idx="12">
                        <c:v>1H 2017</c:v>
                      </c:pt>
                      <c:pt idx="13">
                        <c:v>2H 2017</c:v>
                      </c:pt>
                      <c:pt idx="14">
                        <c:v>1H 2018</c:v>
                      </c:pt>
                      <c:pt idx="15">
                        <c:v>2H 2018</c:v>
                      </c:pt>
                      <c:pt idx="16">
                        <c:v>1H 2019</c:v>
                      </c:pt>
                      <c:pt idx="17">
                        <c:v>2H 2019</c:v>
                      </c:pt>
                      <c:pt idx="18">
                        <c:v>1H 2020</c:v>
                      </c:pt>
                      <c:pt idx="19">
                        <c:v>2H 2020</c:v>
                      </c:pt>
                      <c:pt idx="20">
                        <c:v>1H 2021</c:v>
                      </c:pt>
                      <c:pt idx="21">
                        <c:v>2H 2021</c:v>
                      </c:pt>
                      <c:pt idx="22">
                        <c:v>1H 2022</c:v>
                      </c:pt>
                      <c:pt idx="23">
                        <c:v>2H 2022</c:v>
                      </c:pt>
                      <c:pt idx="24">
                        <c:v>1H 2023</c:v>
                      </c:pt>
                      <c:pt idx="25">
                        <c:v>2H 2023</c:v>
                      </c:pt>
                    </c:strCache>
                  </c:strRef>
                </c:cat>
                <c:val>
                  <c:numRef>
                    <c:extLst>
                      <c:ext uri="{02D57815-91ED-43cb-92C2-25804820EDAC}">
                        <c15:fullRef>
                          <c15:sqref>Interim!$D$51:$AC$51</c15:sqref>
                        </c15:fullRef>
                        <c15:formulaRef>
                          <c15:sqref>Interim!$R$51:$AC$51</c15:sqref>
                        </c15:formulaRef>
                      </c:ext>
                    </c:extLst>
                    <c:numCache>
                      <c:formatCode>0.0%</c:formatCode>
                      <c:ptCount val="6"/>
                      <c:pt idx="0">
                        <c:v>9.0847913862718704E-2</c:v>
                      </c:pt>
                      <c:pt idx="1">
                        <c:v>0.11333134506412168</c:v>
                      </c:pt>
                      <c:pt idx="2">
                        <c:v>0.11722760981175129</c:v>
                      </c:pt>
                      <c:pt idx="3">
                        <c:v>0.1149168528170762</c:v>
                      </c:pt>
                      <c:pt idx="4">
                        <c:v>0.11365853658536586</c:v>
                      </c:pt>
                      <c:pt idx="5">
                        <c:v>0.11108764519535375</c:v>
                      </c:pt>
                    </c:numCache>
                  </c:numRef>
                </c:val>
                <c:smooth val="1"/>
                <c:extLst>
                  <c:ext xmlns:c16="http://schemas.microsoft.com/office/drawing/2014/chart" uri="{C3380CC4-5D6E-409C-BE32-E72D297353CC}">
                    <c16:uniqueId val="{00000001-F767-433F-AE27-1B2A7E1E96D0}"/>
                  </c:ext>
                </c:extLst>
              </c15:ser>
            </c15:filteredLineSeries>
          </c:ext>
        </c:extLst>
      </c:lineChart>
      <c:catAx>
        <c:axId val="31422329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314217888"/>
        <c:crosses val="autoZero"/>
        <c:auto val="1"/>
        <c:lblAlgn val="ctr"/>
        <c:lblOffset val="100"/>
        <c:tickLblSkip val="1"/>
        <c:noMultiLvlLbl val="0"/>
      </c:catAx>
      <c:valAx>
        <c:axId val="314217888"/>
        <c:scaling>
          <c:orientation val="minMax"/>
          <c:min val="2500"/>
        </c:scaling>
        <c:delete val="0"/>
        <c:axPos val="l"/>
        <c:numFmt formatCode="#,##0.0" sourceLinked="0"/>
        <c:majorTickMark val="out"/>
        <c:minorTickMark val="none"/>
        <c:tickLblPos val="nextTo"/>
        <c:spPr>
          <a:noFill/>
          <a:ln>
            <a:solidFill>
              <a:schemeClr val="lt1">
                <a:shade val="50000"/>
              </a:schemeClr>
            </a:solidFill>
          </a:ln>
          <a:effectLst/>
        </c:spPr>
        <c:txPr>
          <a:bodyPr rot="-60000000" spcFirstLastPara="1" vertOverflow="ellipsis" vert="horz" wrap="square" anchor="ctr" anchorCtr="1"/>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314223296"/>
        <c:crosses val="autoZero"/>
        <c:crossBetween val="midCat"/>
        <c:dispUnits>
          <c:builtInUnit val="thousands"/>
        </c:dispUnits>
      </c:valAx>
      <c:valAx>
        <c:axId val="208159487"/>
        <c:scaling>
          <c:orientation val="minMax"/>
          <c:min val="8.0000000000000016E-2"/>
        </c:scaling>
        <c:delete val="0"/>
        <c:axPos val="r"/>
        <c:numFmt formatCode="0%" sourceLinked="0"/>
        <c:majorTickMark val="out"/>
        <c:minorTickMark val="none"/>
        <c:tickLblPos val="nextTo"/>
        <c:spPr>
          <a:noFill/>
          <a:ln>
            <a:solidFill>
              <a:schemeClr val="lt1">
                <a:shade val="50000"/>
              </a:schemeClr>
            </a:solidFill>
          </a:ln>
          <a:effectLst/>
        </c:spPr>
        <c:txPr>
          <a:bodyPr rot="-60000000" spcFirstLastPara="1" vertOverflow="ellipsis" vert="horz" wrap="square" anchor="ctr" anchorCtr="1"/>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208161151"/>
        <c:crosses val="max"/>
        <c:crossBetween val="between"/>
      </c:valAx>
      <c:catAx>
        <c:axId val="208161151"/>
        <c:scaling>
          <c:orientation val="minMax"/>
        </c:scaling>
        <c:delete val="1"/>
        <c:axPos val="b"/>
        <c:numFmt formatCode="General" sourceLinked="1"/>
        <c:majorTickMark val="out"/>
        <c:minorTickMark val="none"/>
        <c:tickLblPos val="nextTo"/>
        <c:crossAx val="208159487"/>
        <c:crosses val="autoZero"/>
        <c:auto val="1"/>
        <c:lblAlgn val="ctr"/>
        <c:lblOffset val="100"/>
        <c:noMultiLvlLbl val="0"/>
      </c:catAx>
      <c:spPr>
        <a:noFill/>
        <a:ln w="25400">
          <a:noFill/>
        </a:ln>
        <a:effectLst/>
      </c:spPr>
    </c:plotArea>
    <c:legend>
      <c:legendPos val="b"/>
      <c:layout>
        <c:manualLayout>
          <c:xMode val="edge"/>
          <c:yMode val="edge"/>
          <c:x val="0.29188730314960631"/>
          <c:y val="0.93284409448818895"/>
          <c:w val="0.48134534940944884"/>
          <c:h val="6.7155905511811026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chart>
  <c:spPr>
    <a:solidFill>
      <a:schemeClr val="bg1"/>
    </a:solidFill>
    <a:ln w="9525" cap="flat" cmpd="sng" algn="ctr">
      <a:noFill/>
      <a:round/>
    </a:ln>
    <a:effectLst/>
  </c:spPr>
  <c:txPr>
    <a:bodyPr/>
    <a:lstStyle/>
    <a:p>
      <a:pPr>
        <a:defRPr sz="900">
          <a:solidFill>
            <a:schemeClr val="tx1"/>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orientation="portrait"/>
  </c:printSettings>
  <c:userShapes r:id="rId3"/>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1" i="0" u="none" strike="noStrike" kern="1200" spc="0" baseline="0">
                <a:solidFill>
                  <a:schemeClr val="tx1"/>
                </a:solidFill>
                <a:latin typeface="Arial" panose="020B0604020202020204" pitchFamily="34" charset="0"/>
                <a:ea typeface="+mn-ea"/>
                <a:cs typeface="Arial" panose="020B0604020202020204" pitchFamily="34" charset="0"/>
              </a:defRPr>
            </a:pPr>
            <a:r>
              <a:rPr lang="en-GB" sz="1100" b="1"/>
              <a:t>Interiors</a:t>
            </a:r>
          </a:p>
        </c:rich>
      </c:tx>
      <c:overlay val="0"/>
      <c:spPr>
        <a:noFill/>
        <a:ln>
          <a:noFill/>
        </a:ln>
        <a:effectLst/>
      </c:spPr>
      <c:txPr>
        <a:bodyPr rot="0" spcFirstLastPara="1" vertOverflow="ellipsis" vert="horz" wrap="square" anchor="ctr" anchorCtr="1"/>
        <a:lstStyle/>
        <a:p>
          <a:pPr>
            <a:defRPr sz="1100" b="1" i="0" u="none" strike="noStrike" kern="1200" spc="0" baseline="0">
              <a:solidFill>
                <a:schemeClr val="tx1"/>
              </a:solidFill>
              <a:latin typeface="Arial" panose="020B0604020202020204" pitchFamily="34" charset="0"/>
              <a:ea typeface="+mn-ea"/>
              <a:cs typeface="Arial" panose="020B0604020202020204" pitchFamily="34" charset="0"/>
            </a:defRPr>
          </a:pPr>
          <a:endParaRPr lang="en-US"/>
        </a:p>
      </c:txPr>
    </c:title>
    <c:autoTitleDeleted val="0"/>
    <c:plotArea>
      <c:layout/>
      <c:lineChart>
        <c:grouping val="standard"/>
        <c:varyColors val="0"/>
        <c:dLbls>
          <c:showLegendKey val="0"/>
          <c:showVal val="0"/>
          <c:showCatName val="0"/>
          <c:showSerName val="0"/>
          <c:showPercent val="0"/>
          <c:showBubbleSize val="0"/>
        </c:dLbls>
        <c:marker val="1"/>
        <c:smooth val="0"/>
        <c:axId val="314223296"/>
        <c:axId val="314217888"/>
        <c:extLst>
          <c:ext xmlns:c15="http://schemas.microsoft.com/office/drawing/2012/chart" uri="{02D57815-91ED-43cb-92C2-25804820EDAC}">
            <c15:filteredLineSeries>
              <c15:ser>
                <c:idx val="1"/>
                <c:order val="0"/>
                <c:tx>
                  <c:v>Sales</c:v>
                </c:tx>
                <c:spPr>
                  <a:ln w="28575" cap="rnd">
                    <a:solidFill>
                      <a:srgbClr val="00355F"/>
                    </a:solidFill>
                    <a:round/>
                  </a:ln>
                  <a:effectLst/>
                </c:spPr>
                <c:marker>
                  <c:symbol val="none"/>
                </c:marker>
                <c:cat>
                  <c:strRef>
                    <c:extLst>
                      <c:ext uri="{02D57815-91ED-43cb-92C2-25804820EDAC}">
                        <c15:fullRef>
                          <c15:sqref>OpMod!$BA$9:$BZ$9</c15:sqref>
                        </c15:fullRef>
                        <c15:formulaRef>
                          <c15:sqref>OpMod!$BO$9:$BZ$9</c15:sqref>
                        </c15:formulaRef>
                      </c:ext>
                    </c:extLst>
                    <c:strCache>
                      <c:ptCount val="26"/>
                      <c:pt idx="0">
                        <c:v>1H 2011</c:v>
                      </c:pt>
                      <c:pt idx="1">
                        <c:v>2H 2011</c:v>
                      </c:pt>
                      <c:pt idx="2">
                        <c:v>1H 2012</c:v>
                      </c:pt>
                      <c:pt idx="3">
                        <c:v>2H 2012</c:v>
                      </c:pt>
                      <c:pt idx="4">
                        <c:v>1H 2013</c:v>
                      </c:pt>
                      <c:pt idx="5">
                        <c:v>2H 2013</c:v>
                      </c:pt>
                      <c:pt idx="6">
                        <c:v>1H 2014</c:v>
                      </c:pt>
                      <c:pt idx="7">
                        <c:v>2H 2014</c:v>
                      </c:pt>
                      <c:pt idx="8">
                        <c:v>1H 2015</c:v>
                      </c:pt>
                      <c:pt idx="9">
                        <c:v>2H 2015</c:v>
                      </c:pt>
                      <c:pt idx="10">
                        <c:v>1H 2016</c:v>
                      </c:pt>
                      <c:pt idx="11">
                        <c:v>2H 2016</c:v>
                      </c:pt>
                      <c:pt idx="12">
                        <c:v>1H 2017</c:v>
                      </c:pt>
                      <c:pt idx="13">
                        <c:v>2H 2017</c:v>
                      </c:pt>
                      <c:pt idx="14">
                        <c:v>1H 2018</c:v>
                      </c:pt>
                      <c:pt idx="15">
                        <c:v>2H 2018</c:v>
                      </c:pt>
                      <c:pt idx="16">
                        <c:v>1H 2019</c:v>
                      </c:pt>
                      <c:pt idx="17">
                        <c:v>2H 2019</c:v>
                      </c:pt>
                      <c:pt idx="18">
                        <c:v>1H 2020</c:v>
                      </c:pt>
                      <c:pt idx="19">
                        <c:v>2H 2020</c:v>
                      </c:pt>
                      <c:pt idx="20">
                        <c:v>1H 2021</c:v>
                      </c:pt>
                      <c:pt idx="21">
                        <c:v>2H 2021</c:v>
                      </c:pt>
                      <c:pt idx="22">
                        <c:v>1H 2022</c:v>
                      </c:pt>
                      <c:pt idx="23">
                        <c:v>2H 2022</c:v>
                      </c:pt>
                      <c:pt idx="24">
                        <c:v>1H 2023</c:v>
                      </c:pt>
                      <c:pt idx="25">
                        <c:v>2H 2023</c:v>
                      </c:pt>
                    </c:strCache>
                  </c:strRef>
                </c:cat>
                <c:val>
                  <c:numRef>
                    <c:extLst>
                      <c:ext uri="{02D57815-91ED-43cb-92C2-25804820EDAC}">
                        <c15:fullRef>
                          <c15:sqref>Interim!$D$11:$AC$11</c15:sqref>
                        </c15:fullRef>
                        <c15:formulaRef>
                          <c15:sqref>Interim!$R$11:$AC$11</c15:sqref>
                        </c15:formulaRef>
                      </c:ext>
                    </c:extLst>
                    <c:numCache>
                      <c:formatCode>#,##0;\(#,##0\)</c:formatCode>
                      <c:ptCount val="6"/>
                      <c:pt idx="0">
                        <c:v>646</c:v>
                      </c:pt>
                      <c:pt idx="1">
                        <c:v>829</c:v>
                      </c:pt>
                      <c:pt idx="2">
                        <c:v>870</c:v>
                      </c:pt>
                      <c:pt idx="3">
                        <c:v>1108</c:v>
                      </c:pt>
                      <c:pt idx="4">
                        <c:v>1163</c:v>
                      </c:pt>
                      <c:pt idx="5">
                        <c:v>1314</c:v>
                      </c:pt>
                    </c:numCache>
                  </c:numRef>
                </c:val>
                <c:smooth val="1"/>
                <c:extLst>
                  <c:ext xmlns:c16="http://schemas.microsoft.com/office/drawing/2014/chart" uri="{C3380CC4-5D6E-409C-BE32-E72D297353CC}">
                    <c16:uniqueId val="{00000000-94E4-4C10-AF30-7C27AAE7F500}"/>
                  </c:ext>
                </c:extLst>
              </c15:ser>
            </c15:filteredLineSeries>
          </c:ext>
        </c:extLst>
      </c:lineChart>
      <c:lineChart>
        <c:grouping val="standard"/>
        <c:varyColors val="0"/>
        <c:dLbls>
          <c:showLegendKey val="0"/>
          <c:showVal val="0"/>
          <c:showCatName val="0"/>
          <c:showSerName val="0"/>
          <c:showPercent val="0"/>
          <c:showBubbleSize val="0"/>
        </c:dLbls>
        <c:marker val="1"/>
        <c:smooth val="0"/>
        <c:axId val="208161151"/>
        <c:axId val="208159487"/>
        <c:extLst>
          <c:ext xmlns:c15="http://schemas.microsoft.com/office/drawing/2012/chart" uri="{02D57815-91ED-43cb-92C2-25804820EDAC}">
            <c15:filteredLineSeries>
              <c15:ser>
                <c:idx val="2"/>
                <c:order val="1"/>
                <c:tx>
                  <c:v>EBITA margin (RHS)</c:v>
                </c:tx>
                <c:spPr>
                  <a:ln w="28575" cap="rnd">
                    <a:solidFill>
                      <a:schemeClr val="accent2"/>
                    </a:solidFill>
                    <a:round/>
                  </a:ln>
                  <a:effectLst/>
                </c:spPr>
                <c:marker>
                  <c:symbol val="none"/>
                </c:marker>
                <c:cat>
                  <c:strRef>
                    <c:extLst>
                      <c:ext uri="{02D57815-91ED-43cb-92C2-25804820EDAC}">
                        <c15:fullRef>
                          <c15:sqref>OpMod!$BA$9:$BZ$9</c15:sqref>
                        </c15:fullRef>
                        <c15:formulaRef>
                          <c15:sqref>OpMod!$BO$9:$BZ$9</c15:sqref>
                        </c15:formulaRef>
                      </c:ext>
                    </c:extLst>
                    <c:strCache>
                      <c:ptCount val="26"/>
                      <c:pt idx="0">
                        <c:v>1H 2011</c:v>
                      </c:pt>
                      <c:pt idx="1">
                        <c:v>2H 2011</c:v>
                      </c:pt>
                      <c:pt idx="2">
                        <c:v>1H 2012</c:v>
                      </c:pt>
                      <c:pt idx="3">
                        <c:v>2H 2012</c:v>
                      </c:pt>
                      <c:pt idx="4">
                        <c:v>1H 2013</c:v>
                      </c:pt>
                      <c:pt idx="5">
                        <c:v>2H 2013</c:v>
                      </c:pt>
                      <c:pt idx="6">
                        <c:v>1H 2014</c:v>
                      </c:pt>
                      <c:pt idx="7">
                        <c:v>2H 2014</c:v>
                      </c:pt>
                      <c:pt idx="8">
                        <c:v>1H 2015</c:v>
                      </c:pt>
                      <c:pt idx="9">
                        <c:v>2H 2015</c:v>
                      </c:pt>
                      <c:pt idx="10">
                        <c:v>1H 2016</c:v>
                      </c:pt>
                      <c:pt idx="11">
                        <c:v>2H 2016</c:v>
                      </c:pt>
                      <c:pt idx="12">
                        <c:v>1H 2017</c:v>
                      </c:pt>
                      <c:pt idx="13">
                        <c:v>2H 2017</c:v>
                      </c:pt>
                      <c:pt idx="14">
                        <c:v>1H 2018</c:v>
                      </c:pt>
                      <c:pt idx="15">
                        <c:v>2H 2018</c:v>
                      </c:pt>
                      <c:pt idx="16">
                        <c:v>1H 2019</c:v>
                      </c:pt>
                      <c:pt idx="17">
                        <c:v>2H 2019</c:v>
                      </c:pt>
                      <c:pt idx="18">
                        <c:v>1H 2020</c:v>
                      </c:pt>
                      <c:pt idx="19">
                        <c:v>2H 2020</c:v>
                      </c:pt>
                      <c:pt idx="20">
                        <c:v>1H 2021</c:v>
                      </c:pt>
                      <c:pt idx="21">
                        <c:v>2H 2021</c:v>
                      </c:pt>
                      <c:pt idx="22">
                        <c:v>1H 2022</c:v>
                      </c:pt>
                      <c:pt idx="23">
                        <c:v>2H 2022</c:v>
                      </c:pt>
                      <c:pt idx="24">
                        <c:v>1H 2023</c:v>
                      </c:pt>
                      <c:pt idx="25">
                        <c:v>2H 2023</c:v>
                      </c:pt>
                    </c:strCache>
                  </c:strRef>
                </c:cat>
                <c:val>
                  <c:numRef>
                    <c:extLst>
                      <c:ext uri="{02D57815-91ED-43cb-92C2-25804820EDAC}">
                        <c15:fullRef>
                          <c15:sqref>Interim!$D$52:$AC$52</c15:sqref>
                        </c15:fullRef>
                        <c15:formulaRef>
                          <c15:sqref>Interim!$R$52:$AC$52</c15:sqref>
                        </c15:formulaRef>
                      </c:ext>
                    </c:extLst>
                    <c:numCache>
                      <c:formatCode>0.0%</c:formatCode>
                      <c:ptCount val="6"/>
                      <c:pt idx="0">
                        <c:v>-0.17027863777089783</c:v>
                      </c:pt>
                      <c:pt idx="1">
                        <c:v>-6.8757539203860074E-2</c:v>
                      </c:pt>
                      <c:pt idx="2">
                        <c:v>-9.4252873563218389E-2</c:v>
                      </c:pt>
                      <c:pt idx="3">
                        <c:v>-5.2346570397111915E-2</c:v>
                      </c:pt>
                      <c:pt idx="4">
                        <c:v>-8.5984522785898534E-2</c:v>
                      </c:pt>
                      <c:pt idx="5">
                        <c:v>-1.2176560121765601E-2</c:v>
                      </c:pt>
                    </c:numCache>
                  </c:numRef>
                </c:val>
                <c:smooth val="1"/>
                <c:extLst>
                  <c:ext xmlns:c16="http://schemas.microsoft.com/office/drawing/2014/chart" uri="{C3380CC4-5D6E-409C-BE32-E72D297353CC}">
                    <c16:uniqueId val="{00000001-94E4-4C10-AF30-7C27AAE7F500}"/>
                  </c:ext>
                </c:extLst>
              </c15:ser>
            </c15:filteredLineSeries>
          </c:ext>
        </c:extLst>
      </c:lineChart>
      <c:catAx>
        <c:axId val="31422329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314217888"/>
        <c:crosses val="autoZero"/>
        <c:auto val="1"/>
        <c:lblAlgn val="ctr"/>
        <c:lblOffset val="100"/>
        <c:tickLblSkip val="1"/>
        <c:noMultiLvlLbl val="0"/>
      </c:catAx>
      <c:valAx>
        <c:axId val="314217888"/>
        <c:scaling>
          <c:orientation val="minMax"/>
          <c:max val="1800"/>
          <c:min val="400"/>
        </c:scaling>
        <c:delete val="0"/>
        <c:axPos val="l"/>
        <c:numFmt formatCode="#,##0.0" sourceLinked="0"/>
        <c:majorTickMark val="out"/>
        <c:minorTickMark val="none"/>
        <c:tickLblPos val="nextTo"/>
        <c:spPr>
          <a:noFill/>
          <a:ln>
            <a:solidFill>
              <a:schemeClr val="lt1">
                <a:shade val="50000"/>
              </a:schemeClr>
            </a:solidFill>
          </a:ln>
          <a:effectLst/>
        </c:spPr>
        <c:txPr>
          <a:bodyPr rot="-60000000" spcFirstLastPara="1" vertOverflow="ellipsis" vert="horz" wrap="square" anchor="ctr" anchorCtr="1"/>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314223296"/>
        <c:crosses val="autoZero"/>
        <c:crossBetween val="midCat"/>
        <c:dispUnits>
          <c:builtInUnit val="thousands"/>
        </c:dispUnits>
      </c:valAx>
      <c:valAx>
        <c:axId val="208159487"/>
        <c:scaling>
          <c:orientation val="minMax"/>
        </c:scaling>
        <c:delete val="0"/>
        <c:axPos val="r"/>
        <c:numFmt formatCode="0%" sourceLinked="0"/>
        <c:majorTickMark val="out"/>
        <c:minorTickMark val="none"/>
        <c:tickLblPos val="nextTo"/>
        <c:spPr>
          <a:noFill/>
          <a:ln>
            <a:solidFill>
              <a:schemeClr val="lt1">
                <a:shade val="50000"/>
              </a:schemeClr>
            </a:solidFill>
          </a:ln>
          <a:effectLst/>
        </c:spPr>
        <c:txPr>
          <a:bodyPr rot="-60000000" spcFirstLastPara="1" vertOverflow="ellipsis" vert="horz" wrap="square" anchor="ctr" anchorCtr="1"/>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208161151"/>
        <c:crosses val="max"/>
        <c:crossBetween val="between"/>
      </c:valAx>
      <c:catAx>
        <c:axId val="208161151"/>
        <c:scaling>
          <c:orientation val="minMax"/>
        </c:scaling>
        <c:delete val="1"/>
        <c:axPos val="b"/>
        <c:numFmt formatCode="General" sourceLinked="1"/>
        <c:majorTickMark val="out"/>
        <c:minorTickMark val="none"/>
        <c:tickLblPos val="nextTo"/>
        <c:crossAx val="208159487"/>
        <c:crosses val="autoZero"/>
        <c:auto val="1"/>
        <c:lblAlgn val="ctr"/>
        <c:lblOffset val="100"/>
        <c:noMultiLvlLbl val="0"/>
      </c:catAx>
      <c:spPr>
        <a:noFill/>
        <a:ln w="25400">
          <a:noFill/>
        </a:ln>
        <a:effectLst/>
      </c:spPr>
    </c:plotArea>
    <c:legend>
      <c:legendPos val="b"/>
      <c:layout>
        <c:manualLayout>
          <c:xMode val="edge"/>
          <c:yMode val="edge"/>
          <c:x val="0.29188730314960631"/>
          <c:y val="0.93284409448818895"/>
          <c:w val="0.48134534940944884"/>
          <c:h val="6.7155905511811026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chart>
  <c:spPr>
    <a:solidFill>
      <a:schemeClr val="bg1"/>
    </a:solidFill>
    <a:ln w="9525" cap="flat" cmpd="sng" algn="ctr">
      <a:noFill/>
      <a:round/>
    </a:ln>
    <a:effectLst/>
  </c:spPr>
  <c:txPr>
    <a:bodyPr/>
    <a:lstStyle/>
    <a:p>
      <a:pPr>
        <a:defRPr sz="900">
          <a:solidFill>
            <a:schemeClr val="tx1"/>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orientation="portrait"/>
  </c:printSettings>
  <c:userShapes r:id="rId3"/>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80" b="1" i="0" u="none" strike="noStrike" kern="1200" spc="0" baseline="0">
                <a:solidFill>
                  <a:schemeClr val="tx1"/>
                </a:solidFill>
                <a:latin typeface="Arial" panose="020B0604020202020204" pitchFamily="34" charset="0"/>
                <a:ea typeface="+mn-ea"/>
                <a:cs typeface="Arial" panose="020B0604020202020204" pitchFamily="34" charset="0"/>
              </a:defRPr>
            </a:pPr>
            <a:r>
              <a:rPr lang="en-GB" b="1"/>
              <a:t>LEAP Deliveries</a:t>
            </a:r>
          </a:p>
          <a:p>
            <a:pPr>
              <a:defRPr b="1"/>
            </a:pPr>
            <a:r>
              <a:rPr lang="en-GB" b="0"/>
              <a:t>CFM International</a:t>
            </a:r>
          </a:p>
        </c:rich>
      </c:tx>
      <c:layout>
        <c:manualLayout>
          <c:xMode val="edge"/>
          <c:yMode val="edge"/>
          <c:x val="0.4027360017497813"/>
          <c:y val="0"/>
        </c:manualLayout>
      </c:layout>
      <c:overlay val="0"/>
      <c:spPr>
        <a:noFill/>
        <a:ln>
          <a:noFill/>
        </a:ln>
        <a:effectLst/>
      </c:spPr>
      <c:txPr>
        <a:bodyPr rot="0" spcFirstLastPara="1" vertOverflow="ellipsis" vert="horz" wrap="square" anchor="ctr" anchorCtr="1"/>
        <a:lstStyle/>
        <a:p>
          <a:pPr>
            <a:defRPr sz="1080" b="1" i="0" u="none" strike="noStrike" kern="1200" spc="0" baseline="0">
              <a:solidFill>
                <a:schemeClr val="tx1"/>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5.901149425287356E-2"/>
          <c:y val="0.15658581940186347"/>
          <c:w val="0.91216494252873559"/>
          <c:h val="0.61863799572519318"/>
        </c:manualLayout>
      </c:layout>
      <c:lineChart>
        <c:grouping val="standard"/>
        <c:varyColors val="0"/>
        <c:ser>
          <c:idx val="0"/>
          <c:order val="0"/>
          <c:spPr>
            <a:ln w="28575" cap="rnd">
              <a:solidFill>
                <a:schemeClr val="accent1"/>
              </a:solidFill>
              <a:round/>
            </a:ln>
            <a:effectLst/>
          </c:spPr>
          <c:marker>
            <c:symbol val="none"/>
          </c:marker>
          <c:dPt>
            <c:idx val="14"/>
            <c:marker>
              <c:symbol val="none"/>
            </c:marker>
            <c:bubble3D val="0"/>
            <c:spPr>
              <a:ln w="28575" cap="rnd">
                <a:solidFill>
                  <a:schemeClr val="accent1"/>
                </a:solidFill>
                <a:round/>
              </a:ln>
              <a:effectLst/>
            </c:spPr>
            <c:extLst>
              <c:ext xmlns:c16="http://schemas.microsoft.com/office/drawing/2014/chart" uri="{C3380CC4-5D6E-409C-BE32-E72D297353CC}">
                <c16:uniqueId val="{00000001-DE74-4CEB-B8D7-5DBD039B3835}"/>
              </c:ext>
            </c:extLst>
          </c:dPt>
          <c:dLbls>
            <c:dLbl>
              <c:idx val="0"/>
              <c:layout>
                <c:manualLayout>
                  <c:x val="-3.3931270255137189E-2"/>
                  <c:y val="-5.200241122241041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E74-4CEB-B8D7-5DBD039B3835}"/>
                </c:ext>
              </c:extLst>
            </c:dLbl>
            <c:dLbl>
              <c:idx val="4"/>
              <c:layout>
                <c:manualLayout>
                  <c:x val="-2.8714076850491307E-2"/>
                  <c:y val="-6.909087361736514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E74-4CEB-B8D7-5DBD039B3835}"/>
                </c:ext>
              </c:extLst>
            </c:dLbl>
            <c:dLbl>
              <c:idx val="6"/>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Arial" panose="020B0604020202020204" pitchFamily="34" charset="0"/>
                      <a:ea typeface="+mn-ea"/>
                      <a:cs typeface="Arial" panose="020B0604020202020204" pitchFamily="34" charset="0"/>
                    </a:defRPr>
                  </a:pPr>
                  <a:endParaRPr lang="en-US"/>
                </a:p>
              </c:txPr>
              <c:dLblPos val="t"/>
              <c:showLegendKey val="0"/>
              <c:showVal val="1"/>
              <c:showCatName val="0"/>
              <c:showSerName val="0"/>
              <c:showPercent val="0"/>
              <c:showBubbleSize val="0"/>
              <c:extLst>
                <c:ext xmlns:c16="http://schemas.microsoft.com/office/drawing/2014/chart" uri="{C3380CC4-5D6E-409C-BE32-E72D297353CC}">
                  <c16:uniqueId val="{00000009-DE74-4CEB-B8D7-5DBD039B3835}"/>
                </c:ext>
              </c:extLst>
            </c:dLbl>
            <c:dLbl>
              <c:idx val="13"/>
              <c:layout>
                <c:manualLayout>
                  <c:x val="-5.2191447171398044E-2"/>
                  <c:y val="4.198413194984065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DE74-4CEB-B8D7-5DBD039B3835}"/>
                </c:ext>
              </c:extLst>
            </c:dLbl>
            <c:dLbl>
              <c:idx val="15"/>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Arial" panose="020B0604020202020204" pitchFamily="34" charset="0"/>
                      <a:ea typeface="+mn-ea"/>
                      <a:cs typeface="Arial" panose="020B0604020202020204" pitchFamily="34" charset="0"/>
                    </a:defRPr>
                  </a:pPr>
                  <a:endParaRPr lang="en-US"/>
                </a:p>
              </c:txPr>
              <c:dLblPos val="t"/>
              <c:showLegendKey val="0"/>
              <c:showVal val="1"/>
              <c:showCatName val="0"/>
              <c:showSerName val="0"/>
              <c:showPercent val="0"/>
              <c:showBubbleSize val="0"/>
              <c:extLst>
                <c:ext xmlns:c16="http://schemas.microsoft.com/office/drawing/2014/chart" uri="{C3380CC4-5D6E-409C-BE32-E72D297353CC}">
                  <c16:uniqueId val="{00000005-DE74-4CEB-B8D7-5DBD039B383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Arial" panose="020B0604020202020204" pitchFamily="34" charset="0"/>
                    <a:ea typeface="+mn-ea"/>
                    <a:cs typeface="Arial" panose="020B0604020202020204" pitchFamily="34" charset="0"/>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OpMod!$T$9:$Z$9</c:f>
              <c:numCache>
                <c:formatCode>General</c:formatCode>
                <c:ptCount val="7"/>
                <c:pt idx="0">
                  <c:v>2016</c:v>
                </c:pt>
                <c:pt idx="1">
                  <c:v>2017</c:v>
                </c:pt>
                <c:pt idx="2">
                  <c:v>2018</c:v>
                </c:pt>
                <c:pt idx="3">
                  <c:v>2019</c:v>
                </c:pt>
                <c:pt idx="4">
                  <c:v>2020</c:v>
                </c:pt>
                <c:pt idx="5">
                  <c:v>2021</c:v>
                </c:pt>
                <c:pt idx="6">
                  <c:v>2022</c:v>
                </c:pt>
              </c:numCache>
            </c:numRef>
          </c:cat>
          <c:val>
            <c:numRef>
              <c:f>OpMod!$T$45:$Z$45</c:f>
              <c:numCache>
                <c:formatCode>#,##0;\(#,##0\)</c:formatCode>
                <c:ptCount val="7"/>
                <c:pt idx="0">
                  <c:v>0</c:v>
                </c:pt>
                <c:pt idx="1">
                  <c:v>0</c:v>
                </c:pt>
                <c:pt idx="2">
                  <c:v>1118</c:v>
                </c:pt>
                <c:pt idx="3">
                  <c:v>1736</c:v>
                </c:pt>
                <c:pt idx="4">
                  <c:v>815</c:v>
                </c:pt>
                <c:pt idx="5">
                  <c:v>845</c:v>
                </c:pt>
                <c:pt idx="6">
                  <c:v>1136</c:v>
                </c:pt>
              </c:numCache>
            </c:numRef>
          </c:val>
          <c:smooth val="1"/>
          <c:extLst>
            <c:ext xmlns:c16="http://schemas.microsoft.com/office/drawing/2014/chart" uri="{C3380CC4-5D6E-409C-BE32-E72D297353CC}">
              <c16:uniqueId val="{00000006-DE74-4CEB-B8D7-5DBD039B3835}"/>
            </c:ext>
          </c:extLst>
        </c:ser>
        <c:dLbls>
          <c:showLegendKey val="0"/>
          <c:showVal val="0"/>
          <c:showCatName val="0"/>
          <c:showSerName val="0"/>
          <c:showPercent val="0"/>
          <c:showBubbleSize val="0"/>
        </c:dLbls>
        <c:smooth val="0"/>
        <c:axId val="1871316047"/>
        <c:axId val="1871332687"/>
      </c:lineChart>
      <c:catAx>
        <c:axId val="187131604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1871332687"/>
        <c:crosses val="autoZero"/>
        <c:auto val="1"/>
        <c:lblAlgn val="ctr"/>
        <c:lblOffset val="100"/>
        <c:noMultiLvlLbl val="0"/>
      </c:catAx>
      <c:valAx>
        <c:axId val="1871332687"/>
        <c:scaling>
          <c:orientation val="minMax"/>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1871316047"/>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900">
          <a:solidFill>
            <a:schemeClr val="tx1"/>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orientation="portrait"/>
  </c:printSettings>
  <c:userShapes r:id="rId3"/>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80" b="1" i="0" u="none" strike="noStrike" kern="1200" spc="0" baseline="0">
                <a:solidFill>
                  <a:schemeClr val="tx1"/>
                </a:solidFill>
                <a:latin typeface="Arial" panose="020B0604020202020204" pitchFamily="34" charset="0"/>
                <a:ea typeface="+mn-ea"/>
                <a:cs typeface="Arial" panose="020B0604020202020204" pitchFamily="34" charset="0"/>
              </a:defRPr>
            </a:pPr>
            <a:r>
              <a:rPr lang="en-GB" b="1"/>
              <a:t>LEAP Deliveries</a:t>
            </a:r>
          </a:p>
          <a:p>
            <a:pPr>
              <a:defRPr sz="1080" b="1" i="0" u="none" strike="noStrike" kern="1200" spc="0" baseline="0">
                <a:solidFill>
                  <a:schemeClr val="tx1"/>
                </a:solidFill>
                <a:latin typeface="Arial" panose="020B0604020202020204" pitchFamily="34" charset="0"/>
                <a:ea typeface="+mn-ea"/>
                <a:cs typeface="Arial" panose="020B0604020202020204" pitchFamily="34" charset="0"/>
              </a:defRPr>
            </a:pPr>
            <a:r>
              <a:rPr lang="en-GB" b="0"/>
              <a:t>CFM</a:t>
            </a:r>
            <a:r>
              <a:rPr lang="en-GB" b="0" baseline="0"/>
              <a:t> International</a:t>
            </a:r>
            <a:endParaRPr lang="en-GB" b="0"/>
          </a:p>
        </c:rich>
      </c:tx>
      <c:layout>
        <c:manualLayout>
          <c:xMode val="edge"/>
          <c:yMode val="edge"/>
          <c:x val="0.4027360017497813"/>
          <c:y val="0"/>
        </c:manualLayout>
      </c:layout>
      <c:overlay val="0"/>
      <c:spPr>
        <a:noFill/>
        <a:ln>
          <a:noFill/>
        </a:ln>
        <a:effectLst/>
      </c:spPr>
    </c:title>
    <c:autoTitleDeleted val="0"/>
    <c:plotArea>
      <c:layout>
        <c:manualLayout>
          <c:layoutTarget val="inner"/>
          <c:xMode val="edge"/>
          <c:yMode val="edge"/>
          <c:x val="5.901149425287356E-2"/>
          <c:y val="0.15658581940186347"/>
          <c:w val="0.91216494252873559"/>
          <c:h val="0.61863799572519318"/>
        </c:manualLayout>
      </c:layout>
      <c:lineChart>
        <c:grouping val="standard"/>
        <c:varyColors val="0"/>
        <c:ser>
          <c:idx val="0"/>
          <c:order val="0"/>
          <c:spPr>
            <a:ln w="28575" cap="rnd">
              <a:solidFill>
                <a:schemeClr val="accent1"/>
              </a:solidFill>
              <a:round/>
            </a:ln>
            <a:effectLst/>
          </c:spPr>
          <c:marker>
            <c:symbol val="none"/>
          </c:marker>
          <c:dPt>
            <c:idx val="14"/>
            <c:bubble3D val="0"/>
            <c:extLst>
              <c:ext xmlns:c16="http://schemas.microsoft.com/office/drawing/2014/chart" uri="{C3380CC4-5D6E-409C-BE32-E72D297353CC}">
                <c16:uniqueId val="{00000000-6542-45AD-AEA7-E7DEDB4BD41F}"/>
              </c:ext>
            </c:extLst>
          </c:dPt>
          <c:dLbls>
            <c:dLbl>
              <c:idx val="8"/>
              <c:layout>
                <c:manualLayout>
                  <c:x val="-2.2708442694663166E-2"/>
                  <c:y val="-7.684018664333633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542-45AD-AEA7-E7DEDB4BD41F}"/>
                </c:ext>
              </c:extLst>
            </c:dLbl>
            <c:dLbl>
              <c:idx val="14"/>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2"/>
                      </a:solidFill>
                      <a:latin typeface="Arial" panose="020B0604020202020204" pitchFamily="34" charset="0"/>
                      <a:ea typeface="+mn-ea"/>
                      <a:cs typeface="Arial" panose="020B0604020202020204" pitchFamily="34" charset="0"/>
                    </a:defRPr>
                  </a:pPr>
                  <a:endParaRPr lang="en-US"/>
                </a:p>
              </c:txPr>
              <c:dLblPos val="t"/>
              <c:showLegendKey val="0"/>
              <c:showVal val="1"/>
              <c:showCatName val="0"/>
              <c:showSerName val="0"/>
              <c:showPercent val="0"/>
              <c:showBubbleSize val="0"/>
              <c:extLst>
                <c:ext xmlns:c16="http://schemas.microsoft.com/office/drawing/2014/chart" uri="{C3380CC4-5D6E-409C-BE32-E72D297353CC}">
                  <c16:uniqueId val="{00000000-6542-45AD-AEA7-E7DEDB4BD41F}"/>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accent1"/>
                    </a:solidFill>
                    <a:latin typeface="Arial" panose="020B0604020202020204" pitchFamily="34" charset="0"/>
                    <a:ea typeface="+mn-ea"/>
                    <a:cs typeface="Arial" panose="020B0604020202020204" pitchFamily="34" charset="0"/>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OpMod!$BK$9:$BX$9</c:f>
              <c:strCache>
                <c:ptCount val="14"/>
                <c:pt idx="0">
                  <c:v>1H 2016</c:v>
                </c:pt>
                <c:pt idx="1">
                  <c:v>2H 2016</c:v>
                </c:pt>
                <c:pt idx="2">
                  <c:v>1H 2017</c:v>
                </c:pt>
                <c:pt idx="3">
                  <c:v>2H 2017</c:v>
                </c:pt>
                <c:pt idx="4">
                  <c:v>1H 2018</c:v>
                </c:pt>
                <c:pt idx="5">
                  <c:v>2H 2018</c:v>
                </c:pt>
                <c:pt idx="6">
                  <c:v>1H 2019</c:v>
                </c:pt>
                <c:pt idx="7">
                  <c:v>2H 2019</c:v>
                </c:pt>
                <c:pt idx="8">
                  <c:v>1H 2020</c:v>
                </c:pt>
                <c:pt idx="9">
                  <c:v>2H 2020</c:v>
                </c:pt>
                <c:pt idx="10">
                  <c:v>1H 2021</c:v>
                </c:pt>
                <c:pt idx="11">
                  <c:v>2H 2021</c:v>
                </c:pt>
                <c:pt idx="12">
                  <c:v>1H 2022</c:v>
                </c:pt>
                <c:pt idx="13">
                  <c:v>2H 2022</c:v>
                </c:pt>
              </c:strCache>
            </c:strRef>
          </c:cat>
          <c:val>
            <c:numRef>
              <c:f>OpMod!$BK$45:$BX$45</c:f>
              <c:numCache>
                <c:formatCode>#,##0;\(#,##0\)</c:formatCode>
                <c:ptCount val="14"/>
                <c:pt idx="0">
                  <c:v>11</c:v>
                </c:pt>
                <c:pt idx="1">
                  <c:v>66</c:v>
                </c:pt>
                <c:pt idx="2">
                  <c:v>146</c:v>
                </c:pt>
                <c:pt idx="3">
                  <c:v>313</c:v>
                </c:pt>
                <c:pt idx="4">
                  <c:v>436</c:v>
                </c:pt>
                <c:pt idx="5">
                  <c:v>682</c:v>
                </c:pt>
                <c:pt idx="6">
                  <c:v>861</c:v>
                </c:pt>
                <c:pt idx="7">
                  <c:v>875</c:v>
                </c:pt>
                <c:pt idx="8">
                  <c:v>450</c:v>
                </c:pt>
                <c:pt idx="9">
                  <c:v>365</c:v>
                </c:pt>
                <c:pt idx="10">
                  <c:v>399</c:v>
                </c:pt>
                <c:pt idx="11">
                  <c:v>446</c:v>
                </c:pt>
                <c:pt idx="12">
                  <c:v>465</c:v>
                </c:pt>
                <c:pt idx="13">
                  <c:v>671</c:v>
                </c:pt>
              </c:numCache>
            </c:numRef>
          </c:val>
          <c:smooth val="1"/>
          <c:extLst>
            <c:ext xmlns:c16="http://schemas.microsoft.com/office/drawing/2014/chart" uri="{C3380CC4-5D6E-409C-BE32-E72D297353CC}">
              <c16:uniqueId val="{00000002-6542-45AD-AEA7-E7DEDB4BD41F}"/>
            </c:ext>
          </c:extLst>
        </c:ser>
        <c:dLbls>
          <c:showLegendKey val="0"/>
          <c:showVal val="0"/>
          <c:showCatName val="0"/>
          <c:showSerName val="0"/>
          <c:showPercent val="0"/>
          <c:showBubbleSize val="0"/>
        </c:dLbls>
        <c:smooth val="0"/>
        <c:axId val="1871316047"/>
        <c:axId val="1871332687"/>
      </c:lineChart>
      <c:catAx>
        <c:axId val="187131604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1871332687"/>
        <c:crosses val="autoZero"/>
        <c:auto val="1"/>
        <c:lblAlgn val="ctr"/>
        <c:lblOffset val="100"/>
        <c:noMultiLvlLbl val="0"/>
      </c:catAx>
      <c:valAx>
        <c:axId val="1871332687"/>
        <c:scaling>
          <c:orientation val="minMax"/>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1871316047"/>
        <c:crosses val="autoZero"/>
        <c:crossBetween val="midCat"/>
      </c:valAx>
    </c:plotArea>
    <c:plotVisOnly val="1"/>
    <c:dispBlanksAs val="gap"/>
    <c:showDLblsOverMax val="0"/>
    <c:extLst/>
  </c:chart>
  <c:spPr>
    <a:solidFill>
      <a:schemeClr val="bg1"/>
    </a:solidFill>
    <a:ln w="9525" cap="flat" cmpd="sng" algn="ctr">
      <a:noFill/>
      <a:round/>
    </a:ln>
    <a:effectLst/>
  </c:spPr>
  <c:txPr>
    <a:bodyPr/>
    <a:lstStyle/>
    <a:p>
      <a:pPr>
        <a:defRPr sz="900">
          <a:solidFill>
            <a:schemeClr val="tx1"/>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orientation="portrait"/>
  </c:printSettings>
  <c:userShapes r:id="rId1"/>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80" b="1" i="0" u="none" strike="noStrike" kern="1200" spc="0" baseline="0">
                <a:solidFill>
                  <a:schemeClr val="tx1"/>
                </a:solidFill>
                <a:latin typeface="Arial" panose="020B0604020202020204" pitchFamily="34" charset="0"/>
                <a:ea typeface="+mn-ea"/>
                <a:cs typeface="Arial" panose="020B0604020202020204" pitchFamily="34" charset="0"/>
              </a:defRPr>
            </a:pPr>
            <a:r>
              <a:rPr lang="en-US" b="1"/>
              <a:t>LEAP OE</a:t>
            </a:r>
          </a:p>
          <a:p>
            <a:pPr>
              <a:defRPr b="1"/>
            </a:pPr>
            <a:r>
              <a:rPr lang="en-US" b="0"/>
              <a:t>Gross profit, CFM</a:t>
            </a:r>
          </a:p>
        </c:rich>
      </c:tx>
      <c:layout>
        <c:manualLayout>
          <c:xMode val="edge"/>
          <c:yMode val="edge"/>
          <c:x val="0.35064279836943907"/>
          <c:y val="0"/>
        </c:manualLayout>
      </c:layout>
      <c:overlay val="0"/>
      <c:spPr>
        <a:noFill/>
        <a:ln>
          <a:noFill/>
        </a:ln>
        <a:effectLst/>
      </c:spPr>
      <c:txPr>
        <a:bodyPr rot="0" spcFirstLastPara="1" vertOverflow="ellipsis" vert="horz" wrap="square" anchor="ctr" anchorCtr="1"/>
        <a:lstStyle/>
        <a:p>
          <a:pPr>
            <a:defRPr sz="1080" b="1" i="0" u="none" strike="noStrike" kern="1200" spc="0" baseline="0">
              <a:solidFill>
                <a:schemeClr val="tx1"/>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5.901149425287356E-2"/>
          <c:y val="0.15658581940186347"/>
          <c:w val="0.91216494252873559"/>
          <c:h val="0.61863799572519318"/>
        </c:manualLayout>
      </c:layout>
      <c:lineChart>
        <c:grouping val="standard"/>
        <c:varyColors val="0"/>
        <c:ser>
          <c:idx val="0"/>
          <c:order val="0"/>
          <c:spPr>
            <a:ln w="28575" cap="rnd">
              <a:solidFill>
                <a:schemeClr val="accent1"/>
              </a:solidFill>
              <a:round/>
            </a:ln>
            <a:effectLst/>
          </c:spPr>
          <c:marker>
            <c:symbol val="none"/>
          </c:marker>
          <c:dPt>
            <c:idx val="14"/>
            <c:marker>
              <c:symbol val="none"/>
            </c:marker>
            <c:bubble3D val="0"/>
            <c:spPr>
              <a:ln w="28575" cap="rnd">
                <a:solidFill>
                  <a:schemeClr val="accent1"/>
                </a:solidFill>
                <a:round/>
              </a:ln>
              <a:effectLst/>
            </c:spPr>
            <c:extLst>
              <c:ext xmlns:c16="http://schemas.microsoft.com/office/drawing/2014/chart" uri="{C3380CC4-5D6E-409C-BE32-E72D297353CC}">
                <c16:uniqueId val="{00000001-A4B4-4650-9533-AE6A1D08DB16}"/>
              </c:ext>
            </c:extLst>
          </c:dPt>
          <c:dLbls>
            <c:dLbl>
              <c:idx val="0"/>
              <c:layout>
                <c:manualLayout>
                  <c:x val="-3.3931270255137189E-2"/>
                  <c:y val="-5.200241122241041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A4B4-4650-9533-AE6A1D08DB16}"/>
                </c:ext>
              </c:extLst>
            </c:dLbl>
            <c:dLbl>
              <c:idx val="4"/>
              <c:layout>
                <c:manualLayout>
                  <c:x val="-2.8714076850491307E-2"/>
                  <c:y val="-6.909087361736514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4B4-4650-9533-AE6A1D08DB16}"/>
                </c:ext>
              </c:extLst>
            </c:dLbl>
            <c:dLbl>
              <c:idx val="13"/>
              <c:layout>
                <c:manualLayout>
                  <c:x val="-5.2191447171398044E-2"/>
                  <c:y val="4.198413194984065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4B4-4650-9533-AE6A1D08DB1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Arial" panose="020B0604020202020204" pitchFamily="34" charset="0"/>
                    <a:ea typeface="+mn-ea"/>
                    <a:cs typeface="Arial" panose="020B0604020202020204" pitchFamily="34" charset="0"/>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OpMod!$T$9:$AD$9</c:f>
              <c:strCache>
                <c:ptCount val="11"/>
                <c:pt idx="0">
                  <c:v>2016</c:v>
                </c:pt>
                <c:pt idx="1">
                  <c:v>2017</c:v>
                </c:pt>
                <c:pt idx="2">
                  <c:v>2018</c:v>
                </c:pt>
                <c:pt idx="3">
                  <c:v>2019</c:v>
                </c:pt>
                <c:pt idx="4">
                  <c:v>2020</c:v>
                </c:pt>
                <c:pt idx="5">
                  <c:v>2021</c:v>
                </c:pt>
                <c:pt idx="6">
                  <c:v>2022</c:v>
                </c:pt>
                <c:pt idx="7">
                  <c:v>2023</c:v>
                </c:pt>
                <c:pt idx="8">
                  <c:v>2024</c:v>
                </c:pt>
                <c:pt idx="9">
                  <c:v>2025E</c:v>
                </c:pt>
                <c:pt idx="10">
                  <c:v>2026E</c:v>
                </c:pt>
              </c:strCache>
            </c:strRef>
          </c:cat>
          <c:val>
            <c:numRef>
              <c:f>'Aerospace Propulsion Division'!$R$86:$AB$86</c:f>
              <c:numCache>
                <c:formatCode>#,##0</c:formatCode>
                <c:ptCount val="6"/>
                <c:pt idx="0">
                  <c:v>-443.625</c:v>
                </c:pt>
                <c:pt idx="1">
                  <c:v>-456.24599999999998</c:v>
                </c:pt>
                <c:pt idx="2">
                  <c:v>-428.77485000000001</c:v>
                </c:pt>
                <c:pt idx="3">
                  <c:v>-207.17035227000002</c:v>
                </c:pt>
                <c:pt idx="4">
                  <c:v>0</c:v>
                </c:pt>
                <c:pt idx="5">
                  <c:v>0</c:v>
                </c:pt>
              </c:numCache>
            </c:numRef>
          </c:val>
          <c:smooth val="1"/>
          <c:extLst>
            <c:ext xmlns:c16="http://schemas.microsoft.com/office/drawing/2014/chart" uri="{C3380CC4-5D6E-409C-BE32-E72D297353CC}">
              <c16:uniqueId val="{00000007-A4B4-4650-9533-AE6A1D08DB16}"/>
            </c:ext>
          </c:extLst>
        </c:ser>
        <c:dLbls>
          <c:showLegendKey val="0"/>
          <c:showVal val="0"/>
          <c:showCatName val="0"/>
          <c:showSerName val="0"/>
          <c:showPercent val="0"/>
          <c:showBubbleSize val="0"/>
        </c:dLbls>
        <c:smooth val="0"/>
        <c:axId val="1871316047"/>
        <c:axId val="1871332687"/>
      </c:lineChart>
      <c:catAx>
        <c:axId val="1871316047"/>
        <c:scaling>
          <c:orientation val="minMax"/>
        </c:scaling>
        <c:delete val="0"/>
        <c:axPos val="b"/>
        <c:numFmt formatCode="General" sourceLinked="1"/>
        <c:majorTickMark val="out"/>
        <c:minorTickMark val="none"/>
        <c:tickLblPos val="low"/>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1871332687"/>
        <c:crosses val="autoZero"/>
        <c:auto val="1"/>
        <c:lblAlgn val="ctr"/>
        <c:lblOffset val="100"/>
        <c:noMultiLvlLbl val="0"/>
      </c:catAx>
      <c:valAx>
        <c:axId val="1871332687"/>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1871316047"/>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900">
          <a:solidFill>
            <a:schemeClr val="tx1"/>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orientation="portrait"/>
  </c:printSettings>
  <c:userShapes r:id="rId3"/>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80" b="1" i="0" u="none" strike="noStrike" kern="1200" spc="0" baseline="0">
                <a:solidFill>
                  <a:schemeClr val="tx1"/>
                </a:solidFill>
                <a:latin typeface="Arial" panose="020B0604020202020204" pitchFamily="34" charset="0"/>
                <a:ea typeface="+mn-ea"/>
                <a:cs typeface="Arial" panose="020B0604020202020204" pitchFamily="34" charset="0"/>
              </a:defRPr>
            </a:pPr>
            <a:r>
              <a:rPr lang="en-GB" b="1"/>
              <a:t>LEAP Deliveries</a:t>
            </a:r>
          </a:p>
          <a:p>
            <a:pPr>
              <a:defRPr b="1"/>
            </a:pPr>
            <a:r>
              <a:rPr lang="en-GB" b="0"/>
              <a:t>CFM International</a:t>
            </a:r>
          </a:p>
        </c:rich>
      </c:tx>
      <c:layout>
        <c:manualLayout>
          <c:xMode val="edge"/>
          <c:yMode val="edge"/>
          <c:x val="0.4027360017497813"/>
          <c:y val="0"/>
        </c:manualLayout>
      </c:layout>
      <c:overlay val="0"/>
      <c:spPr>
        <a:noFill/>
        <a:ln>
          <a:noFill/>
        </a:ln>
        <a:effectLst/>
      </c:spPr>
      <c:txPr>
        <a:bodyPr rot="0" spcFirstLastPara="1" vertOverflow="ellipsis" vert="horz" wrap="square" anchor="ctr" anchorCtr="1"/>
        <a:lstStyle/>
        <a:p>
          <a:pPr>
            <a:defRPr sz="1080" b="1" i="0" u="none" strike="noStrike" kern="1200" spc="0" baseline="0">
              <a:solidFill>
                <a:schemeClr val="tx1"/>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5.901149425287356E-2"/>
          <c:y val="0.15658581940186347"/>
          <c:w val="0.91216494252873559"/>
          <c:h val="0.61863799572519318"/>
        </c:manualLayout>
      </c:layout>
      <c:lineChart>
        <c:grouping val="standard"/>
        <c:varyColors val="0"/>
        <c:ser>
          <c:idx val="0"/>
          <c:order val="0"/>
          <c:spPr>
            <a:ln w="28575" cap="rnd">
              <a:solidFill>
                <a:schemeClr val="accent1"/>
              </a:solidFill>
              <a:round/>
            </a:ln>
            <a:effectLst/>
          </c:spPr>
          <c:marker>
            <c:symbol val="none"/>
          </c:marker>
          <c:dPt>
            <c:idx val="14"/>
            <c:marker>
              <c:symbol val="none"/>
            </c:marker>
            <c:bubble3D val="0"/>
            <c:spPr>
              <a:ln w="28575" cap="rnd">
                <a:solidFill>
                  <a:schemeClr val="accent1"/>
                </a:solidFill>
                <a:round/>
              </a:ln>
              <a:effectLst/>
            </c:spPr>
            <c:extLst>
              <c:ext xmlns:c16="http://schemas.microsoft.com/office/drawing/2014/chart" uri="{C3380CC4-5D6E-409C-BE32-E72D297353CC}">
                <c16:uniqueId val="{00000001-E42E-4DCD-8C53-B4FCF6CAAB4D}"/>
              </c:ext>
            </c:extLst>
          </c:dPt>
          <c:dLbls>
            <c:dLbl>
              <c:idx val="0"/>
              <c:layout>
                <c:manualLayout>
                  <c:x val="-1.573274617945342E-2"/>
                  <c:y val="-5.20022924706418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E42E-4DCD-8C53-B4FCF6CAAB4D}"/>
                </c:ext>
              </c:extLst>
            </c:dLbl>
            <c:dLbl>
              <c:idx val="1"/>
              <c:layout>
                <c:manualLayout>
                  <c:x val="-2.8616996319779965E-2"/>
                  <c:y val="-5.976594485718213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9BC-4A49-93D1-510367E02FB7}"/>
                </c:ext>
              </c:extLst>
            </c:dLbl>
            <c:dLbl>
              <c:idx val="2"/>
              <c:layout>
                <c:manualLayout>
                  <c:x val="-3.3816550713874252E-2"/>
                  <c:y val="-5.133188426875036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9BC-4A49-93D1-510367E02FB7}"/>
                </c:ext>
              </c:extLst>
            </c:dLbl>
            <c:dLbl>
              <c:idx val="4"/>
              <c:layout>
                <c:manualLayout>
                  <c:x val="-2.8714076850491307E-2"/>
                  <c:y val="-6.909087361736514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42E-4DCD-8C53-B4FCF6CAAB4D}"/>
                </c:ext>
              </c:extLst>
            </c:dLbl>
            <c:dLbl>
              <c:idx val="13"/>
              <c:layout>
                <c:manualLayout>
                  <c:x val="-5.2191447171398044E-2"/>
                  <c:y val="4.198413194984065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42E-4DCD-8C53-B4FCF6CAAB4D}"/>
                </c:ext>
              </c:extLst>
            </c:dLbl>
            <c:dLbl>
              <c:idx val="21"/>
              <c:layout>
                <c:manualLayout>
                  <c:x val="-4.1626020523758585E-2"/>
                  <c:y val="2.695797762121832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067A-443C-A155-B7C6642CF3E5}"/>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accent1"/>
                    </a:solidFill>
                    <a:latin typeface="Arial" panose="020B0604020202020204" pitchFamily="34" charset="0"/>
                    <a:ea typeface="+mn-ea"/>
                    <a:cs typeface="Arial" panose="020B0604020202020204" pitchFamily="34" charset="0"/>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OpMod!$DX$9:$EV$9</c:f>
              <c:strCache>
                <c:ptCount val="25"/>
                <c:pt idx="0">
                  <c:v>1Q 2019</c:v>
                </c:pt>
                <c:pt idx="1">
                  <c:v>2Q 2019</c:v>
                </c:pt>
                <c:pt idx="2">
                  <c:v>3Q 2019</c:v>
                </c:pt>
                <c:pt idx="3">
                  <c:v>4Q 2019</c:v>
                </c:pt>
                <c:pt idx="4">
                  <c:v>1Q 2020</c:v>
                </c:pt>
                <c:pt idx="5">
                  <c:v>2Q 2020</c:v>
                </c:pt>
                <c:pt idx="6">
                  <c:v>3Q 2020</c:v>
                </c:pt>
                <c:pt idx="7">
                  <c:v>4Q 2020</c:v>
                </c:pt>
                <c:pt idx="8">
                  <c:v>1Q 2021</c:v>
                </c:pt>
                <c:pt idx="9">
                  <c:v>2Q 2021</c:v>
                </c:pt>
                <c:pt idx="10">
                  <c:v>3Q 2021</c:v>
                </c:pt>
                <c:pt idx="11">
                  <c:v>4Q 2021</c:v>
                </c:pt>
                <c:pt idx="12">
                  <c:v>1Q 2022</c:v>
                </c:pt>
                <c:pt idx="13">
                  <c:v>2Q 2022</c:v>
                </c:pt>
                <c:pt idx="14">
                  <c:v>3Q 2022</c:v>
                </c:pt>
                <c:pt idx="15">
                  <c:v>4Q 2022</c:v>
                </c:pt>
                <c:pt idx="16">
                  <c:v>1Q 2023</c:v>
                </c:pt>
                <c:pt idx="17">
                  <c:v>2Q 2023</c:v>
                </c:pt>
                <c:pt idx="18">
                  <c:v>3Q 2023</c:v>
                </c:pt>
                <c:pt idx="19">
                  <c:v>4Q 2023</c:v>
                </c:pt>
                <c:pt idx="20">
                  <c:v>1Q 2024</c:v>
                </c:pt>
                <c:pt idx="21">
                  <c:v>2Q 2024</c:v>
                </c:pt>
                <c:pt idx="22">
                  <c:v>3Q 2024</c:v>
                </c:pt>
                <c:pt idx="23">
                  <c:v>4Q 2024</c:v>
                </c:pt>
                <c:pt idx="24">
                  <c:v>1Q 2025</c:v>
                </c:pt>
              </c:strCache>
            </c:strRef>
          </c:cat>
          <c:val>
            <c:numRef>
              <c:f>OpMod!$DX$45:$EV$45</c:f>
              <c:numCache>
                <c:formatCode>0</c:formatCode>
                <c:ptCount val="25"/>
                <c:pt idx="0">
                  <c:v>424</c:v>
                </c:pt>
                <c:pt idx="1">
                  <c:v>437</c:v>
                </c:pt>
                <c:pt idx="2">
                  <c:v>455</c:v>
                </c:pt>
                <c:pt idx="3">
                  <c:v>420</c:v>
                </c:pt>
                <c:pt idx="4">
                  <c:v>272</c:v>
                </c:pt>
                <c:pt idx="5">
                  <c:v>178</c:v>
                </c:pt>
                <c:pt idx="6">
                  <c:v>172</c:v>
                </c:pt>
                <c:pt idx="7">
                  <c:v>193</c:v>
                </c:pt>
                <c:pt idx="8">
                  <c:v>188</c:v>
                </c:pt>
                <c:pt idx="9">
                  <c:v>211</c:v>
                </c:pt>
                <c:pt idx="10">
                  <c:v>226</c:v>
                </c:pt>
                <c:pt idx="11">
                  <c:v>220</c:v>
                </c:pt>
                <c:pt idx="12">
                  <c:v>239</c:v>
                </c:pt>
                <c:pt idx="13">
                  <c:v>226</c:v>
                </c:pt>
                <c:pt idx="14">
                  <c:v>347</c:v>
                </c:pt>
                <c:pt idx="15">
                  <c:v>324</c:v>
                </c:pt>
                <c:pt idx="16">
                  <c:v>366</c:v>
                </c:pt>
                <c:pt idx="17">
                  <c:v>419</c:v>
                </c:pt>
                <c:pt idx="18">
                  <c:v>389</c:v>
                </c:pt>
                <c:pt idx="19">
                  <c:v>396</c:v>
                </c:pt>
                <c:pt idx="20">
                  <c:v>367</c:v>
                </c:pt>
                <c:pt idx="21">
                  <c:v>297</c:v>
                </c:pt>
                <c:pt idx="22">
                  <c:v>365</c:v>
                </c:pt>
                <c:pt idx="23">
                  <c:v>378</c:v>
                </c:pt>
                <c:pt idx="24">
                  <c:v>319</c:v>
                </c:pt>
              </c:numCache>
            </c:numRef>
          </c:val>
          <c:smooth val="1"/>
          <c:extLst>
            <c:ext xmlns:c16="http://schemas.microsoft.com/office/drawing/2014/chart" uri="{C3380CC4-5D6E-409C-BE32-E72D297353CC}">
              <c16:uniqueId val="{00000002-E42E-4DCD-8C53-B4FCF6CAAB4D}"/>
            </c:ext>
          </c:extLst>
        </c:ser>
        <c:dLbls>
          <c:showLegendKey val="0"/>
          <c:showVal val="0"/>
          <c:showCatName val="0"/>
          <c:showSerName val="0"/>
          <c:showPercent val="0"/>
          <c:showBubbleSize val="0"/>
        </c:dLbls>
        <c:smooth val="0"/>
        <c:axId val="1871316047"/>
        <c:axId val="1871332687"/>
      </c:lineChart>
      <c:catAx>
        <c:axId val="187131604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1871332687"/>
        <c:crosses val="autoZero"/>
        <c:auto val="1"/>
        <c:lblAlgn val="ctr"/>
        <c:lblOffset val="100"/>
        <c:noMultiLvlLbl val="0"/>
      </c:catAx>
      <c:valAx>
        <c:axId val="1871332687"/>
        <c:scaling>
          <c:orientation val="minMax"/>
        </c:scaling>
        <c:delete val="0"/>
        <c:axPos val="l"/>
        <c:numFmt formatCode="0" sourceLinked="1"/>
        <c:majorTickMark val="out"/>
        <c:minorTickMark val="none"/>
        <c:tickLblPos val="nextTo"/>
        <c:spPr>
          <a:noFill/>
          <a:ln>
            <a:solidFill>
              <a:srgbClr val="D8D8D8"/>
            </a:solidFill>
          </a:ln>
          <a:effectLst/>
        </c:spPr>
        <c:txPr>
          <a:bodyPr rot="-60000000" spcFirstLastPara="1" vertOverflow="ellipsis" vert="horz" wrap="square" anchor="ctr" anchorCtr="1"/>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1871316047"/>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900">
          <a:solidFill>
            <a:schemeClr val="tx1"/>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orientation="portrait"/>
  </c:printSettings>
  <c:userShapes r:id="rId3"/>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'Old vs New'!$AU$27</c:f>
          <c:strCache>
            <c:ptCount val="1"/>
            <c:pt idx="0">
              <c:v>EBIT Margins</c:v>
            </c:pt>
          </c:strCache>
        </c:strRef>
      </c:tx>
      <c:layout>
        <c:manualLayout>
          <c:xMode val="edge"/>
          <c:yMode val="edge"/>
          <c:x val="0.40389968832020995"/>
          <c:y val="0"/>
        </c:manualLayout>
      </c:layout>
      <c:overlay val="0"/>
      <c:spPr>
        <a:noFill/>
        <a:ln>
          <a:noFill/>
        </a:ln>
        <a:effectLst/>
      </c:spPr>
      <c:txPr>
        <a:bodyPr rot="0" spcFirstLastPara="1" vertOverflow="ellipsis" vert="horz" wrap="square" anchor="ctr" anchorCtr="1"/>
        <a:lstStyle/>
        <a:p>
          <a:pPr>
            <a:defRPr sz="1080" b="1" i="0" u="none" strike="noStrike" kern="1200" spc="0" baseline="0">
              <a:solidFill>
                <a:schemeClr val="tx1"/>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7.8776262872429226E-2"/>
          <c:y val="2.1158060505594694E-2"/>
          <c:w val="0.90559873392362489"/>
          <c:h val="0.83766464981351019"/>
        </c:manualLayout>
      </c:layout>
      <c:lineChart>
        <c:grouping val="standard"/>
        <c:varyColors val="0"/>
        <c:ser>
          <c:idx val="0"/>
          <c:order val="0"/>
          <c:tx>
            <c:strRef>
              <c:f>'Old vs New'!$AU$28</c:f>
              <c:strCache>
                <c:ptCount val="1"/>
                <c:pt idx="0">
                  <c:v>New GSe</c:v>
                </c:pt>
              </c:strCache>
            </c:strRef>
          </c:tx>
          <c:spPr>
            <a:ln w="28575" cap="rnd">
              <a:solidFill>
                <a:schemeClr val="accent1"/>
              </a:solidFill>
              <a:round/>
            </a:ln>
            <a:effectLst/>
          </c:spPr>
          <c:marker>
            <c:symbol val="none"/>
          </c:marker>
          <c:cat>
            <c:strRef>
              <c:f>'Old vs New'!$AW$4:$BD$4</c:f>
              <c:strCache>
                <c:ptCount val="4"/>
                <c:pt idx="0">
                  <c:v>2023E</c:v>
                </c:pt>
                <c:pt idx="1">
                  <c:v>2024E</c:v>
                </c:pt>
                <c:pt idx="2">
                  <c:v>2025E</c:v>
                </c:pt>
                <c:pt idx="3">
                  <c:v>2026E</c:v>
                </c:pt>
              </c:strCache>
            </c:strRef>
          </c:cat>
          <c:val>
            <c:numRef>
              <c:f>'Old vs New'!$AW$28:$BD$28</c:f>
              <c:numCache>
                <c:formatCode>0.0%</c:formatCode>
                <c:ptCount val="4"/>
                <c:pt idx="0">
                  <c:v>-5.0002155265313156E-3</c:v>
                </c:pt>
                <c:pt idx="1">
                  <c:v>9.8839550463081607E-4</c:v>
                </c:pt>
                <c:pt idx="2">
                  <c:v>3.4421515475166501E-3</c:v>
                </c:pt>
                <c:pt idx="3">
                  <c:v>5.8090179932526803E-3</c:v>
                </c:pt>
              </c:numCache>
            </c:numRef>
          </c:val>
          <c:smooth val="1"/>
          <c:extLst>
            <c:ext xmlns:c16="http://schemas.microsoft.com/office/drawing/2014/chart" uri="{C3380CC4-5D6E-409C-BE32-E72D297353CC}">
              <c16:uniqueId val="{00000000-60DF-4E62-B4BC-7484986409FE}"/>
            </c:ext>
          </c:extLst>
        </c:ser>
        <c:ser>
          <c:idx val="1"/>
          <c:order val="1"/>
          <c:tx>
            <c:strRef>
              <c:f>'Old vs New'!$AU$29</c:f>
              <c:strCache>
                <c:ptCount val="1"/>
                <c:pt idx="0">
                  <c:v>Old GSe</c:v>
                </c:pt>
              </c:strCache>
            </c:strRef>
          </c:tx>
          <c:spPr>
            <a:ln w="28575" cap="rnd">
              <a:solidFill>
                <a:schemeClr val="accent2"/>
              </a:solidFill>
              <a:round/>
            </a:ln>
            <a:effectLst/>
          </c:spPr>
          <c:marker>
            <c:symbol val="none"/>
          </c:marker>
          <c:cat>
            <c:strRef>
              <c:f>'Old vs New'!$AW$4:$BD$4</c:f>
              <c:strCache>
                <c:ptCount val="4"/>
                <c:pt idx="0">
                  <c:v>2023E</c:v>
                </c:pt>
                <c:pt idx="1">
                  <c:v>2024E</c:v>
                </c:pt>
                <c:pt idx="2">
                  <c:v>2025E</c:v>
                </c:pt>
                <c:pt idx="3">
                  <c:v>2026E</c:v>
                </c:pt>
              </c:strCache>
            </c:strRef>
          </c:cat>
          <c:val>
            <c:numRef>
              <c:f>'Old vs New'!$AW$29:$BD$29</c:f>
              <c:numCache>
                <c:formatCode>0.0%</c:formatCode>
                <c:ptCount val="4"/>
                <c:pt idx="0">
                  <c:v>-5.0002155265313156E-3</c:v>
                </c:pt>
                <c:pt idx="1">
                  <c:v>9.8839550463081607E-4</c:v>
                </c:pt>
                <c:pt idx="2">
                  <c:v>3.4421515475166501E-3</c:v>
                </c:pt>
                <c:pt idx="3">
                  <c:v>5.8090179932526803E-3</c:v>
                </c:pt>
              </c:numCache>
            </c:numRef>
          </c:val>
          <c:smooth val="1"/>
          <c:extLst>
            <c:ext xmlns:c16="http://schemas.microsoft.com/office/drawing/2014/chart" uri="{C3380CC4-5D6E-409C-BE32-E72D297353CC}">
              <c16:uniqueId val="{00000001-60DF-4E62-B4BC-7484986409FE}"/>
            </c:ext>
          </c:extLst>
        </c:ser>
        <c:ser>
          <c:idx val="2"/>
          <c:order val="2"/>
          <c:tx>
            <c:strRef>
              <c:f>'Old vs New'!$AU$30</c:f>
              <c:strCache>
                <c:ptCount val="1"/>
                <c:pt idx="0">
                  <c:v>VA Consensus</c:v>
                </c:pt>
              </c:strCache>
            </c:strRef>
          </c:tx>
          <c:spPr>
            <a:ln w="28575" cap="rnd">
              <a:solidFill>
                <a:schemeClr val="accent5"/>
              </a:solidFill>
              <a:round/>
            </a:ln>
            <a:effectLst/>
          </c:spPr>
          <c:marker>
            <c:symbol val="none"/>
          </c:marker>
          <c:cat>
            <c:strRef>
              <c:f>'Old vs New'!$AW$4:$BD$4</c:f>
              <c:strCache>
                <c:ptCount val="4"/>
                <c:pt idx="0">
                  <c:v>2023E</c:v>
                </c:pt>
                <c:pt idx="1">
                  <c:v>2024E</c:v>
                </c:pt>
                <c:pt idx="2">
                  <c:v>2025E</c:v>
                </c:pt>
                <c:pt idx="3">
                  <c:v>2026E</c:v>
                </c:pt>
              </c:strCache>
            </c:strRef>
          </c:cat>
          <c:val>
            <c:numRef>
              <c:f>'Old vs New'!$AW$30:$BD$30</c:f>
              <c:numCache>
                <c:formatCode>0.0%</c:formatCode>
                <c:ptCount val="4"/>
                <c:pt idx="0">
                  <c:v>0</c:v>
                </c:pt>
                <c:pt idx="1">
                  <c:v>0</c:v>
                </c:pt>
                <c:pt idx="2">
                  <c:v>0</c:v>
                </c:pt>
                <c:pt idx="3">
                  <c:v>0</c:v>
                </c:pt>
              </c:numCache>
            </c:numRef>
          </c:val>
          <c:smooth val="1"/>
          <c:extLst>
            <c:ext xmlns:c16="http://schemas.microsoft.com/office/drawing/2014/chart" uri="{C3380CC4-5D6E-409C-BE32-E72D297353CC}">
              <c16:uniqueId val="{00000002-60DF-4E62-B4BC-7484986409FE}"/>
            </c:ext>
          </c:extLst>
        </c:ser>
        <c:dLbls>
          <c:showLegendKey val="0"/>
          <c:showVal val="0"/>
          <c:showCatName val="0"/>
          <c:showSerName val="0"/>
          <c:showPercent val="0"/>
          <c:showBubbleSize val="0"/>
        </c:dLbls>
        <c:smooth val="0"/>
        <c:axId val="314223296"/>
        <c:axId val="314217888"/>
      </c:lineChart>
      <c:catAx>
        <c:axId val="314223296"/>
        <c:scaling>
          <c:orientation val="minMax"/>
        </c:scaling>
        <c:delete val="0"/>
        <c:axPos val="b"/>
        <c:numFmt formatCode="General" sourceLinked="1"/>
        <c:majorTickMark val="out"/>
        <c:minorTickMark val="none"/>
        <c:tickLblPos val="low"/>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314217888"/>
        <c:crosses val="autoZero"/>
        <c:auto val="1"/>
        <c:lblAlgn val="ctr"/>
        <c:lblOffset val="100"/>
        <c:tickLblSkip val="1"/>
        <c:noMultiLvlLbl val="0"/>
      </c:catAx>
      <c:valAx>
        <c:axId val="314217888"/>
        <c:scaling>
          <c:orientation val="minMax"/>
          <c:min val="-0.15000000000000002"/>
        </c:scaling>
        <c:delete val="0"/>
        <c:axPos val="l"/>
        <c:numFmt formatCode="0%" sourceLinked="0"/>
        <c:majorTickMark val="out"/>
        <c:minorTickMark val="none"/>
        <c:tickLblPos val="nextTo"/>
        <c:spPr>
          <a:noFill/>
          <a:ln>
            <a:solidFill>
              <a:schemeClr val="lt1">
                <a:shade val="50000"/>
              </a:schemeClr>
            </a:solidFill>
          </a:ln>
          <a:effectLst/>
        </c:spPr>
        <c:txPr>
          <a:bodyPr rot="-60000000" spcFirstLastPara="1" vertOverflow="ellipsis" vert="horz" wrap="square" anchor="ctr" anchorCtr="1"/>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314223296"/>
        <c:crosses val="autoZero"/>
        <c:crossBetween val="midCat"/>
      </c:valAx>
      <c:spPr>
        <a:noFill/>
        <a:ln w="25400">
          <a:noFill/>
        </a:ln>
        <a:effectLst/>
      </c:spPr>
    </c:plotArea>
    <c:legend>
      <c:legendPos val="b"/>
      <c:layout>
        <c:manualLayout>
          <c:xMode val="edge"/>
          <c:yMode val="edge"/>
          <c:x val="0.15803201674585482"/>
          <c:y val="0.1920365234246709"/>
          <c:w val="0.34499637979748599"/>
          <c:h val="0.2355769581433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chart>
  <c:spPr>
    <a:solidFill>
      <a:schemeClr val="bg1"/>
    </a:solidFill>
    <a:ln w="9525" cap="flat" cmpd="sng" algn="ctr">
      <a:noFill/>
      <a:round/>
    </a:ln>
    <a:effectLst/>
  </c:spPr>
  <c:txPr>
    <a:bodyPr/>
    <a:lstStyle/>
    <a:p>
      <a:pPr>
        <a:defRPr sz="900">
          <a:solidFill>
            <a:schemeClr val="tx1"/>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orientation="portrait"/>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'Old vs New'!$AU$7</c:f>
          <c:strCache>
            <c:ptCount val="1"/>
            <c:pt idx="0">
              <c:v>Revenue</c:v>
            </c:pt>
          </c:strCache>
        </c:strRef>
      </c:tx>
      <c:layout>
        <c:manualLayout>
          <c:xMode val="edge"/>
          <c:yMode val="edge"/>
          <c:x val="0.4408073820553195"/>
          <c:y val="0"/>
        </c:manualLayout>
      </c:layout>
      <c:overlay val="0"/>
      <c:spPr>
        <a:noFill/>
        <a:ln>
          <a:noFill/>
        </a:ln>
        <a:effectLst/>
      </c:spPr>
      <c:txPr>
        <a:bodyPr rot="0" spcFirstLastPara="1" vertOverflow="ellipsis" vert="horz" wrap="square" anchor="ctr" anchorCtr="1"/>
        <a:lstStyle/>
        <a:p>
          <a:pPr>
            <a:defRPr sz="1100" b="1" i="0" u="none" strike="noStrike" kern="1200" spc="0" baseline="0">
              <a:solidFill>
                <a:schemeClr val="tx1"/>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7.8776262872429226E-2"/>
          <c:y val="0.11800016576875259"/>
          <c:w val="0.90559873392362489"/>
          <c:h val="0.74082254455035224"/>
        </c:manualLayout>
      </c:layout>
      <c:lineChart>
        <c:grouping val="standard"/>
        <c:varyColors val="0"/>
        <c:ser>
          <c:idx val="0"/>
          <c:order val="0"/>
          <c:tx>
            <c:strRef>
              <c:f>'Old vs New'!$AU$8</c:f>
              <c:strCache>
                <c:ptCount val="1"/>
                <c:pt idx="0">
                  <c:v>New GSe</c:v>
                </c:pt>
              </c:strCache>
            </c:strRef>
          </c:tx>
          <c:spPr>
            <a:ln w="28575" cap="rnd">
              <a:solidFill>
                <a:schemeClr val="accent1"/>
              </a:solidFill>
              <a:round/>
            </a:ln>
            <a:effectLst/>
          </c:spPr>
          <c:marker>
            <c:symbol val="none"/>
          </c:marker>
          <c:cat>
            <c:strRef>
              <c:f>'Old vs New'!$AW$4:$BD$4</c:f>
              <c:strCache>
                <c:ptCount val="4"/>
                <c:pt idx="0">
                  <c:v>2023E</c:v>
                </c:pt>
                <c:pt idx="1">
                  <c:v>2024E</c:v>
                </c:pt>
                <c:pt idx="2">
                  <c:v>2025E</c:v>
                </c:pt>
                <c:pt idx="3">
                  <c:v>2026E</c:v>
                </c:pt>
              </c:strCache>
            </c:strRef>
          </c:cat>
          <c:val>
            <c:numRef>
              <c:f>'Old vs New'!$AW$8:$BD$8</c:f>
              <c:numCache>
                <c:formatCode>#,##0</c:formatCode>
                <c:ptCount val="4"/>
                <c:pt idx="0">
                  <c:v>23199</c:v>
                </c:pt>
                <c:pt idx="1">
                  <c:v>27317</c:v>
                </c:pt>
                <c:pt idx="2">
                  <c:v>30995.966922403386</c:v>
                </c:pt>
                <c:pt idx="3">
                  <c:v>34520.706683526871</c:v>
                </c:pt>
              </c:numCache>
            </c:numRef>
          </c:val>
          <c:smooth val="1"/>
          <c:extLst>
            <c:ext xmlns:c16="http://schemas.microsoft.com/office/drawing/2014/chart" uri="{C3380CC4-5D6E-409C-BE32-E72D297353CC}">
              <c16:uniqueId val="{00000000-97F9-4DC8-9270-A947C203BD70}"/>
            </c:ext>
          </c:extLst>
        </c:ser>
        <c:ser>
          <c:idx val="1"/>
          <c:order val="1"/>
          <c:tx>
            <c:strRef>
              <c:f>'Old vs New'!$AU$9</c:f>
              <c:strCache>
                <c:ptCount val="1"/>
                <c:pt idx="0">
                  <c:v>Old GSe</c:v>
                </c:pt>
              </c:strCache>
            </c:strRef>
          </c:tx>
          <c:spPr>
            <a:ln w="28575" cap="rnd">
              <a:solidFill>
                <a:schemeClr val="accent2"/>
              </a:solidFill>
              <a:round/>
            </a:ln>
            <a:effectLst/>
          </c:spPr>
          <c:marker>
            <c:symbol val="none"/>
          </c:marker>
          <c:cat>
            <c:strRef>
              <c:f>'Old vs New'!$AW$4:$BD$4</c:f>
              <c:strCache>
                <c:ptCount val="4"/>
                <c:pt idx="0">
                  <c:v>2023E</c:v>
                </c:pt>
                <c:pt idx="1">
                  <c:v>2024E</c:v>
                </c:pt>
                <c:pt idx="2">
                  <c:v>2025E</c:v>
                </c:pt>
                <c:pt idx="3">
                  <c:v>2026E</c:v>
                </c:pt>
              </c:strCache>
            </c:strRef>
          </c:cat>
          <c:val>
            <c:numRef>
              <c:f>'Old vs New'!$AW$9:$BD$9</c:f>
              <c:numCache>
                <c:formatCode>#,##0</c:formatCode>
                <c:ptCount val="4"/>
                <c:pt idx="0">
                  <c:v>23199</c:v>
                </c:pt>
                <c:pt idx="1">
                  <c:v>27317</c:v>
                </c:pt>
                <c:pt idx="2">
                  <c:v>30995.966922403386</c:v>
                </c:pt>
                <c:pt idx="3">
                  <c:v>34520.706683526871</c:v>
                </c:pt>
              </c:numCache>
            </c:numRef>
          </c:val>
          <c:smooth val="1"/>
          <c:extLst>
            <c:ext xmlns:c16="http://schemas.microsoft.com/office/drawing/2014/chart" uri="{C3380CC4-5D6E-409C-BE32-E72D297353CC}">
              <c16:uniqueId val="{00000001-97F9-4DC8-9270-A947C203BD70}"/>
            </c:ext>
          </c:extLst>
        </c:ser>
        <c:ser>
          <c:idx val="2"/>
          <c:order val="2"/>
          <c:tx>
            <c:strRef>
              <c:f>'Old vs New'!$AU$10</c:f>
              <c:strCache>
                <c:ptCount val="1"/>
                <c:pt idx="0">
                  <c:v>VA Consensus</c:v>
                </c:pt>
              </c:strCache>
            </c:strRef>
          </c:tx>
          <c:spPr>
            <a:ln w="28575" cap="rnd">
              <a:solidFill>
                <a:schemeClr val="accent5"/>
              </a:solidFill>
              <a:round/>
            </a:ln>
            <a:effectLst/>
          </c:spPr>
          <c:marker>
            <c:symbol val="none"/>
          </c:marker>
          <c:cat>
            <c:strRef>
              <c:f>'Old vs New'!$AW$4:$BD$4</c:f>
              <c:strCache>
                <c:ptCount val="4"/>
                <c:pt idx="0">
                  <c:v>2023E</c:v>
                </c:pt>
                <c:pt idx="1">
                  <c:v>2024E</c:v>
                </c:pt>
                <c:pt idx="2">
                  <c:v>2025E</c:v>
                </c:pt>
                <c:pt idx="3">
                  <c:v>2026E</c:v>
                </c:pt>
              </c:strCache>
            </c:strRef>
          </c:cat>
          <c:val>
            <c:numRef>
              <c:f>'Old vs New'!$AW$10:$BD$10</c:f>
              <c:numCache>
                <c:formatCode>#,##0</c:formatCode>
                <c:ptCount val="4"/>
                <c:pt idx="0">
                  <c:v>0</c:v>
                </c:pt>
                <c:pt idx="1">
                  <c:v>0</c:v>
                </c:pt>
                <c:pt idx="2">
                  <c:v>0</c:v>
                </c:pt>
                <c:pt idx="3">
                  <c:v>0</c:v>
                </c:pt>
              </c:numCache>
            </c:numRef>
          </c:val>
          <c:smooth val="1"/>
          <c:extLst>
            <c:ext xmlns:c16="http://schemas.microsoft.com/office/drawing/2014/chart" uri="{C3380CC4-5D6E-409C-BE32-E72D297353CC}">
              <c16:uniqueId val="{00000002-97F9-4DC8-9270-A947C203BD70}"/>
            </c:ext>
          </c:extLst>
        </c:ser>
        <c:dLbls>
          <c:showLegendKey val="0"/>
          <c:showVal val="0"/>
          <c:showCatName val="0"/>
          <c:showSerName val="0"/>
          <c:showPercent val="0"/>
          <c:showBubbleSize val="0"/>
        </c:dLbls>
        <c:smooth val="0"/>
        <c:axId val="314223296"/>
        <c:axId val="314217888"/>
      </c:lineChart>
      <c:catAx>
        <c:axId val="314223296"/>
        <c:scaling>
          <c:orientation val="minMax"/>
        </c:scaling>
        <c:delete val="0"/>
        <c:axPos val="b"/>
        <c:numFmt formatCode="General" sourceLinked="1"/>
        <c:majorTickMark val="out"/>
        <c:minorTickMark val="none"/>
        <c:tickLblPos val="low"/>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314217888"/>
        <c:crosses val="autoZero"/>
        <c:auto val="1"/>
        <c:lblAlgn val="ctr"/>
        <c:lblOffset val="100"/>
        <c:tickLblSkip val="1"/>
        <c:noMultiLvlLbl val="0"/>
      </c:catAx>
      <c:valAx>
        <c:axId val="314217888"/>
        <c:scaling>
          <c:orientation val="minMax"/>
        </c:scaling>
        <c:delete val="0"/>
        <c:axPos val="l"/>
        <c:numFmt formatCode="#,##0" sourceLinked="0"/>
        <c:majorTickMark val="out"/>
        <c:minorTickMark val="none"/>
        <c:tickLblPos val="nextTo"/>
        <c:spPr>
          <a:noFill/>
          <a:ln>
            <a:solidFill>
              <a:schemeClr val="lt1">
                <a:shade val="50000"/>
              </a:schemeClr>
            </a:solidFill>
          </a:ln>
          <a:effectLst/>
        </c:spPr>
        <c:txPr>
          <a:bodyPr rot="-60000000" spcFirstLastPara="1" vertOverflow="ellipsis" vert="horz" wrap="square" anchor="ctr" anchorCtr="1"/>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314223296"/>
        <c:crosses val="autoZero"/>
        <c:crossBetween val="midCat"/>
      </c:valAx>
      <c:spPr>
        <a:noFill/>
        <a:ln w="25400">
          <a:noFill/>
        </a:ln>
        <a:effectLst/>
      </c:spPr>
    </c:plotArea>
    <c:legend>
      <c:legendPos val="b"/>
      <c:layout>
        <c:manualLayout>
          <c:xMode val="edge"/>
          <c:yMode val="edge"/>
          <c:x val="0.55836260925543924"/>
          <c:y val="0.53751773259201441"/>
          <c:w val="0.34499637979748599"/>
          <c:h val="0.2355769581433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chart>
  <c:spPr>
    <a:solidFill>
      <a:schemeClr val="bg1"/>
    </a:solidFill>
    <a:ln w="9525" cap="flat" cmpd="sng" algn="ctr">
      <a:noFill/>
      <a:round/>
    </a:ln>
    <a:effectLst/>
  </c:spPr>
  <c:txPr>
    <a:bodyPr/>
    <a:lstStyle/>
    <a:p>
      <a:pPr>
        <a:defRPr sz="900">
          <a:solidFill>
            <a:schemeClr val="tx1"/>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orientation="portrait"/>
  </c:printSettings>
  <c:userShapes r:id="rId3"/>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'Old vs New'!$AU$21</c:f>
          <c:strCache>
            <c:ptCount val="1"/>
            <c:pt idx="0">
              <c:v>EBIT</c:v>
            </c:pt>
          </c:strCache>
        </c:strRef>
      </c:tx>
      <c:layout>
        <c:manualLayout>
          <c:xMode val="edge"/>
          <c:yMode val="edge"/>
          <c:x val="0.46164062500000008"/>
          <c:y val="0"/>
        </c:manualLayout>
      </c:layout>
      <c:overlay val="0"/>
      <c:spPr>
        <a:noFill/>
        <a:ln>
          <a:noFill/>
        </a:ln>
        <a:effectLst/>
      </c:spPr>
      <c:txPr>
        <a:bodyPr rot="0" spcFirstLastPara="1" vertOverflow="ellipsis" vert="horz" wrap="square" anchor="ctr" anchorCtr="1"/>
        <a:lstStyle/>
        <a:p>
          <a:pPr>
            <a:defRPr sz="1100" b="1" i="0" u="none" strike="noStrike" kern="1200" spc="0" baseline="0">
              <a:solidFill>
                <a:schemeClr val="tx1"/>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7.8776262872429226E-2"/>
          <c:y val="0.11800016576875259"/>
          <c:w val="0.90559873392362489"/>
          <c:h val="0.74082254455035224"/>
        </c:manualLayout>
      </c:layout>
      <c:lineChart>
        <c:grouping val="standard"/>
        <c:varyColors val="0"/>
        <c:ser>
          <c:idx val="0"/>
          <c:order val="0"/>
          <c:tx>
            <c:strRef>
              <c:f>'Old vs New'!$AU$22</c:f>
              <c:strCache>
                <c:ptCount val="1"/>
                <c:pt idx="0">
                  <c:v>New GSe</c:v>
                </c:pt>
              </c:strCache>
            </c:strRef>
          </c:tx>
          <c:spPr>
            <a:ln w="28575" cap="rnd">
              <a:solidFill>
                <a:schemeClr val="accent1"/>
              </a:solidFill>
              <a:round/>
            </a:ln>
            <a:effectLst/>
          </c:spPr>
          <c:marker>
            <c:symbol val="none"/>
          </c:marker>
          <c:cat>
            <c:strRef>
              <c:f>'Old vs New'!$AW$4:$BD$4</c:f>
              <c:strCache>
                <c:ptCount val="4"/>
                <c:pt idx="0">
                  <c:v>2023E</c:v>
                </c:pt>
                <c:pt idx="1">
                  <c:v>2024E</c:v>
                </c:pt>
                <c:pt idx="2">
                  <c:v>2025E</c:v>
                </c:pt>
                <c:pt idx="3">
                  <c:v>2026E</c:v>
                </c:pt>
              </c:strCache>
            </c:strRef>
          </c:cat>
          <c:val>
            <c:numRef>
              <c:f>'Old vs New'!$AW$22:$BD$22</c:f>
              <c:numCache>
                <c:formatCode>#,##0</c:formatCode>
                <c:ptCount val="4"/>
                <c:pt idx="0">
                  <c:v>-116</c:v>
                </c:pt>
                <c:pt idx="1">
                  <c:v>27</c:v>
                </c:pt>
                <c:pt idx="2">
                  <c:v>106.69281550872572</c:v>
                </c:pt>
                <c:pt idx="3">
                  <c:v>200.53140626440566</c:v>
                </c:pt>
              </c:numCache>
            </c:numRef>
          </c:val>
          <c:smooth val="1"/>
          <c:extLst>
            <c:ext xmlns:c16="http://schemas.microsoft.com/office/drawing/2014/chart" uri="{C3380CC4-5D6E-409C-BE32-E72D297353CC}">
              <c16:uniqueId val="{00000000-6948-4BE4-B004-1E482204DF69}"/>
            </c:ext>
          </c:extLst>
        </c:ser>
        <c:ser>
          <c:idx val="1"/>
          <c:order val="1"/>
          <c:tx>
            <c:strRef>
              <c:f>'Old vs New'!$AU$23</c:f>
              <c:strCache>
                <c:ptCount val="1"/>
                <c:pt idx="0">
                  <c:v>Old GSe</c:v>
                </c:pt>
              </c:strCache>
            </c:strRef>
          </c:tx>
          <c:spPr>
            <a:ln w="28575" cap="rnd">
              <a:solidFill>
                <a:schemeClr val="accent2"/>
              </a:solidFill>
              <a:round/>
            </a:ln>
            <a:effectLst/>
          </c:spPr>
          <c:marker>
            <c:symbol val="none"/>
          </c:marker>
          <c:cat>
            <c:strRef>
              <c:f>'Old vs New'!$AW$4:$BD$4</c:f>
              <c:strCache>
                <c:ptCount val="4"/>
                <c:pt idx="0">
                  <c:v>2023E</c:v>
                </c:pt>
                <c:pt idx="1">
                  <c:v>2024E</c:v>
                </c:pt>
                <c:pt idx="2">
                  <c:v>2025E</c:v>
                </c:pt>
                <c:pt idx="3">
                  <c:v>2026E</c:v>
                </c:pt>
              </c:strCache>
            </c:strRef>
          </c:cat>
          <c:val>
            <c:numRef>
              <c:f>'Old vs New'!$AW$23:$BD$23</c:f>
              <c:numCache>
                <c:formatCode>#,##0</c:formatCode>
                <c:ptCount val="4"/>
                <c:pt idx="0">
                  <c:v>-116</c:v>
                </c:pt>
                <c:pt idx="1">
                  <c:v>27</c:v>
                </c:pt>
                <c:pt idx="2">
                  <c:v>106.69281550872572</c:v>
                </c:pt>
                <c:pt idx="3">
                  <c:v>200.53140626440566</c:v>
                </c:pt>
              </c:numCache>
            </c:numRef>
          </c:val>
          <c:smooth val="1"/>
          <c:extLst>
            <c:ext xmlns:c16="http://schemas.microsoft.com/office/drawing/2014/chart" uri="{C3380CC4-5D6E-409C-BE32-E72D297353CC}">
              <c16:uniqueId val="{00000001-6948-4BE4-B004-1E482204DF69}"/>
            </c:ext>
          </c:extLst>
        </c:ser>
        <c:ser>
          <c:idx val="2"/>
          <c:order val="2"/>
          <c:tx>
            <c:strRef>
              <c:f>'Old vs New'!$AU$24</c:f>
              <c:strCache>
                <c:ptCount val="1"/>
                <c:pt idx="0">
                  <c:v>VA Consensus</c:v>
                </c:pt>
              </c:strCache>
            </c:strRef>
          </c:tx>
          <c:spPr>
            <a:ln w="28575" cap="rnd">
              <a:solidFill>
                <a:schemeClr val="accent5"/>
              </a:solidFill>
              <a:round/>
            </a:ln>
            <a:effectLst/>
          </c:spPr>
          <c:marker>
            <c:symbol val="none"/>
          </c:marker>
          <c:cat>
            <c:strRef>
              <c:f>'Old vs New'!$AW$4:$BD$4</c:f>
              <c:strCache>
                <c:ptCount val="4"/>
                <c:pt idx="0">
                  <c:v>2023E</c:v>
                </c:pt>
                <c:pt idx="1">
                  <c:v>2024E</c:v>
                </c:pt>
                <c:pt idx="2">
                  <c:v>2025E</c:v>
                </c:pt>
                <c:pt idx="3">
                  <c:v>2026E</c:v>
                </c:pt>
              </c:strCache>
            </c:strRef>
          </c:cat>
          <c:val>
            <c:numRef>
              <c:f>'Old vs New'!$AW$24:$BD$24</c:f>
              <c:numCache>
                <c:formatCode>#,##0</c:formatCode>
                <c:ptCount val="4"/>
                <c:pt idx="0">
                  <c:v>0</c:v>
                </c:pt>
                <c:pt idx="1">
                  <c:v>0</c:v>
                </c:pt>
                <c:pt idx="2">
                  <c:v>0</c:v>
                </c:pt>
                <c:pt idx="3">
                  <c:v>0</c:v>
                </c:pt>
              </c:numCache>
            </c:numRef>
          </c:val>
          <c:smooth val="1"/>
          <c:extLst>
            <c:ext xmlns:c16="http://schemas.microsoft.com/office/drawing/2014/chart" uri="{C3380CC4-5D6E-409C-BE32-E72D297353CC}">
              <c16:uniqueId val="{00000002-6948-4BE4-B004-1E482204DF69}"/>
            </c:ext>
          </c:extLst>
        </c:ser>
        <c:dLbls>
          <c:showLegendKey val="0"/>
          <c:showVal val="0"/>
          <c:showCatName val="0"/>
          <c:showSerName val="0"/>
          <c:showPercent val="0"/>
          <c:showBubbleSize val="0"/>
        </c:dLbls>
        <c:smooth val="0"/>
        <c:axId val="314223296"/>
        <c:axId val="314217888"/>
      </c:lineChart>
      <c:catAx>
        <c:axId val="314223296"/>
        <c:scaling>
          <c:orientation val="minMax"/>
        </c:scaling>
        <c:delete val="0"/>
        <c:axPos val="b"/>
        <c:numFmt formatCode="General" sourceLinked="1"/>
        <c:majorTickMark val="out"/>
        <c:minorTickMark val="none"/>
        <c:tickLblPos val="low"/>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314217888"/>
        <c:crosses val="autoZero"/>
        <c:auto val="1"/>
        <c:lblAlgn val="ctr"/>
        <c:lblOffset val="100"/>
        <c:tickLblSkip val="1"/>
        <c:noMultiLvlLbl val="0"/>
      </c:catAx>
      <c:valAx>
        <c:axId val="314217888"/>
        <c:scaling>
          <c:orientation val="minMax"/>
        </c:scaling>
        <c:delete val="0"/>
        <c:axPos val="l"/>
        <c:numFmt formatCode="#,##0" sourceLinked="0"/>
        <c:majorTickMark val="out"/>
        <c:minorTickMark val="none"/>
        <c:tickLblPos val="nextTo"/>
        <c:spPr>
          <a:noFill/>
          <a:ln>
            <a:solidFill>
              <a:schemeClr val="lt1">
                <a:shade val="50000"/>
              </a:schemeClr>
            </a:solidFill>
          </a:ln>
          <a:effectLst/>
        </c:spPr>
        <c:txPr>
          <a:bodyPr rot="-60000000" spcFirstLastPara="1" vertOverflow="ellipsis" vert="horz" wrap="square" anchor="ctr" anchorCtr="1"/>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314223296"/>
        <c:crosses val="autoZero"/>
        <c:crossBetween val="midCat"/>
      </c:valAx>
      <c:spPr>
        <a:noFill/>
        <a:ln w="25400">
          <a:noFill/>
        </a:ln>
        <a:effectLst/>
      </c:spPr>
    </c:plotArea>
    <c:legend>
      <c:legendPos val="b"/>
      <c:layout>
        <c:manualLayout>
          <c:xMode val="edge"/>
          <c:yMode val="edge"/>
          <c:x val="0.17469983897224392"/>
          <c:y val="0.19600198922503109"/>
          <c:w val="0.34499637979748599"/>
          <c:h val="0.2355769581433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chart>
  <c:spPr>
    <a:solidFill>
      <a:schemeClr val="bg1"/>
    </a:solidFill>
    <a:ln w="9525" cap="flat" cmpd="sng" algn="ctr">
      <a:noFill/>
      <a:round/>
    </a:ln>
    <a:effectLst/>
  </c:spPr>
  <c:txPr>
    <a:bodyPr/>
    <a:lstStyle/>
    <a:p>
      <a:pPr>
        <a:defRPr sz="900">
          <a:solidFill>
            <a:schemeClr val="tx1"/>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orientation="portrait"/>
  </c:printSettings>
  <c:userShapes r:id="rId3"/>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'Old vs New'!$AU$13</c:f>
          <c:strCache>
            <c:ptCount val="1"/>
            <c:pt idx="0">
              <c:v>Sales growth</c:v>
            </c:pt>
          </c:strCache>
        </c:strRef>
      </c:tx>
      <c:layout>
        <c:manualLayout>
          <c:xMode val="edge"/>
          <c:yMode val="edge"/>
          <c:x val="0.41611322998687661"/>
          <c:y val="0"/>
        </c:manualLayout>
      </c:layout>
      <c:overlay val="0"/>
      <c:spPr>
        <a:noFill/>
        <a:ln>
          <a:noFill/>
        </a:ln>
        <a:effectLst/>
      </c:spPr>
      <c:txPr>
        <a:bodyPr rot="0" spcFirstLastPara="1" vertOverflow="ellipsis" vert="horz" wrap="square" anchor="ctr" anchorCtr="1"/>
        <a:lstStyle/>
        <a:p>
          <a:pPr>
            <a:defRPr sz="1080" b="1" i="0" u="none" strike="noStrike" kern="1200" spc="0" baseline="0">
              <a:solidFill>
                <a:schemeClr val="tx1"/>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7.8776262872429226E-2"/>
          <c:y val="8.4315955242436805E-2"/>
          <c:w val="0.90559873392362489"/>
          <c:h val="0.77450675507666789"/>
        </c:manualLayout>
      </c:layout>
      <c:lineChart>
        <c:grouping val="standard"/>
        <c:varyColors val="0"/>
        <c:ser>
          <c:idx val="0"/>
          <c:order val="0"/>
          <c:tx>
            <c:strRef>
              <c:f>'Old vs New'!$AU$14</c:f>
              <c:strCache>
                <c:ptCount val="1"/>
                <c:pt idx="0">
                  <c:v>New GSe</c:v>
                </c:pt>
              </c:strCache>
            </c:strRef>
          </c:tx>
          <c:spPr>
            <a:ln w="28575" cap="rnd">
              <a:solidFill>
                <a:schemeClr val="accent1"/>
              </a:solidFill>
              <a:round/>
            </a:ln>
            <a:effectLst/>
          </c:spPr>
          <c:marker>
            <c:symbol val="none"/>
          </c:marker>
          <c:cat>
            <c:strRef>
              <c:f>'Old vs New'!$AW$4:$BD$4</c:f>
              <c:strCache>
                <c:ptCount val="4"/>
                <c:pt idx="0">
                  <c:v>2023E</c:v>
                </c:pt>
                <c:pt idx="1">
                  <c:v>2024E</c:v>
                </c:pt>
                <c:pt idx="2">
                  <c:v>2025E</c:v>
                </c:pt>
                <c:pt idx="3">
                  <c:v>2026E</c:v>
                </c:pt>
              </c:strCache>
            </c:strRef>
          </c:cat>
          <c:val>
            <c:numRef>
              <c:f>'Old vs New'!$AW$14:$BD$14</c:f>
              <c:numCache>
                <c:formatCode>0.0%</c:formatCode>
                <c:ptCount val="4"/>
                <c:pt idx="0">
                  <c:v>#N/A</c:v>
                </c:pt>
                <c:pt idx="1">
                  <c:v>0.17750765119186163</c:v>
                </c:pt>
                <c:pt idx="2">
                  <c:v>0.13467682843662865</c:v>
                </c:pt>
                <c:pt idx="3">
                  <c:v>0.11371607699632236</c:v>
                </c:pt>
              </c:numCache>
            </c:numRef>
          </c:val>
          <c:smooth val="1"/>
          <c:extLst>
            <c:ext xmlns:c16="http://schemas.microsoft.com/office/drawing/2014/chart" uri="{C3380CC4-5D6E-409C-BE32-E72D297353CC}">
              <c16:uniqueId val="{00000000-FDF7-4CFC-8D6D-08D8C9B38748}"/>
            </c:ext>
          </c:extLst>
        </c:ser>
        <c:ser>
          <c:idx val="1"/>
          <c:order val="1"/>
          <c:tx>
            <c:strRef>
              <c:f>'Old vs New'!$AU$15</c:f>
              <c:strCache>
                <c:ptCount val="1"/>
                <c:pt idx="0">
                  <c:v>Old GSe</c:v>
                </c:pt>
              </c:strCache>
            </c:strRef>
          </c:tx>
          <c:spPr>
            <a:ln w="28575" cap="rnd">
              <a:solidFill>
                <a:schemeClr val="accent2"/>
              </a:solidFill>
              <a:round/>
            </a:ln>
            <a:effectLst/>
          </c:spPr>
          <c:marker>
            <c:symbol val="none"/>
          </c:marker>
          <c:cat>
            <c:strRef>
              <c:f>'Old vs New'!$AW$4:$BD$4</c:f>
              <c:strCache>
                <c:ptCount val="4"/>
                <c:pt idx="0">
                  <c:v>2023E</c:v>
                </c:pt>
                <c:pt idx="1">
                  <c:v>2024E</c:v>
                </c:pt>
                <c:pt idx="2">
                  <c:v>2025E</c:v>
                </c:pt>
                <c:pt idx="3">
                  <c:v>2026E</c:v>
                </c:pt>
              </c:strCache>
            </c:strRef>
          </c:cat>
          <c:val>
            <c:numRef>
              <c:f>'Old vs New'!$AW$15:$BD$15</c:f>
              <c:numCache>
                <c:formatCode>0.0%</c:formatCode>
                <c:ptCount val="4"/>
                <c:pt idx="0">
                  <c:v>#N/A</c:v>
                </c:pt>
                <c:pt idx="1">
                  <c:v>0.17750765119186163</c:v>
                </c:pt>
                <c:pt idx="2">
                  <c:v>0.13467682843662865</c:v>
                </c:pt>
                <c:pt idx="3">
                  <c:v>0.11371607699632236</c:v>
                </c:pt>
              </c:numCache>
            </c:numRef>
          </c:val>
          <c:smooth val="1"/>
          <c:extLst>
            <c:ext xmlns:c16="http://schemas.microsoft.com/office/drawing/2014/chart" uri="{C3380CC4-5D6E-409C-BE32-E72D297353CC}">
              <c16:uniqueId val="{00000001-FDF7-4CFC-8D6D-08D8C9B38748}"/>
            </c:ext>
          </c:extLst>
        </c:ser>
        <c:ser>
          <c:idx val="2"/>
          <c:order val="2"/>
          <c:tx>
            <c:strRef>
              <c:f>'Old vs New'!$AU$16</c:f>
              <c:strCache>
                <c:ptCount val="1"/>
                <c:pt idx="0">
                  <c:v>VA Consensus</c:v>
                </c:pt>
              </c:strCache>
            </c:strRef>
          </c:tx>
          <c:spPr>
            <a:ln w="28575" cap="rnd">
              <a:solidFill>
                <a:schemeClr val="accent5"/>
              </a:solidFill>
              <a:round/>
            </a:ln>
            <a:effectLst/>
          </c:spPr>
          <c:marker>
            <c:symbol val="none"/>
          </c:marker>
          <c:cat>
            <c:strRef>
              <c:f>'Old vs New'!$AW$4:$BD$4</c:f>
              <c:strCache>
                <c:ptCount val="4"/>
                <c:pt idx="0">
                  <c:v>2023E</c:v>
                </c:pt>
                <c:pt idx="1">
                  <c:v>2024E</c:v>
                </c:pt>
                <c:pt idx="2">
                  <c:v>2025E</c:v>
                </c:pt>
                <c:pt idx="3">
                  <c:v>2026E</c:v>
                </c:pt>
              </c:strCache>
            </c:strRef>
          </c:cat>
          <c:val>
            <c:numRef>
              <c:f>'Old vs New'!$AW$16:$BD$16</c:f>
              <c:numCache>
                <c:formatCode>0.0%</c:formatCode>
                <c:ptCount val="4"/>
                <c:pt idx="0">
                  <c:v>0</c:v>
                </c:pt>
                <c:pt idx="1">
                  <c:v>0</c:v>
                </c:pt>
                <c:pt idx="2">
                  <c:v>0</c:v>
                </c:pt>
                <c:pt idx="3">
                  <c:v>0</c:v>
                </c:pt>
              </c:numCache>
            </c:numRef>
          </c:val>
          <c:smooth val="1"/>
          <c:extLst>
            <c:ext xmlns:c16="http://schemas.microsoft.com/office/drawing/2014/chart" uri="{C3380CC4-5D6E-409C-BE32-E72D297353CC}">
              <c16:uniqueId val="{00000002-FDF7-4CFC-8D6D-08D8C9B38748}"/>
            </c:ext>
          </c:extLst>
        </c:ser>
        <c:dLbls>
          <c:showLegendKey val="0"/>
          <c:showVal val="0"/>
          <c:showCatName val="0"/>
          <c:showSerName val="0"/>
          <c:showPercent val="0"/>
          <c:showBubbleSize val="0"/>
        </c:dLbls>
        <c:smooth val="0"/>
        <c:axId val="314223296"/>
        <c:axId val="314217888"/>
      </c:lineChart>
      <c:catAx>
        <c:axId val="314223296"/>
        <c:scaling>
          <c:orientation val="minMax"/>
        </c:scaling>
        <c:delete val="0"/>
        <c:axPos val="b"/>
        <c:numFmt formatCode="General" sourceLinked="1"/>
        <c:majorTickMark val="out"/>
        <c:minorTickMark val="none"/>
        <c:tickLblPos val="low"/>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314217888"/>
        <c:crosses val="autoZero"/>
        <c:auto val="1"/>
        <c:lblAlgn val="ctr"/>
        <c:lblOffset val="100"/>
        <c:tickLblSkip val="1"/>
        <c:noMultiLvlLbl val="0"/>
      </c:catAx>
      <c:valAx>
        <c:axId val="314217888"/>
        <c:scaling>
          <c:orientation val="minMax"/>
        </c:scaling>
        <c:delete val="0"/>
        <c:axPos val="l"/>
        <c:numFmt formatCode="0%" sourceLinked="0"/>
        <c:majorTickMark val="out"/>
        <c:minorTickMark val="none"/>
        <c:tickLblPos val="nextTo"/>
        <c:spPr>
          <a:noFill/>
          <a:ln>
            <a:solidFill>
              <a:schemeClr val="lt1">
                <a:shade val="50000"/>
              </a:schemeClr>
            </a:solidFill>
          </a:ln>
          <a:effectLst/>
        </c:spPr>
        <c:txPr>
          <a:bodyPr rot="-60000000" spcFirstLastPara="1" vertOverflow="ellipsis" vert="horz" wrap="square" anchor="ctr" anchorCtr="1"/>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314223296"/>
        <c:crosses val="autoZero"/>
        <c:crossBetween val="midCat"/>
      </c:valAx>
      <c:spPr>
        <a:noFill/>
        <a:ln w="25400">
          <a:noFill/>
        </a:ln>
        <a:effectLst/>
      </c:spPr>
    </c:plotArea>
    <c:legend>
      <c:legendPos val="b"/>
      <c:layout>
        <c:manualLayout>
          <c:xMode val="edge"/>
          <c:yMode val="edge"/>
          <c:x val="0.51063740785708001"/>
          <c:y val="0.51600198922503104"/>
          <c:w val="0.34499637979748599"/>
          <c:h val="0.2355769581433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chart>
  <c:spPr>
    <a:solidFill>
      <a:schemeClr val="bg1"/>
    </a:solidFill>
    <a:ln w="9525" cap="flat" cmpd="sng" algn="ctr">
      <a:noFill/>
      <a:round/>
    </a:ln>
    <a:effectLst/>
  </c:spPr>
  <c:txPr>
    <a:bodyPr/>
    <a:lstStyle/>
    <a:p>
      <a:pPr>
        <a:defRPr sz="900">
          <a:solidFill>
            <a:schemeClr val="tx1"/>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orientation="portrait"/>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'Old vs New'!$AU$32</c:f>
          <c:strCache>
            <c:ptCount val="1"/>
            <c:pt idx="0">
              <c:v>Group FCF</c:v>
            </c:pt>
          </c:strCache>
        </c:strRef>
      </c:tx>
      <c:layout>
        <c:manualLayout>
          <c:xMode val="edge"/>
          <c:yMode val="edge"/>
          <c:x val="0.40389968832020995"/>
          <c:y val="0"/>
        </c:manualLayout>
      </c:layout>
      <c:overlay val="0"/>
      <c:spPr>
        <a:noFill/>
        <a:ln>
          <a:noFill/>
        </a:ln>
        <a:effectLst/>
      </c:spPr>
      <c:txPr>
        <a:bodyPr rot="0" spcFirstLastPara="1" vertOverflow="ellipsis" vert="horz" wrap="square" anchor="ctr" anchorCtr="1"/>
        <a:lstStyle/>
        <a:p>
          <a:pPr>
            <a:defRPr sz="1080" b="1" i="0" u="none" strike="noStrike" kern="1200" spc="0" baseline="0">
              <a:solidFill>
                <a:schemeClr val="tx1"/>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7.8776262872429226E-2"/>
          <c:y val="0.10536858682138416"/>
          <c:w val="0.90559873392362489"/>
          <c:h val="0.75345412349772067"/>
        </c:manualLayout>
      </c:layout>
      <c:lineChart>
        <c:grouping val="standard"/>
        <c:varyColors val="0"/>
        <c:ser>
          <c:idx val="0"/>
          <c:order val="0"/>
          <c:tx>
            <c:strRef>
              <c:f>'Old vs New'!$AU$33</c:f>
              <c:strCache>
                <c:ptCount val="1"/>
                <c:pt idx="0">
                  <c:v>New GSe</c:v>
                </c:pt>
              </c:strCache>
            </c:strRef>
          </c:tx>
          <c:spPr>
            <a:ln w="28575" cap="rnd">
              <a:solidFill>
                <a:schemeClr val="accent1"/>
              </a:solidFill>
              <a:round/>
            </a:ln>
            <a:effectLst/>
          </c:spPr>
          <c:marker>
            <c:symbol val="none"/>
          </c:marker>
          <c:cat>
            <c:strRef>
              <c:f>'Old vs New'!$AW$4:$BD$4</c:f>
              <c:strCache>
                <c:ptCount val="4"/>
                <c:pt idx="0">
                  <c:v>2023E</c:v>
                </c:pt>
                <c:pt idx="1">
                  <c:v>2024E</c:v>
                </c:pt>
                <c:pt idx="2">
                  <c:v>2025E</c:v>
                </c:pt>
                <c:pt idx="3">
                  <c:v>2026E</c:v>
                </c:pt>
              </c:strCache>
            </c:strRef>
          </c:cat>
          <c:val>
            <c:numRef>
              <c:f>'Old vs New'!$AW$33:$BD$33</c:f>
              <c:numCache>
                <c:formatCode>#,##0</c:formatCode>
                <c:ptCount val="4"/>
                <c:pt idx="0">
                  <c:v>2945</c:v>
                </c:pt>
                <c:pt idx="1">
                  <c:v>3189</c:v>
                </c:pt>
                <c:pt idx="2">
                  <c:v>3518.6013391781835</c:v>
                </c:pt>
                <c:pt idx="3">
                  <c:v>4206.2766698938904</c:v>
                </c:pt>
              </c:numCache>
            </c:numRef>
          </c:val>
          <c:smooth val="1"/>
          <c:extLst>
            <c:ext xmlns:c16="http://schemas.microsoft.com/office/drawing/2014/chart" uri="{C3380CC4-5D6E-409C-BE32-E72D297353CC}">
              <c16:uniqueId val="{00000000-4CBD-44E5-B01B-BFA3FC23B626}"/>
            </c:ext>
          </c:extLst>
        </c:ser>
        <c:ser>
          <c:idx val="1"/>
          <c:order val="1"/>
          <c:tx>
            <c:strRef>
              <c:f>'Old vs New'!$AU$34</c:f>
              <c:strCache>
                <c:ptCount val="1"/>
                <c:pt idx="0">
                  <c:v>Old GSe</c:v>
                </c:pt>
              </c:strCache>
            </c:strRef>
          </c:tx>
          <c:spPr>
            <a:ln w="28575" cap="rnd">
              <a:solidFill>
                <a:schemeClr val="accent2"/>
              </a:solidFill>
              <a:round/>
            </a:ln>
            <a:effectLst/>
          </c:spPr>
          <c:marker>
            <c:symbol val="none"/>
          </c:marker>
          <c:cat>
            <c:strRef>
              <c:f>'Old vs New'!$AW$4:$BD$4</c:f>
              <c:strCache>
                <c:ptCount val="4"/>
                <c:pt idx="0">
                  <c:v>2023E</c:v>
                </c:pt>
                <c:pt idx="1">
                  <c:v>2024E</c:v>
                </c:pt>
                <c:pt idx="2">
                  <c:v>2025E</c:v>
                </c:pt>
                <c:pt idx="3">
                  <c:v>2026E</c:v>
                </c:pt>
              </c:strCache>
            </c:strRef>
          </c:cat>
          <c:val>
            <c:numRef>
              <c:f>'Old vs New'!$AW$34:$BD$34</c:f>
              <c:numCache>
                <c:formatCode>#,##0</c:formatCode>
                <c:ptCount val="4"/>
                <c:pt idx="0">
                  <c:v>2945</c:v>
                </c:pt>
                <c:pt idx="1">
                  <c:v>3189</c:v>
                </c:pt>
                <c:pt idx="2">
                  <c:v>3518.6013391781835</c:v>
                </c:pt>
                <c:pt idx="3">
                  <c:v>4206.2766698938904</c:v>
                </c:pt>
              </c:numCache>
            </c:numRef>
          </c:val>
          <c:smooth val="1"/>
          <c:extLst>
            <c:ext xmlns:c16="http://schemas.microsoft.com/office/drawing/2014/chart" uri="{C3380CC4-5D6E-409C-BE32-E72D297353CC}">
              <c16:uniqueId val="{00000001-4CBD-44E5-B01B-BFA3FC23B626}"/>
            </c:ext>
          </c:extLst>
        </c:ser>
        <c:ser>
          <c:idx val="2"/>
          <c:order val="2"/>
          <c:tx>
            <c:strRef>
              <c:f>'Old vs New'!$AU$35</c:f>
              <c:strCache>
                <c:ptCount val="1"/>
                <c:pt idx="0">
                  <c:v>VA Consensus</c:v>
                </c:pt>
              </c:strCache>
            </c:strRef>
          </c:tx>
          <c:spPr>
            <a:ln w="28575" cap="rnd">
              <a:solidFill>
                <a:schemeClr val="accent5"/>
              </a:solidFill>
              <a:round/>
            </a:ln>
            <a:effectLst/>
          </c:spPr>
          <c:marker>
            <c:symbol val="none"/>
          </c:marker>
          <c:cat>
            <c:strRef>
              <c:f>'Old vs New'!$AW$4:$BD$4</c:f>
              <c:strCache>
                <c:ptCount val="4"/>
                <c:pt idx="0">
                  <c:v>2023E</c:v>
                </c:pt>
                <c:pt idx="1">
                  <c:v>2024E</c:v>
                </c:pt>
                <c:pt idx="2">
                  <c:v>2025E</c:v>
                </c:pt>
                <c:pt idx="3">
                  <c:v>2026E</c:v>
                </c:pt>
              </c:strCache>
            </c:strRef>
          </c:cat>
          <c:val>
            <c:numRef>
              <c:f>'Old vs New'!$AW$35:$BD$35</c:f>
              <c:numCache>
                <c:formatCode>#,##0</c:formatCode>
                <c:ptCount val="4"/>
                <c:pt idx="0">
                  <c:v>0</c:v>
                </c:pt>
                <c:pt idx="1">
                  <c:v>0</c:v>
                </c:pt>
                <c:pt idx="2">
                  <c:v>0</c:v>
                </c:pt>
                <c:pt idx="3">
                  <c:v>0</c:v>
                </c:pt>
              </c:numCache>
            </c:numRef>
          </c:val>
          <c:smooth val="1"/>
          <c:extLst>
            <c:ext xmlns:c16="http://schemas.microsoft.com/office/drawing/2014/chart" uri="{C3380CC4-5D6E-409C-BE32-E72D297353CC}">
              <c16:uniqueId val="{00000002-4CBD-44E5-B01B-BFA3FC23B626}"/>
            </c:ext>
          </c:extLst>
        </c:ser>
        <c:dLbls>
          <c:showLegendKey val="0"/>
          <c:showVal val="0"/>
          <c:showCatName val="0"/>
          <c:showSerName val="0"/>
          <c:showPercent val="0"/>
          <c:showBubbleSize val="0"/>
        </c:dLbls>
        <c:smooth val="0"/>
        <c:axId val="314223296"/>
        <c:axId val="314217888"/>
      </c:lineChart>
      <c:catAx>
        <c:axId val="314223296"/>
        <c:scaling>
          <c:orientation val="minMax"/>
        </c:scaling>
        <c:delete val="0"/>
        <c:axPos val="b"/>
        <c:numFmt formatCode="General" sourceLinked="1"/>
        <c:majorTickMark val="out"/>
        <c:minorTickMark val="none"/>
        <c:tickLblPos val="low"/>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314217888"/>
        <c:crosses val="autoZero"/>
        <c:auto val="1"/>
        <c:lblAlgn val="ctr"/>
        <c:lblOffset val="100"/>
        <c:tickLblSkip val="1"/>
        <c:noMultiLvlLbl val="0"/>
      </c:catAx>
      <c:valAx>
        <c:axId val="314217888"/>
        <c:scaling>
          <c:orientation val="minMax"/>
        </c:scaling>
        <c:delete val="0"/>
        <c:axPos val="l"/>
        <c:numFmt formatCode="#,##0" sourceLinked="0"/>
        <c:majorTickMark val="out"/>
        <c:minorTickMark val="none"/>
        <c:tickLblPos val="nextTo"/>
        <c:spPr>
          <a:noFill/>
          <a:ln>
            <a:solidFill>
              <a:schemeClr val="lt1">
                <a:shade val="50000"/>
              </a:schemeClr>
            </a:solidFill>
          </a:ln>
          <a:effectLst/>
        </c:spPr>
        <c:txPr>
          <a:bodyPr rot="-60000000" spcFirstLastPara="1" vertOverflow="ellipsis" vert="horz" wrap="square" anchor="ctr" anchorCtr="1"/>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314223296"/>
        <c:crosses val="autoZero"/>
        <c:crossBetween val="midCat"/>
      </c:valAx>
      <c:spPr>
        <a:noFill/>
        <a:ln w="25400">
          <a:noFill/>
        </a:ln>
        <a:effectLst/>
      </c:spPr>
    </c:plotArea>
    <c:legend>
      <c:legendPos val="b"/>
      <c:layout>
        <c:manualLayout>
          <c:xMode val="edge"/>
          <c:yMode val="edge"/>
          <c:x val="0.17469983897224392"/>
          <c:y val="0.19600198922503109"/>
          <c:w val="0.28884186351706032"/>
          <c:h val="0.2145243265644425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chart>
  <c:spPr>
    <a:solidFill>
      <a:schemeClr val="bg1"/>
    </a:solidFill>
    <a:ln w="9525" cap="flat" cmpd="sng" algn="ctr">
      <a:noFill/>
      <a:round/>
    </a:ln>
    <a:effectLst/>
  </c:spPr>
  <c:txPr>
    <a:bodyPr/>
    <a:lstStyle/>
    <a:p>
      <a:pPr>
        <a:defRPr sz="900">
          <a:solidFill>
            <a:schemeClr val="tx1"/>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orientation="portrait"/>
  </c:printSettings>
  <c:userShapes r:id="rId3"/>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'Old vs New'!$AU$39</c:f>
          <c:strCache>
            <c:ptCount val="1"/>
            <c:pt idx="0">
              <c:v>Civil AM growth (y/y, USD)</c:v>
            </c:pt>
          </c:strCache>
        </c:strRef>
      </c:tx>
      <c:layout>
        <c:manualLayout>
          <c:xMode val="edge"/>
          <c:yMode val="edge"/>
          <c:x val="0.40389968832020995"/>
          <c:y val="0"/>
        </c:manualLayout>
      </c:layout>
      <c:overlay val="0"/>
      <c:spPr>
        <a:noFill/>
        <a:ln>
          <a:noFill/>
        </a:ln>
        <a:effectLst/>
      </c:spPr>
      <c:txPr>
        <a:bodyPr rot="0" spcFirstLastPara="1" vertOverflow="ellipsis" vert="horz" wrap="square" anchor="ctr" anchorCtr="1"/>
        <a:lstStyle/>
        <a:p>
          <a:pPr>
            <a:defRPr sz="1080" b="1" i="0" u="none" strike="noStrike" kern="1200" spc="0" baseline="0">
              <a:solidFill>
                <a:schemeClr val="tx1"/>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7.8776262872429226E-2"/>
          <c:y val="2.1158060505594694E-2"/>
          <c:w val="0.90559873392362489"/>
          <c:h val="0.83766464981351019"/>
        </c:manualLayout>
      </c:layout>
      <c:lineChart>
        <c:grouping val="standard"/>
        <c:varyColors val="0"/>
        <c:ser>
          <c:idx val="0"/>
          <c:order val="0"/>
          <c:tx>
            <c:strRef>
              <c:f>'Old vs New'!$AU$40</c:f>
              <c:strCache>
                <c:ptCount val="1"/>
                <c:pt idx="0">
                  <c:v>New GSe</c:v>
                </c:pt>
              </c:strCache>
            </c:strRef>
          </c:tx>
          <c:spPr>
            <a:ln w="28575" cap="rnd">
              <a:solidFill>
                <a:schemeClr val="accent1"/>
              </a:solidFill>
              <a:round/>
            </a:ln>
            <a:effectLst/>
          </c:spPr>
          <c:marker>
            <c:symbol val="none"/>
          </c:marker>
          <c:cat>
            <c:strRef>
              <c:f>'Old vs New'!$AW$4:$BD$4</c:f>
              <c:strCache>
                <c:ptCount val="4"/>
                <c:pt idx="0">
                  <c:v>2023E</c:v>
                </c:pt>
                <c:pt idx="1">
                  <c:v>2024E</c:v>
                </c:pt>
                <c:pt idx="2">
                  <c:v>2025E</c:v>
                </c:pt>
                <c:pt idx="3">
                  <c:v>2026E</c:v>
                </c:pt>
              </c:strCache>
            </c:strRef>
          </c:cat>
          <c:val>
            <c:numRef>
              <c:f>'Old vs New'!$AW$40:$BD$40</c:f>
              <c:numCache>
                <c:formatCode>0.0%</c:formatCode>
                <c:ptCount val="4"/>
                <c:pt idx="0">
                  <c:v>0.32899999999999996</c:v>
                </c:pt>
                <c:pt idx="1">
                  <c:v>0.249</c:v>
                </c:pt>
                <c:pt idx="2">
                  <c:v>0.1832842541739117</c:v>
                </c:pt>
                <c:pt idx="3">
                  <c:v>0.17526346312665564</c:v>
                </c:pt>
              </c:numCache>
            </c:numRef>
          </c:val>
          <c:smooth val="1"/>
          <c:extLst>
            <c:ext xmlns:c16="http://schemas.microsoft.com/office/drawing/2014/chart" uri="{C3380CC4-5D6E-409C-BE32-E72D297353CC}">
              <c16:uniqueId val="{00000000-96AC-46DD-BAE9-FAAD1AD134EC}"/>
            </c:ext>
          </c:extLst>
        </c:ser>
        <c:ser>
          <c:idx val="1"/>
          <c:order val="1"/>
          <c:tx>
            <c:strRef>
              <c:f>'Old vs New'!$AU$41</c:f>
              <c:strCache>
                <c:ptCount val="1"/>
                <c:pt idx="0">
                  <c:v>Old GSe</c:v>
                </c:pt>
              </c:strCache>
            </c:strRef>
          </c:tx>
          <c:spPr>
            <a:ln w="28575" cap="rnd">
              <a:solidFill>
                <a:schemeClr val="accent2"/>
              </a:solidFill>
              <a:round/>
            </a:ln>
            <a:effectLst/>
          </c:spPr>
          <c:marker>
            <c:symbol val="none"/>
          </c:marker>
          <c:cat>
            <c:strRef>
              <c:f>'Old vs New'!$AW$4:$BD$4</c:f>
              <c:strCache>
                <c:ptCount val="4"/>
                <c:pt idx="0">
                  <c:v>2023E</c:v>
                </c:pt>
                <c:pt idx="1">
                  <c:v>2024E</c:v>
                </c:pt>
                <c:pt idx="2">
                  <c:v>2025E</c:v>
                </c:pt>
                <c:pt idx="3">
                  <c:v>2026E</c:v>
                </c:pt>
              </c:strCache>
            </c:strRef>
          </c:cat>
          <c:val>
            <c:numRef>
              <c:f>'Old vs New'!$AW$41:$BD$41</c:f>
              <c:numCache>
                <c:formatCode>0.0%</c:formatCode>
                <c:ptCount val="4"/>
                <c:pt idx="0">
                  <c:v>0.32899999999999996</c:v>
                </c:pt>
                <c:pt idx="1">
                  <c:v>0.249</c:v>
                </c:pt>
                <c:pt idx="2">
                  <c:v>0.1832842541739117</c:v>
                </c:pt>
                <c:pt idx="3">
                  <c:v>0.17526346312665564</c:v>
                </c:pt>
              </c:numCache>
            </c:numRef>
          </c:val>
          <c:smooth val="1"/>
          <c:extLst>
            <c:ext xmlns:c16="http://schemas.microsoft.com/office/drawing/2014/chart" uri="{C3380CC4-5D6E-409C-BE32-E72D297353CC}">
              <c16:uniqueId val="{00000001-96AC-46DD-BAE9-FAAD1AD134EC}"/>
            </c:ext>
          </c:extLst>
        </c:ser>
        <c:ser>
          <c:idx val="2"/>
          <c:order val="2"/>
          <c:tx>
            <c:strRef>
              <c:f>'Old vs New'!$AU$42</c:f>
              <c:strCache>
                <c:ptCount val="1"/>
                <c:pt idx="0">
                  <c:v>VA Consensus</c:v>
                </c:pt>
              </c:strCache>
            </c:strRef>
          </c:tx>
          <c:spPr>
            <a:ln w="28575" cap="rnd">
              <a:solidFill>
                <a:schemeClr val="accent5"/>
              </a:solidFill>
              <a:round/>
            </a:ln>
            <a:effectLst/>
          </c:spPr>
          <c:marker>
            <c:symbol val="none"/>
          </c:marker>
          <c:cat>
            <c:strRef>
              <c:f>'Old vs New'!$AW$4:$BD$4</c:f>
              <c:strCache>
                <c:ptCount val="4"/>
                <c:pt idx="0">
                  <c:v>2023E</c:v>
                </c:pt>
                <c:pt idx="1">
                  <c:v>2024E</c:v>
                </c:pt>
                <c:pt idx="2">
                  <c:v>2025E</c:v>
                </c:pt>
                <c:pt idx="3">
                  <c:v>2026E</c:v>
                </c:pt>
              </c:strCache>
            </c:strRef>
          </c:cat>
          <c:val>
            <c:numRef>
              <c:f>'Old vs New'!$AW$42:$BD$42</c:f>
              <c:numCache>
                <c:formatCode>0.0%</c:formatCode>
                <c:ptCount val="4"/>
                <c:pt idx="0">
                  <c:v>0</c:v>
                </c:pt>
                <c:pt idx="1">
                  <c:v>0</c:v>
                </c:pt>
                <c:pt idx="2">
                  <c:v>0</c:v>
                </c:pt>
                <c:pt idx="3">
                  <c:v>0</c:v>
                </c:pt>
              </c:numCache>
            </c:numRef>
          </c:val>
          <c:smooth val="1"/>
          <c:extLst>
            <c:ext xmlns:c16="http://schemas.microsoft.com/office/drawing/2014/chart" uri="{C3380CC4-5D6E-409C-BE32-E72D297353CC}">
              <c16:uniqueId val="{00000002-96AC-46DD-BAE9-FAAD1AD134EC}"/>
            </c:ext>
          </c:extLst>
        </c:ser>
        <c:dLbls>
          <c:showLegendKey val="0"/>
          <c:showVal val="0"/>
          <c:showCatName val="0"/>
          <c:showSerName val="0"/>
          <c:showPercent val="0"/>
          <c:showBubbleSize val="0"/>
        </c:dLbls>
        <c:smooth val="0"/>
        <c:axId val="314223296"/>
        <c:axId val="314217888"/>
      </c:lineChart>
      <c:catAx>
        <c:axId val="314223296"/>
        <c:scaling>
          <c:orientation val="minMax"/>
        </c:scaling>
        <c:delete val="0"/>
        <c:axPos val="b"/>
        <c:numFmt formatCode="General" sourceLinked="1"/>
        <c:majorTickMark val="out"/>
        <c:minorTickMark val="none"/>
        <c:tickLblPos val="low"/>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314217888"/>
        <c:crosses val="autoZero"/>
        <c:auto val="1"/>
        <c:lblAlgn val="ctr"/>
        <c:lblOffset val="100"/>
        <c:tickLblSkip val="1"/>
        <c:noMultiLvlLbl val="0"/>
      </c:catAx>
      <c:valAx>
        <c:axId val="314217888"/>
        <c:scaling>
          <c:orientation val="minMax"/>
        </c:scaling>
        <c:delete val="0"/>
        <c:axPos val="l"/>
        <c:numFmt formatCode="0%" sourceLinked="0"/>
        <c:majorTickMark val="out"/>
        <c:minorTickMark val="none"/>
        <c:tickLblPos val="nextTo"/>
        <c:spPr>
          <a:noFill/>
          <a:ln>
            <a:solidFill>
              <a:schemeClr val="lt1">
                <a:shade val="50000"/>
              </a:schemeClr>
            </a:solidFill>
          </a:ln>
          <a:effectLst/>
        </c:spPr>
        <c:txPr>
          <a:bodyPr rot="-60000000" spcFirstLastPara="1" vertOverflow="ellipsis" vert="horz" wrap="square" anchor="ctr" anchorCtr="1"/>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314223296"/>
        <c:crosses val="autoZero"/>
        <c:crossBetween val="midCat"/>
      </c:valAx>
      <c:spPr>
        <a:noFill/>
        <a:ln w="25400">
          <a:noFill/>
        </a:ln>
        <a:effectLst/>
      </c:spPr>
    </c:plotArea>
    <c:legend>
      <c:legendPos val="b"/>
      <c:layout>
        <c:manualLayout>
          <c:xMode val="edge"/>
          <c:yMode val="edge"/>
          <c:x val="0.48980396981627294"/>
          <c:y val="0.5202125155408206"/>
          <c:w val="0.34499637979748599"/>
          <c:h val="0.2355769581433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chart>
  <c:spPr>
    <a:solidFill>
      <a:schemeClr val="bg1"/>
    </a:solidFill>
    <a:ln w="9525" cap="flat" cmpd="sng" algn="ctr">
      <a:noFill/>
      <a:round/>
    </a:ln>
    <a:effectLst/>
  </c:spPr>
  <c:txPr>
    <a:bodyPr/>
    <a:lstStyle/>
    <a:p>
      <a:pPr>
        <a:defRPr sz="900">
          <a:solidFill>
            <a:schemeClr val="tx1"/>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orientation="portrait"/>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'Old vs New'!$AU$39</c:f>
          <c:strCache>
            <c:ptCount val="1"/>
            <c:pt idx="0">
              <c:v>Civil AM growth (y/y, USD)</c:v>
            </c:pt>
          </c:strCache>
        </c:strRef>
      </c:tx>
      <c:layout>
        <c:manualLayout>
          <c:xMode val="edge"/>
          <c:yMode val="edge"/>
          <c:x val="0.33341952362120891"/>
          <c:y val="0"/>
        </c:manualLayout>
      </c:layout>
      <c:overlay val="0"/>
      <c:spPr>
        <a:noFill/>
        <a:ln>
          <a:noFill/>
        </a:ln>
        <a:effectLst/>
      </c:spPr>
      <c:txPr>
        <a:bodyPr rot="0" spcFirstLastPara="1" vertOverflow="ellipsis" vert="horz" wrap="square" anchor="ctr" anchorCtr="1"/>
        <a:lstStyle/>
        <a:p>
          <a:pPr>
            <a:defRPr sz="1080" b="1" i="0" u="none" strike="noStrike" kern="1200" spc="0" baseline="0">
              <a:solidFill>
                <a:schemeClr val="tx1"/>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7.8776262872429226E-2"/>
          <c:y val="0.13149835868176582"/>
          <c:w val="0.90559873392362489"/>
          <c:h val="0.72746474736781686"/>
        </c:manualLayout>
      </c:layout>
      <c:lineChart>
        <c:grouping val="standard"/>
        <c:varyColors val="0"/>
        <c:ser>
          <c:idx val="2"/>
          <c:order val="0"/>
          <c:tx>
            <c:strRef>
              <c:f>'Old vs New'!$AU$42</c:f>
              <c:strCache>
                <c:ptCount val="1"/>
                <c:pt idx="0">
                  <c:v>VA Consensus</c:v>
                </c:pt>
              </c:strCache>
            </c:strRef>
          </c:tx>
          <c:spPr>
            <a:ln w="28575" cap="rnd">
              <a:solidFill>
                <a:schemeClr val="accent5"/>
              </a:solidFill>
              <a:round/>
            </a:ln>
            <a:effectLst/>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03-6963-49A4-B47A-A8EAF4DB5D86}"/>
                </c:ext>
              </c:extLst>
            </c:dLbl>
            <c:dLbl>
              <c:idx val="1"/>
              <c:delete val="1"/>
              <c:extLst>
                <c:ext xmlns:c15="http://schemas.microsoft.com/office/drawing/2012/chart" uri="{CE6537A1-D6FC-4f65-9D91-7224C49458BB}"/>
                <c:ext xmlns:c16="http://schemas.microsoft.com/office/drawing/2014/chart" uri="{C3380CC4-5D6E-409C-BE32-E72D297353CC}">
                  <c16:uniqueId val="{00000002-6963-49A4-B47A-A8EAF4DB5D86}"/>
                </c:ext>
              </c:extLst>
            </c:dLbl>
            <c:dLbl>
              <c:idx val="2"/>
              <c:delete val="1"/>
              <c:extLst>
                <c:ext xmlns:c15="http://schemas.microsoft.com/office/drawing/2012/chart" uri="{CE6537A1-D6FC-4f65-9D91-7224C49458BB}"/>
                <c:ext xmlns:c16="http://schemas.microsoft.com/office/drawing/2014/chart" uri="{C3380CC4-5D6E-409C-BE32-E72D297353CC}">
                  <c16:uniqueId val="{00000001-6963-49A4-B47A-A8EAF4DB5D86}"/>
                </c:ext>
              </c:extLst>
            </c:dLbl>
            <c:dLbl>
              <c:idx val="3"/>
              <c:delete val="1"/>
              <c:extLst>
                <c:ext xmlns:c15="http://schemas.microsoft.com/office/drawing/2012/chart" uri="{CE6537A1-D6FC-4f65-9D91-7224C49458BB}"/>
                <c:ext xmlns:c16="http://schemas.microsoft.com/office/drawing/2014/chart" uri="{C3380CC4-5D6E-409C-BE32-E72D297353CC}">
                  <c16:uniqueId val="{00000001-6B8F-4A84-9D55-965D9ADCECB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solidFill>
                    <a:latin typeface="Arial" panose="020B0604020202020204" pitchFamily="34" charset="0"/>
                    <a:ea typeface="+mn-ea"/>
                    <a:cs typeface="Arial" panose="020B0604020202020204" pitchFamily="34" charset="0"/>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'Old vs New'!$AW$4:$BD$4</c:f>
              <c:strCache>
                <c:ptCount val="4"/>
                <c:pt idx="0">
                  <c:v>2023E</c:v>
                </c:pt>
                <c:pt idx="1">
                  <c:v>2024E</c:v>
                </c:pt>
                <c:pt idx="2">
                  <c:v>2025E</c:v>
                </c:pt>
                <c:pt idx="3">
                  <c:v>2026E</c:v>
                </c:pt>
              </c:strCache>
            </c:strRef>
          </c:cat>
          <c:val>
            <c:numRef>
              <c:f>'Old vs New'!$AW$42:$BE$42</c:f>
              <c:numCache>
                <c:formatCode>0.0%</c:formatCode>
                <c:ptCount val="5"/>
                <c:pt idx="0">
                  <c:v>0</c:v>
                </c:pt>
                <c:pt idx="1">
                  <c:v>0</c:v>
                </c:pt>
                <c:pt idx="2">
                  <c:v>0</c:v>
                </c:pt>
                <c:pt idx="3">
                  <c:v>0</c:v>
                </c:pt>
                <c:pt idx="4">
                  <c:v>0</c:v>
                </c:pt>
              </c:numCache>
            </c:numRef>
          </c:val>
          <c:smooth val="1"/>
          <c:extLst>
            <c:ext xmlns:c16="http://schemas.microsoft.com/office/drawing/2014/chart" uri="{C3380CC4-5D6E-409C-BE32-E72D297353CC}">
              <c16:uniqueId val="{00000002-FF50-4061-9031-58ACA4269EB9}"/>
            </c:ext>
          </c:extLst>
        </c:ser>
        <c:ser>
          <c:idx val="0"/>
          <c:order val="1"/>
          <c:tx>
            <c:strRef>
              <c:f>'Old vs New'!$AU$40</c:f>
              <c:strCache>
                <c:ptCount val="1"/>
                <c:pt idx="0">
                  <c:v>New GSe</c:v>
                </c:pt>
              </c:strCache>
            </c:strRef>
          </c:tx>
          <c:spPr>
            <a:ln w="28575" cap="rnd">
              <a:solidFill>
                <a:schemeClr val="accent1"/>
              </a:solidFill>
              <a:round/>
            </a:ln>
            <a:effectLst/>
          </c:spPr>
          <c:marker>
            <c:symbol val="none"/>
          </c:marker>
          <c:dLbls>
            <c:dLbl>
              <c:idx val="0"/>
              <c:layout>
                <c:manualLayout>
                  <c:x val="-1.9709348261655628E-3"/>
                  <c:y val="-2.192351283485502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6963-49A4-B47A-A8EAF4DB5D86}"/>
                </c:ext>
              </c:extLst>
            </c:dLbl>
            <c:dLbl>
              <c:idx val="1"/>
              <c:layout>
                <c:manualLayout>
                  <c:x val="-5.9399153663443505E-2"/>
                  <c:y val="-0.10245423465444219"/>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963-49A4-B47A-A8EAF4DB5D86}"/>
                </c:ext>
              </c:extLst>
            </c:dLbl>
            <c:dLbl>
              <c:idx val="2"/>
              <c:layout>
                <c:manualLayout>
                  <c:x val="-6.9840647997494038E-2"/>
                  <c:y val="-5.159272613680815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6963-49A4-B47A-A8EAF4DB5D8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Arial" panose="020B0604020202020204" pitchFamily="34" charset="0"/>
                    <a:ea typeface="+mn-ea"/>
                    <a:cs typeface="Arial" panose="020B0604020202020204" pitchFamily="34" charset="0"/>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'Old vs New'!$AW$4:$BD$4</c:f>
              <c:strCache>
                <c:ptCount val="4"/>
                <c:pt idx="0">
                  <c:v>2023E</c:v>
                </c:pt>
                <c:pt idx="1">
                  <c:v>2024E</c:v>
                </c:pt>
                <c:pt idx="2">
                  <c:v>2025E</c:v>
                </c:pt>
                <c:pt idx="3">
                  <c:v>2026E</c:v>
                </c:pt>
              </c:strCache>
            </c:strRef>
          </c:cat>
          <c:val>
            <c:numRef>
              <c:f>'Old vs New'!$AW$40:$BE$40</c:f>
              <c:numCache>
                <c:formatCode>0.0%</c:formatCode>
                <c:ptCount val="5"/>
                <c:pt idx="0">
                  <c:v>0.32899999999999996</c:v>
                </c:pt>
                <c:pt idx="1">
                  <c:v>0.249</c:v>
                </c:pt>
                <c:pt idx="2">
                  <c:v>0.1832842541739117</c:v>
                </c:pt>
                <c:pt idx="3">
                  <c:v>0.17526346312665564</c:v>
                </c:pt>
                <c:pt idx="4">
                  <c:v>0.11739398677555801</c:v>
                </c:pt>
              </c:numCache>
            </c:numRef>
          </c:val>
          <c:smooth val="1"/>
          <c:extLst>
            <c:ext xmlns:c16="http://schemas.microsoft.com/office/drawing/2014/chart" uri="{C3380CC4-5D6E-409C-BE32-E72D297353CC}">
              <c16:uniqueId val="{00000000-FF50-4061-9031-58ACA4269EB9}"/>
            </c:ext>
          </c:extLst>
        </c:ser>
        <c:dLbls>
          <c:showLegendKey val="0"/>
          <c:showVal val="0"/>
          <c:showCatName val="0"/>
          <c:showSerName val="0"/>
          <c:showPercent val="0"/>
          <c:showBubbleSize val="0"/>
        </c:dLbls>
        <c:smooth val="0"/>
        <c:axId val="314223296"/>
        <c:axId val="314217888"/>
      </c:lineChart>
      <c:catAx>
        <c:axId val="314223296"/>
        <c:scaling>
          <c:orientation val="minMax"/>
        </c:scaling>
        <c:delete val="0"/>
        <c:axPos val="b"/>
        <c:numFmt formatCode="General" sourceLinked="1"/>
        <c:majorTickMark val="out"/>
        <c:minorTickMark val="none"/>
        <c:tickLblPos val="low"/>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314217888"/>
        <c:crosses val="autoZero"/>
        <c:auto val="1"/>
        <c:lblAlgn val="ctr"/>
        <c:lblOffset val="100"/>
        <c:tickLblSkip val="1"/>
        <c:noMultiLvlLbl val="0"/>
      </c:catAx>
      <c:valAx>
        <c:axId val="314217888"/>
        <c:scaling>
          <c:orientation val="minMax"/>
        </c:scaling>
        <c:delete val="0"/>
        <c:axPos val="l"/>
        <c:numFmt formatCode="0%" sourceLinked="0"/>
        <c:majorTickMark val="out"/>
        <c:minorTickMark val="none"/>
        <c:tickLblPos val="nextTo"/>
        <c:spPr>
          <a:noFill/>
          <a:ln>
            <a:solidFill>
              <a:schemeClr val="lt1">
                <a:shade val="50000"/>
              </a:schemeClr>
            </a:solidFill>
          </a:ln>
          <a:effectLst/>
        </c:spPr>
        <c:txPr>
          <a:bodyPr rot="-60000000" spcFirstLastPara="1" vertOverflow="ellipsis" vert="horz" wrap="square" anchor="ctr" anchorCtr="1"/>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314223296"/>
        <c:crosses val="autoZero"/>
        <c:crossBetween val="midCat"/>
      </c:valAx>
      <c:spPr>
        <a:noFill/>
        <a:ln w="25400">
          <a:noFill/>
        </a:ln>
        <a:effectLst/>
      </c:spPr>
    </c:plotArea>
    <c:legend>
      <c:legendPos val="b"/>
      <c:layout>
        <c:manualLayout>
          <c:xMode val="edge"/>
          <c:yMode val="edge"/>
          <c:x val="0.48980396981627294"/>
          <c:y val="0.5202125155408206"/>
          <c:w val="0.31889269185834762"/>
          <c:h val="0.1804769234260632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chart>
  <c:spPr>
    <a:solidFill>
      <a:schemeClr val="bg1"/>
    </a:solidFill>
    <a:ln w="9525" cap="flat" cmpd="sng" algn="ctr">
      <a:noFill/>
      <a:round/>
    </a:ln>
    <a:effectLst/>
  </c:spPr>
  <c:txPr>
    <a:bodyPr/>
    <a:lstStyle/>
    <a:p>
      <a:pPr>
        <a:defRPr sz="900">
          <a:solidFill>
            <a:schemeClr val="tx1"/>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orientation="portrait"/>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80" b="1" i="0" u="none" strike="noStrike" kern="1200" spc="0" baseline="0">
                <a:solidFill>
                  <a:schemeClr val="tx1"/>
                </a:solidFill>
                <a:latin typeface="Arial" panose="020B0604020202020204" pitchFamily="34" charset="0"/>
                <a:ea typeface="+mn-ea"/>
                <a:cs typeface="Arial" panose="020B0604020202020204" pitchFamily="34" charset="0"/>
              </a:defRPr>
            </a:pPr>
            <a:r>
              <a:rPr lang="en-US"/>
              <a:t>Civil AM $ sales growth</a:t>
            </a:r>
            <a:endParaRPr lang="en-US" b="0"/>
          </a:p>
          <a:p>
            <a:pPr>
              <a:defRPr b="1"/>
            </a:pPr>
            <a:r>
              <a:rPr lang="en-US" b="0"/>
              <a:t>2019 = 100</a:t>
            </a:r>
          </a:p>
        </c:rich>
      </c:tx>
      <c:layout>
        <c:manualLayout>
          <c:xMode val="edge"/>
          <c:yMode val="edge"/>
          <c:x val="0.33865716468554075"/>
          <c:y val="0"/>
        </c:manualLayout>
      </c:layout>
      <c:overlay val="0"/>
      <c:spPr>
        <a:noFill/>
        <a:ln>
          <a:noFill/>
        </a:ln>
        <a:effectLst/>
      </c:spPr>
      <c:txPr>
        <a:bodyPr rot="0" spcFirstLastPara="1" vertOverflow="ellipsis" vert="horz" wrap="square" anchor="ctr" anchorCtr="1"/>
        <a:lstStyle/>
        <a:p>
          <a:pPr>
            <a:defRPr sz="1080" b="1" i="0" u="none" strike="noStrike" kern="1200" spc="0" baseline="0">
              <a:solidFill>
                <a:schemeClr val="tx1"/>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7.8776262872429226E-2"/>
          <c:y val="0.13149835868176582"/>
          <c:w val="0.90559873392362489"/>
          <c:h val="0.72746474736781686"/>
        </c:manualLayout>
      </c:layout>
      <c:lineChart>
        <c:grouping val="standard"/>
        <c:varyColors val="0"/>
        <c:ser>
          <c:idx val="2"/>
          <c:order val="0"/>
          <c:tx>
            <c:strRef>
              <c:f>'Old vs New'!$AU$42</c:f>
              <c:strCache>
                <c:ptCount val="1"/>
                <c:pt idx="0">
                  <c:v>VA Consensus</c:v>
                </c:pt>
              </c:strCache>
            </c:strRef>
          </c:tx>
          <c:spPr>
            <a:ln w="28575" cap="rnd">
              <a:solidFill>
                <a:schemeClr val="accent5"/>
              </a:solidFill>
              <a:round/>
            </a:ln>
            <a:effectLst/>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00-8C34-4F6C-BD24-88633664760C}"/>
                </c:ext>
              </c:extLst>
            </c:dLbl>
            <c:dLbl>
              <c:idx val="1"/>
              <c:delete val="1"/>
              <c:extLst>
                <c:ext xmlns:c15="http://schemas.microsoft.com/office/drawing/2012/chart" uri="{CE6537A1-D6FC-4f65-9D91-7224C49458BB}"/>
                <c:ext xmlns:c16="http://schemas.microsoft.com/office/drawing/2014/chart" uri="{C3380CC4-5D6E-409C-BE32-E72D297353CC}">
                  <c16:uniqueId val="{00000001-8C34-4F6C-BD24-88633664760C}"/>
                </c:ext>
              </c:extLst>
            </c:dLbl>
            <c:dLbl>
              <c:idx val="2"/>
              <c:delete val="1"/>
              <c:extLst>
                <c:ext xmlns:c15="http://schemas.microsoft.com/office/drawing/2012/chart" uri="{CE6537A1-D6FC-4f65-9D91-7224C49458BB}"/>
                <c:ext xmlns:c16="http://schemas.microsoft.com/office/drawing/2014/chart" uri="{C3380CC4-5D6E-409C-BE32-E72D297353CC}">
                  <c16:uniqueId val="{00000002-8C34-4F6C-BD24-88633664760C}"/>
                </c:ext>
              </c:extLst>
            </c:dLbl>
            <c:dLbl>
              <c:idx val="3"/>
              <c:delete val="1"/>
              <c:extLst>
                <c:ext xmlns:c15="http://schemas.microsoft.com/office/drawing/2012/chart" uri="{CE6537A1-D6FC-4f65-9D91-7224C49458BB}"/>
                <c:ext xmlns:c16="http://schemas.microsoft.com/office/drawing/2014/chart" uri="{C3380CC4-5D6E-409C-BE32-E72D297353CC}">
                  <c16:uniqueId val="{00000003-8C34-4F6C-BD24-88633664760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solidFill>
                    <a:latin typeface="Arial" panose="020B0604020202020204" pitchFamily="34" charset="0"/>
                    <a:ea typeface="+mn-ea"/>
                    <a:cs typeface="Arial" panose="020B0604020202020204" pitchFamily="34" charset="0"/>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'Old vs New'!$AW$4:$BD$4</c:f>
              <c:strCache>
                <c:ptCount val="4"/>
                <c:pt idx="0">
                  <c:v>2023E</c:v>
                </c:pt>
                <c:pt idx="1">
                  <c:v>2024E</c:v>
                </c:pt>
                <c:pt idx="2">
                  <c:v>2025E</c:v>
                </c:pt>
                <c:pt idx="3">
                  <c:v>2026E</c:v>
                </c:pt>
              </c:strCache>
            </c:strRef>
          </c:cat>
          <c:val>
            <c:numRef>
              <c:f>'Old vs New'!$AW$45:$BE$45</c:f>
              <c:numCache>
                <c:formatCode>0%</c:formatCode>
                <c:ptCount val="5"/>
                <c:pt idx="0">
                  <c:v>#N/A</c:v>
                </c:pt>
                <c:pt idx="1">
                  <c:v>#N/A</c:v>
                </c:pt>
                <c:pt idx="2">
                  <c:v>#N/A</c:v>
                </c:pt>
                <c:pt idx="3">
                  <c:v>#N/A</c:v>
                </c:pt>
                <c:pt idx="4">
                  <c:v>#N/A</c:v>
                </c:pt>
              </c:numCache>
            </c:numRef>
          </c:val>
          <c:smooth val="1"/>
          <c:extLst>
            <c:ext xmlns:c16="http://schemas.microsoft.com/office/drawing/2014/chart" uri="{C3380CC4-5D6E-409C-BE32-E72D297353CC}">
              <c16:uniqueId val="{00000004-8C34-4F6C-BD24-88633664760C}"/>
            </c:ext>
          </c:extLst>
        </c:ser>
        <c:ser>
          <c:idx val="0"/>
          <c:order val="1"/>
          <c:tx>
            <c:v>GSe</c:v>
          </c:tx>
          <c:spPr>
            <a:ln w="28575" cap="rnd">
              <a:solidFill>
                <a:schemeClr val="accent1"/>
              </a:solidFill>
              <a:round/>
            </a:ln>
            <a:effectLst/>
          </c:spPr>
          <c:marker>
            <c:symbol val="none"/>
          </c:marker>
          <c:dLbls>
            <c:dLbl>
              <c:idx val="0"/>
              <c:layout>
                <c:manualLayout>
                  <c:x val="-1.9709348261655628E-3"/>
                  <c:y val="-2.192351283485502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C34-4F6C-BD24-88633664760C}"/>
                </c:ext>
              </c:extLst>
            </c:dLbl>
            <c:dLbl>
              <c:idx val="1"/>
              <c:layout>
                <c:manualLayout>
                  <c:x val="-5.9399153663443505E-2"/>
                  <c:y val="-0.10245423465444219"/>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8C34-4F6C-BD24-88633664760C}"/>
                </c:ext>
              </c:extLst>
            </c:dLbl>
            <c:dLbl>
              <c:idx val="2"/>
              <c:layout>
                <c:manualLayout>
                  <c:x val="-6.9840647997494038E-2"/>
                  <c:y val="-5.159272613680815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8C34-4F6C-BD24-88633664760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Arial" panose="020B0604020202020204" pitchFamily="34" charset="0"/>
                    <a:ea typeface="+mn-ea"/>
                    <a:cs typeface="Arial" panose="020B0604020202020204" pitchFamily="34" charset="0"/>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'Old vs New'!$AW$4:$BD$4</c:f>
              <c:strCache>
                <c:ptCount val="4"/>
                <c:pt idx="0">
                  <c:v>2023E</c:v>
                </c:pt>
                <c:pt idx="1">
                  <c:v>2024E</c:v>
                </c:pt>
                <c:pt idx="2">
                  <c:v>2025E</c:v>
                </c:pt>
                <c:pt idx="3">
                  <c:v>2026E</c:v>
                </c:pt>
              </c:strCache>
            </c:strRef>
          </c:cat>
          <c:val>
            <c:numRef>
              <c:f>'Old vs New'!$AW$44:$BE$44</c:f>
              <c:numCache>
                <c:formatCode>0%</c:formatCode>
                <c:ptCount val="5"/>
                <c:pt idx="0">
                  <c:v>#N/A</c:v>
                </c:pt>
                <c:pt idx="1">
                  <c:v>#N/A</c:v>
                </c:pt>
                <c:pt idx="2">
                  <c:v>#N/A</c:v>
                </c:pt>
                <c:pt idx="3">
                  <c:v>#N/A</c:v>
                </c:pt>
                <c:pt idx="4">
                  <c:v>#N/A</c:v>
                </c:pt>
              </c:numCache>
            </c:numRef>
          </c:val>
          <c:smooth val="1"/>
          <c:extLst>
            <c:ext xmlns:c16="http://schemas.microsoft.com/office/drawing/2014/chart" uri="{C3380CC4-5D6E-409C-BE32-E72D297353CC}">
              <c16:uniqueId val="{00000008-8C34-4F6C-BD24-88633664760C}"/>
            </c:ext>
          </c:extLst>
        </c:ser>
        <c:dLbls>
          <c:showLegendKey val="0"/>
          <c:showVal val="0"/>
          <c:showCatName val="0"/>
          <c:showSerName val="0"/>
          <c:showPercent val="0"/>
          <c:showBubbleSize val="0"/>
        </c:dLbls>
        <c:smooth val="0"/>
        <c:axId val="314223296"/>
        <c:axId val="314217888"/>
      </c:lineChart>
      <c:catAx>
        <c:axId val="314223296"/>
        <c:scaling>
          <c:orientation val="minMax"/>
        </c:scaling>
        <c:delete val="0"/>
        <c:axPos val="b"/>
        <c:numFmt formatCode="General" sourceLinked="1"/>
        <c:majorTickMark val="out"/>
        <c:minorTickMark val="none"/>
        <c:tickLblPos val="low"/>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314217888"/>
        <c:crosses val="autoZero"/>
        <c:auto val="1"/>
        <c:lblAlgn val="ctr"/>
        <c:lblOffset val="100"/>
        <c:tickLblSkip val="1"/>
        <c:noMultiLvlLbl val="0"/>
      </c:catAx>
      <c:valAx>
        <c:axId val="314217888"/>
        <c:scaling>
          <c:orientation val="minMax"/>
        </c:scaling>
        <c:delete val="0"/>
        <c:axPos val="l"/>
        <c:numFmt formatCode="0%" sourceLinked="0"/>
        <c:majorTickMark val="out"/>
        <c:minorTickMark val="none"/>
        <c:tickLblPos val="nextTo"/>
        <c:spPr>
          <a:noFill/>
          <a:ln>
            <a:solidFill>
              <a:schemeClr val="lt1">
                <a:shade val="50000"/>
              </a:schemeClr>
            </a:solidFill>
          </a:ln>
          <a:effectLst/>
        </c:spPr>
        <c:txPr>
          <a:bodyPr rot="-60000000" spcFirstLastPara="1" vertOverflow="ellipsis" vert="horz" wrap="square" anchor="ctr" anchorCtr="1"/>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314223296"/>
        <c:crosses val="autoZero"/>
        <c:crossBetween val="midCat"/>
      </c:valAx>
      <c:spPr>
        <a:noFill/>
        <a:ln w="25400">
          <a:noFill/>
        </a:ln>
        <a:effectLst/>
      </c:spPr>
    </c:plotArea>
    <c:legend>
      <c:legendPos val="b"/>
      <c:layout>
        <c:manualLayout>
          <c:xMode val="edge"/>
          <c:yMode val="edge"/>
          <c:x val="0.17030816483710229"/>
          <c:y val="0.23366396383472113"/>
          <c:w val="0.31889269185834762"/>
          <c:h val="0.1804769234260632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chart>
  <c:spPr>
    <a:solidFill>
      <a:schemeClr val="bg1"/>
    </a:solidFill>
    <a:ln w="9525" cap="flat" cmpd="sng" algn="ctr">
      <a:noFill/>
      <a:round/>
    </a:ln>
    <a:effectLst/>
  </c:spPr>
  <c:txPr>
    <a:bodyPr/>
    <a:lstStyle/>
    <a:p>
      <a:pPr>
        <a:defRPr sz="900">
          <a:solidFill>
            <a:schemeClr val="tx1"/>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orientation="portrait"/>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5.xml.rels><?xml version="1.0" encoding="UTF-8" standalone="yes"?>
<Relationships xmlns="http://schemas.openxmlformats.org/package/2006/relationships"><Relationship Id="rId8" Type="http://schemas.openxmlformats.org/officeDocument/2006/relationships/chart" Target="../charts/chart10.xml"/><Relationship Id="rId3" Type="http://schemas.openxmlformats.org/officeDocument/2006/relationships/chart" Target="../charts/chart5.xml"/><Relationship Id="rId7" Type="http://schemas.openxmlformats.org/officeDocument/2006/relationships/chart" Target="../charts/chart9.xml"/><Relationship Id="rId2" Type="http://schemas.openxmlformats.org/officeDocument/2006/relationships/chart" Target="../charts/chart4.xml"/><Relationship Id="rId1" Type="http://schemas.openxmlformats.org/officeDocument/2006/relationships/chart" Target="../charts/chart3.xml"/><Relationship Id="rId6" Type="http://schemas.openxmlformats.org/officeDocument/2006/relationships/chart" Target="../charts/chart8.xml"/><Relationship Id="rId5" Type="http://schemas.openxmlformats.org/officeDocument/2006/relationships/chart" Target="../charts/chart7.xml"/><Relationship Id="rId10" Type="http://schemas.openxmlformats.org/officeDocument/2006/relationships/chart" Target="../charts/chart12.xml"/><Relationship Id="rId4" Type="http://schemas.openxmlformats.org/officeDocument/2006/relationships/chart" Target="../charts/chart6.xml"/><Relationship Id="rId9" Type="http://schemas.openxmlformats.org/officeDocument/2006/relationships/chart" Target="../charts/chart11.xml"/></Relationships>
</file>

<file path=xl/drawings/_rels/drawing16.xml.rels><?xml version="1.0" encoding="UTF-8" standalone="yes"?>
<Relationships xmlns="http://schemas.openxmlformats.org/package/2006/relationships"><Relationship Id="rId8" Type="http://schemas.openxmlformats.org/officeDocument/2006/relationships/chart" Target="../charts/chart20.xml"/><Relationship Id="rId3" Type="http://schemas.openxmlformats.org/officeDocument/2006/relationships/chart" Target="../charts/chart15.xml"/><Relationship Id="rId7" Type="http://schemas.openxmlformats.org/officeDocument/2006/relationships/chart" Target="../charts/chart19.xml"/><Relationship Id="rId2" Type="http://schemas.openxmlformats.org/officeDocument/2006/relationships/chart" Target="../charts/chart14.xml"/><Relationship Id="rId1" Type="http://schemas.openxmlformats.org/officeDocument/2006/relationships/chart" Target="../charts/chart13.xml"/><Relationship Id="rId6" Type="http://schemas.openxmlformats.org/officeDocument/2006/relationships/chart" Target="../charts/chart18.xml"/><Relationship Id="rId5" Type="http://schemas.openxmlformats.org/officeDocument/2006/relationships/chart" Target="../charts/chart17.xml"/><Relationship Id="rId4"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oneCellAnchor>
    <xdr:from>
      <xdr:col>0</xdr:col>
      <xdr:colOff>200026</xdr:colOff>
      <xdr:row>1</xdr:row>
      <xdr:rowOff>76199</xdr:rowOff>
    </xdr:from>
    <xdr:ext cx="701039" cy="657226"/>
    <xdr:pic>
      <xdr:nvPicPr>
        <xdr:cNvPr id="2" name="Picture 1" descr="GS Logo - 652">
          <a:extLst>
            <a:ext uri="{FF2B5EF4-FFF2-40B4-BE49-F238E27FC236}">
              <a16:creationId xmlns:a16="http://schemas.microsoft.com/office/drawing/2014/main" id="{00000000-0008-0000-01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200026" y="200024"/>
          <a:ext cx="701039" cy="657226"/>
        </a:xfrm>
        <a:prstGeom prst="rect">
          <a:avLst/>
        </a:prstGeom>
        <a:noFill/>
        <a:ln w="9525">
          <a:noFill/>
          <a:miter lim="800000"/>
          <a:headEnd/>
          <a:tailEnd/>
        </a:ln>
      </xdr:spPr>
    </xdr:pic>
    <xdr:clientData/>
  </xdr:oneCellAnchor>
  <xdr:oneCellAnchor>
    <xdr:from>
      <xdr:col>0</xdr:col>
      <xdr:colOff>200026</xdr:colOff>
      <xdr:row>1</xdr:row>
      <xdr:rowOff>76199</xdr:rowOff>
    </xdr:from>
    <xdr:ext cx="701039" cy="657226"/>
    <xdr:pic>
      <xdr:nvPicPr>
        <xdr:cNvPr id="3" name="Picture 2" descr="GS Logo - 652">
          <a:extLst>
            <a:ext uri="{FF2B5EF4-FFF2-40B4-BE49-F238E27FC236}">
              <a16:creationId xmlns:a16="http://schemas.microsoft.com/office/drawing/2014/main" id="{00000000-0008-0000-0100-000003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200026" y="200024"/>
          <a:ext cx="701039" cy="657226"/>
        </a:xfrm>
        <a:prstGeom prst="rect">
          <a:avLst/>
        </a:prstGeom>
        <a:noFill/>
        <a:ln w="9525">
          <a:noFill/>
          <a:miter lim="800000"/>
          <a:headEnd/>
          <a:tailEnd/>
        </a:ln>
      </xdr:spPr>
    </xdr:pic>
    <xdr:clientData/>
  </xdr:oneCellAnchor>
</xdr:wsDr>
</file>

<file path=xl/drawings/drawing2.xml><?xml version="1.0" encoding="utf-8"?>
<xdr:wsDr xmlns:xdr="http://schemas.openxmlformats.org/drawingml/2006/spreadsheetDrawing" xmlns:a="http://schemas.openxmlformats.org/drawingml/2006/main">
  <xdr:twoCellAnchor>
    <xdr:from>
      <xdr:col>27</xdr:col>
      <xdr:colOff>485775</xdr:colOff>
      <xdr:row>51</xdr:row>
      <xdr:rowOff>133350</xdr:rowOff>
    </xdr:from>
    <xdr:to>
      <xdr:col>28</xdr:col>
      <xdr:colOff>66675</xdr:colOff>
      <xdr:row>56</xdr:row>
      <xdr:rowOff>104775</xdr:rowOff>
    </xdr:to>
    <xdr:cxnSp macro="">
      <xdr:nvCxnSpPr>
        <xdr:cNvPr id="2" name="Straight Arrow Connector 1">
          <a:extLst>
            <a:ext uri="{FF2B5EF4-FFF2-40B4-BE49-F238E27FC236}">
              <a16:creationId xmlns:a16="http://schemas.microsoft.com/office/drawing/2014/main" id="{00000000-0008-0000-0D00-000002000000}"/>
            </a:ext>
          </a:extLst>
        </xdr:cNvPr>
        <xdr:cNvCxnSpPr/>
      </xdr:nvCxnSpPr>
      <xdr:spPr>
        <a:xfrm>
          <a:off x="20145375" y="9982200"/>
          <a:ext cx="266700" cy="933450"/>
        </a:xfrm>
        <a:prstGeom prst="straightConnector1">
          <a:avLst/>
        </a:prstGeom>
        <a:ln>
          <a:solidFill>
            <a:schemeClr val="bg2"/>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27</xdr:col>
      <xdr:colOff>495300</xdr:colOff>
      <xdr:row>21</xdr:row>
      <xdr:rowOff>133350</xdr:rowOff>
    </xdr:from>
    <xdr:to>
      <xdr:col>28</xdr:col>
      <xdr:colOff>76200</xdr:colOff>
      <xdr:row>26</xdr:row>
      <xdr:rowOff>104775</xdr:rowOff>
    </xdr:to>
    <xdr:cxnSp macro="">
      <xdr:nvCxnSpPr>
        <xdr:cNvPr id="3" name="Straight Arrow Connector 2">
          <a:extLst>
            <a:ext uri="{FF2B5EF4-FFF2-40B4-BE49-F238E27FC236}">
              <a16:creationId xmlns:a16="http://schemas.microsoft.com/office/drawing/2014/main" id="{00000000-0008-0000-0D00-000003000000}"/>
            </a:ext>
          </a:extLst>
        </xdr:cNvPr>
        <xdr:cNvCxnSpPr/>
      </xdr:nvCxnSpPr>
      <xdr:spPr>
        <a:xfrm>
          <a:off x="20154900" y="4181475"/>
          <a:ext cx="266700" cy="933450"/>
        </a:xfrm>
        <a:prstGeom prst="straightConnector1">
          <a:avLst/>
        </a:prstGeom>
        <a:ln>
          <a:solidFill>
            <a:schemeClr val="bg2"/>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30</xdr:col>
      <xdr:colOff>47625</xdr:colOff>
      <xdr:row>7</xdr:row>
      <xdr:rowOff>152400</xdr:rowOff>
    </xdr:from>
    <xdr:to>
      <xdr:col>30</xdr:col>
      <xdr:colOff>666750</xdr:colOff>
      <xdr:row>8</xdr:row>
      <xdr:rowOff>38100</xdr:rowOff>
    </xdr:to>
    <xdr:cxnSp macro="">
      <xdr:nvCxnSpPr>
        <xdr:cNvPr id="4" name="Straight Arrow Connector 3">
          <a:extLst>
            <a:ext uri="{FF2B5EF4-FFF2-40B4-BE49-F238E27FC236}">
              <a16:creationId xmlns:a16="http://schemas.microsoft.com/office/drawing/2014/main" id="{00000000-0008-0000-0D00-000004000000}"/>
            </a:ext>
          </a:extLst>
        </xdr:cNvPr>
        <xdr:cNvCxnSpPr/>
      </xdr:nvCxnSpPr>
      <xdr:spPr>
        <a:xfrm flipV="1">
          <a:off x="21764625" y="1495425"/>
          <a:ext cx="619125" cy="85725"/>
        </a:xfrm>
        <a:prstGeom prst="straightConnector1">
          <a:avLst/>
        </a:prstGeom>
        <a:ln>
          <a:solidFill>
            <a:schemeClr val="bg2"/>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7</xdr:col>
      <xdr:colOff>457200</xdr:colOff>
      <xdr:row>59</xdr:row>
      <xdr:rowOff>133350</xdr:rowOff>
    </xdr:from>
    <xdr:to>
      <xdr:col>11</xdr:col>
      <xdr:colOff>458525</xdr:colOff>
      <xdr:row>76</xdr:row>
      <xdr:rowOff>59690</xdr:rowOff>
    </xdr:to>
    <xdr:graphicFrame macro="">
      <xdr:nvGraphicFramePr>
        <xdr:cNvPr id="8" name="Chart 7">
          <a:extLst>
            <a:ext uri="{FF2B5EF4-FFF2-40B4-BE49-F238E27FC236}">
              <a16:creationId xmlns:a16="http://schemas.microsoft.com/office/drawing/2014/main" id="{D389F64F-6A90-442B-A528-1700D80B16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552449</xdr:colOff>
      <xdr:row>77</xdr:row>
      <xdr:rowOff>28575</xdr:rowOff>
    </xdr:from>
    <xdr:to>
      <xdr:col>13</xdr:col>
      <xdr:colOff>518159</xdr:colOff>
      <xdr:row>100</xdr:row>
      <xdr:rowOff>136169</xdr:rowOff>
    </xdr:to>
    <xdr:graphicFrame macro="">
      <xdr:nvGraphicFramePr>
        <xdr:cNvPr id="5" name="Chart 4">
          <a:extLst>
            <a:ext uri="{FF2B5EF4-FFF2-40B4-BE49-F238E27FC236}">
              <a16:creationId xmlns:a16="http://schemas.microsoft.com/office/drawing/2014/main" id="{648F7FEA-2D06-4519-90EB-6FB087D1B4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c:userShapes xmlns:c="http://schemas.openxmlformats.org/drawingml/2006/chart">
  <cdr:relSizeAnchor xmlns:cdr="http://schemas.openxmlformats.org/drawingml/2006/chartDrawing">
    <cdr:from>
      <cdr:x>0.40934</cdr:x>
      <cdr:y>0.22421</cdr:y>
    </cdr:from>
    <cdr:to>
      <cdr:x>0.51561</cdr:x>
      <cdr:y>0.99158</cdr:y>
    </cdr:to>
    <cdr:sp macro="" textlink="">
      <cdr:nvSpPr>
        <cdr:cNvPr id="2" name="Rectangle 1">
          <a:extLst xmlns:a="http://schemas.openxmlformats.org/drawingml/2006/main">
            <a:ext uri="{FF2B5EF4-FFF2-40B4-BE49-F238E27FC236}">
              <a16:creationId xmlns:a16="http://schemas.microsoft.com/office/drawing/2014/main" id="{451CAB77-0799-D661-940C-D08372A25E21}"/>
            </a:ext>
          </a:extLst>
        </cdr:cNvPr>
        <cdr:cNvSpPr/>
      </cdr:nvSpPr>
      <cdr:spPr>
        <a:xfrm xmlns:a="http://schemas.openxmlformats.org/drawingml/2006/main">
          <a:off x="1981200" y="676275"/>
          <a:ext cx="514350" cy="2314575"/>
        </a:xfrm>
        <a:prstGeom xmlns:a="http://schemas.openxmlformats.org/drawingml/2006/main" prst="rect">
          <a:avLst/>
        </a:prstGeom>
        <a:noFill xmlns:a="http://schemas.openxmlformats.org/drawingml/2006/main"/>
        <a:ln xmlns:a="http://schemas.openxmlformats.org/drawingml/2006/main">
          <a:solidFill>
            <a:schemeClr val="bg2"/>
          </a:solid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rot="0" spcFirstLastPara="0" vert="horz" wrap="square" lIns="91440" tIns="45720" rIns="91440" bIns="45720" numCol="1" spcCol="0" rtlCol="0" fromWordArt="0" anchor="t" anchorCtr="0" forceAA="0" compatLnSpc="1">
          <a:prstTxWarp prst="textNoShape">
            <a:avLst/>
          </a:prstTxWarp>
          <a:noAutofit/>
        </a:bodyP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l"/>
          <a:endParaRPr lang="en-GB" sz="1100"/>
        </a:p>
      </cdr:txBody>
    </cdr:sp>
  </cdr:relSizeAnchor>
  <cdr:relSizeAnchor xmlns:cdr="http://schemas.openxmlformats.org/drawingml/2006/chartDrawing">
    <cdr:from>
      <cdr:x>0.34439</cdr:x>
      <cdr:y>0.13684</cdr:y>
    </cdr:from>
    <cdr:to>
      <cdr:x>0.60417</cdr:x>
      <cdr:y>0.23053</cdr:y>
    </cdr:to>
    <cdr:sp macro="" textlink="">
      <cdr:nvSpPr>
        <cdr:cNvPr id="3" name="TextBox 5">
          <a:extLst xmlns:a="http://schemas.openxmlformats.org/drawingml/2006/main">
            <a:ext uri="{FF2B5EF4-FFF2-40B4-BE49-F238E27FC236}">
              <a16:creationId xmlns:a16="http://schemas.microsoft.com/office/drawing/2014/main" id="{01FF3619-9817-16A5-E0A6-1BC4859A5401}"/>
            </a:ext>
          </a:extLst>
        </cdr:cNvPr>
        <cdr:cNvSpPr txBox="1"/>
      </cdr:nvSpPr>
      <cdr:spPr>
        <a:xfrm xmlns:a="http://schemas.openxmlformats.org/drawingml/2006/main">
          <a:off x="1666875" y="412750"/>
          <a:ext cx="1257300" cy="282575"/>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en-GB" sz="1000" b="1">
              <a:solidFill>
                <a:schemeClr val="bg2"/>
              </a:solidFill>
            </a:rPr>
            <a:t>CL period (+50%)</a:t>
          </a:r>
        </a:p>
      </cdr:txBody>
    </cdr:sp>
  </cdr:relSizeAnchor>
  <cdr:relSizeAnchor xmlns:cdr="http://schemas.openxmlformats.org/drawingml/2006/chartDrawing">
    <cdr:from>
      <cdr:x>0.53988</cdr:x>
      <cdr:y>0.31368</cdr:y>
    </cdr:from>
    <cdr:to>
      <cdr:x>0.79965</cdr:x>
      <cdr:y>0.40737</cdr:y>
    </cdr:to>
    <cdr:sp macro="" textlink="">
      <cdr:nvSpPr>
        <cdr:cNvPr id="4" name="TextBox 5">
          <a:extLst xmlns:a="http://schemas.openxmlformats.org/drawingml/2006/main">
            <a:ext uri="{FF2B5EF4-FFF2-40B4-BE49-F238E27FC236}">
              <a16:creationId xmlns:a16="http://schemas.microsoft.com/office/drawing/2014/main" id="{BA584CCE-ADCB-3FFC-2D1C-EE8698F7D844}"/>
            </a:ext>
          </a:extLst>
        </cdr:cNvPr>
        <cdr:cNvSpPr txBox="1"/>
      </cdr:nvSpPr>
      <cdr:spPr>
        <a:xfrm xmlns:a="http://schemas.openxmlformats.org/drawingml/2006/main">
          <a:off x="2613025" y="946150"/>
          <a:ext cx="1257300" cy="282575"/>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en-GB" sz="1000" b="1">
              <a:solidFill>
                <a:schemeClr val="bg2"/>
              </a:solidFill>
            </a:rPr>
            <a:t>We are here</a:t>
          </a:r>
        </a:p>
      </cdr:txBody>
    </cdr:sp>
  </cdr:relSizeAnchor>
  <cdr:relSizeAnchor xmlns:cdr="http://schemas.openxmlformats.org/drawingml/2006/chartDrawing">
    <cdr:from>
      <cdr:x>0.61204</cdr:x>
      <cdr:y>0.38632</cdr:y>
    </cdr:from>
    <cdr:to>
      <cdr:x>0.61269</cdr:x>
      <cdr:y>0.46105</cdr:y>
    </cdr:to>
    <cdr:cxnSp macro="">
      <cdr:nvCxnSpPr>
        <cdr:cNvPr id="5" name="Straight Arrow Connector 4">
          <a:extLst xmlns:a="http://schemas.openxmlformats.org/drawingml/2006/main">
            <a:ext uri="{FF2B5EF4-FFF2-40B4-BE49-F238E27FC236}">
              <a16:creationId xmlns:a16="http://schemas.microsoft.com/office/drawing/2014/main" id="{C0CCC947-51DF-9E64-BDBA-CA27B413D184}"/>
            </a:ext>
          </a:extLst>
        </cdr:cNvPr>
        <cdr:cNvCxnSpPr/>
      </cdr:nvCxnSpPr>
      <cdr:spPr>
        <a:xfrm xmlns:a="http://schemas.openxmlformats.org/drawingml/2006/main" flipH="1">
          <a:off x="2962275" y="1165225"/>
          <a:ext cx="3175" cy="225425"/>
        </a:xfrm>
        <a:prstGeom xmlns:a="http://schemas.openxmlformats.org/drawingml/2006/main" prst="straightConnector1">
          <a:avLst/>
        </a:prstGeom>
        <a:ln xmlns:a="http://schemas.openxmlformats.org/drawingml/2006/main">
          <a:solidFill>
            <a:schemeClr val="bg2"/>
          </a:solidFill>
          <a:tailEnd type="triangle"/>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4.xml><?xml version="1.0" encoding="utf-8"?>
<c:userShapes xmlns:c="http://schemas.openxmlformats.org/drawingml/2006/chart">
  <cdr:relSizeAnchor xmlns:cdr="http://schemas.openxmlformats.org/drawingml/2006/chartDrawing">
    <cdr:from>
      <cdr:x>0.343</cdr:x>
      <cdr:y>0.18587</cdr:y>
    </cdr:from>
    <cdr:to>
      <cdr:x>0.54861</cdr:x>
      <cdr:y>0.26521</cdr:y>
    </cdr:to>
    <cdr:sp macro="" textlink="">
      <cdr:nvSpPr>
        <cdr:cNvPr id="3" name="TextBox 5">
          <a:extLst xmlns:a="http://schemas.openxmlformats.org/drawingml/2006/main">
            <a:ext uri="{FF2B5EF4-FFF2-40B4-BE49-F238E27FC236}">
              <a16:creationId xmlns:a16="http://schemas.microsoft.com/office/drawing/2014/main" id="{01FF3619-9817-16A5-E0A6-1BC4859A5401}"/>
            </a:ext>
          </a:extLst>
        </cdr:cNvPr>
        <cdr:cNvSpPr txBox="1"/>
      </cdr:nvSpPr>
      <cdr:spPr>
        <a:xfrm xmlns:a="http://schemas.openxmlformats.org/drawingml/2006/main">
          <a:off x="2352294" y="794380"/>
          <a:ext cx="1410073" cy="339085"/>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en-GB" sz="1100" b="1">
              <a:solidFill>
                <a:schemeClr val="bg2"/>
              </a:solidFill>
            </a:rPr>
            <a:t>CL period (+c.50%)</a:t>
          </a:r>
        </a:p>
      </cdr:txBody>
    </cdr:sp>
  </cdr:relSizeAnchor>
  <cdr:relSizeAnchor xmlns:cdr="http://schemas.openxmlformats.org/drawingml/2006/chartDrawing">
    <cdr:from>
      <cdr:x>0.38056</cdr:x>
      <cdr:y>0.26796</cdr:y>
    </cdr:from>
    <cdr:to>
      <cdr:x>0.48334</cdr:x>
      <cdr:y>0.29196</cdr:y>
    </cdr:to>
    <cdr:sp macro="" textlink="">
      <cdr:nvSpPr>
        <cdr:cNvPr id="6" name="Right Brace 5">
          <a:extLst xmlns:a="http://schemas.openxmlformats.org/drawingml/2006/main">
            <a:ext uri="{FF2B5EF4-FFF2-40B4-BE49-F238E27FC236}">
              <a16:creationId xmlns:a16="http://schemas.microsoft.com/office/drawing/2014/main" id="{22F084F3-6749-6372-C196-1C1BA96F4C32}"/>
            </a:ext>
          </a:extLst>
        </cdr:cNvPr>
        <cdr:cNvSpPr/>
      </cdr:nvSpPr>
      <cdr:spPr>
        <a:xfrm xmlns:a="http://schemas.openxmlformats.org/drawingml/2006/main" rot="5400000" flipH="1">
          <a:off x="2910997" y="844077"/>
          <a:ext cx="102572" cy="704865"/>
        </a:xfrm>
        <a:prstGeom xmlns:a="http://schemas.openxmlformats.org/drawingml/2006/main" prst="rightBrace">
          <a:avLst/>
        </a:prstGeom>
        <a:ln xmlns:a="http://schemas.openxmlformats.org/drawingml/2006/main" w="19050">
          <a:solidFill>
            <a:schemeClr val="bg2"/>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txBody>
        <a:bodyPr xmlns:a="http://schemas.openxmlformats.org/drawingml/2006/main" rot="0" spcFirstLastPara="0" vert="horz" wrap="square" lIns="91440" tIns="45720" rIns="91440" bIns="45720" numCol="1" spcCol="0" rtlCol="0" fromWordArt="0" anchor="t" anchorCtr="0" forceAA="0" compatLnSpc="1">
          <a:prstTxWarp prst="textNoShape">
            <a:avLst/>
          </a:prstTxWarp>
          <a:no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pPr algn="l"/>
          <a:endParaRPr lang="en-GB" sz="1100"/>
        </a:p>
      </cdr:txBody>
    </cdr:sp>
  </cdr:relSizeAnchor>
  <cdr:relSizeAnchor xmlns:cdr="http://schemas.openxmlformats.org/drawingml/2006/chartDrawing">
    <cdr:from>
      <cdr:x>0.08519</cdr:x>
      <cdr:y>0.70426</cdr:y>
    </cdr:from>
    <cdr:to>
      <cdr:x>0.90278</cdr:x>
      <cdr:y>0.70426</cdr:y>
    </cdr:to>
    <cdr:cxnSp macro="">
      <cdr:nvCxnSpPr>
        <cdr:cNvPr id="2" name="Straight Connector 1">
          <a:extLst xmlns:a="http://schemas.openxmlformats.org/drawingml/2006/main">
            <a:ext uri="{FF2B5EF4-FFF2-40B4-BE49-F238E27FC236}">
              <a16:creationId xmlns:a16="http://schemas.microsoft.com/office/drawing/2014/main" id="{9B3DA0A9-5939-1479-6F20-4FD49EFD527C}"/>
            </a:ext>
          </a:extLst>
        </cdr:cNvPr>
        <cdr:cNvCxnSpPr/>
      </cdr:nvCxnSpPr>
      <cdr:spPr>
        <a:xfrm xmlns:a="http://schemas.openxmlformats.org/drawingml/2006/main">
          <a:off x="584200" y="3009900"/>
          <a:ext cx="5607051" cy="0"/>
        </a:xfrm>
        <a:prstGeom xmlns:a="http://schemas.openxmlformats.org/drawingml/2006/main" prst="line">
          <a:avLst/>
        </a:prstGeom>
        <a:ln xmlns:a="http://schemas.openxmlformats.org/drawingml/2006/main" w="15875">
          <a:solidFill>
            <a:schemeClr val="tx2"/>
          </a:solidFill>
          <a:prstDash val="sysDot"/>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0.91667</cdr:x>
      <cdr:y>0.67603</cdr:y>
    </cdr:from>
    <cdr:to>
      <cdr:x>1</cdr:x>
      <cdr:y>0.75775</cdr:y>
    </cdr:to>
    <cdr:sp macro="" textlink="">
      <cdr:nvSpPr>
        <cdr:cNvPr id="7" name="TextBox 8">
          <a:extLst xmlns:a="http://schemas.openxmlformats.org/drawingml/2006/main">
            <a:ext uri="{FF2B5EF4-FFF2-40B4-BE49-F238E27FC236}">
              <a16:creationId xmlns:a16="http://schemas.microsoft.com/office/drawing/2014/main" id="{6E24C7F8-DEE1-0E9A-FF4A-3AE76C1A602D}"/>
            </a:ext>
          </a:extLst>
        </cdr:cNvPr>
        <cdr:cNvSpPr txBox="1"/>
      </cdr:nvSpPr>
      <cdr:spPr>
        <a:xfrm xmlns:a="http://schemas.openxmlformats.org/drawingml/2006/main">
          <a:off x="6286500" y="2889250"/>
          <a:ext cx="571499" cy="349250"/>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Ins="0"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en-GB" sz="1100" b="1">
              <a:solidFill>
                <a:schemeClr val="tx2"/>
              </a:solidFill>
            </a:rPr>
            <a:t>GS Multis WACC</a:t>
          </a:r>
        </a:p>
      </cdr:txBody>
    </cdr:sp>
  </cdr:relSizeAnchor>
  <cdr:relSizeAnchor xmlns:cdr="http://schemas.openxmlformats.org/drawingml/2006/chartDrawing">
    <cdr:from>
      <cdr:x>0.91667</cdr:x>
      <cdr:y>0.62923</cdr:y>
    </cdr:from>
    <cdr:to>
      <cdr:x>1</cdr:x>
      <cdr:y>0.76444</cdr:y>
    </cdr:to>
    <cdr:sp macro="" textlink="">
      <cdr:nvSpPr>
        <cdr:cNvPr id="8" name="TextBox 8">
          <a:extLst xmlns:a="http://schemas.openxmlformats.org/drawingml/2006/main">
            <a:ext uri="{FF2B5EF4-FFF2-40B4-BE49-F238E27FC236}">
              <a16:creationId xmlns:a16="http://schemas.microsoft.com/office/drawing/2014/main" id="{5EB5AE12-A743-EB48-4B0D-DCF7E86968CC}"/>
            </a:ext>
          </a:extLst>
        </cdr:cNvPr>
        <cdr:cNvSpPr txBox="1"/>
      </cdr:nvSpPr>
      <cdr:spPr>
        <a:xfrm xmlns:a="http://schemas.openxmlformats.org/drawingml/2006/main">
          <a:off x="6286501" y="2689225"/>
          <a:ext cx="571499" cy="577850"/>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Ins="0"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en-GB" sz="1100" b="1">
              <a:solidFill>
                <a:schemeClr val="tx2">
                  <a:lumMod val="40000"/>
                  <a:lumOff val="60000"/>
                </a:schemeClr>
              </a:solidFill>
            </a:rPr>
            <a:t>CoE</a:t>
          </a:r>
        </a:p>
      </cdr:txBody>
    </cdr:sp>
  </cdr:relSizeAnchor>
  <cdr:relSizeAnchor xmlns:cdr="http://schemas.openxmlformats.org/drawingml/2006/chartDrawing">
    <cdr:from>
      <cdr:x>0.08565</cdr:x>
      <cdr:y>0.67603</cdr:y>
    </cdr:from>
    <cdr:to>
      <cdr:x>0.90324</cdr:x>
      <cdr:y>0.67603</cdr:y>
    </cdr:to>
    <cdr:cxnSp macro="">
      <cdr:nvCxnSpPr>
        <cdr:cNvPr id="9" name="Straight Connector 8">
          <a:extLst xmlns:a="http://schemas.openxmlformats.org/drawingml/2006/main">
            <a:ext uri="{FF2B5EF4-FFF2-40B4-BE49-F238E27FC236}">
              <a16:creationId xmlns:a16="http://schemas.microsoft.com/office/drawing/2014/main" id="{0CAB74AE-CE5D-58AA-D2F7-3DFE48CB6AA9}"/>
            </a:ext>
          </a:extLst>
        </cdr:cNvPr>
        <cdr:cNvCxnSpPr/>
      </cdr:nvCxnSpPr>
      <cdr:spPr>
        <a:xfrm xmlns:a="http://schemas.openxmlformats.org/drawingml/2006/main">
          <a:off x="587375" y="2889250"/>
          <a:ext cx="5607051" cy="0"/>
        </a:xfrm>
        <a:prstGeom xmlns:a="http://schemas.openxmlformats.org/drawingml/2006/main" prst="line">
          <a:avLst/>
        </a:prstGeom>
        <a:ln xmlns:a="http://schemas.openxmlformats.org/drawingml/2006/main" w="15875">
          <a:solidFill>
            <a:schemeClr val="tx2">
              <a:lumMod val="40000"/>
              <a:lumOff val="60000"/>
            </a:schemeClr>
          </a:solidFill>
          <a:prstDash val="sysDot"/>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5.xml><?xml version="1.0" encoding="utf-8"?>
<xdr:wsDr xmlns:xdr="http://schemas.openxmlformats.org/drawingml/2006/spreadsheetDrawing" xmlns:a="http://schemas.openxmlformats.org/drawingml/2006/main">
  <xdr:twoCellAnchor>
    <xdr:from>
      <xdr:col>160</xdr:col>
      <xdr:colOff>1147966</xdr:colOff>
      <xdr:row>624</xdr:row>
      <xdr:rowOff>82313</xdr:rowOff>
    </xdr:from>
    <xdr:to>
      <xdr:col>170</xdr:col>
      <xdr:colOff>561949</xdr:colOff>
      <xdr:row>660</xdr:row>
      <xdr:rowOff>41995</xdr:rowOff>
    </xdr:to>
    <xdr:graphicFrame macro="">
      <xdr:nvGraphicFramePr>
        <xdr:cNvPr id="5" name="Chart 4">
          <a:extLst>
            <a:ext uri="{FF2B5EF4-FFF2-40B4-BE49-F238E27FC236}">
              <a16:creationId xmlns:a16="http://schemas.microsoft.com/office/drawing/2014/main" id="{00000000-0008-0000-0A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160</xdr:col>
      <xdr:colOff>1150796</xdr:colOff>
      <xdr:row>46</xdr:row>
      <xdr:rowOff>97442</xdr:rowOff>
    </xdr:from>
    <xdr:to>
      <xdr:col>167</xdr:col>
      <xdr:colOff>267772</xdr:colOff>
      <xdr:row>69</xdr:row>
      <xdr:rowOff>113317</xdr:rowOff>
    </xdr:to>
    <xdr:graphicFrame macro="">
      <xdr:nvGraphicFramePr>
        <xdr:cNvPr id="10" name="Chart 9">
          <a:extLst>
            <a:ext uri="{FF2B5EF4-FFF2-40B4-BE49-F238E27FC236}">
              <a16:creationId xmlns:a16="http://schemas.microsoft.com/office/drawing/2014/main" id="{8A67330E-3F0D-4B06-A58F-83CE977A58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161</xdr:col>
      <xdr:colOff>561975</xdr:colOff>
      <xdr:row>79</xdr:row>
      <xdr:rowOff>0</xdr:rowOff>
    </xdr:from>
    <xdr:to>
      <xdr:col>170</xdr:col>
      <xdr:colOff>135252</xdr:colOff>
      <xdr:row>100</xdr:row>
      <xdr:rowOff>15876</xdr:rowOff>
    </xdr:to>
    <xdr:graphicFrame macro="">
      <xdr:nvGraphicFramePr>
        <xdr:cNvPr id="6" name="Chart 5">
          <a:extLst>
            <a:ext uri="{FF2B5EF4-FFF2-40B4-BE49-F238E27FC236}">
              <a16:creationId xmlns:a16="http://schemas.microsoft.com/office/drawing/2014/main" id="{00000000-0008-0000-0A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162</xdr:col>
      <xdr:colOff>0</xdr:colOff>
      <xdr:row>79</xdr:row>
      <xdr:rowOff>0</xdr:rowOff>
    </xdr:from>
    <xdr:to>
      <xdr:col>170</xdr:col>
      <xdr:colOff>152396</xdr:colOff>
      <xdr:row>100</xdr:row>
      <xdr:rowOff>15875</xdr:rowOff>
    </xdr:to>
    <xdr:graphicFrame macro="">
      <xdr:nvGraphicFramePr>
        <xdr:cNvPr id="7" name="Chart 6">
          <a:extLst>
            <a:ext uri="{FF2B5EF4-FFF2-40B4-BE49-F238E27FC236}">
              <a16:creationId xmlns:a16="http://schemas.microsoft.com/office/drawing/2014/main" id="{00000000-0008-0000-0A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162</xdr:col>
      <xdr:colOff>0</xdr:colOff>
      <xdr:row>79</xdr:row>
      <xdr:rowOff>0</xdr:rowOff>
    </xdr:from>
    <xdr:to>
      <xdr:col>170</xdr:col>
      <xdr:colOff>152396</xdr:colOff>
      <xdr:row>100</xdr:row>
      <xdr:rowOff>15876</xdr:rowOff>
    </xdr:to>
    <xdr:graphicFrame macro="">
      <xdr:nvGraphicFramePr>
        <xdr:cNvPr id="8" name="Chart 7">
          <a:extLst>
            <a:ext uri="{FF2B5EF4-FFF2-40B4-BE49-F238E27FC236}">
              <a16:creationId xmlns:a16="http://schemas.microsoft.com/office/drawing/2014/main" id="{00000000-0008-0000-0A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162</xdr:col>
      <xdr:colOff>0</xdr:colOff>
      <xdr:row>79</xdr:row>
      <xdr:rowOff>0</xdr:rowOff>
    </xdr:from>
    <xdr:to>
      <xdr:col>170</xdr:col>
      <xdr:colOff>152396</xdr:colOff>
      <xdr:row>100</xdr:row>
      <xdr:rowOff>15876</xdr:rowOff>
    </xdr:to>
    <xdr:graphicFrame macro="">
      <xdr:nvGraphicFramePr>
        <xdr:cNvPr id="9" name="Chart 8">
          <a:extLst>
            <a:ext uri="{FF2B5EF4-FFF2-40B4-BE49-F238E27FC236}">
              <a16:creationId xmlns:a16="http://schemas.microsoft.com/office/drawing/2014/main" id="{00000000-0008-0000-0A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160</xdr:col>
      <xdr:colOff>1493456</xdr:colOff>
      <xdr:row>72</xdr:row>
      <xdr:rowOff>132844</xdr:rowOff>
    </xdr:from>
    <xdr:to>
      <xdr:col>168</xdr:col>
      <xdr:colOff>8741</xdr:colOff>
      <xdr:row>79</xdr:row>
      <xdr:rowOff>0</xdr:rowOff>
    </xdr:to>
    <xdr:graphicFrame macro="">
      <xdr:nvGraphicFramePr>
        <xdr:cNvPr id="13" name="Chart 12">
          <a:extLst>
            <a:ext uri="{FF2B5EF4-FFF2-40B4-BE49-F238E27FC236}">
              <a16:creationId xmlns:a16="http://schemas.microsoft.com/office/drawing/2014/main" id="{AAD61792-DF61-44C1-91AE-7CA045B613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160</xdr:col>
      <xdr:colOff>1077446</xdr:colOff>
      <xdr:row>24</xdr:row>
      <xdr:rowOff>94129</xdr:rowOff>
    </xdr:from>
    <xdr:to>
      <xdr:col>166</xdr:col>
      <xdr:colOff>483535</xdr:colOff>
      <xdr:row>43</xdr:row>
      <xdr:rowOff>122704</xdr:rowOff>
    </xdr:to>
    <xdr:graphicFrame macro="">
      <xdr:nvGraphicFramePr>
        <xdr:cNvPr id="14" name="Chart 13">
          <a:extLst>
            <a:ext uri="{FF2B5EF4-FFF2-40B4-BE49-F238E27FC236}">
              <a16:creationId xmlns:a16="http://schemas.microsoft.com/office/drawing/2014/main" id="{7C8EF62D-68A1-4272-B2E2-77C7B99B9E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169</xdr:col>
      <xdr:colOff>0</xdr:colOff>
      <xdr:row>72</xdr:row>
      <xdr:rowOff>0</xdr:rowOff>
    </xdr:from>
    <xdr:to>
      <xdr:col>177</xdr:col>
      <xdr:colOff>134535</xdr:colOff>
      <xdr:row>79</xdr:row>
      <xdr:rowOff>0</xdr:rowOff>
    </xdr:to>
    <xdr:graphicFrame macro="">
      <xdr:nvGraphicFramePr>
        <xdr:cNvPr id="3" name="Chart 2">
          <a:extLst>
            <a:ext uri="{FF2B5EF4-FFF2-40B4-BE49-F238E27FC236}">
              <a16:creationId xmlns:a16="http://schemas.microsoft.com/office/drawing/2014/main" id="{9E268461-E5C0-43B6-8B68-C5B1654E62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168</xdr:col>
      <xdr:colOff>214191</xdr:colOff>
      <xdr:row>46</xdr:row>
      <xdr:rowOff>42873</xdr:rowOff>
    </xdr:from>
    <xdr:to>
      <xdr:col>176</xdr:col>
      <xdr:colOff>371353</xdr:colOff>
      <xdr:row>69</xdr:row>
      <xdr:rowOff>68273</xdr:rowOff>
    </xdr:to>
    <xdr:graphicFrame macro="">
      <xdr:nvGraphicFramePr>
        <xdr:cNvPr id="11" name="Chart 10">
          <a:extLst>
            <a:ext uri="{FF2B5EF4-FFF2-40B4-BE49-F238E27FC236}">
              <a16:creationId xmlns:a16="http://schemas.microsoft.com/office/drawing/2014/main" id="{029D7A66-FDED-45CD-89E6-C869C5F928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drawings/drawing6.xml><?xml version="1.0" encoding="utf-8"?>
<c:userShapes xmlns:c="http://schemas.openxmlformats.org/drawingml/2006/chart">
  <cdr:relSizeAnchor xmlns:cdr="http://schemas.openxmlformats.org/drawingml/2006/chartDrawing">
    <cdr:from>
      <cdr:x>0</cdr:x>
      <cdr:y>0</cdr:y>
    </cdr:from>
    <cdr:to>
      <cdr:x>0.19263</cdr:x>
      <cdr:y>0.05556</cdr:y>
    </cdr:to>
    <cdr:sp macro="" textlink="">
      <cdr:nvSpPr>
        <cdr:cNvPr id="2" name="TextBox 6"/>
        <cdr:cNvSpPr txBox="1"/>
      </cdr:nvSpPr>
      <cdr:spPr>
        <a:xfrm xmlns:a="http://schemas.openxmlformats.org/drawingml/2006/main">
          <a:off x="0" y="0"/>
          <a:ext cx="1567946" cy="284030"/>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en-GB" sz="900">
              <a:latin typeface="Arial" panose="020B0604020202020204" pitchFamily="34" charset="0"/>
              <a:cs typeface="Arial" panose="020B0604020202020204" pitchFamily="34" charset="0"/>
            </a:rPr>
            <a:t>($ m</a:t>
          </a:r>
          <a:r>
            <a:rPr lang="en-GB" sz="900">
              <a:solidFill>
                <a:schemeClr val="tx1"/>
              </a:solidFill>
              <a:latin typeface="Arial" panose="020B0604020202020204" pitchFamily="34" charset="0"/>
              <a:cs typeface="Arial" panose="020B0604020202020204" pitchFamily="34" charset="0"/>
            </a:rPr>
            <a:t>n</a:t>
          </a:r>
          <a:r>
            <a:rPr lang="en-GB" sz="900">
              <a:latin typeface="Arial" panose="020B0604020202020204" pitchFamily="34" charset="0"/>
              <a:cs typeface="Arial" panose="020B0604020202020204" pitchFamily="34" charset="0"/>
            </a:rPr>
            <a:t>)</a:t>
          </a:r>
        </a:p>
      </cdr:txBody>
    </cdr:sp>
  </cdr:relSizeAnchor>
  <cdr:relSizeAnchor xmlns:cdr="http://schemas.openxmlformats.org/drawingml/2006/chartDrawing">
    <cdr:from>
      <cdr:x>0.06216</cdr:x>
      <cdr:y>0.07416</cdr:y>
    </cdr:from>
    <cdr:to>
      <cdr:x>1</cdr:x>
      <cdr:y>0.63179</cdr:y>
    </cdr:to>
    <cdr:cxnSp macro="">
      <cdr:nvCxnSpPr>
        <cdr:cNvPr id="3" name="Straight Connector 2">
          <a:extLst xmlns:a="http://schemas.openxmlformats.org/drawingml/2006/main">
            <a:ext uri="{FF2B5EF4-FFF2-40B4-BE49-F238E27FC236}">
              <a16:creationId xmlns:a16="http://schemas.microsoft.com/office/drawing/2014/main" id="{30C6E61C-EFEC-40B0-9050-6A4CC6480E86}"/>
            </a:ext>
          </a:extLst>
        </cdr:cNvPr>
        <cdr:cNvCxnSpPr/>
      </cdr:nvCxnSpPr>
      <cdr:spPr>
        <a:xfrm xmlns:a="http://schemas.openxmlformats.org/drawingml/2006/main" flipV="1">
          <a:off x="433039" y="321099"/>
          <a:ext cx="6533709" cy="2414533"/>
        </a:xfrm>
        <a:prstGeom xmlns:a="http://schemas.openxmlformats.org/drawingml/2006/main" prst="line">
          <a:avLst/>
        </a:prstGeom>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0.05362</cdr:x>
      <cdr:y>0</cdr:y>
    </cdr:from>
    <cdr:to>
      <cdr:x>0.97564</cdr:x>
      <cdr:y>0.52122</cdr:y>
    </cdr:to>
    <cdr:cxnSp macro="">
      <cdr:nvCxnSpPr>
        <cdr:cNvPr id="10" name="Straight Connector 9">
          <a:extLst xmlns:a="http://schemas.openxmlformats.org/drawingml/2006/main">
            <a:ext uri="{FF2B5EF4-FFF2-40B4-BE49-F238E27FC236}">
              <a16:creationId xmlns:a16="http://schemas.microsoft.com/office/drawing/2014/main" id="{5EA5F7BC-E092-476F-A1C0-564530ABED3D}"/>
            </a:ext>
          </a:extLst>
        </cdr:cNvPr>
        <cdr:cNvCxnSpPr/>
      </cdr:nvCxnSpPr>
      <cdr:spPr>
        <a:xfrm xmlns:a="http://schemas.openxmlformats.org/drawingml/2006/main" flipV="1">
          <a:off x="373588" y="0"/>
          <a:ext cx="6423417" cy="2256874"/>
        </a:xfrm>
        <a:prstGeom xmlns:a="http://schemas.openxmlformats.org/drawingml/2006/main" prst="line">
          <a:avLst/>
        </a:prstGeom>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0.93337</cdr:x>
      <cdr:y>0.3549</cdr:y>
    </cdr:from>
    <cdr:to>
      <cdr:x>0.99956</cdr:x>
      <cdr:y>0.43027</cdr:y>
    </cdr:to>
    <cdr:sp macro="" textlink="">
      <cdr:nvSpPr>
        <cdr:cNvPr id="9" name="TextBox 1">
          <a:extLst xmlns:a="http://schemas.openxmlformats.org/drawingml/2006/main">
            <a:ext uri="{FF2B5EF4-FFF2-40B4-BE49-F238E27FC236}">
              <a16:creationId xmlns:a16="http://schemas.microsoft.com/office/drawing/2014/main" id="{E924B2E9-CBBA-5675-B3C7-9471BC03AF86}"/>
            </a:ext>
          </a:extLst>
        </cdr:cNvPr>
        <cdr:cNvSpPr txBox="1"/>
      </cdr:nvSpPr>
      <cdr:spPr>
        <a:xfrm xmlns:a="http://schemas.openxmlformats.org/drawingml/2006/main">
          <a:off x="6457052" y="1484843"/>
          <a:ext cx="457904" cy="315334"/>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en-GB" sz="1100" b="1">
              <a:solidFill>
                <a:schemeClr val="bg2"/>
              </a:solidFill>
            </a:rPr>
            <a:t>2Q</a:t>
          </a:r>
        </a:p>
      </cdr:txBody>
    </cdr:sp>
  </cdr:relSizeAnchor>
  <cdr:relSizeAnchor xmlns:cdr="http://schemas.openxmlformats.org/drawingml/2006/chartDrawing">
    <cdr:from>
      <cdr:x>0.90808</cdr:x>
      <cdr:y>0.11784</cdr:y>
    </cdr:from>
    <cdr:to>
      <cdr:x>0.96944</cdr:x>
      <cdr:y>0.18026</cdr:y>
    </cdr:to>
    <cdr:sp macro="" textlink="">
      <cdr:nvSpPr>
        <cdr:cNvPr id="11" name="TextBox 1">
          <a:extLst xmlns:a="http://schemas.openxmlformats.org/drawingml/2006/main">
            <a:ext uri="{FF2B5EF4-FFF2-40B4-BE49-F238E27FC236}">
              <a16:creationId xmlns:a16="http://schemas.microsoft.com/office/drawing/2014/main" id="{B47DD2E6-5EFA-EEB2-2530-D077A12A4625}"/>
            </a:ext>
          </a:extLst>
        </cdr:cNvPr>
        <cdr:cNvSpPr txBox="1"/>
      </cdr:nvSpPr>
      <cdr:spPr>
        <a:xfrm xmlns:a="http://schemas.openxmlformats.org/drawingml/2006/main">
          <a:off x="6326358" y="510241"/>
          <a:ext cx="427478" cy="270299"/>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en-GB" sz="1100" b="1">
              <a:solidFill>
                <a:schemeClr val="accent2"/>
              </a:solidFill>
            </a:rPr>
            <a:t>2H</a:t>
          </a:r>
        </a:p>
      </cdr:txBody>
    </cdr:sp>
  </cdr:relSizeAnchor>
</c:userShapes>
</file>

<file path=xl/drawings/drawing7.xml><?xml version="1.0" encoding="utf-8"?>
<c:userShapes xmlns:c="http://schemas.openxmlformats.org/drawingml/2006/chart">
  <cdr:relSizeAnchor xmlns:cdr="http://schemas.openxmlformats.org/drawingml/2006/chartDrawing">
    <cdr:from>
      <cdr:x>0</cdr:x>
      <cdr:y>3.36387E-7</cdr:y>
    </cdr:from>
    <cdr:to>
      <cdr:x>0.16672</cdr:x>
      <cdr:y>0.07523</cdr:y>
    </cdr:to>
    <cdr:sp macro="" textlink="">
      <cdr:nvSpPr>
        <cdr:cNvPr id="2" name="TextBox 2">
          <a:extLst xmlns:a="http://schemas.openxmlformats.org/drawingml/2006/main">
            <a:ext uri="{FF2B5EF4-FFF2-40B4-BE49-F238E27FC236}">
              <a16:creationId xmlns:a16="http://schemas.microsoft.com/office/drawing/2014/main" id="{105EEB17-04A7-4231-876E-F2C065FE1CF5}"/>
            </a:ext>
          </a:extLst>
        </cdr:cNvPr>
        <cdr:cNvSpPr txBox="1"/>
      </cdr:nvSpPr>
      <cdr:spPr>
        <a:xfrm xmlns:a="http://schemas.openxmlformats.org/drawingml/2006/main">
          <a:off x="0" y="1"/>
          <a:ext cx="811696" cy="223630"/>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en-GB" sz="800">
              <a:latin typeface="Arial" panose="020B0604020202020204" pitchFamily="34" charset="0"/>
              <a:cs typeface="Arial" panose="020B0604020202020204" pitchFamily="34" charset="0"/>
            </a:rPr>
            <a:t>(units)</a:t>
          </a:r>
        </a:p>
      </cdr:txBody>
    </cdr:sp>
  </cdr:relSizeAnchor>
  <cdr:relSizeAnchor xmlns:cdr="http://schemas.openxmlformats.org/drawingml/2006/chartDrawing">
    <cdr:from>
      <cdr:x>0.93297</cdr:x>
      <cdr:y>0.00302</cdr:y>
    </cdr:from>
    <cdr:to>
      <cdr:x>1</cdr:x>
      <cdr:y>1</cdr:y>
    </cdr:to>
    <cdr:sp macro="" textlink="">
      <cdr:nvSpPr>
        <cdr:cNvPr id="3" name="Rectangle 2">
          <a:extLst xmlns:a="http://schemas.openxmlformats.org/drawingml/2006/main">
            <a:ext uri="{FF2B5EF4-FFF2-40B4-BE49-F238E27FC236}">
              <a16:creationId xmlns:a16="http://schemas.microsoft.com/office/drawing/2014/main" id="{2D00F1F4-946C-417D-A52A-8ED257BCAA57}"/>
            </a:ext>
          </a:extLst>
        </cdr:cNvPr>
        <cdr:cNvSpPr/>
      </cdr:nvSpPr>
      <cdr:spPr>
        <a:xfrm xmlns:a="http://schemas.openxmlformats.org/drawingml/2006/main">
          <a:off x="4265544" y="8283"/>
          <a:ext cx="306456" cy="2734917"/>
        </a:xfrm>
        <a:prstGeom xmlns:a="http://schemas.openxmlformats.org/drawingml/2006/main" prst="rect">
          <a:avLst/>
        </a:prstGeom>
        <a:solidFill xmlns:a="http://schemas.openxmlformats.org/drawingml/2006/main">
          <a:schemeClr val="bg2">
            <a:alpha val="10000"/>
          </a:schemeClr>
        </a:solidFill>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rot="0" spcFirstLastPara="0" vert="horz" wrap="square" lIns="91440" tIns="45720" rIns="91440" bIns="45720" numCol="1" spcCol="0" rtlCol="0" fromWordArt="0" anchor="t" anchorCtr="0" forceAA="0" compatLnSpc="1">
          <a:prstTxWarp prst="textNoShape">
            <a:avLst/>
          </a:prstTxWarp>
          <a:noAutofit/>
        </a:bodyP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l"/>
          <a:endParaRPr lang="en-GB" sz="1100"/>
        </a:p>
      </cdr:txBody>
    </cdr:sp>
  </cdr:relSizeAnchor>
</c:userShapes>
</file>

<file path=xl/drawings/drawing8.xml><?xml version="1.0" encoding="utf-8"?>
<c:userShapes xmlns:c="http://schemas.openxmlformats.org/drawingml/2006/chart">
  <cdr:relSizeAnchor xmlns:cdr="http://schemas.openxmlformats.org/drawingml/2006/chartDrawing">
    <cdr:from>
      <cdr:x>0.00391</cdr:x>
      <cdr:y>0.01584</cdr:y>
    </cdr:from>
    <cdr:to>
      <cdr:x>0.12818</cdr:x>
      <cdr:y>0.08838</cdr:y>
    </cdr:to>
    <cdr:sp macro="" textlink="">
      <cdr:nvSpPr>
        <cdr:cNvPr id="2" name="TextBox 6"/>
        <cdr:cNvSpPr txBox="1"/>
      </cdr:nvSpPr>
      <cdr:spPr>
        <a:xfrm xmlns:a="http://schemas.openxmlformats.org/drawingml/2006/main">
          <a:off x="19050" y="47792"/>
          <a:ext cx="606040" cy="218798"/>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en-GB" sz="900">
              <a:latin typeface="Arial" panose="020B0604020202020204" pitchFamily="34" charset="0"/>
              <a:cs typeface="Arial" panose="020B0604020202020204" pitchFamily="34" charset="0"/>
            </a:rPr>
            <a:t>(€ b</a:t>
          </a:r>
          <a:r>
            <a:rPr lang="en-GB" sz="900">
              <a:solidFill>
                <a:schemeClr val="tx1"/>
              </a:solidFill>
              <a:latin typeface="Arial" panose="020B0604020202020204" pitchFamily="34" charset="0"/>
              <a:cs typeface="Arial" panose="020B0604020202020204" pitchFamily="34" charset="0"/>
            </a:rPr>
            <a:t>n</a:t>
          </a:r>
          <a:r>
            <a:rPr lang="en-GB" sz="900">
              <a:latin typeface="Arial" panose="020B0604020202020204" pitchFamily="34" charset="0"/>
              <a:cs typeface="Arial" panose="020B0604020202020204" pitchFamily="34" charset="0"/>
            </a:rPr>
            <a:t>)</a:t>
          </a:r>
        </a:p>
      </cdr:txBody>
    </cdr:sp>
  </cdr:relSizeAnchor>
</c:userShapes>
</file>

<file path=xl/drawings/drawing9.xml><?xml version="1.0" encoding="utf-8"?>
<c:userShapes xmlns:c="http://schemas.openxmlformats.org/drawingml/2006/chart">
  <cdr:relSizeAnchor xmlns:cdr="http://schemas.openxmlformats.org/drawingml/2006/chartDrawing">
    <cdr:from>
      <cdr:x>0.00391</cdr:x>
      <cdr:y>0.01584</cdr:y>
    </cdr:from>
    <cdr:to>
      <cdr:x>0.12818</cdr:x>
      <cdr:y>0.08838</cdr:y>
    </cdr:to>
    <cdr:sp macro="" textlink="">
      <cdr:nvSpPr>
        <cdr:cNvPr id="2" name="TextBox 6"/>
        <cdr:cNvSpPr txBox="1"/>
      </cdr:nvSpPr>
      <cdr:spPr>
        <a:xfrm xmlns:a="http://schemas.openxmlformats.org/drawingml/2006/main">
          <a:off x="19050" y="47792"/>
          <a:ext cx="606040" cy="218798"/>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en-GB" sz="900">
              <a:latin typeface="Arial" panose="020B0604020202020204" pitchFamily="34" charset="0"/>
              <a:cs typeface="Arial" panose="020B0604020202020204" pitchFamily="34" charset="0"/>
            </a:rPr>
            <a:t>(€ b</a:t>
          </a:r>
          <a:r>
            <a:rPr lang="en-GB" sz="900">
              <a:solidFill>
                <a:schemeClr val="tx1"/>
              </a:solidFill>
              <a:latin typeface="Arial" panose="020B0604020202020204" pitchFamily="34" charset="0"/>
              <a:cs typeface="Arial" panose="020B0604020202020204" pitchFamily="34" charset="0"/>
            </a:rPr>
            <a:t>n</a:t>
          </a:r>
          <a:r>
            <a:rPr lang="en-GB" sz="900">
              <a:latin typeface="Arial" panose="020B0604020202020204" pitchFamily="34" charset="0"/>
              <a:cs typeface="Arial" panose="020B0604020202020204" pitchFamily="34" charset="0"/>
            </a:rPr>
            <a:t>)</a:t>
          </a:r>
        </a:p>
      </cdr:txBody>
    </cdr:sp>
  </cdr:relSizeAnchor>
</c:userShapes>
</file>

<file path=xl/drawings/drawing10.xml><?xml version="1.0" encoding="utf-8"?>
<c:userShapes xmlns:c="http://schemas.openxmlformats.org/drawingml/2006/chart">
  <cdr:relSizeAnchor xmlns:cdr="http://schemas.openxmlformats.org/drawingml/2006/chartDrawing">
    <cdr:from>
      <cdr:x>0.00391</cdr:x>
      <cdr:y>0.01584</cdr:y>
    </cdr:from>
    <cdr:to>
      <cdr:x>0.12818</cdr:x>
      <cdr:y>0.08838</cdr:y>
    </cdr:to>
    <cdr:sp macro="" textlink="">
      <cdr:nvSpPr>
        <cdr:cNvPr id="2" name="TextBox 6"/>
        <cdr:cNvSpPr txBox="1"/>
      </cdr:nvSpPr>
      <cdr:spPr>
        <a:xfrm xmlns:a="http://schemas.openxmlformats.org/drawingml/2006/main">
          <a:off x="19050" y="47792"/>
          <a:ext cx="606040" cy="218798"/>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en-GB" sz="900">
              <a:latin typeface="Arial" panose="020B0604020202020204" pitchFamily="34" charset="0"/>
              <a:cs typeface="Arial" panose="020B0604020202020204" pitchFamily="34" charset="0"/>
            </a:rPr>
            <a:t>(€ b</a:t>
          </a:r>
          <a:r>
            <a:rPr lang="en-GB" sz="900">
              <a:solidFill>
                <a:schemeClr val="tx1"/>
              </a:solidFill>
              <a:latin typeface="Arial" panose="020B0604020202020204" pitchFamily="34" charset="0"/>
              <a:cs typeface="Arial" panose="020B0604020202020204" pitchFamily="34" charset="0"/>
            </a:rPr>
            <a:t>n</a:t>
          </a:r>
          <a:r>
            <a:rPr lang="en-GB" sz="900">
              <a:latin typeface="Arial" panose="020B0604020202020204" pitchFamily="34" charset="0"/>
              <a:cs typeface="Arial" panose="020B0604020202020204" pitchFamily="34" charset="0"/>
            </a:rPr>
            <a:t>)</a:t>
          </a:r>
        </a:p>
      </cdr:txBody>
    </cdr:sp>
  </cdr:relSizeAnchor>
</c:userShapes>
</file>

<file path=xl/drawings/drawing11.xml><?xml version="1.0" encoding="utf-8"?>
<c:userShapes xmlns:c="http://schemas.openxmlformats.org/drawingml/2006/chart">
  <cdr:relSizeAnchor xmlns:cdr="http://schemas.openxmlformats.org/drawingml/2006/chartDrawing">
    <cdr:from>
      <cdr:x>0.00391</cdr:x>
      <cdr:y>0.01584</cdr:y>
    </cdr:from>
    <cdr:to>
      <cdr:x>0.12818</cdr:x>
      <cdr:y>0.08838</cdr:y>
    </cdr:to>
    <cdr:sp macro="" textlink="">
      <cdr:nvSpPr>
        <cdr:cNvPr id="2" name="TextBox 6"/>
        <cdr:cNvSpPr txBox="1"/>
      </cdr:nvSpPr>
      <cdr:spPr>
        <a:xfrm xmlns:a="http://schemas.openxmlformats.org/drawingml/2006/main">
          <a:off x="19050" y="47792"/>
          <a:ext cx="606040" cy="218798"/>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en-GB" sz="900">
              <a:latin typeface="Arial" panose="020B0604020202020204" pitchFamily="34" charset="0"/>
              <a:cs typeface="Arial" panose="020B0604020202020204" pitchFamily="34" charset="0"/>
            </a:rPr>
            <a:t>(€ b</a:t>
          </a:r>
          <a:r>
            <a:rPr lang="en-GB" sz="900">
              <a:solidFill>
                <a:schemeClr val="tx1"/>
              </a:solidFill>
              <a:latin typeface="Arial" panose="020B0604020202020204" pitchFamily="34" charset="0"/>
              <a:cs typeface="Arial" panose="020B0604020202020204" pitchFamily="34" charset="0"/>
            </a:rPr>
            <a:t>n</a:t>
          </a:r>
          <a:r>
            <a:rPr lang="en-GB" sz="900">
              <a:latin typeface="Arial" panose="020B0604020202020204" pitchFamily="34" charset="0"/>
              <a:cs typeface="Arial" panose="020B0604020202020204" pitchFamily="34" charset="0"/>
            </a:rPr>
            <a:t>)</a:t>
          </a:r>
        </a:p>
      </cdr:txBody>
    </cdr:sp>
  </cdr:relSizeAnchor>
</c:userShapes>
</file>

<file path=xl/drawings/drawing12.xml><?xml version="1.0" encoding="utf-8"?>
<c:userShapes xmlns:c="http://schemas.openxmlformats.org/drawingml/2006/chart">
  <cdr:relSizeAnchor xmlns:cdr="http://schemas.openxmlformats.org/drawingml/2006/chartDrawing">
    <cdr:from>
      <cdr:x>0</cdr:x>
      <cdr:y>3.36387E-7</cdr:y>
    </cdr:from>
    <cdr:to>
      <cdr:x>0.16672</cdr:x>
      <cdr:y>0.07523</cdr:y>
    </cdr:to>
    <cdr:sp macro="" textlink="">
      <cdr:nvSpPr>
        <cdr:cNvPr id="2" name="TextBox 2">
          <a:extLst xmlns:a="http://schemas.openxmlformats.org/drawingml/2006/main">
            <a:ext uri="{FF2B5EF4-FFF2-40B4-BE49-F238E27FC236}">
              <a16:creationId xmlns:a16="http://schemas.microsoft.com/office/drawing/2014/main" id="{105EEB17-04A7-4231-876E-F2C065FE1CF5}"/>
            </a:ext>
          </a:extLst>
        </cdr:cNvPr>
        <cdr:cNvSpPr txBox="1"/>
      </cdr:nvSpPr>
      <cdr:spPr>
        <a:xfrm xmlns:a="http://schemas.openxmlformats.org/drawingml/2006/main">
          <a:off x="0" y="1"/>
          <a:ext cx="811696" cy="223630"/>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en-GB" sz="800">
              <a:latin typeface="Arial" panose="020B0604020202020204" pitchFamily="34" charset="0"/>
              <a:cs typeface="Arial" panose="020B0604020202020204" pitchFamily="34" charset="0"/>
            </a:rPr>
            <a:t>(units)</a:t>
          </a:r>
        </a:p>
      </cdr:txBody>
    </cdr:sp>
  </cdr:relSizeAnchor>
  <cdr:relSizeAnchor xmlns:cdr="http://schemas.openxmlformats.org/drawingml/2006/chartDrawing">
    <cdr:from>
      <cdr:x>0.92727</cdr:x>
      <cdr:y>0.00023</cdr:y>
    </cdr:from>
    <cdr:to>
      <cdr:x>1</cdr:x>
      <cdr:y>0.99721</cdr:y>
    </cdr:to>
    <cdr:sp macro="" textlink="">
      <cdr:nvSpPr>
        <cdr:cNvPr id="3" name="Rectangle 2">
          <a:extLst xmlns:a="http://schemas.openxmlformats.org/drawingml/2006/main">
            <a:ext uri="{FF2B5EF4-FFF2-40B4-BE49-F238E27FC236}">
              <a16:creationId xmlns:a16="http://schemas.microsoft.com/office/drawing/2014/main" id="{2D00F1F4-946C-417D-A52A-8ED257BCAA57}"/>
            </a:ext>
          </a:extLst>
        </cdr:cNvPr>
        <cdr:cNvSpPr/>
      </cdr:nvSpPr>
      <cdr:spPr>
        <a:xfrm xmlns:a="http://schemas.openxmlformats.org/drawingml/2006/main">
          <a:off x="4511777" y="693"/>
          <a:ext cx="353882" cy="3004611"/>
        </a:xfrm>
        <a:prstGeom xmlns:a="http://schemas.openxmlformats.org/drawingml/2006/main" prst="rect">
          <a:avLst/>
        </a:prstGeom>
        <a:solidFill xmlns:a="http://schemas.openxmlformats.org/drawingml/2006/main">
          <a:schemeClr val="bg2">
            <a:alpha val="10000"/>
          </a:schemeClr>
        </a:solidFill>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rot="0" spcFirstLastPara="0" vert="horz" wrap="square" lIns="91440" tIns="45720" rIns="91440" bIns="45720" numCol="1" spcCol="0" rtlCol="0" fromWordArt="0" anchor="t" anchorCtr="0" forceAA="0" compatLnSpc="1">
          <a:prstTxWarp prst="textNoShape">
            <a:avLst/>
          </a:prstTxWarp>
          <a:noAutofit/>
        </a:bodyP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l"/>
          <a:endParaRPr lang="en-GB" sz="1100"/>
        </a:p>
      </cdr:txBody>
    </cdr:sp>
  </cdr:relSizeAnchor>
</c:userShapes>
</file>

<file path=xl/drawings/drawing13.xml><?xml version="1.0" encoding="utf-8"?>
<c:userShapes xmlns:c="http://schemas.openxmlformats.org/drawingml/2006/chart">
  <cdr:relSizeAnchor xmlns:cdr="http://schemas.openxmlformats.org/drawingml/2006/chartDrawing">
    <cdr:from>
      <cdr:x>0</cdr:x>
      <cdr:y>3.36387E-7</cdr:y>
    </cdr:from>
    <cdr:to>
      <cdr:x>0.16672</cdr:x>
      <cdr:y>0.07523</cdr:y>
    </cdr:to>
    <cdr:sp macro="" textlink="">
      <cdr:nvSpPr>
        <cdr:cNvPr id="2" name="TextBox 2">
          <a:extLst xmlns:a="http://schemas.openxmlformats.org/drawingml/2006/main">
            <a:ext uri="{FF2B5EF4-FFF2-40B4-BE49-F238E27FC236}">
              <a16:creationId xmlns:a16="http://schemas.microsoft.com/office/drawing/2014/main" id="{105EEB17-04A7-4231-876E-F2C065FE1CF5}"/>
            </a:ext>
          </a:extLst>
        </cdr:cNvPr>
        <cdr:cNvSpPr txBox="1"/>
      </cdr:nvSpPr>
      <cdr:spPr>
        <a:xfrm xmlns:a="http://schemas.openxmlformats.org/drawingml/2006/main">
          <a:off x="0" y="1"/>
          <a:ext cx="811696" cy="223630"/>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en-GB" sz="800">
              <a:latin typeface="Arial" panose="020B0604020202020204" pitchFamily="34" charset="0"/>
              <a:cs typeface="Arial" panose="020B0604020202020204" pitchFamily="34" charset="0"/>
            </a:rPr>
            <a:t>(units)</a:t>
          </a:r>
        </a:p>
      </cdr:txBody>
    </cdr:sp>
  </cdr:relSizeAnchor>
  <cdr:relSizeAnchor xmlns:cdr="http://schemas.openxmlformats.org/drawingml/2006/chartDrawing">
    <cdr:from>
      <cdr:x>0.94479</cdr:x>
      <cdr:y>0.00302</cdr:y>
    </cdr:from>
    <cdr:to>
      <cdr:x>1</cdr:x>
      <cdr:y>1</cdr:y>
    </cdr:to>
    <cdr:sp macro="" textlink="">
      <cdr:nvSpPr>
        <cdr:cNvPr id="3" name="Rectangle 2">
          <a:extLst xmlns:a="http://schemas.openxmlformats.org/drawingml/2006/main">
            <a:ext uri="{FF2B5EF4-FFF2-40B4-BE49-F238E27FC236}">
              <a16:creationId xmlns:a16="http://schemas.microsoft.com/office/drawing/2014/main" id="{2D00F1F4-946C-417D-A52A-8ED257BCAA57}"/>
            </a:ext>
          </a:extLst>
        </cdr:cNvPr>
        <cdr:cNvSpPr/>
      </cdr:nvSpPr>
      <cdr:spPr>
        <a:xfrm xmlns:a="http://schemas.openxmlformats.org/drawingml/2006/main">
          <a:off x="4319588" y="8284"/>
          <a:ext cx="252412" cy="2734916"/>
        </a:xfrm>
        <a:prstGeom xmlns:a="http://schemas.openxmlformats.org/drawingml/2006/main" prst="rect">
          <a:avLst/>
        </a:prstGeom>
        <a:solidFill xmlns:a="http://schemas.openxmlformats.org/drawingml/2006/main">
          <a:schemeClr val="bg2">
            <a:alpha val="10000"/>
          </a:schemeClr>
        </a:solidFill>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rot="0" spcFirstLastPara="0" vert="horz" wrap="square" lIns="91440" tIns="45720" rIns="91440" bIns="45720" numCol="1" spcCol="0" rtlCol="0" fromWordArt="0" anchor="t" anchorCtr="0" forceAA="0" compatLnSpc="1">
          <a:prstTxWarp prst="textNoShape">
            <a:avLst/>
          </a:prstTxWarp>
          <a:noAutofit/>
        </a:bodyP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l"/>
          <a:endParaRPr lang="en-GB" sz="1100"/>
        </a:p>
      </cdr:txBody>
    </cdr:sp>
  </cdr:relSizeAnchor>
</c:userShapes>
</file>

<file path=xl/drawings/drawing14.xml><?xml version="1.0" encoding="utf-8"?>
<c:userShapes xmlns:c="http://schemas.openxmlformats.org/drawingml/2006/chart">
  <cdr:relSizeAnchor xmlns:cdr="http://schemas.openxmlformats.org/drawingml/2006/chartDrawing">
    <cdr:from>
      <cdr:x>0</cdr:x>
      <cdr:y>3.36387E-7</cdr:y>
    </cdr:from>
    <cdr:to>
      <cdr:x>0.16672</cdr:x>
      <cdr:y>0.07523</cdr:y>
    </cdr:to>
    <cdr:sp macro="" textlink="">
      <cdr:nvSpPr>
        <cdr:cNvPr id="2" name="TextBox 2">
          <a:extLst xmlns:a="http://schemas.openxmlformats.org/drawingml/2006/main">
            <a:ext uri="{FF2B5EF4-FFF2-40B4-BE49-F238E27FC236}">
              <a16:creationId xmlns:a16="http://schemas.microsoft.com/office/drawing/2014/main" id="{105EEB17-04A7-4231-876E-F2C065FE1CF5}"/>
            </a:ext>
          </a:extLst>
        </cdr:cNvPr>
        <cdr:cNvSpPr txBox="1"/>
      </cdr:nvSpPr>
      <cdr:spPr>
        <a:xfrm xmlns:a="http://schemas.openxmlformats.org/drawingml/2006/main">
          <a:off x="0" y="1"/>
          <a:ext cx="811696" cy="223630"/>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en-GB" sz="800">
              <a:latin typeface="Arial" panose="020B0604020202020204" pitchFamily="34" charset="0"/>
              <a:cs typeface="Arial" panose="020B0604020202020204" pitchFamily="34" charset="0"/>
            </a:rPr>
            <a:t>(USD</a:t>
          </a:r>
          <a:r>
            <a:rPr lang="en-GB" sz="800" baseline="0">
              <a:latin typeface="Arial" panose="020B0604020202020204" pitchFamily="34" charset="0"/>
              <a:cs typeface="Arial" panose="020B0604020202020204" pitchFamily="34" charset="0"/>
            </a:rPr>
            <a:t> mn</a:t>
          </a:r>
          <a:r>
            <a:rPr lang="en-GB" sz="800">
              <a:latin typeface="Arial" panose="020B0604020202020204" pitchFamily="34" charset="0"/>
              <a:cs typeface="Arial" panose="020B0604020202020204" pitchFamily="34" charset="0"/>
            </a:rPr>
            <a:t>)</a:t>
          </a:r>
        </a:p>
      </cdr:txBody>
    </cdr:sp>
  </cdr:relSizeAnchor>
</c:userShapes>
</file>

<file path=xl/drawings/drawing15.xml><?xml version="1.0" encoding="utf-8"?>
<c:userShapes xmlns:c="http://schemas.openxmlformats.org/drawingml/2006/chart">
  <cdr:relSizeAnchor xmlns:cdr="http://schemas.openxmlformats.org/drawingml/2006/chartDrawing">
    <cdr:from>
      <cdr:x>0</cdr:x>
      <cdr:y>3.36387E-7</cdr:y>
    </cdr:from>
    <cdr:to>
      <cdr:x>0.16672</cdr:x>
      <cdr:y>0.07523</cdr:y>
    </cdr:to>
    <cdr:sp macro="" textlink="">
      <cdr:nvSpPr>
        <cdr:cNvPr id="2" name="TextBox 2">
          <a:extLst xmlns:a="http://schemas.openxmlformats.org/drawingml/2006/main">
            <a:ext uri="{FF2B5EF4-FFF2-40B4-BE49-F238E27FC236}">
              <a16:creationId xmlns:a16="http://schemas.microsoft.com/office/drawing/2014/main" id="{105EEB17-04A7-4231-876E-F2C065FE1CF5}"/>
            </a:ext>
          </a:extLst>
        </cdr:cNvPr>
        <cdr:cNvSpPr txBox="1"/>
      </cdr:nvSpPr>
      <cdr:spPr>
        <a:xfrm xmlns:a="http://schemas.openxmlformats.org/drawingml/2006/main">
          <a:off x="0" y="1"/>
          <a:ext cx="811696" cy="223630"/>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en-GB" sz="800">
              <a:latin typeface="Arial" panose="020B0604020202020204" pitchFamily="34" charset="0"/>
              <a:cs typeface="Arial" panose="020B0604020202020204" pitchFamily="34" charset="0"/>
            </a:rPr>
            <a:t>(units)</a:t>
          </a:r>
        </a:p>
      </cdr:txBody>
    </cdr:sp>
  </cdr:relSizeAnchor>
  <cdr:relSizeAnchor xmlns:cdr="http://schemas.openxmlformats.org/drawingml/2006/chartDrawing">
    <cdr:from>
      <cdr:x>0.95065</cdr:x>
      <cdr:y>0</cdr:y>
    </cdr:from>
    <cdr:to>
      <cdr:x>1</cdr:x>
      <cdr:y>0.99698</cdr:y>
    </cdr:to>
    <cdr:sp macro="" textlink="">
      <cdr:nvSpPr>
        <cdr:cNvPr id="3" name="Rectangle 2">
          <a:extLst xmlns:a="http://schemas.openxmlformats.org/drawingml/2006/main">
            <a:ext uri="{FF2B5EF4-FFF2-40B4-BE49-F238E27FC236}">
              <a16:creationId xmlns:a16="http://schemas.microsoft.com/office/drawing/2014/main" id="{2D00F1F4-946C-417D-A52A-8ED257BCAA57}"/>
            </a:ext>
          </a:extLst>
        </cdr:cNvPr>
        <cdr:cNvSpPr/>
      </cdr:nvSpPr>
      <cdr:spPr>
        <a:xfrm xmlns:a="http://schemas.openxmlformats.org/drawingml/2006/main">
          <a:off x="4640657" y="0"/>
          <a:ext cx="240905" cy="3007141"/>
        </a:xfrm>
        <a:prstGeom xmlns:a="http://schemas.openxmlformats.org/drawingml/2006/main" prst="rect">
          <a:avLst/>
        </a:prstGeom>
        <a:solidFill xmlns:a="http://schemas.openxmlformats.org/drawingml/2006/main">
          <a:schemeClr val="bg2">
            <a:alpha val="10000"/>
          </a:schemeClr>
        </a:solidFill>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rot="0" spcFirstLastPara="0" vert="horz" wrap="square" lIns="91440" tIns="45720" rIns="91440" bIns="45720" numCol="1" spcCol="0" rtlCol="0" fromWordArt="0" anchor="t" anchorCtr="0" forceAA="0" compatLnSpc="1">
          <a:prstTxWarp prst="textNoShape">
            <a:avLst/>
          </a:prstTxWarp>
          <a:noAutofit/>
        </a:bodyP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l"/>
          <a:endParaRPr lang="en-GB" sz="1100"/>
        </a:p>
      </cdr:txBody>
    </cdr:sp>
  </cdr:relSizeAnchor>
</c:userShapes>
</file>

<file path=xl/drawings/drawing16.xml><?xml version="1.0" encoding="utf-8"?>
<xdr:wsDr xmlns:xdr="http://schemas.openxmlformats.org/drawingml/2006/spreadsheetDrawing" xmlns:a="http://schemas.openxmlformats.org/drawingml/2006/main">
  <xdr:twoCellAnchor editAs="absolute">
    <xdr:from>
      <xdr:col>73</xdr:col>
      <xdr:colOff>80603</xdr:colOff>
      <xdr:row>28</xdr:row>
      <xdr:rowOff>36898</xdr:rowOff>
    </xdr:from>
    <xdr:to>
      <xdr:col>80</xdr:col>
      <xdr:colOff>142964</xdr:colOff>
      <xdr:row>46</xdr:row>
      <xdr:rowOff>76942</xdr:rowOff>
    </xdr:to>
    <xdr:graphicFrame macro="">
      <xdr:nvGraphicFramePr>
        <xdr:cNvPr id="3" name="Chart 2">
          <a:extLst>
            <a:ext uri="{FF2B5EF4-FFF2-40B4-BE49-F238E27FC236}">
              <a16:creationId xmlns:a16="http://schemas.microsoft.com/office/drawing/2014/main" id="{00000000-0008-0000-0C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64</xdr:col>
      <xdr:colOff>579669</xdr:colOff>
      <xdr:row>6</xdr:row>
      <xdr:rowOff>89489</xdr:rowOff>
    </xdr:from>
    <xdr:to>
      <xdr:col>71</xdr:col>
      <xdr:colOff>648794</xdr:colOff>
      <xdr:row>26</xdr:row>
      <xdr:rowOff>121930</xdr:rowOff>
    </xdr:to>
    <xdr:graphicFrame macro="">
      <xdr:nvGraphicFramePr>
        <xdr:cNvPr id="4" name="Chart 3">
          <a:extLst>
            <a:ext uri="{FF2B5EF4-FFF2-40B4-BE49-F238E27FC236}">
              <a16:creationId xmlns:a16="http://schemas.microsoft.com/office/drawing/2014/main" id="{00000000-0008-0000-0C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64</xdr:col>
      <xdr:colOff>520416</xdr:colOff>
      <xdr:row>28</xdr:row>
      <xdr:rowOff>70026</xdr:rowOff>
    </xdr:from>
    <xdr:to>
      <xdr:col>71</xdr:col>
      <xdr:colOff>591275</xdr:colOff>
      <xdr:row>46</xdr:row>
      <xdr:rowOff>109262</xdr:rowOff>
    </xdr:to>
    <xdr:graphicFrame macro="">
      <xdr:nvGraphicFramePr>
        <xdr:cNvPr id="5" name="Chart 4">
          <a:extLst>
            <a:ext uri="{FF2B5EF4-FFF2-40B4-BE49-F238E27FC236}">
              <a16:creationId xmlns:a16="http://schemas.microsoft.com/office/drawing/2014/main" id="{00000000-0008-0000-0C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73</xdr:col>
      <xdr:colOff>30910</xdr:colOff>
      <xdr:row>6</xdr:row>
      <xdr:rowOff>167273</xdr:rowOff>
    </xdr:from>
    <xdr:to>
      <xdr:col>80</xdr:col>
      <xdr:colOff>95512</xdr:colOff>
      <xdr:row>27</xdr:row>
      <xdr:rowOff>63124</xdr:rowOff>
    </xdr:to>
    <xdr:graphicFrame macro="">
      <xdr:nvGraphicFramePr>
        <xdr:cNvPr id="6" name="Chart 5">
          <a:extLst>
            <a:ext uri="{FF2B5EF4-FFF2-40B4-BE49-F238E27FC236}">
              <a16:creationId xmlns:a16="http://schemas.microsoft.com/office/drawing/2014/main" id="{00000000-0008-0000-0C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absolute">
    <xdr:from>
      <xdr:col>64</xdr:col>
      <xdr:colOff>653752</xdr:colOff>
      <xdr:row>48</xdr:row>
      <xdr:rowOff>141064</xdr:rowOff>
    </xdr:from>
    <xdr:to>
      <xdr:col>72</xdr:col>
      <xdr:colOff>37537</xdr:colOff>
      <xdr:row>65</xdr:row>
      <xdr:rowOff>65799</xdr:rowOff>
    </xdr:to>
    <xdr:graphicFrame macro="">
      <xdr:nvGraphicFramePr>
        <xdr:cNvPr id="7" name="Chart 6">
          <a:extLst>
            <a:ext uri="{FF2B5EF4-FFF2-40B4-BE49-F238E27FC236}">
              <a16:creationId xmlns:a16="http://schemas.microsoft.com/office/drawing/2014/main" id="{00000000-0008-0000-0C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absolute">
    <xdr:from>
      <xdr:col>73</xdr:col>
      <xdr:colOff>22627</xdr:colOff>
      <xdr:row>49</xdr:row>
      <xdr:rowOff>6439</xdr:rowOff>
    </xdr:from>
    <xdr:to>
      <xdr:col>80</xdr:col>
      <xdr:colOff>87229</xdr:colOff>
      <xdr:row>65</xdr:row>
      <xdr:rowOff>108085</xdr:rowOff>
    </xdr:to>
    <xdr:graphicFrame macro="">
      <xdr:nvGraphicFramePr>
        <xdr:cNvPr id="8" name="Chart 7">
          <a:extLst>
            <a:ext uri="{FF2B5EF4-FFF2-40B4-BE49-F238E27FC236}">
              <a16:creationId xmlns:a16="http://schemas.microsoft.com/office/drawing/2014/main" id="{00000000-0008-0000-0C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76</xdr:col>
      <xdr:colOff>66675</xdr:colOff>
      <xdr:row>51</xdr:row>
      <xdr:rowOff>66675</xdr:rowOff>
    </xdr:from>
    <xdr:to>
      <xdr:col>83</xdr:col>
      <xdr:colOff>131279</xdr:colOff>
      <xdr:row>67</xdr:row>
      <xdr:rowOff>167447</xdr:rowOff>
    </xdr:to>
    <xdr:graphicFrame macro="">
      <xdr:nvGraphicFramePr>
        <xdr:cNvPr id="9" name="Chart 8">
          <a:extLst>
            <a:ext uri="{FF2B5EF4-FFF2-40B4-BE49-F238E27FC236}">
              <a16:creationId xmlns:a16="http://schemas.microsoft.com/office/drawing/2014/main" id="{00000000-0008-0000-0C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76</xdr:col>
      <xdr:colOff>0</xdr:colOff>
      <xdr:row>69</xdr:row>
      <xdr:rowOff>0</xdr:rowOff>
    </xdr:from>
    <xdr:to>
      <xdr:col>83</xdr:col>
      <xdr:colOff>64604</xdr:colOff>
      <xdr:row>85</xdr:row>
      <xdr:rowOff>100772</xdr:rowOff>
    </xdr:to>
    <xdr:graphicFrame macro="">
      <xdr:nvGraphicFramePr>
        <xdr:cNvPr id="2" name="Chart 1">
          <a:extLst>
            <a:ext uri="{FF2B5EF4-FFF2-40B4-BE49-F238E27FC236}">
              <a16:creationId xmlns:a16="http://schemas.microsoft.com/office/drawing/2014/main" id="{5CD5F701-56DF-4E79-B270-36E3C2F6D0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17.xml><?xml version="1.0" encoding="utf-8"?>
<c:userShapes xmlns:c="http://schemas.openxmlformats.org/drawingml/2006/chart">
  <cdr:relSizeAnchor xmlns:cdr="http://schemas.openxmlformats.org/drawingml/2006/chartDrawing">
    <cdr:from>
      <cdr:x>0</cdr:x>
      <cdr:y>0</cdr:y>
    </cdr:from>
    <cdr:to>
      <cdr:x>0.12427</cdr:x>
      <cdr:y>0.07254</cdr:y>
    </cdr:to>
    <cdr:sp macro="" textlink="">
      <cdr:nvSpPr>
        <cdr:cNvPr id="2" name="TextBox 6"/>
        <cdr:cNvSpPr txBox="1"/>
      </cdr:nvSpPr>
      <cdr:spPr>
        <a:xfrm xmlns:a="http://schemas.openxmlformats.org/drawingml/2006/main">
          <a:off x="0" y="0"/>
          <a:ext cx="606040" cy="218799"/>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en-GB" sz="900">
              <a:latin typeface="Arial" panose="020B0604020202020204" pitchFamily="34" charset="0"/>
              <a:cs typeface="Arial" panose="020B0604020202020204" pitchFamily="34" charset="0"/>
            </a:rPr>
            <a:t>(€ m</a:t>
          </a:r>
          <a:r>
            <a:rPr lang="en-GB" sz="900">
              <a:solidFill>
                <a:schemeClr val="tx1"/>
              </a:solidFill>
              <a:latin typeface="Arial" panose="020B0604020202020204" pitchFamily="34" charset="0"/>
              <a:cs typeface="Arial" panose="020B0604020202020204" pitchFamily="34" charset="0"/>
            </a:rPr>
            <a:t>n</a:t>
          </a:r>
          <a:r>
            <a:rPr lang="en-GB" sz="900">
              <a:latin typeface="Arial" panose="020B0604020202020204" pitchFamily="34" charset="0"/>
              <a:cs typeface="Arial" panose="020B0604020202020204" pitchFamily="34" charset="0"/>
            </a:rPr>
            <a:t>)</a:t>
          </a:r>
        </a:p>
      </cdr:txBody>
    </cdr:sp>
  </cdr:relSizeAnchor>
</c:userShapes>
</file>

<file path=xl/drawings/drawing18.xml><?xml version="1.0" encoding="utf-8"?>
<c:userShapes xmlns:c="http://schemas.openxmlformats.org/drawingml/2006/chart">
  <cdr:relSizeAnchor xmlns:cdr="http://schemas.openxmlformats.org/drawingml/2006/chartDrawing">
    <cdr:from>
      <cdr:x>0</cdr:x>
      <cdr:y>0</cdr:y>
    </cdr:from>
    <cdr:to>
      <cdr:x>0.12427</cdr:x>
      <cdr:y>0.07254</cdr:y>
    </cdr:to>
    <cdr:sp macro="" textlink="">
      <cdr:nvSpPr>
        <cdr:cNvPr id="2" name="TextBox 6"/>
        <cdr:cNvSpPr txBox="1"/>
      </cdr:nvSpPr>
      <cdr:spPr>
        <a:xfrm xmlns:a="http://schemas.openxmlformats.org/drawingml/2006/main">
          <a:off x="0" y="0"/>
          <a:ext cx="606040" cy="218799"/>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en-GB" sz="900">
              <a:latin typeface="Arial" panose="020B0604020202020204" pitchFamily="34" charset="0"/>
              <a:cs typeface="Arial" panose="020B0604020202020204" pitchFamily="34" charset="0"/>
            </a:rPr>
            <a:t>(€ m</a:t>
          </a:r>
          <a:r>
            <a:rPr lang="en-GB" sz="900">
              <a:solidFill>
                <a:schemeClr val="tx1"/>
              </a:solidFill>
              <a:latin typeface="Arial" panose="020B0604020202020204" pitchFamily="34" charset="0"/>
              <a:cs typeface="Arial" panose="020B0604020202020204" pitchFamily="34" charset="0"/>
            </a:rPr>
            <a:t>n</a:t>
          </a:r>
          <a:r>
            <a:rPr lang="en-GB" sz="900">
              <a:latin typeface="Arial" panose="020B0604020202020204" pitchFamily="34" charset="0"/>
              <a:cs typeface="Arial" panose="020B0604020202020204" pitchFamily="34" charset="0"/>
            </a:rPr>
            <a:t>)</a:t>
          </a:r>
        </a:p>
      </cdr:txBody>
    </cdr:sp>
  </cdr:relSizeAnchor>
</c:userShapes>
</file>

<file path=xl/drawings/drawing19.xml><?xml version="1.0" encoding="utf-8"?>
<c:userShapes xmlns:c="http://schemas.openxmlformats.org/drawingml/2006/chart">
  <cdr:relSizeAnchor xmlns:cdr="http://schemas.openxmlformats.org/drawingml/2006/chartDrawing">
    <cdr:from>
      <cdr:x>0</cdr:x>
      <cdr:y>0</cdr:y>
    </cdr:from>
    <cdr:to>
      <cdr:x>0.12427</cdr:x>
      <cdr:y>0.07254</cdr:y>
    </cdr:to>
    <cdr:sp macro="" textlink="">
      <cdr:nvSpPr>
        <cdr:cNvPr id="2" name="TextBox 6"/>
        <cdr:cNvSpPr txBox="1"/>
      </cdr:nvSpPr>
      <cdr:spPr>
        <a:xfrm xmlns:a="http://schemas.openxmlformats.org/drawingml/2006/main">
          <a:off x="0" y="0"/>
          <a:ext cx="606040" cy="218799"/>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en-GB" sz="900">
              <a:latin typeface="Arial" panose="020B0604020202020204" pitchFamily="34" charset="0"/>
              <a:cs typeface="Arial" panose="020B0604020202020204" pitchFamily="34" charset="0"/>
            </a:rPr>
            <a:t>(€ m</a:t>
          </a:r>
          <a:r>
            <a:rPr lang="en-GB" sz="900">
              <a:solidFill>
                <a:schemeClr val="tx1"/>
              </a:solidFill>
              <a:latin typeface="Arial" panose="020B0604020202020204" pitchFamily="34" charset="0"/>
              <a:cs typeface="Arial" panose="020B0604020202020204" pitchFamily="34" charset="0"/>
            </a:rPr>
            <a:t>n</a:t>
          </a:r>
          <a:r>
            <a:rPr lang="en-GB" sz="900">
              <a:latin typeface="Arial" panose="020B0604020202020204" pitchFamily="34" charset="0"/>
              <a:cs typeface="Arial" panose="020B0604020202020204" pitchFamily="34" charset="0"/>
            </a:rPr>
            <a:t>)</a:t>
          </a:r>
        </a:p>
      </cdr:txBody>
    </cdr:sp>
  </cdr:relSizeAnchor>
</c:userShape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A&amp;D theme">
  <a:themeElements>
    <a:clrScheme name="GIR Exhibits">
      <a:dk1>
        <a:srgbClr val="000000"/>
      </a:dk1>
      <a:lt1>
        <a:sysClr val="window" lastClr="FFFFFF"/>
      </a:lt1>
      <a:dk2>
        <a:srgbClr val="BE3232"/>
      </a:dk2>
      <a:lt2>
        <a:srgbClr val="F67F26"/>
      </a:lt2>
      <a:accent1>
        <a:srgbClr val="00355F"/>
      </a:accent1>
      <a:accent2>
        <a:srgbClr val="ACD4F1"/>
      </a:accent2>
      <a:accent3>
        <a:srgbClr val="A5A5A5"/>
      </a:accent3>
      <a:accent4>
        <a:srgbClr val="7399C6"/>
      </a:accent4>
      <a:accent5>
        <a:srgbClr val="078549"/>
      </a:accent5>
      <a:accent6>
        <a:srgbClr val="8BC346"/>
      </a:accent6>
      <a:hlink>
        <a:srgbClr val="7399C6"/>
      </a:hlink>
      <a:folHlink>
        <a:srgbClr val="A5A5A5"/>
      </a:folHlink>
    </a:clrScheme>
    <a:fontScheme name="GIR Product">
      <a:majorFont>
        <a:latin typeface="Univers LT Std 65 Bold"/>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Jpan" typeface="MS Gothic"/>
      </a:majorFont>
      <a:minorFont>
        <a:latin typeface="Univers LT Std 55"/>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GIR Product">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80BA4FC3-3097-491A-B015-11821CC3BB4E}">
  <we:reference id="49825c50-e8d8-4c4a-9a2c-e6f24181e018" version="1.0.0.0" store="EXCatalog" storeType="EXCatalog"/>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3" Type="http://schemas.openxmlformats.org/officeDocument/2006/relationships/customProperty" Target="../customProperty2.bin"/><Relationship Id="rId2" Type="http://schemas.openxmlformats.org/officeDocument/2006/relationships/customProperty" Target="../customProperty1.bin"/><Relationship Id="rId1" Type="http://schemas.openxmlformats.org/officeDocument/2006/relationships/printerSettings" Target="../printerSettings/printerSettings1.bin"/><Relationship Id="rId5" Type="http://schemas.openxmlformats.org/officeDocument/2006/relationships/customProperty" Target="../customProperty4.bin"/><Relationship Id="rId4" Type="http://schemas.openxmlformats.org/officeDocument/2006/relationships/customProperty" Target="../customProperty3.bin"/></Relationships>
</file>

<file path=xl/worksheets/_rels/sheet2.xml.rels><?xml version="1.0" encoding="UTF-8" standalone="yes"?>
<Relationships xmlns="http://schemas.openxmlformats.org/package/2006/relationships"><Relationship Id="rId3" Type="http://schemas.openxmlformats.org/officeDocument/2006/relationships/customProperty" Target="../customProperty6.bin"/><Relationship Id="rId2" Type="http://schemas.openxmlformats.org/officeDocument/2006/relationships/customProperty" Target="../customProperty5.bin"/><Relationship Id="rId1" Type="http://schemas.openxmlformats.org/officeDocument/2006/relationships/printerSettings" Target="../printerSettings/printerSettings2.bin"/><Relationship Id="rId4"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customProperty" Target="../customProperty7.bin"/><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customProperty" Target="../customProperty8.bin"/><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customProperty" Target="../customProperty9.bin"/><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customProperty" Target="../customProperty10.bin"/><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ustomProperty" Target="../customProperty12.bin"/><Relationship Id="rId2" Type="http://schemas.openxmlformats.org/officeDocument/2006/relationships/customProperty" Target="../customProperty11.bin"/><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ustomProperty" Target="../customProperty14.bin"/><Relationship Id="rId2" Type="http://schemas.openxmlformats.org/officeDocument/2006/relationships/customProperty" Target="../customProperty13.bin"/><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customProperty" Target="../customProperty15.bin"/></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customProperty" Target="../customProperty16.bin"/><Relationship Id="rId1" Type="http://schemas.openxmlformats.org/officeDocument/2006/relationships/printerSettings" Target="../printerSettings/printerSettings9.bin"/><Relationship Id="rId4" Type="http://schemas.openxmlformats.org/officeDocument/2006/relationships/comments" Target="../comments2.xml"/></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customProperty" Target="../customProperty17.bin"/><Relationship Id="rId1" Type="http://schemas.openxmlformats.org/officeDocument/2006/relationships/printerSettings" Target="../printerSettings/printerSettings10.bin"/><Relationship Id="rId4" Type="http://schemas.openxmlformats.org/officeDocument/2006/relationships/comments" Target="../comments3.xml"/></Relationships>
</file>

<file path=xl/worksheets/_rels/sheet12.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customProperty" Target="../customProperty18.bin"/></Relationships>
</file>

<file path=xl/worksheets/_rels/sheet13.xml.rels><?xml version="1.0" encoding="UTF-8" standalone="yes"?>
<Relationships xmlns="http://schemas.openxmlformats.org/package/2006/relationships"><Relationship Id="rId3" Type="http://schemas.openxmlformats.org/officeDocument/2006/relationships/customProperty" Target="../customProperty20.bin"/><Relationship Id="rId7" Type="http://schemas.openxmlformats.org/officeDocument/2006/relationships/comments" Target="../comments5.xml"/><Relationship Id="rId2" Type="http://schemas.openxmlformats.org/officeDocument/2006/relationships/customProperty" Target="../customProperty19.bin"/><Relationship Id="rId1" Type="http://schemas.openxmlformats.org/officeDocument/2006/relationships/printerSettings" Target="../printerSettings/printerSettings11.bin"/><Relationship Id="rId6" Type="http://schemas.openxmlformats.org/officeDocument/2006/relationships/vmlDrawing" Target="../drawings/vmlDrawing5.vml"/><Relationship Id="rId5" Type="http://schemas.openxmlformats.org/officeDocument/2006/relationships/drawing" Target="../drawings/drawing2.xml"/><Relationship Id="rId4" Type="http://schemas.openxmlformats.org/officeDocument/2006/relationships/customProperty" Target="../customProperty21.bin"/></Relationships>
</file>

<file path=xl/worksheets/_rels/sheet14.xml.rels><?xml version="1.0" encoding="UTF-8" standalone="yes"?>
<Relationships xmlns="http://schemas.openxmlformats.org/package/2006/relationships"><Relationship Id="rId3" Type="http://schemas.openxmlformats.org/officeDocument/2006/relationships/customProperty" Target="../customProperty23.bin"/><Relationship Id="rId2" Type="http://schemas.openxmlformats.org/officeDocument/2006/relationships/customProperty" Target="../customProperty22.bin"/><Relationship Id="rId1" Type="http://schemas.openxmlformats.org/officeDocument/2006/relationships/printerSettings" Target="../printerSettings/printerSettings12.bin"/></Relationships>
</file>

<file path=xl/worksheets/_rels/sheet15.xml.rels><?xml version="1.0" encoding="UTF-8" standalone="yes"?>
<Relationships xmlns="http://schemas.openxmlformats.org/package/2006/relationships"><Relationship Id="rId2" Type="http://schemas.openxmlformats.org/officeDocument/2006/relationships/customProperty" Target="../customProperty24.bin"/><Relationship Id="rId1" Type="http://schemas.openxmlformats.org/officeDocument/2006/relationships/printerSettings" Target="../printerSettings/printerSettings13.bin"/></Relationships>
</file>

<file path=xl/worksheets/_rels/sheet16.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customProperty" Target="../customProperty25.bin"/><Relationship Id="rId1" Type="http://schemas.openxmlformats.org/officeDocument/2006/relationships/printerSettings" Target="../printerSettings/printerSettings14.bin"/><Relationship Id="rId4" Type="http://schemas.openxmlformats.org/officeDocument/2006/relationships/comments" Target="../comments6.xml"/></Relationships>
</file>

<file path=xl/worksheets/_rels/sheet17.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customProperty" Target="../customProperty26.bin"/></Relationships>
</file>

<file path=xl/worksheets/_rels/sheet18.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customProperty" Target="../customProperty27.bin"/></Relationships>
</file>

<file path=xl/worksheets/_rels/sheet19.xml.rels><?xml version="1.0" encoding="UTF-8" standalone="yes"?>
<Relationships xmlns="http://schemas.openxmlformats.org/package/2006/relationships"><Relationship Id="rId3" Type="http://schemas.openxmlformats.org/officeDocument/2006/relationships/customProperty" Target="../customProperty29.bin"/><Relationship Id="rId2" Type="http://schemas.openxmlformats.org/officeDocument/2006/relationships/customProperty" Target="../customProperty28.bin"/><Relationship Id="rId1" Type="http://schemas.openxmlformats.org/officeDocument/2006/relationships/printerSettings" Target="../printerSettings/printerSettings15.bin"/></Relationships>
</file>

<file path=xl/worksheets/_rels/sheet20.xml.rels><?xml version="1.0" encoding="UTF-8" standalone="yes"?>
<Relationships xmlns="http://schemas.openxmlformats.org/package/2006/relationships"><Relationship Id="rId3" Type="http://schemas.openxmlformats.org/officeDocument/2006/relationships/customProperty" Target="../customProperty31.bin"/><Relationship Id="rId2" Type="http://schemas.openxmlformats.org/officeDocument/2006/relationships/customProperty" Target="../customProperty30.bin"/><Relationship Id="rId1" Type="http://schemas.openxmlformats.org/officeDocument/2006/relationships/printerSettings" Target="../printerSettings/printerSettings16.bin"/><Relationship Id="rId6" Type="http://schemas.openxmlformats.org/officeDocument/2006/relationships/comments" Target="../comments9.xml"/><Relationship Id="rId5" Type="http://schemas.openxmlformats.org/officeDocument/2006/relationships/vmlDrawing" Target="../drawings/vmlDrawing9.vml"/><Relationship Id="rId4" Type="http://schemas.openxmlformats.org/officeDocument/2006/relationships/drawing" Target="../drawings/drawing5.xml"/></Relationships>
</file>

<file path=xl/worksheets/_rels/sheet21.xml.rels><?xml version="1.0" encoding="UTF-8" standalone="yes"?>
<Relationships xmlns="http://schemas.openxmlformats.org/package/2006/relationships"><Relationship Id="rId1" Type="http://schemas.openxmlformats.org/officeDocument/2006/relationships/customProperty" Target="../customProperty32.bin"/></Relationships>
</file>

<file path=xl/worksheets/_rels/sheet22.xml.rels><?xml version="1.0" encoding="UTF-8" standalone="yes"?>
<Relationships xmlns="http://schemas.openxmlformats.org/package/2006/relationships"><Relationship Id="rId3" Type="http://schemas.openxmlformats.org/officeDocument/2006/relationships/customProperty" Target="../customProperty34.bin"/><Relationship Id="rId2" Type="http://schemas.openxmlformats.org/officeDocument/2006/relationships/customProperty" Target="../customProperty33.bin"/><Relationship Id="rId1" Type="http://schemas.openxmlformats.org/officeDocument/2006/relationships/printerSettings" Target="../printerSettings/printerSettings17.bin"/></Relationships>
</file>

<file path=xl/worksheets/_rels/sheet23.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customProperty" Target="../customProperty35.bin"/><Relationship Id="rId1" Type="http://schemas.openxmlformats.org/officeDocument/2006/relationships/printerSettings" Target="../printerSettings/printerSettings18.bin"/><Relationship Id="rId4" Type="http://schemas.openxmlformats.org/officeDocument/2006/relationships/comments" Target="../comments10.xml"/></Relationships>
</file>

<file path=xl/worksheets/_rels/sheet24.xml.rels><?xml version="1.0" encoding="UTF-8" standalone="yes"?>
<Relationships xmlns="http://schemas.openxmlformats.org/package/2006/relationships"><Relationship Id="rId3" Type="http://schemas.openxmlformats.org/officeDocument/2006/relationships/customProperty" Target="../customProperty37.bin"/><Relationship Id="rId2" Type="http://schemas.openxmlformats.org/officeDocument/2006/relationships/customProperty" Target="../customProperty36.bin"/><Relationship Id="rId1" Type="http://schemas.openxmlformats.org/officeDocument/2006/relationships/printerSettings" Target="../printerSettings/printerSettings19.bin"/><Relationship Id="rId4" Type="http://schemas.openxmlformats.org/officeDocument/2006/relationships/drawing" Target="../drawings/drawing16.xml"/></Relationships>
</file>

<file path=xl/worksheets/_rels/sheet25.xml.rels><?xml version="1.0" encoding="UTF-8" standalone="yes"?>
<Relationships xmlns="http://schemas.openxmlformats.org/package/2006/relationships"><Relationship Id="rId3" Type="http://schemas.openxmlformats.org/officeDocument/2006/relationships/customProperty" Target="../customProperty39.bin"/><Relationship Id="rId2" Type="http://schemas.openxmlformats.org/officeDocument/2006/relationships/customProperty" Target="../customProperty38.bin"/><Relationship Id="rId1" Type="http://schemas.openxmlformats.org/officeDocument/2006/relationships/printerSettings" Target="../printerSettings/printerSettings20.bin"/></Relationships>
</file>

<file path=xl/worksheets/_rels/sheet26.xml.rels><?xml version="1.0" encoding="UTF-8" standalone="yes"?>
<Relationships xmlns="http://schemas.openxmlformats.org/package/2006/relationships"><Relationship Id="rId3" Type="http://schemas.openxmlformats.org/officeDocument/2006/relationships/customProperty" Target="../customProperty41.bin"/><Relationship Id="rId2" Type="http://schemas.openxmlformats.org/officeDocument/2006/relationships/customProperty" Target="../customProperty40.bin"/><Relationship Id="rId1" Type="http://schemas.openxmlformats.org/officeDocument/2006/relationships/printerSettings" Target="../printerSettings/printerSettings21.bin"/></Relationships>
</file>

<file path=xl/worksheets/_rels/sheet27.xml.rels><?xml version="1.0" encoding="UTF-8" standalone="yes"?>
<Relationships xmlns="http://schemas.openxmlformats.org/package/2006/relationships"><Relationship Id="rId3" Type="http://schemas.openxmlformats.org/officeDocument/2006/relationships/customProperty" Target="../customProperty43.bin"/><Relationship Id="rId2" Type="http://schemas.openxmlformats.org/officeDocument/2006/relationships/customProperty" Target="../customProperty42.bin"/><Relationship Id="rId1" Type="http://schemas.openxmlformats.org/officeDocument/2006/relationships/printerSettings" Target="../printerSettings/printerSettings22.bin"/></Relationships>
</file>

<file path=xl/worksheets/_rels/sheet28.xml.rels><?xml version="1.0" encoding="UTF-8" standalone="yes"?>
<Relationships xmlns="http://schemas.openxmlformats.org/package/2006/relationships"><Relationship Id="rId3" Type="http://schemas.openxmlformats.org/officeDocument/2006/relationships/customProperty" Target="../customProperty45.bin"/><Relationship Id="rId2" Type="http://schemas.openxmlformats.org/officeDocument/2006/relationships/customProperty" Target="../customProperty44.bin"/><Relationship Id="rId1" Type="http://schemas.openxmlformats.org/officeDocument/2006/relationships/printerSettings" Target="../printerSettings/printerSettings23.bin"/></Relationships>
</file>

<file path=xl/worksheets/_rels/sheet29.xml.rels><?xml version="1.0" encoding="UTF-8" standalone="yes"?>
<Relationships xmlns="http://schemas.openxmlformats.org/package/2006/relationships"><Relationship Id="rId1" Type="http://schemas.openxmlformats.org/officeDocument/2006/relationships/customProperty" Target="../customProperty4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J320"/>
  <sheetViews>
    <sheetView workbookViewId="0"/>
  </sheetViews>
  <sheetFormatPr defaultColWidth="9" defaultRowHeight="12.75"/>
  <cols>
    <col min="1" max="16384" width="9" style="1"/>
  </cols>
  <sheetData>
    <row r="1" spans="1:36">
      <c r="A1" s="1">
        <v>1311101</v>
      </c>
      <c r="F1" s="1">
        <v>1998</v>
      </c>
      <c r="G1" s="1">
        <v>1999</v>
      </c>
      <c r="H1" s="1">
        <v>2000</v>
      </c>
      <c r="I1" s="1">
        <v>2001</v>
      </c>
      <c r="J1" s="1">
        <v>2002</v>
      </c>
      <c r="K1" s="1">
        <v>2003</v>
      </c>
      <c r="L1" s="1">
        <v>2004</v>
      </c>
      <c r="M1" s="1">
        <v>2005</v>
      </c>
      <c r="N1" s="1" t="s">
        <v>331</v>
      </c>
      <c r="O1" s="1" t="s">
        <v>330</v>
      </c>
      <c r="P1" s="1">
        <v>2006</v>
      </c>
      <c r="Q1" s="1" t="s">
        <v>329</v>
      </c>
      <c r="R1" s="1" t="s">
        <v>328</v>
      </c>
      <c r="S1" s="1">
        <v>2007</v>
      </c>
      <c r="T1" s="1" t="s">
        <v>327</v>
      </c>
      <c r="U1" s="1" t="s">
        <v>326</v>
      </c>
      <c r="V1" s="1">
        <v>2008</v>
      </c>
      <c r="W1" s="1" t="s">
        <v>325</v>
      </c>
      <c r="X1" s="1" t="s">
        <v>324</v>
      </c>
      <c r="Y1" s="1">
        <v>2009</v>
      </c>
      <c r="Z1" s="1" t="s">
        <v>323</v>
      </c>
      <c r="AA1" s="1" t="s">
        <v>322</v>
      </c>
      <c r="AB1" s="1">
        <v>2010</v>
      </c>
      <c r="AC1" s="1" t="s">
        <v>321</v>
      </c>
      <c r="AD1" s="1" t="s">
        <v>320</v>
      </c>
      <c r="AE1" s="1">
        <v>2011</v>
      </c>
      <c r="AF1" s="1">
        <v>2012</v>
      </c>
      <c r="AG1" s="1">
        <v>2013</v>
      </c>
      <c r="AH1" s="1">
        <v>2014</v>
      </c>
      <c r="AI1" s="1">
        <v>2015</v>
      </c>
      <c r="AJ1" s="1">
        <v>2016</v>
      </c>
    </row>
    <row r="2" spans="1:36" ht="15.75">
      <c r="A2" s="3" t="s">
        <v>319</v>
      </c>
    </row>
    <row r="4" spans="1:36">
      <c r="B4" s="1" t="s">
        <v>318</v>
      </c>
      <c r="D4" s="1" t="s">
        <v>0</v>
      </c>
      <c r="F4" s="2">
        <v>36160</v>
      </c>
      <c r="G4" s="2">
        <v>36525</v>
      </c>
      <c r="H4" s="2">
        <v>36891</v>
      </c>
      <c r="I4" s="2">
        <v>37256</v>
      </c>
      <c r="J4" s="2">
        <v>37621</v>
      </c>
      <c r="K4" s="2">
        <v>37986</v>
      </c>
      <c r="L4" s="2">
        <v>38352</v>
      </c>
      <c r="M4" s="2">
        <v>38717</v>
      </c>
      <c r="N4" s="2">
        <v>38898</v>
      </c>
      <c r="O4" s="2">
        <v>39082</v>
      </c>
      <c r="P4" s="2">
        <v>39082</v>
      </c>
      <c r="Q4" s="2">
        <v>39263</v>
      </c>
      <c r="R4" s="2">
        <v>39447</v>
      </c>
      <c r="S4" s="2">
        <v>39447</v>
      </c>
      <c r="T4" s="2">
        <v>39629</v>
      </c>
      <c r="U4" s="2">
        <v>39813</v>
      </c>
      <c r="V4" s="2">
        <v>39813</v>
      </c>
      <c r="W4" s="2">
        <v>39994</v>
      </c>
      <c r="X4" s="2">
        <v>40178</v>
      </c>
      <c r="Y4" s="2">
        <v>40178</v>
      </c>
      <c r="Z4" s="2">
        <v>40359</v>
      </c>
      <c r="AA4" s="2">
        <v>40543</v>
      </c>
      <c r="AB4" s="2">
        <v>40543</v>
      </c>
      <c r="AC4" s="2">
        <v>40724</v>
      </c>
      <c r="AD4" s="2">
        <v>40908</v>
      </c>
      <c r="AE4" s="2">
        <v>40908</v>
      </c>
      <c r="AF4" s="2">
        <v>41274</v>
      </c>
      <c r="AG4" s="2">
        <v>41639</v>
      </c>
      <c r="AH4" s="2">
        <v>42004</v>
      </c>
      <c r="AI4" s="2">
        <v>42369</v>
      </c>
      <c r="AJ4" s="2">
        <v>42735</v>
      </c>
    </row>
    <row r="5" spans="1:36">
      <c r="B5" s="1" t="s">
        <v>317</v>
      </c>
      <c r="D5" s="1" t="s">
        <v>0</v>
      </c>
    </row>
    <row r="6" spans="1:36">
      <c r="B6" s="1" t="s">
        <v>316</v>
      </c>
      <c r="D6" s="1" t="s">
        <v>0</v>
      </c>
    </row>
    <row r="7" spans="1:36">
      <c r="B7" s="1" t="s">
        <v>315</v>
      </c>
      <c r="D7" s="1" t="s">
        <v>0</v>
      </c>
      <c r="E7" s="1" t="s">
        <v>314</v>
      </c>
    </row>
    <row r="8" spans="1:36">
      <c r="B8" s="1" t="s">
        <v>313</v>
      </c>
      <c r="D8" s="1" t="s">
        <v>0</v>
      </c>
    </row>
    <row r="9" spans="1:36">
      <c r="B9" s="1" t="s">
        <v>312</v>
      </c>
      <c r="D9" s="1" t="s">
        <v>0</v>
      </c>
    </row>
    <row r="10" spans="1:36">
      <c r="B10" s="1" t="s">
        <v>311</v>
      </c>
      <c r="D10" s="1" t="s">
        <v>0</v>
      </c>
      <c r="E10" s="1">
        <v>404.73546099999999</v>
      </c>
    </row>
    <row r="11" spans="1:36">
      <c r="B11" s="1" t="s">
        <v>310</v>
      </c>
      <c r="D11" s="1" t="s">
        <v>0</v>
      </c>
      <c r="E11" s="1">
        <v>0.46600000000000003</v>
      </c>
    </row>
    <row r="12" spans="1:36">
      <c r="B12" s="1" t="s">
        <v>309</v>
      </c>
      <c r="D12" s="1" t="s">
        <v>0</v>
      </c>
      <c r="M12" s="1">
        <v>10.963250964557</v>
      </c>
      <c r="P12" s="1">
        <v>10.404537606127001</v>
      </c>
      <c r="S12" s="1">
        <v>10.402139694717</v>
      </c>
      <c r="V12" s="1">
        <v>9.35175367101</v>
      </c>
      <c r="Y12" s="1">
        <v>10.900212845874</v>
      </c>
      <c r="AB12" s="1">
        <v>10.862538685355</v>
      </c>
      <c r="AE12" s="1">
        <v>11.912823882747</v>
      </c>
    </row>
    <row r="13" spans="1:36">
      <c r="B13" s="1" t="s">
        <v>308</v>
      </c>
      <c r="D13" s="1" t="s">
        <v>0</v>
      </c>
      <c r="M13" s="1">
        <v>0.35968671143600001</v>
      </c>
      <c r="P13" s="1">
        <v>0.22060784968</v>
      </c>
      <c r="S13" s="1">
        <v>0.400451205398</v>
      </c>
      <c r="V13" s="1">
        <v>0.25</v>
      </c>
      <c r="Y13" s="1">
        <v>0.38</v>
      </c>
      <c r="AB13" s="1">
        <v>0.5</v>
      </c>
      <c r="AE13" s="1">
        <v>0.62</v>
      </c>
    </row>
    <row r="14" spans="1:36">
      <c r="B14" s="1" t="s">
        <v>307</v>
      </c>
      <c r="D14" s="1" t="s">
        <v>0</v>
      </c>
      <c r="M14" s="1">
        <v>1019</v>
      </c>
      <c r="P14" s="1">
        <v>884</v>
      </c>
      <c r="S14" s="1">
        <v>1069</v>
      </c>
      <c r="V14" s="1">
        <v>1182</v>
      </c>
      <c r="Y14" s="1">
        <v>1107</v>
      </c>
      <c r="AB14" s="1">
        <v>1313.5</v>
      </c>
      <c r="AE14" s="1">
        <v>1681</v>
      </c>
    </row>
    <row r="15" spans="1:36">
      <c r="B15" s="1" t="s">
        <v>306</v>
      </c>
      <c r="D15" s="1" t="s">
        <v>0</v>
      </c>
      <c r="M15" s="1">
        <v>1.224003551047</v>
      </c>
      <c r="P15" s="1">
        <v>0.43202980097600002</v>
      </c>
      <c r="S15" s="1">
        <v>0.98837801590300001</v>
      </c>
      <c r="V15" s="1">
        <v>0.63154612047400005</v>
      </c>
      <c r="Y15" s="1">
        <v>0.94172621239900001</v>
      </c>
      <c r="AB15" s="1">
        <v>1.2714210673270001</v>
      </c>
      <c r="AE15" s="1">
        <v>1.591162776814</v>
      </c>
    </row>
    <row r="16" spans="1:36">
      <c r="B16" s="1" t="s">
        <v>305</v>
      </c>
      <c r="D16" s="1" t="s">
        <v>0</v>
      </c>
      <c r="F16" s="1">
        <v>0</v>
      </c>
      <c r="G16" s="1">
        <v>0</v>
      </c>
      <c r="H16" s="1">
        <v>0</v>
      </c>
      <c r="I16" s="1">
        <v>0</v>
      </c>
      <c r="J16" s="1">
        <v>0</v>
      </c>
      <c r="K16" s="1">
        <v>0</v>
      </c>
      <c r="M16" s="1">
        <v>486.33239692817102</v>
      </c>
      <c r="N16" s="1">
        <v>0</v>
      </c>
      <c r="O16" s="1">
        <v>0</v>
      </c>
      <c r="P16" s="1">
        <v>838.35458228661003</v>
      </c>
      <c r="Q16" s="1">
        <v>0</v>
      </c>
      <c r="S16" s="1">
        <v>1109.3545822866099</v>
      </c>
      <c r="V16" s="1">
        <v>1064.3545822866099</v>
      </c>
      <c r="Y16" s="1">
        <v>1044.3545822866099</v>
      </c>
      <c r="AB16" s="1">
        <v>1100.3545822866099</v>
      </c>
      <c r="AE16" s="1">
        <v>1144.3545822866099</v>
      </c>
    </row>
    <row r="17" spans="2:31">
      <c r="B17" s="1" t="s">
        <v>304</v>
      </c>
      <c r="D17" s="1" t="s">
        <v>0</v>
      </c>
      <c r="M17" s="1">
        <v>473</v>
      </c>
      <c r="P17" s="1">
        <v>419</v>
      </c>
      <c r="S17" s="1">
        <v>169</v>
      </c>
      <c r="V17" s="1">
        <v>635</v>
      </c>
      <c r="W17" s="1">
        <v>-690</v>
      </c>
      <c r="X17" s="1">
        <v>498</v>
      </c>
      <c r="Y17" s="1">
        <v>498</v>
      </c>
      <c r="AB17" s="1">
        <v>-24</v>
      </c>
      <c r="AE17" s="1">
        <v>997</v>
      </c>
    </row>
    <row r="18" spans="2:31">
      <c r="B18" s="1" t="s">
        <v>303</v>
      </c>
      <c r="D18" s="1" t="s">
        <v>0</v>
      </c>
      <c r="M18" s="1">
        <v>501</v>
      </c>
      <c r="P18" s="1">
        <v>177</v>
      </c>
      <c r="S18" s="1">
        <v>406</v>
      </c>
      <c r="V18" s="1">
        <v>256</v>
      </c>
      <c r="W18" s="1">
        <v>207</v>
      </c>
      <c r="X18" s="1">
        <v>169</v>
      </c>
      <c r="Y18" s="1">
        <v>376</v>
      </c>
      <c r="Z18" s="1">
        <v>261</v>
      </c>
      <c r="AA18" s="1">
        <v>247</v>
      </c>
      <c r="AB18" s="1">
        <v>508</v>
      </c>
      <c r="AC18" s="1">
        <v>317.057484662577</v>
      </c>
      <c r="AD18" s="1">
        <v>321.61599999999999</v>
      </c>
      <c r="AE18" s="1">
        <v>644</v>
      </c>
    </row>
    <row r="19" spans="2:31">
      <c r="B19" s="1" t="s">
        <v>302</v>
      </c>
      <c r="D19" s="1" t="s">
        <v>0</v>
      </c>
      <c r="M19" s="1">
        <v>762</v>
      </c>
      <c r="P19" s="1">
        <v>465</v>
      </c>
      <c r="S19" s="1">
        <v>706</v>
      </c>
      <c r="V19" s="1">
        <v>798</v>
      </c>
      <c r="W19" s="1">
        <v>347</v>
      </c>
      <c r="X19" s="1">
        <v>351</v>
      </c>
      <c r="Y19" s="1">
        <v>698</v>
      </c>
      <c r="Z19" s="1">
        <v>428</v>
      </c>
      <c r="AA19" s="1">
        <v>450</v>
      </c>
      <c r="AB19" s="1">
        <v>878</v>
      </c>
      <c r="AC19" s="1">
        <v>554.05748466257705</v>
      </c>
      <c r="AD19" s="1">
        <v>632.61599999999999</v>
      </c>
      <c r="AE19" s="1">
        <v>1189</v>
      </c>
    </row>
    <row r="20" spans="2:31">
      <c r="B20" s="1" t="s">
        <v>301</v>
      </c>
      <c r="D20" s="1" t="s">
        <v>0</v>
      </c>
      <c r="M20" s="1">
        <v>678</v>
      </c>
      <c r="P20" s="1">
        <v>391</v>
      </c>
      <c r="S20" s="1">
        <v>645</v>
      </c>
      <c r="V20" s="1">
        <v>605</v>
      </c>
      <c r="W20" s="1">
        <v>265</v>
      </c>
      <c r="X20" s="1">
        <v>227</v>
      </c>
      <c r="Y20" s="1">
        <v>492</v>
      </c>
      <c r="Z20" s="1">
        <v>337</v>
      </c>
      <c r="AA20" s="1">
        <v>369</v>
      </c>
      <c r="AB20" s="1">
        <v>706</v>
      </c>
      <c r="AC20" s="1">
        <v>442.057484662577</v>
      </c>
      <c r="AD20" s="1">
        <v>510.61599999999999</v>
      </c>
      <c r="AE20" s="1">
        <v>955</v>
      </c>
    </row>
    <row r="21" spans="2:31">
      <c r="B21" s="1" t="s">
        <v>300</v>
      </c>
      <c r="D21" s="1" t="s">
        <v>0</v>
      </c>
      <c r="M21" s="1">
        <v>10577</v>
      </c>
      <c r="P21" s="1">
        <v>11329</v>
      </c>
      <c r="S21" s="1">
        <v>12003</v>
      </c>
      <c r="V21" s="1">
        <v>10329</v>
      </c>
      <c r="W21" s="1">
        <v>5149</v>
      </c>
      <c r="X21" s="1">
        <v>5299</v>
      </c>
      <c r="Y21" s="1">
        <v>10448</v>
      </c>
      <c r="Z21" s="1">
        <v>5197</v>
      </c>
      <c r="AA21" s="1">
        <v>5563</v>
      </c>
      <c r="AB21" s="1">
        <v>10760</v>
      </c>
      <c r="AC21" s="1">
        <v>5622</v>
      </c>
      <c r="AD21" s="1">
        <v>6114</v>
      </c>
      <c r="AE21" s="1">
        <v>11736</v>
      </c>
    </row>
    <row r="22" spans="2:31">
      <c r="B22" s="1" t="s">
        <v>299</v>
      </c>
      <c r="D22" s="1" t="s">
        <v>0</v>
      </c>
      <c r="M22" s="1">
        <v>4736</v>
      </c>
      <c r="P22" s="1">
        <v>4512</v>
      </c>
      <c r="S22" s="1">
        <v>4505</v>
      </c>
      <c r="V22" s="1">
        <v>3874</v>
      </c>
      <c r="Y22" s="1">
        <v>4501</v>
      </c>
      <c r="AB22" s="1">
        <v>4705</v>
      </c>
      <c r="AE22" s="1">
        <v>5122</v>
      </c>
    </row>
    <row r="23" spans="2:31">
      <c r="B23" s="1" t="s">
        <v>298</v>
      </c>
      <c r="D23" s="1" t="s">
        <v>0</v>
      </c>
      <c r="M23" s="1">
        <v>10577</v>
      </c>
      <c r="P23" s="1">
        <v>11329</v>
      </c>
      <c r="S23" s="1">
        <v>12003</v>
      </c>
      <c r="V23" s="1">
        <v>10329</v>
      </c>
      <c r="Y23" s="1">
        <v>10448</v>
      </c>
      <c r="AB23" s="1">
        <v>10760</v>
      </c>
      <c r="AE23" s="1">
        <v>11736</v>
      </c>
    </row>
    <row r="24" spans="2:31">
      <c r="B24" s="1" t="s">
        <v>297</v>
      </c>
      <c r="D24" s="1" t="s">
        <v>0</v>
      </c>
    </row>
    <row r="25" spans="2:31">
      <c r="B25" s="1" t="s">
        <v>296</v>
      </c>
      <c r="D25" s="1" t="s">
        <v>0</v>
      </c>
      <c r="F25" s="1">
        <v>0</v>
      </c>
      <c r="G25" s="1">
        <v>0</v>
      </c>
      <c r="H25" s="1">
        <v>0</v>
      </c>
      <c r="I25" s="1">
        <v>0</v>
      </c>
      <c r="J25" s="1">
        <v>0</v>
      </c>
      <c r="K25" s="1">
        <v>0</v>
      </c>
      <c r="L25" s="1">
        <v>0</v>
      </c>
      <c r="M25" s="1">
        <v>0</v>
      </c>
      <c r="N25" s="1">
        <v>0</v>
      </c>
      <c r="O25" s="1">
        <v>0</v>
      </c>
      <c r="P25" s="1">
        <v>0</v>
      </c>
      <c r="Q25" s="1">
        <v>0</v>
      </c>
      <c r="S25" s="1">
        <v>0</v>
      </c>
    </row>
    <row r="26" spans="2:31">
      <c r="B26" s="1" t="s">
        <v>295</v>
      </c>
      <c r="D26" s="1" t="s">
        <v>0</v>
      </c>
      <c r="F26" s="1">
        <v>0</v>
      </c>
      <c r="G26" s="1">
        <v>0</v>
      </c>
      <c r="H26" s="1">
        <v>0</v>
      </c>
      <c r="I26" s="1">
        <v>0</v>
      </c>
      <c r="J26" s="1">
        <v>0</v>
      </c>
      <c r="K26" s="1">
        <v>0</v>
      </c>
      <c r="M26" s="1">
        <v>-9558</v>
      </c>
      <c r="N26" s="1">
        <v>0</v>
      </c>
      <c r="O26" s="1">
        <v>0</v>
      </c>
      <c r="P26" s="1">
        <v>-10445</v>
      </c>
      <c r="Q26" s="1">
        <v>0</v>
      </c>
      <c r="S26" s="1">
        <v>-10934</v>
      </c>
      <c r="V26" s="1">
        <v>-8708</v>
      </c>
      <c r="Y26" s="1">
        <v>-8847</v>
      </c>
      <c r="AB26" s="1">
        <v>-9040.5</v>
      </c>
      <c r="AE26" s="1">
        <v>-9560</v>
      </c>
    </row>
    <row r="27" spans="2:31">
      <c r="B27" s="1" t="s">
        <v>294</v>
      </c>
      <c r="D27" s="1" t="s">
        <v>0</v>
      </c>
    </row>
    <row r="28" spans="2:31">
      <c r="B28" s="1" t="s">
        <v>293</v>
      </c>
      <c r="D28" s="1" t="s">
        <v>0</v>
      </c>
      <c r="F28" s="1">
        <v>0</v>
      </c>
      <c r="G28" s="1">
        <v>0</v>
      </c>
      <c r="H28" s="1">
        <v>0</v>
      </c>
      <c r="I28" s="1">
        <v>0</v>
      </c>
      <c r="J28" s="1">
        <v>0</v>
      </c>
      <c r="K28" s="1">
        <v>0</v>
      </c>
      <c r="N28" s="1">
        <v>0</v>
      </c>
      <c r="O28" s="1">
        <v>0</v>
      </c>
      <c r="Q28" s="1">
        <v>0</v>
      </c>
      <c r="V28" s="1">
        <v>-439</v>
      </c>
      <c r="Y28" s="1">
        <v>-494</v>
      </c>
      <c r="AB28" s="1">
        <v>-406</v>
      </c>
      <c r="AE28" s="1">
        <v>-495</v>
      </c>
    </row>
    <row r="29" spans="2:31">
      <c r="B29" s="1" t="s">
        <v>292</v>
      </c>
      <c r="D29" s="1" t="s">
        <v>0</v>
      </c>
      <c r="M29" s="1">
        <v>-9815</v>
      </c>
      <c r="P29" s="1">
        <v>-10864</v>
      </c>
      <c r="S29" s="1">
        <v>-11297</v>
      </c>
      <c r="V29" s="1">
        <v>-9531</v>
      </c>
      <c r="Y29" s="1">
        <v>-9750</v>
      </c>
      <c r="AB29" s="1">
        <v>-9882</v>
      </c>
      <c r="AE29" s="1">
        <v>-10547</v>
      </c>
    </row>
    <row r="30" spans="2:31">
      <c r="B30" s="1" t="s">
        <v>291</v>
      </c>
      <c r="D30" s="1" t="s">
        <v>0</v>
      </c>
      <c r="M30" s="1">
        <v>-9558</v>
      </c>
      <c r="P30" s="1">
        <v>-10445</v>
      </c>
      <c r="S30" s="1">
        <v>-10934</v>
      </c>
      <c r="V30" s="1">
        <v>-9147</v>
      </c>
      <c r="Y30" s="1">
        <v>-9341</v>
      </c>
      <c r="AB30" s="1">
        <v>-9446.5</v>
      </c>
      <c r="AE30" s="1">
        <v>-10055</v>
      </c>
    </row>
    <row r="31" spans="2:31">
      <c r="B31" s="1" t="s">
        <v>290</v>
      </c>
      <c r="D31" s="1" t="s">
        <v>0</v>
      </c>
      <c r="M31" s="1">
        <v>1019</v>
      </c>
      <c r="P31" s="1">
        <v>884</v>
      </c>
      <c r="S31" s="1">
        <v>1069</v>
      </c>
      <c r="V31" s="1">
        <v>1182</v>
      </c>
      <c r="Y31" s="1">
        <v>1107</v>
      </c>
      <c r="AB31" s="1">
        <v>1313.5</v>
      </c>
      <c r="AE31" s="1">
        <v>1681</v>
      </c>
    </row>
    <row r="32" spans="2:31">
      <c r="B32" s="1" t="s">
        <v>289</v>
      </c>
      <c r="D32" s="1" t="s">
        <v>0</v>
      </c>
      <c r="F32" s="1">
        <v>0</v>
      </c>
      <c r="G32" s="1">
        <v>0</v>
      </c>
      <c r="H32" s="1">
        <v>0</v>
      </c>
      <c r="I32" s="1">
        <v>0</v>
      </c>
      <c r="J32" s="1">
        <v>0</v>
      </c>
      <c r="K32" s="1">
        <v>0</v>
      </c>
      <c r="M32" s="1">
        <v>-257</v>
      </c>
      <c r="N32" s="1">
        <v>0</v>
      </c>
      <c r="O32" s="1">
        <v>0</v>
      </c>
      <c r="P32" s="1">
        <v>-306</v>
      </c>
      <c r="Q32" s="1">
        <v>0</v>
      </c>
      <c r="S32" s="1">
        <v>-287</v>
      </c>
      <c r="V32" s="1">
        <v>-278</v>
      </c>
      <c r="Y32" s="1">
        <v>-279</v>
      </c>
      <c r="AB32" s="1">
        <v>-291</v>
      </c>
      <c r="AE32" s="1">
        <v>-321</v>
      </c>
    </row>
    <row r="33" spans="2:31">
      <c r="B33" s="1" t="s">
        <v>288</v>
      </c>
      <c r="D33" s="1" t="s">
        <v>0</v>
      </c>
      <c r="F33" s="1">
        <v>0</v>
      </c>
      <c r="G33" s="1">
        <v>0</v>
      </c>
      <c r="H33" s="1">
        <v>0</v>
      </c>
      <c r="I33" s="1">
        <v>0</v>
      </c>
      <c r="J33" s="1">
        <v>0</v>
      </c>
      <c r="K33" s="1">
        <v>0</v>
      </c>
      <c r="N33" s="1">
        <v>0</v>
      </c>
      <c r="O33" s="1">
        <v>0</v>
      </c>
      <c r="P33" s="1">
        <v>-113</v>
      </c>
      <c r="Q33" s="1">
        <v>0</v>
      </c>
      <c r="S33" s="1">
        <v>-76</v>
      </c>
      <c r="V33" s="1">
        <v>-106</v>
      </c>
      <c r="Y33" s="1">
        <v>-130</v>
      </c>
      <c r="AB33" s="1">
        <v>-144.5</v>
      </c>
      <c r="AE33" s="1">
        <v>-171</v>
      </c>
    </row>
    <row r="34" spans="2:31">
      <c r="B34" s="1" t="s">
        <v>287</v>
      </c>
      <c r="D34" s="1" t="s">
        <v>0</v>
      </c>
      <c r="M34" s="1">
        <v>762</v>
      </c>
      <c r="P34" s="1">
        <v>465</v>
      </c>
      <c r="S34" s="1">
        <v>706</v>
      </c>
      <c r="V34" s="1">
        <v>798</v>
      </c>
      <c r="Y34" s="1">
        <v>698</v>
      </c>
      <c r="AB34" s="1">
        <v>878</v>
      </c>
      <c r="AE34" s="1">
        <v>1189</v>
      </c>
    </row>
    <row r="35" spans="2:31">
      <c r="B35" s="1" t="s">
        <v>286</v>
      </c>
      <c r="D35" s="1" t="s">
        <v>0</v>
      </c>
    </row>
    <row r="36" spans="2:31">
      <c r="B36" s="1" t="s">
        <v>285</v>
      </c>
      <c r="D36" s="1" t="s">
        <v>0</v>
      </c>
    </row>
    <row r="37" spans="2:31">
      <c r="B37" s="1" t="s">
        <v>284</v>
      </c>
      <c r="D37" s="1" t="s">
        <v>0</v>
      </c>
      <c r="M37" s="1">
        <v>-87</v>
      </c>
      <c r="P37" s="1">
        <v>-78</v>
      </c>
      <c r="S37" s="1">
        <v>-65</v>
      </c>
      <c r="V37" s="1">
        <v>-203</v>
      </c>
      <c r="Y37" s="1">
        <v>-174</v>
      </c>
      <c r="AB37" s="1">
        <v>-168</v>
      </c>
      <c r="AE37" s="1">
        <v>-215</v>
      </c>
    </row>
    <row r="38" spans="2:31">
      <c r="B38" s="1" t="s">
        <v>283</v>
      </c>
      <c r="D38" s="1" t="s">
        <v>0</v>
      </c>
      <c r="F38" s="1">
        <v>0</v>
      </c>
      <c r="G38" s="1">
        <v>0</v>
      </c>
      <c r="H38" s="1">
        <v>0</v>
      </c>
      <c r="I38" s="1">
        <v>0</v>
      </c>
      <c r="J38" s="1">
        <v>0</v>
      </c>
      <c r="K38" s="1">
        <v>0</v>
      </c>
      <c r="L38" s="1">
        <v>0</v>
      </c>
      <c r="M38" s="1">
        <v>3</v>
      </c>
      <c r="N38" s="1">
        <v>0</v>
      </c>
      <c r="O38" s="1">
        <v>0</v>
      </c>
      <c r="P38" s="1">
        <v>4</v>
      </c>
      <c r="Q38" s="1">
        <v>0</v>
      </c>
      <c r="S38" s="1">
        <v>4</v>
      </c>
      <c r="V38" s="1">
        <v>10</v>
      </c>
      <c r="Y38" s="1">
        <v>3</v>
      </c>
      <c r="AB38" s="1">
        <v>9</v>
      </c>
      <c r="AE38" s="1">
        <v>10</v>
      </c>
    </row>
    <row r="39" spans="2:31">
      <c r="B39" s="1" t="s">
        <v>282</v>
      </c>
      <c r="D39" s="1" t="s">
        <v>0</v>
      </c>
      <c r="F39" s="1">
        <v>0</v>
      </c>
      <c r="G39" s="1">
        <v>0</v>
      </c>
      <c r="H39" s="1">
        <v>0</v>
      </c>
      <c r="I39" s="1">
        <v>0</v>
      </c>
      <c r="J39" s="1">
        <v>0</v>
      </c>
      <c r="K39" s="1">
        <v>0</v>
      </c>
      <c r="L39" s="1">
        <v>0</v>
      </c>
      <c r="M39" s="1">
        <v>0</v>
      </c>
      <c r="N39" s="1">
        <v>0</v>
      </c>
      <c r="O39" s="1">
        <v>0</v>
      </c>
      <c r="P39" s="1">
        <v>0</v>
      </c>
      <c r="Q39" s="1">
        <v>0</v>
      </c>
      <c r="S39" s="1">
        <v>0</v>
      </c>
    </row>
    <row r="40" spans="2:31">
      <c r="B40" s="1" t="s">
        <v>281</v>
      </c>
      <c r="D40" s="1" t="s">
        <v>0</v>
      </c>
      <c r="F40" s="1">
        <v>0</v>
      </c>
      <c r="G40" s="1">
        <v>0</v>
      </c>
      <c r="H40" s="1">
        <v>0</v>
      </c>
      <c r="I40" s="1">
        <v>0</v>
      </c>
      <c r="J40" s="1">
        <v>0</v>
      </c>
      <c r="K40" s="1">
        <v>0</v>
      </c>
      <c r="L40" s="1">
        <v>0</v>
      </c>
      <c r="M40" s="1">
        <v>0</v>
      </c>
      <c r="N40" s="1">
        <v>0</v>
      </c>
      <c r="O40" s="1">
        <v>0</v>
      </c>
      <c r="P40" s="1">
        <v>0</v>
      </c>
      <c r="Q40" s="1">
        <v>0</v>
      </c>
      <c r="S40" s="1">
        <v>0</v>
      </c>
      <c r="AB40" s="1">
        <v>-13</v>
      </c>
      <c r="AE40" s="1">
        <v>-29</v>
      </c>
    </row>
    <row r="41" spans="2:31">
      <c r="B41" s="1" t="s">
        <v>280</v>
      </c>
      <c r="D41" s="1" t="s">
        <v>0</v>
      </c>
      <c r="M41" s="1">
        <v>678</v>
      </c>
      <c r="P41" s="1">
        <v>391</v>
      </c>
      <c r="S41" s="1">
        <v>645</v>
      </c>
      <c r="V41" s="1">
        <v>605</v>
      </c>
      <c r="Y41" s="1">
        <v>527</v>
      </c>
      <c r="AB41" s="1">
        <v>706</v>
      </c>
      <c r="AE41" s="1">
        <v>955</v>
      </c>
    </row>
    <row r="42" spans="2:31">
      <c r="B42" s="1" t="s">
        <v>279</v>
      </c>
      <c r="D42" s="1" t="s">
        <v>0</v>
      </c>
      <c r="M42" s="1">
        <v>-170</v>
      </c>
      <c r="P42" s="1">
        <v>-199</v>
      </c>
      <c r="S42" s="1">
        <v>-224</v>
      </c>
      <c r="V42" s="1">
        <v>-101</v>
      </c>
      <c r="Y42" s="1">
        <v>-98</v>
      </c>
      <c r="AB42" s="1">
        <v>-173</v>
      </c>
      <c r="AE42" s="1">
        <v>-289</v>
      </c>
    </row>
    <row r="43" spans="2:31">
      <c r="B43" s="1" t="s">
        <v>278</v>
      </c>
      <c r="D43" s="1" t="s">
        <v>0</v>
      </c>
      <c r="F43" s="1">
        <v>0</v>
      </c>
      <c r="G43" s="1">
        <v>0</v>
      </c>
      <c r="H43" s="1">
        <v>0</v>
      </c>
      <c r="I43" s="1">
        <v>0</v>
      </c>
      <c r="J43" s="1">
        <v>0</v>
      </c>
      <c r="K43" s="1">
        <v>0</v>
      </c>
      <c r="M43" s="1">
        <v>-7</v>
      </c>
      <c r="N43" s="1">
        <v>0</v>
      </c>
      <c r="O43" s="1">
        <v>0</v>
      </c>
      <c r="P43" s="1">
        <v>-15</v>
      </c>
      <c r="Q43" s="1">
        <v>0</v>
      </c>
      <c r="S43" s="1">
        <v>-15</v>
      </c>
      <c r="V43" s="1">
        <v>-15</v>
      </c>
      <c r="Y43" s="1">
        <v>-14</v>
      </c>
      <c r="AB43" s="1">
        <v>-20</v>
      </c>
      <c r="AE43" s="1">
        <v>-25</v>
      </c>
    </row>
    <row r="44" spans="2:31">
      <c r="B44" s="1" t="s">
        <v>277</v>
      </c>
      <c r="D44" s="1" t="s">
        <v>0</v>
      </c>
      <c r="M44" s="1">
        <v>501</v>
      </c>
      <c r="P44" s="1">
        <v>177</v>
      </c>
      <c r="S44" s="1">
        <v>406</v>
      </c>
      <c r="V44" s="1">
        <v>489</v>
      </c>
      <c r="Y44" s="1">
        <v>415</v>
      </c>
      <c r="AB44" s="1">
        <v>513</v>
      </c>
      <c r="AE44" s="1">
        <v>641</v>
      </c>
    </row>
    <row r="45" spans="2:31">
      <c r="B45" s="1" t="s">
        <v>276</v>
      </c>
      <c r="D45" s="1" t="s">
        <v>0</v>
      </c>
      <c r="F45" s="1">
        <v>0</v>
      </c>
      <c r="G45" s="1">
        <v>0</v>
      </c>
      <c r="H45" s="1">
        <v>0</v>
      </c>
      <c r="I45" s="1">
        <v>0</v>
      </c>
      <c r="J45" s="1">
        <v>0</v>
      </c>
      <c r="K45" s="1">
        <v>0</v>
      </c>
      <c r="L45" s="1">
        <v>0</v>
      </c>
      <c r="M45" s="1">
        <v>0</v>
      </c>
      <c r="N45" s="1">
        <v>0</v>
      </c>
      <c r="O45" s="1">
        <v>0</v>
      </c>
      <c r="P45" s="1">
        <v>0</v>
      </c>
      <c r="Q45" s="1">
        <v>0</v>
      </c>
      <c r="S45" s="1">
        <v>0</v>
      </c>
    </row>
    <row r="46" spans="2:31">
      <c r="B46" s="1" t="s">
        <v>275</v>
      </c>
      <c r="D46" s="1" t="s">
        <v>0</v>
      </c>
      <c r="M46" s="1">
        <v>501</v>
      </c>
      <c r="P46" s="1">
        <v>177</v>
      </c>
      <c r="S46" s="1">
        <v>406</v>
      </c>
      <c r="V46" s="1">
        <v>489</v>
      </c>
      <c r="Y46" s="1">
        <v>415</v>
      </c>
      <c r="AB46" s="1">
        <v>513</v>
      </c>
      <c r="AE46" s="1">
        <v>641</v>
      </c>
    </row>
    <row r="47" spans="2:31">
      <c r="B47" s="1" t="s">
        <v>274</v>
      </c>
      <c r="D47" s="1" t="s">
        <v>0</v>
      </c>
      <c r="F47" s="1">
        <v>0</v>
      </c>
      <c r="G47" s="1">
        <v>0</v>
      </c>
      <c r="H47" s="1">
        <v>0</v>
      </c>
      <c r="I47" s="1">
        <v>0</v>
      </c>
      <c r="J47" s="1">
        <v>0</v>
      </c>
      <c r="K47" s="1">
        <v>0</v>
      </c>
      <c r="N47" s="1">
        <v>0</v>
      </c>
      <c r="O47" s="1">
        <v>0</v>
      </c>
      <c r="Q47" s="1">
        <v>0</v>
      </c>
      <c r="V47" s="1">
        <v>-233</v>
      </c>
    </row>
    <row r="48" spans="2:31">
      <c r="B48" s="1" t="s">
        <v>273</v>
      </c>
      <c r="D48" s="1" t="s">
        <v>0</v>
      </c>
      <c r="M48" s="1">
        <v>501</v>
      </c>
      <c r="P48" s="1">
        <v>177</v>
      </c>
      <c r="S48" s="1">
        <v>406</v>
      </c>
      <c r="V48" s="1">
        <v>256</v>
      </c>
      <c r="Y48" s="1">
        <v>415</v>
      </c>
      <c r="AB48" s="1">
        <v>513</v>
      </c>
      <c r="AE48" s="1">
        <v>641</v>
      </c>
    </row>
    <row r="49" spans="2:31">
      <c r="B49" s="1" t="s">
        <v>272</v>
      </c>
      <c r="D49" s="1" t="s">
        <v>0</v>
      </c>
      <c r="M49" s="1">
        <v>1.224003551047</v>
      </c>
      <c r="P49" s="1">
        <v>0.43202980097600002</v>
      </c>
      <c r="S49" s="1">
        <v>0.98837801590300001</v>
      </c>
      <c r="V49" s="1">
        <v>1.206351769186</v>
      </c>
      <c r="Y49" s="1">
        <v>1.0394052610260001</v>
      </c>
      <c r="AB49" s="1">
        <v>1.2839350542100001</v>
      </c>
      <c r="AE49" s="1">
        <v>1.5837505278540001</v>
      </c>
    </row>
    <row r="50" spans="2:31">
      <c r="B50" s="1" t="s">
        <v>271</v>
      </c>
      <c r="D50" s="1" t="s">
        <v>0</v>
      </c>
      <c r="M50" s="1">
        <v>1.2207229399990001</v>
      </c>
      <c r="P50" s="1">
        <v>0.430867254137</v>
      </c>
      <c r="S50" s="1">
        <v>0.98780595878400002</v>
      </c>
      <c r="V50" s="1">
        <v>1.206351769186</v>
      </c>
      <c r="Y50" s="1">
        <v>1.0347028386679999</v>
      </c>
      <c r="AB50" s="1">
        <v>1.271272874381</v>
      </c>
      <c r="AE50" s="1">
        <v>1.5774981606639999</v>
      </c>
    </row>
    <row r="51" spans="2:31">
      <c r="B51" s="1" t="s">
        <v>270</v>
      </c>
      <c r="D51" s="1" t="s">
        <v>0</v>
      </c>
      <c r="M51" s="1">
        <v>1.224003551047</v>
      </c>
      <c r="P51" s="1">
        <v>0.43202980097600002</v>
      </c>
      <c r="S51" s="1">
        <v>0.98837801590300001</v>
      </c>
      <c r="V51" s="1">
        <v>0.63154612047400005</v>
      </c>
      <c r="Y51" s="1">
        <v>1.0394052610260001</v>
      </c>
      <c r="AB51" s="1">
        <v>1.2839350542100001</v>
      </c>
      <c r="AE51" s="1">
        <v>1.5837505278540001</v>
      </c>
    </row>
    <row r="52" spans="2:31">
      <c r="B52" s="1" t="s">
        <v>269</v>
      </c>
      <c r="D52" s="1" t="s">
        <v>0</v>
      </c>
      <c r="M52" s="1">
        <v>1.2207229399990001</v>
      </c>
      <c r="P52" s="1">
        <v>0.430867254137</v>
      </c>
      <c r="S52" s="1">
        <v>0.98780595878400002</v>
      </c>
      <c r="V52" s="1">
        <v>0.63154612047400005</v>
      </c>
      <c r="Y52" s="1">
        <v>1.0347028386679999</v>
      </c>
      <c r="AB52" s="1">
        <v>1.271272874381</v>
      </c>
      <c r="AE52" s="1">
        <v>1.5774981606639999</v>
      </c>
    </row>
    <row r="53" spans="2:31">
      <c r="B53" s="1" t="s">
        <v>268</v>
      </c>
      <c r="D53" s="1" t="s">
        <v>0</v>
      </c>
      <c r="M53" s="1">
        <v>-150</v>
      </c>
      <c r="P53" s="1">
        <v>-92</v>
      </c>
      <c r="S53" s="1">
        <v>-167</v>
      </c>
      <c r="V53" s="1">
        <v>-104</v>
      </c>
      <c r="Y53" s="1">
        <v>-158</v>
      </c>
      <c r="AB53" s="1">
        <v>-202</v>
      </c>
      <c r="AE53" s="1">
        <v>-260</v>
      </c>
    </row>
    <row r="54" spans="2:31">
      <c r="B54" s="1" t="s">
        <v>267</v>
      </c>
      <c r="D54" s="1" t="s">
        <v>0</v>
      </c>
      <c r="F54" s="1">
        <v>0</v>
      </c>
      <c r="G54" s="1">
        <v>0</v>
      </c>
      <c r="H54" s="1">
        <v>0</v>
      </c>
      <c r="I54" s="1">
        <v>0</v>
      </c>
      <c r="J54" s="1">
        <v>0</v>
      </c>
      <c r="K54" s="1">
        <v>0</v>
      </c>
      <c r="M54" s="1">
        <v>0.35968671143600001</v>
      </c>
      <c r="N54" s="1">
        <v>0</v>
      </c>
      <c r="O54" s="1">
        <v>0</v>
      </c>
      <c r="P54" s="1">
        <v>0.22060784968</v>
      </c>
      <c r="Q54" s="1">
        <v>0</v>
      </c>
      <c r="S54" s="1">
        <v>0.400451205398</v>
      </c>
      <c r="V54" s="1">
        <v>0.25</v>
      </c>
      <c r="Y54" s="1">
        <v>0.38</v>
      </c>
      <c r="AB54" s="1">
        <v>0.5</v>
      </c>
      <c r="AE54" s="1">
        <v>0.62</v>
      </c>
    </row>
    <row r="55" spans="2:31">
      <c r="B55" s="1" t="s">
        <v>266</v>
      </c>
      <c r="D55" s="1" t="s">
        <v>0</v>
      </c>
      <c r="M55" s="1">
        <v>409.31253800000002</v>
      </c>
      <c r="P55" s="1">
        <v>409.69396</v>
      </c>
      <c r="S55" s="1">
        <v>410.77400899999998</v>
      </c>
      <c r="V55" s="1">
        <v>405.35440199999999</v>
      </c>
      <c r="Y55" s="1">
        <v>399.26678800000002</v>
      </c>
      <c r="AB55" s="1">
        <v>399.55291999999997</v>
      </c>
      <c r="AE55" s="1">
        <v>404.73546099999999</v>
      </c>
    </row>
    <row r="56" spans="2:31">
      <c r="B56" s="1" t="s">
        <v>265</v>
      </c>
      <c r="D56" s="1" t="s">
        <v>0</v>
      </c>
      <c r="M56" s="1">
        <v>410.41253799999998</v>
      </c>
      <c r="P56" s="1">
        <v>410.79937799999999</v>
      </c>
      <c r="S56" s="1">
        <v>411.01189599999998</v>
      </c>
      <c r="V56" s="1">
        <v>405.35440199999999</v>
      </c>
      <c r="Y56" s="1">
        <v>401.08133900000001</v>
      </c>
      <c r="AB56" s="1">
        <v>403.53256199999998</v>
      </c>
      <c r="AE56" s="1">
        <v>406.33961799999997</v>
      </c>
    </row>
    <row r="57" spans="2:31">
      <c r="B57" s="1" t="s">
        <v>264</v>
      </c>
      <c r="D57" s="1" t="s">
        <v>0</v>
      </c>
      <c r="M57" s="1">
        <v>417.029585</v>
      </c>
      <c r="P57" s="1">
        <v>417.029585</v>
      </c>
      <c r="S57" s="1">
        <v>417.029585</v>
      </c>
      <c r="V57" s="1">
        <v>399.176468</v>
      </c>
      <c r="Y57" s="1">
        <v>399.35</v>
      </c>
      <c r="AB57" s="1">
        <v>417.029585</v>
      </c>
      <c r="AE57" s="1">
        <v>417.029585</v>
      </c>
    </row>
    <row r="58" spans="2:31">
      <c r="B58" s="1" t="s">
        <v>263</v>
      </c>
      <c r="D58" s="1" t="s">
        <v>0</v>
      </c>
    </row>
    <row r="59" spans="2:31">
      <c r="B59" s="1" t="s">
        <v>262</v>
      </c>
      <c r="D59" s="1" t="s">
        <v>0</v>
      </c>
    </row>
    <row r="60" spans="2:31">
      <c r="B60" s="1" t="s">
        <v>261</v>
      </c>
      <c r="D60" s="1" t="s">
        <v>0</v>
      </c>
    </row>
    <row r="61" spans="2:31">
      <c r="B61" s="1" t="s">
        <v>260</v>
      </c>
      <c r="D61" s="1" t="s">
        <v>0</v>
      </c>
    </row>
    <row r="62" spans="2:31">
      <c r="B62" s="1" t="s">
        <v>259</v>
      </c>
      <c r="D62" s="1" t="s">
        <v>0</v>
      </c>
      <c r="F62" s="1">
        <v>0</v>
      </c>
      <c r="G62" s="1">
        <v>0</v>
      </c>
      <c r="H62" s="1">
        <v>0</v>
      </c>
      <c r="I62" s="1">
        <v>0</v>
      </c>
      <c r="J62" s="1">
        <v>0</v>
      </c>
      <c r="K62" s="1">
        <v>0</v>
      </c>
      <c r="L62" s="1">
        <v>0</v>
      </c>
      <c r="M62" s="1">
        <v>0</v>
      </c>
      <c r="N62" s="1">
        <v>0</v>
      </c>
      <c r="O62" s="1">
        <v>0</v>
      </c>
      <c r="P62" s="1">
        <v>0</v>
      </c>
      <c r="Q62" s="1">
        <v>0</v>
      </c>
      <c r="S62" s="1">
        <v>0</v>
      </c>
    </row>
    <row r="63" spans="2:31">
      <c r="B63" s="1" t="s">
        <v>258</v>
      </c>
      <c r="D63" s="1" t="s">
        <v>0</v>
      </c>
      <c r="F63" s="1">
        <v>0.33333299999999999</v>
      </c>
      <c r="G63" s="1">
        <v>0.33333299999999999</v>
      </c>
      <c r="H63" s="1">
        <v>0.33333299999999999</v>
      </c>
      <c r="I63" s="1">
        <v>0.33333299999999999</v>
      </c>
      <c r="J63" s="1">
        <v>0.33333299999999999</v>
      </c>
      <c r="K63" s="1">
        <v>0.33333299999999999</v>
      </c>
      <c r="L63" s="1">
        <v>0.33333299999999999</v>
      </c>
      <c r="M63" s="1">
        <v>0.33333299999999999</v>
      </c>
      <c r="N63" s="1">
        <v>0.33333299999999999</v>
      </c>
      <c r="O63" s="1">
        <v>0.33333299999999999</v>
      </c>
      <c r="P63" s="1">
        <v>0.33333299999999999</v>
      </c>
      <c r="Q63" s="1">
        <v>0.33333299999999999</v>
      </c>
      <c r="S63" s="1">
        <v>0.33333299999999999</v>
      </c>
    </row>
    <row r="64" spans="2:31">
      <c r="B64" s="1" t="s">
        <v>257</v>
      </c>
      <c r="D64" s="1" t="s">
        <v>0</v>
      </c>
      <c r="F64" s="1">
        <v>0.66666700000000001</v>
      </c>
      <c r="G64" s="1">
        <v>0.66666700000000001</v>
      </c>
      <c r="H64" s="1">
        <v>0.66666700000000001</v>
      </c>
      <c r="I64" s="1">
        <v>0.66666700000000001</v>
      </c>
      <c r="J64" s="1">
        <v>0.66666700000000001</v>
      </c>
      <c r="K64" s="1">
        <v>0.66666700000000001</v>
      </c>
      <c r="L64" s="1">
        <v>0.66666700000000001</v>
      </c>
      <c r="M64" s="1">
        <v>0.66666700000000001</v>
      </c>
      <c r="N64" s="1">
        <v>0.66666700000000001</v>
      </c>
      <c r="O64" s="1">
        <v>0.66666700000000001</v>
      </c>
      <c r="P64" s="1">
        <v>0.66666700000000001</v>
      </c>
      <c r="Q64" s="1">
        <v>0.66666700000000001</v>
      </c>
      <c r="S64" s="1">
        <v>0.66666700000000001</v>
      </c>
    </row>
    <row r="65" spans="2:31">
      <c r="B65" s="1" t="s">
        <v>256</v>
      </c>
      <c r="D65" s="1" t="s">
        <v>0</v>
      </c>
      <c r="F65" s="1">
        <v>0</v>
      </c>
      <c r="G65" s="1">
        <v>0</v>
      </c>
      <c r="H65" s="1">
        <v>0</v>
      </c>
      <c r="I65" s="1">
        <v>0</v>
      </c>
      <c r="J65" s="1">
        <v>0</v>
      </c>
      <c r="K65" s="1">
        <v>0</v>
      </c>
      <c r="N65" s="1">
        <v>0</v>
      </c>
      <c r="O65" s="1">
        <v>0</v>
      </c>
      <c r="Q65" s="1">
        <v>0</v>
      </c>
    </row>
    <row r="66" spans="2:31">
      <c r="B66" s="1" t="s">
        <v>255</v>
      </c>
      <c r="D66" s="1" t="s">
        <v>0</v>
      </c>
      <c r="F66" s="1">
        <v>0</v>
      </c>
      <c r="G66" s="1">
        <v>0</v>
      </c>
      <c r="H66" s="1">
        <v>0</v>
      </c>
      <c r="I66" s="1">
        <v>0</v>
      </c>
      <c r="J66" s="1">
        <v>0</v>
      </c>
      <c r="K66" s="1">
        <v>0</v>
      </c>
      <c r="L66" s="1">
        <v>0</v>
      </c>
      <c r="M66" s="1">
        <v>0</v>
      </c>
      <c r="N66" s="1">
        <v>0</v>
      </c>
      <c r="O66" s="1">
        <v>0</v>
      </c>
      <c r="P66" s="1">
        <v>0</v>
      </c>
      <c r="Q66" s="1">
        <v>0</v>
      </c>
      <c r="S66" s="1">
        <v>0</v>
      </c>
    </row>
    <row r="67" spans="2:31">
      <c r="B67" s="1" t="s">
        <v>254</v>
      </c>
      <c r="D67" s="1" t="s">
        <v>0</v>
      </c>
    </row>
    <row r="68" spans="2:31">
      <c r="B68" s="1" t="s">
        <v>253</v>
      </c>
      <c r="D68" s="1" t="s">
        <v>0</v>
      </c>
      <c r="F68" s="1">
        <v>0</v>
      </c>
      <c r="G68" s="1">
        <v>0</v>
      </c>
      <c r="H68" s="1">
        <v>0</v>
      </c>
      <c r="I68" s="1">
        <v>0</v>
      </c>
      <c r="J68" s="1">
        <v>0</v>
      </c>
      <c r="K68" s="1">
        <v>0</v>
      </c>
      <c r="L68" s="1">
        <v>0</v>
      </c>
      <c r="M68" s="1">
        <v>0</v>
      </c>
      <c r="N68" s="1">
        <v>0</v>
      </c>
      <c r="O68" s="1">
        <v>0</v>
      </c>
      <c r="P68" s="1">
        <v>0</v>
      </c>
      <c r="Q68" s="1">
        <v>0</v>
      </c>
      <c r="S68" s="1">
        <v>0</v>
      </c>
    </row>
    <row r="69" spans="2:31">
      <c r="B69" s="1" t="s">
        <v>252</v>
      </c>
      <c r="D69" s="1" t="s">
        <v>0</v>
      </c>
      <c r="F69" s="1">
        <v>0</v>
      </c>
      <c r="G69" s="1">
        <v>0</v>
      </c>
      <c r="H69" s="1">
        <v>0</v>
      </c>
      <c r="I69" s="1">
        <v>0</v>
      </c>
      <c r="J69" s="1">
        <v>0</v>
      </c>
      <c r="K69" s="1">
        <v>0</v>
      </c>
      <c r="M69" s="1">
        <v>0.25073746312700002</v>
      </c>
      <c r="N69" s="1">
        <v>0</v>
      </c>
      <c r="O69" s="1">
        <v>0</v>
      </c>
      <c r="P69" s="1">
        <v>0.50895140665000005</v>
      </c>
      <c r="Q69" s="1">
        <v>0</v>
      </c>
      <c r="S69" s="1">
        <v>0.34728682170500003</v>
      </c>
      <c r="V69" s="1">
        <v>0.16694214875999999</v>
      </c>
      <c r="Y69" s="1">
        <v>0.19918699187</v>
      </c>
      <c r="AB69" s="1">
        <v>0.24504249291800001</v>
      </c>
      <c r="AE69" s="1">
        <v>0.30261780104699998</v>
      </c>
    </row>
    <row r="70" spans="2:31">
      <c r="B70" s="1" t="s">
        <v>251</v>
      </c>
      <c r="D70" s="1" t="s">
        <v>0</v>
      </c>
      <c r="F70" s="1">
        <v>0</v>
      </c>
      <c r="G70" s="1">
        <v>0</v>
      </c>
      <c r="H70" s="1">
        <v>0</v>
      </c>
      <c r="I70" s="1">
        <v>0</v>
      </c>
      <c r="J70" s="1">
        <v>0</v>
      </c>
      <c r="K70" s="1">
        <v>0</v>
      </c>
      <c r="M70" s="1">
        <v>936</v>
      </c>
      <c r="N70" s="1">
        <v>0</v>
      </c>
      <c r="O70" s="1">
        <v>0</v>
      </c>
      <c r="P70" s="1">
        <v>743</v>
      </c>
      <c r="Q70" s="1">
        <v>0</v>
      </c>
      <c r="S70" s="1">
        <v>730</v>
      </c>
      <c r="V70" s="1">
        <v>919</v>
      </c>
      <c r="Y70" s="1">
        <v>2080</v>
      </c>
      <c r="AB70" s="1">
        <v>2062</v>
      </c>
      <c r="AE70" s="1">
        <v>1431</v>
      </c>
    </row>
    <row r="71" spans="2:31">
      <c r="B71" s="1" t="s">
        <v>250</v>
      </c>
      <c r="D71" s="1" t="s">
        <v>0</v>
      </c>
      <c r="M71" s="1">
        <v>4052</v>
      </c>
      <c r="P71" s="1">
        <v>4218</v>
      </c>
      <c r="S71" s="1">
        <v>3926</v>
      </c>
      <c r="V71" s="1">
        <v>3881</v>
      </c>
      <c r="Y71" s="1">
        <v>3994</v>
      </c>
      <c r="AB71" s="1">
        <v>3921</v>
      </c>
      <c r="AE71" s="1">
        <v>5005</v>
      </c>
    </row>
    <row r="72" spans="2:31">
      <c r="B72" s="1" t="s">
        <v>249</v>
      </c>
      <c r="D72" s="1" t="s">
        <v>0</v>
      </c>
      <c r="F72" s="1">
        <v>0</v>
      </c>
      <c r="G72" s="1">
        <v>0</v>
      </c>
      <c r="H72" s="1">
        <v>0</v>
      </c>
      <c r="I72" s="1">
        <v>0</v>
      </c>
      <c r="J72" s="1">
        <v>0</v>
      </c>
      <c r="K72" s="1">
        <v>0</v>
      </c>
      <c r="M72" s="1">
        <v>2904</v>
      </c>
      <c r="N72" s="1">
        <v>0</v>
      </c>
      <c r="O72" s="1">
        <v>0</v>
      </c>
      <c r="P72" s="1">
        <v>3240</v>
      </c>
      <c r="Q72" s="1">
        <v>0</v>
      </c>
      <c r="S72" s="1">
        <v>3420</v>
      </c>
      <c r="V72" s="1">
        <v>3673</v>
      </c>
      <c r="Y72" s="1">
        <v>3382</v>
      </c>
      <c r="AB72" s="1">
        <v>3508</v>
      </c>
      <c r="AE72" s="1">
        <v>3799</v>
      </c>
    </row>
    <row r="73" spans="2:31">
      <c r="B73" s="1" t="s">
        <v>248</v>
      </c>
      <c r="D73" s="1" t="s">
        <v>0</v>
      </c>
      <c r="F73" s="1">
        <v>0</v>
      </c>
      <c r="G73" s="1">
        <v>0</v>
      </c>
      <c r="H73" s="1">
        <v>0</v>
      </c>
      <c r="I73" s="1">
        <v>0</v>
      </c>
      <c r="J73" s="1">
        <v>0</v>
      </c>
      <c r="K73" s="1">
        <v>0</v>
      </c>
      <c r="M73" s="1">
        <v>213</v>
      </c>
      <c r="N73" s="1">
        <v>0</v>
      </c>
      <c r="O73" s="1">
        <v>0</v>
      </c>
      <c r="P73" s="1">
        <v>219</v>
      </c>
      <c r="Q73" s="1">
        <v>0</v>
      </c>
      <c r="S73" s="1">
        <v>210</v>
      </c>
      <c r="V73" s="1">
        <v>330</v>
      </c>
      <c r="Y73" s="1">
        <v>309</v>
      </c>
      <c r="AB73" s="1">
        <v>444</v>
      </c>
      <c r="AE73" s="1">
        <v>494</v>
      </c>
    </row>
    <row r="74" spans="2:31">
      <c r="B74" s="1" t="s">
        <v>247</v>
      </c>
      <c r="D74" s="1" t="s">
        <v>0</v>
      </c>
      <c r="F74" s="1">
        <v>0</v>
      </c>
      <c r="G74" s="1">
        <v>0</v>
      </c>
      <c r="H74" s="1">
        <v>0</v>
      </c>
      <c r="I74" s="1">
        <v>0</v>
      </c>
      <c r="J74" s="1">
        <v>0</v>
      </c>
      <c r="K74" s="1">
        <v>0</v>
      </c>
      <c r="M74" s="1">
        <v>8105</v>
      </c>
      <c r="N74" s="1">
        <v>0</v>
      </c>
      <c r="O74" s="1">
        <v>0</v>
      </c>
      <c r="P74" s="1">
        <v>8420</v>
      </c>
      <c r="Q74" s="1">
        <v>0</v>
      </c>
      <c r="S74" s="1">
        <v>8286</v>
      </c>
      <c r="V74" s="1">
        <v>8803</v>
      </c>
      <c r="Y74" s="1">
        <v>9765</v>
      </c>
      <c r="AB74" s="1">
        <v>9935</v>
      </c>
      <c r="AE74" s="1">
        <v>10729</v>
      </c>
    </row>
    <row r="75" spans="2:31">
      <c r="B75" s="1" t="s">
        <v>246</v>
      </c>
      <c r="D75" s="1" t="s">
        <v>0</v>
      </c>
      <c r="M75" s="1">
        <v>4772</v>
      </c>
      <c r="P75" s="1">
        <v>4871</v>
      </c>
      <c r="S75" s="1">
        <v>4881</v>
      </c>
      <c r="V75" s="1">
        <v>5238</v>
      </c>
      <c r="Y75" s="1">
        <v>5436</v>
      </c>
      <c r="AB75" s="1">
        <v>5750</v>
      </c>
      <c r="AE75" s="1">
        <v>6434</v>
      </c>
    </row>
    <row r="76" spans="2:31">
      <c r="B76" s="1" t="s">
        <v>245</v>
      </c>
      <c r="D76" s="1" t="s">
        <v>0</v>
      </c>
      <c r="M76" s="1">
        <v>-2974</v>
      </c>
      <c r="P76" s="1">
        <v>-3045</v>
      </c>
      <c r="S76" s="1">
        <v>-3034</v>
      </c>
      <c r="V76" s="1">
        <v>-3131</v>
      </c>
      <c r="Y76" s="1">
        <v>-3235</v>
      </c>
      <c r="AB76" s="1">
        <v>-3497</v>
      </c>
      <c r="AE76" s="1">
        <v>-3948</v>
      </c>
    </row>
    <row r="77" spans="2:31">
      <c r="B77" s="1" t="s">
        <v>244</v>
      </c>
      <c r="D77" s="1" t="s">
        <v>0</v>
      </c>
      <c r="F77" s="1">
        <v>0</v>
      </c>
      <c r="G77" s="1">
        <v>0</v>
      </c>
      <c r="H77" s="1">
        <v>0</v>
      </c>
      <c r="I77" s="1">
        <v>0</v>
      </c>
      <c r="J77" s="1">
        <v>0</v>
      </c>
      <c r="K77" s="1">
        <v>0</v>
      </c>
      <c r="M77" s="1">
        <v>1798</v>
      </c>
      <c r="N77" s="1">
        <v>0</v>
      </c>
      <c r="O77" s="1">
        <v>0</v>
      </c>
      <c r="P77" s="1">
        <v>1826</v>
      </c>
      <c r="Q77" s="1">
        <v>0</v>
      </c>
      <c r="S77" s="1">
        <v>1847</v>
      </c>
      <c r="V77" s="1">
        <v>2107</v>
      </c>
      <c r="Y77" s="1">
        <v>2201</v>
      </c>
      <c r="AB77" s="1">
        <v>2253</v>
      </c>
      <c r="AE77" s="1">
        <v>2486</v>
      </c>
    </row>
    <row r="78" spans="2:31">
      <c r="B78" s="1" t="s">
        <v>243</v>
      </c>
      <c r="D78" s="1" t="s">
        <v>0</v>
      </c>
      <c r="F78" s="1">
        <v>0</v>
      </c>
      <c r="G78" s="1">
        <v>0</v>
      </c>
      <c r="H78" s="1">
        <v>0</v>
      </c>
      <c r="I78" s="1">
        <v>0</v>
      </c>
      <c r="J78" s="1">
        <v>0</v>
      </c>
      <c r="K78" s="1">
        <v>0</v>
      </c>
      <c r="M78" s="1">
        <v>4977</v>
      </c>
      <c r="N78" s="1">
        <v>0</v>
      </c>
      <c r="O78" s="1">
        <v>0</v>
      </c>
      <c r="P78" s="1">
        <v>5404</v>
      </c>
      <c r="Q78" s="1">
        <v>0</v>
      </c>
      <c r="S78" s="1">
        <v>5591</v>
      </c>
      <c r="V78" s="1">
        <v>6187</v>
      </c>
      <c r="Y78" s="1">
        <v>7048</v>
      </c>
      <c r="AB78" s="1">
        <v>7339</v>
      </c>
      <c r="AE78" s="1">
        <v>8923</v>
      </c>
    </row>
    <row r="79" spans="2:31">
      <c r="B79" s="1" t="s">
        <v>242</v>
      </c>
      <c r="D79" s="1" t="s">
        <v>0</v>
      </c>
      <c r="F79" s="1">
        <v>0</v>
      </c>
      <c r="G79" s="1">
        <v>0</v>
      </c>
      <c r="H79" s="1">
        <v>0</v>
      </c>
      <c r="I79" s="1">
        <v>0</v>
      </c>
      <c r="J79" s="1">
        <v>0</v>
      </c>
      <c r="K79" s="1">
        <v>0</v>
      </c>
      <c r="M79" s="1">
        <v>-438</v>
      </c>
      <c r="P79" s="1">
        <v>-759</v>
      </c>
      <c r="S79" s="1">
        <v>-1049</v>
      </c>
      <c r="V79" s="1">
        <v>-1319</v>
      </c>
      <c r="Y79" s="1">
        <v>-1705</v>
      </c>
      <c r="AB79" s="1">
        <v>-1911</v>
      </c>
      <c r="AE79" s="1">
        <v>-2299</v>
      </c>
    </row>
    <row r="80" spans="2:31">
      <c r="B80" s="1" t="s">
        <v>241</v>
      </c>
      <c r="D80" s="1" t="s">
        <v>0</v>
      </c>
      <c r="F80" s="1">
        <v>0</v>
      </c>
      <c r="G80" s="1">
        <v>0</v>
      </c>
      <c r="H80" s="1">
        <v>0</v>
      </c>
      <c r="I80" s="1">
        <v>0</v>
      </c>
      <c r="J80" s="1">
        <v>0</v>
      </c>
      <c r="K80" s="1">
        <v>0</v>
      </c>
      <c r="M80" s="1">
        <v>4539</v>
      </c>
      <c r="N80" s="1">
        <v>0</v>
      </c>
      <c r="O80" s="1">
        <v>0</v>
      </c>
      <c r="P80" s="1">
        <v>4645</v>
      </c>
      <c r="Q80" s="1">
        <v>0</v>
      </c>
      <c r="S80" s="1">
        <v>4542</v>
      </c>
      <c r="V80" s="1">
        <v>4868</v>
      </c>
      <c r="Y80" s="1">
        <v>5343</v>
      </c>
      <c r="AB80" s="1">
        <v>5428</v>
      </c>
      <c r="AE80" s="1">
        <v>6624</v>
      </c>
    </row>
    <row r="81" spans="2:31">
      <c r="B81" s="1" t="s">
        <v>240</v>
      </c>
      <c r="D81" s="1" t="s">
        <v>0</v>
      </c>
      <c r="F81" s="1">
        <v>0</v>
      </c>
      <c r="G81" s="1">
        <v>0</v>
      </c>
      <c r="H81" s="1">
        <v>0</v>
      </c>
      <c r="I81" s="1">
        <v>0</v>
      </c>
      <c r="J81" s="1">
        <v>0</v>
      </c>
      <c r="K81" s="1">
        <v>0</v>
      </c>
      <c r="L81" s="1">
        <v>0</v>
      </c>
      <c r="M81" s="1">
        <v>37</v>
      </c>
      <c r="N81" s="1">
        <v>0</v>
      </c>
      <c r="O81" s="1">
        <v>0</v>
      </c>
      <c r="P81" s="1">
        <v>32</v>
      </c>
      <c r="Q81" s="1">
        <v>0</v>
      </c>
      <c r="S81" s="1">
        <v>34</v>
      </c>
      <c r="V81" s="1">
        <v>244</v>
      </c>
      <c r="Y81" s="1">
        <v>238</v>
      </c>
      <c r="AB81" s="1">
        <v>236</v>
      </c>
      <c r="AE81" s="1">
        <v>253</v>
      </c>
    </row>
    <row r="82" spans="2:31">
      <c r="B82" s="1" t="s">
        <v>239</v>
      </c>
      <c r="D82" s="1" t="s">
        <v>0</v>
      </c>
      <c r="F82" s="1">
        <v>0</v>
      </c>
      <c r="G82" s="1">
        <v>0</v>
      </c>
      <c r="H82" s="1">
        <v>0</v>
      </c>
      <c r="I82" s="1">
        <v>0</v>
      </c>
      <c r="J82" s="1">
        <v>0</v>
      </c>
      <c r="K82" s="1">
        <v>0</v>
      </c>
      <c r="N82" s="1">
        <v>0</v>
      </c>
      <c r="O82" s="1">
        <v>0</v>
      </c>
      <c r="Q82" s="1">
        <v>0</v>
      </c>
    </row>
    <row r="83" spans="2:31">
      <c r="B83" s="1" t="s">
        <v>238</v>
      </c>
      <c r="D83" s="1" t="s">
        <v>0</v>
      </c>
      <c r="F83" s="1">
        <v>0</v>
      </c>
      <c r="G83" s="1">
        <v>0</v>
      </c>
      <c r="H83" s="1">
        <v>0</v>
      </c>
      <c r="I83" s="1">
        <v>0</v>
      </c>
      <c r="J83" s="1">
        <v>0</v>
      </c>
      <c r="K83" s="1">
        <v>0</v>
      </c>
      <c r="M83" s="1">
        <v>1064</v>
      </c>
      <c r="N83" s="1">
        <v>0</v>
      </c>
      <c r="O83" s="1">
        <v>0</v>
      </c>
      <c r="P83" s="1">
        <v>1005</v>
      </c>
      <c r="Q83" s="1">
        <v>0</v>
      </c>
      <c r="S83" s="1">
        <v>1466</v>
      </c>
      <c r="V83" s="1">
        <v>814</v>
      </c>
      <c r="Y83" s="1">
        <v>622</v>
      </c>
      <c r="AB83" s="1">
        <v>659</v>
      </c>
      <c r="AE83" s="1">
        <v>610</v>
      </c>
    </row>
    <row r="84" spans="2:31">
      <c r="B84" s="1" t="s">
        <v>237</v>
      </c>
      <c r="D84" s="1" t="s">
        <v>0</v>
      </c>
      <c r="M84" s="1">
        <v>15543</v>
      </c>
      <c r="N84" s="1">
        <v>0</v>
      </c>
      <c r="O84" s="1">
        <v>0</v>
      </c>
      <c r="P84" s="1">
        <v>15928</v>
      </c>
      <c r="Q84" s="1">
        <v>0</v>
      </c>
      <c r="S84" s="1">
        <v>16175</v>
      </c>
      <c r="V84" s="1">
        <v>16836</v>
      </c>
      <c r="Y84" s="1">
        <v>18169</v>
      </c>
      <c r="AB84" s="1">
        <v>18511</v>
      </c>
      <c r="AE84" s="1">
        <v>20702</v>
      </c>
    </row>
    <row r="85" spans="2:31">
      <c r="B85" s="1" t="s">
        <v>236</v>
      </c>
      <c r="D85" s="1" t="s">
        <v>0</v>
      </c>
      <c r="F85" s="1">
        <v>0</v>
      </c>
      <c r="G85" s="1">
        <v>0</v>
      </c>
      <c r="H85" s="1">
        <v>0</v>
      </c>
      <c r="I85" s="1">
        <v>0</v>
      </c>
      <c r="J85" s="1">
        <v>0</v>
      </c>
      <c r="K85" s="1">
        <v>0</v>
      </c>
      <c r="M85" s="1">
        <v>5898</v>
      </c>
      <c r="N85" s="1">
        <v>0</v>
      </c>
      <c r="O85" s="1">
        <v>0</v>
      </c>
      <c r="P85" s="1">
        <v>6390</v>
      </c>
      <c r="Q85" s="1">
        <v>0</v>
      </c>
      <c r="S85" s="1">
        <v>6517</v>
      </c>
      <c r="V85" s="1">
        <v>6786</v>
      </c>
      <c r="Y85" s="1">
        <v>6805</v>
      </c>
      <c r="AB85" s="1">
        <v>7236</v>
      </c>
      <c r="AE85" s="1">
        <v>8348</v>
      </c>
    </row>
    <row r="86" spans="2:31">
      <c r="B86" s="1" t="s">
        <v>235</v>
      </c>
      <c r="D86" s="1" t="s">
        <v>0</v>
      </c>
      <c r="F86" s="1">
        <v>0</v>
      </c>
      <c r="G86" s="1">
        <v>0</v>
      </c>
      <c r="H86" s="1">
        <v>0</v>
      </c>
      <c r="I86" s="1">
        <v>0</v>
      </c>
      <c r="J86" s="1">
        <v>0</v>
      </c>
      <c r="K86" s="1">
        <v>0</v>
      </c>
      <c r="M86" s="1">
        <v>877</v>
      </c>
      <c r="N86" s="1">
        <v>0</v>
      </c>
      <c r="O86" s="1">
        <v>0</v>
      </c>
      <c r="P86" s="1">
        <v>699</v>
      </c>
      <c r="Q86" s="1">
        <v>0</v>
      </c>
      <c r="S86" s="1">
        <v>502</v>
      </c>
      <c r="V86" s="1">
        <v>1136</v>
      </c>
      <c r="Y86" s="1">
        <v>1367</v>
      </c>
      <c r="AB86" s="1">
        <v>568</v>
      </c>
      <c r="AE86" s="1">
        <v>998</v>
      </c>
    </row>
    <row r="87" spans="2:31">
      <c r="B87" s="1" t="s">
        <v>234</v>
      </c>
      <c r="D87" s="1" t="s">
        <v>0</v>
      </c>
      <c r="F87" s="1">
        <v>0</v>
      </c>
      <c r="G87" s="1">
        <v>0</v>
      </c>
      <c r="H87" s="1">
        <v>0</v>
      </c>
      <c r="I87" s="1">
        <v>0</v>
      </c>
      <c r="J87" s="1">
        <v>0</v>
      </c>
      <c r="K87" s="1">
        <v>0</v>
      </c>
      <c r="M87" s="1">
        <v>1156</v>
      </c>
      <c r="N87" s="1">
        <v>0</v>
      </c>
      <c r="O87" s="1">
        <v>0</v>
      </c>
      <c r="P87" s="1">
        <v>1274</v>
      </c>
      <c r="Q87" s="1">
        <v>0</v>
      </c>
      <c r="S87" s="1">
        <v>1771</v>
      </c>
      <c r="V87" s="1">
        <v>2089</v>
      </c>
      <c r="Y87" s="1">
        <v>1234</v>
      </c>
      <c r="AB87" s="1">
        <v>1637</v>
      </c>
      <c r="AE87" s="1">
        <v>1814</v>
      </c>
    </row>
    <row r="88" spans="2:31">
      <c r="B88" s="1" t="s">
        <v>233</v>
      </c>
      <c r="D88" s="1" t="s">
        <v>0</v>
      </c>
      <c r="M88" s="1">
        <v>7931</v>
      </c>
      <c r="P88" s="1">
        <v>8363</v>
      </c>
      <c r="S88" s="1">
        <v>8790</v>
      </c>
      <c r="V88" s="1">
        <v>10011</v>
      </c>
      <c r="Y88" s="1">
        <v>9406</v>
      </c>
      <c r="AB88" s="1">
        <v>9441</v>
      </c>
      <c r="AE88" s="1">
        <v>11160</v>
      </c>
    </row>
    <row r="89" spans="2:31">
      <c r="B89" s="1" t="s">
        <v>232</v>
      </c>
      <c r="D89" s="1" t="s">
        <v>0</v>
      </c>
      <c r="F89" s="1">
        <v>0</v>
      </c>
      <c r="G89" s="1">
        <v>0</v>
      </c>
      <c r="H89" s="1">
        <v>0</v>
      </c>
      <c r="I89" s="1">
        <v>0</v>
      </c>
      <c r="J89" s="1">
        <v>0</v>
      </c>
      <c r="K89" s="1">
        <v>0</v>
      </c>
      <c r="M89" s="1">
        <v>532</v>
      </c>
      <c r="N89" s="1">
        <v>0</v>
      </c>
      <c r="O89" s="1">
        <v>0</v>
      </c>
      <c r="P89" s="1">
        <v>463</v>
      </c>
      <c r="Q89" s="1">
        <v>0</v>
      </c>
      <c r="S89" s="1">
        <v>397</v>
      </c>
      <c r="V89" s="1">
        <v>418</v>
      </c>
      <c r="Y89" s="1">
        <v>1208</v>
      </c>
      <c r="AB89" s="1">
        <v>1483</v>
      </c>
      <c r="AE89" s="1">
        <v>1447</v>
      </c>
    </row>
    <row r="90" spans="2:31">
      <c r="B90" s="1" t="s">
        <v>231</v>
      </c>
      <c r="D90" s="1" t="s">
        <v>0</v>
      </c>
      <c r="F90" s="1">
        <v>0</v>
      </c>
      <c r="G90" s="1">
        <v>0</v>
      </c>
      <c r="H90" s="1">
        <v>0</v>
      </c>
      <c r="I90" s="1">
        <v>0</v>
      </c>
      <c r="J90" s="1">
        <v>0</v>
      </c>
      <c r="K90" s="1">
        <v>0</v>
      </c>
      <c r="M90" s="1">
        <v>2344</v>
      </c>
      <c r="N90" s="1">
        <v>0</v>
      </c>
      <c r="O90" s="1">
        <v>0</v>
      </c>
      <c r="P90" s="1">
        <v>2590</v>
      </c>
      <c r="Q90" s="1">
        <v>0</v>
      </c>
      <c r="S90" s="1">
        <v>2483</v>
      </c>
      <c r="V90" s="1">
        <v>2533</v>
      </c>
      <c r="Y90" s="1">
        <v>3054</v>
      </c>
      <c r="AB90" s="1">
        <v>2882</v>
      </c>
      <c r="AE90" s="1">
        <v>2973</v>
      </c>
    </row>
    <row r="91" spans="2:31">
      <c r="B91" s="1" t="s">
        <v>230</v>
      </c>
      <c r="D91" s="1" t="s">
        <v>0</v>
      </c>
      <c r="M91" s="1">
        <v>2876</v>
      </c>
      <c r="P91" s="1">
        <v>3053</v>
      </c>
      <c r="S91" s="1">
        <v>2880</v>
      </c>
      <c r="V91" s="1">
        <v>2951</v>
      </c>
      <c r="Y91" s="1">
        <v>4262</v>
      </c>
      <c r="AB91" s="1">
        <v>4365</v>
      </c>
      <c r="AE91" s="1">
        <v>4420</v>
      </c>
    </row>
    <row r="92" spans="2:31">
      <c r="B92" s="1" t="s">
        <v>229</v>
      </c>
      <c r="D92" s="1" t="s">
        <v>0</v>
      </c>
      <c r="F92" s="1">
        <v>0</v>
      </c>
      <c r="G92" s="1">
        <v>0</v>
      </c>
      <c r="H92" s="1">
        <v>0</v>
      </c>
      <c r="I92" s="1">
        <v>0</v>
      </c>
      <c r="J92" s="1">
        <v>0</v>
      </c>
      <c r="K92" s="1">
        <v>0</v>
      </c>
      <c r="M92" s="1">
        <v>10807</v>
      </c>
      <c r="N92" s="1">
        <v>0</v>
      </c>
      <c r="O92" s="1">
        <v>0</v>
      </c>
      <c r="P92" s="1">
        <v>11416</v>
      </c>
      <c r="Q92" s="1">
        <v>0</v>
      </c>
      <c r="S92" s="1">
        <v>11670</v>
      </c>
      <c r="V92" s="1">
        <v>12962</v>
      </c>
      <c r="Y92" s="1">
        <v>13668</v>
      </c>
      <c r="AB92" s="1">
        <v>13806</v>
      </c>
      <c r="AE92" s="1">
        <v>15580</v>
      </c>
    </row>
    <row r="93" spans="2:31">
      <c r="B93" s="1" t="s">
        <v>228</v>
      </c>
      <c r="D93" s="1" t="s">
        <v>0</v>
      </c>
      <c r="F93" s="1">
        <v>0</v>
      </c>
      <c r="G93" s="1">
        <v>0</v>
      </c>
      <c r="H93" s="1">
        <v>0</v>
      </c>
      <c r="I93" s="1">
        <v>0</v>
      </c>
      <c r="J93" s="1">
        <v>0</v>
      </c>
      <c r="K93" s="1">
        <v>0</v>
      </c>
      <c r="L93" s="1">
        <v>0</v>
      </c>
      <c r="M93" s="1">
        <v>0</v>
      </c>
      <c r="N93" s="1">
        <v>0</v>
      </c>
      <c r="O93" s="1">
        <v>0</v>
      </c>
      <c r="P93" s="1">
        <v>0</v>
      </c>
      <c r="Q93" s="1">
        <v>0</v>
      </c>
      <c r="S93" s="1">
        <v>0</v>
      </c>
    </row>
    <row r="94" spans="2:31">
      <c r="B94" s="1" t="s">
        <v>227</v>
      </c>
      <c r="D94" s="1" t="s">
        <v>0</v>
      </c>
      <c r="F94" s="1">
        <v>0</v>
      </c>
      <c r="G94" s="1">
        <v>0</v>
      </c>
      <c r="H94" s="1">
        <v>0</v>
      </c>
      <c r="I94" s="1">
        <v>0</v>
      </c>
      <c r="J94" s="1">
        <v>0</v>
      </c>
      <c r="K94" s="1">
        <v>0</v>
      </c>
      <c r="M94" s="1">
        <v>4572</v>
      </c>
      <c r="N94" s="1">
        <v>0</v>
      </c>
      <c r="O94" s="1">
        <v>0</v>
      </c>
      <c r="P94" s="1">
        <v>4339</v>
      </c>
      <c r="Q94" s="1">
        <v>0</v>
      </c>
      <c r="S94" s="1">
        <v>4338</v>
      </c>
      <c r="V94" s="1">
        <v>3733</v>
      </c>
      <c r="Y94" s="1">
        <v>4353</v>
      </c>
      <c r="AB94" s="1">
        <v>4530</v>
      </c>
      <c r="AE94" s="1">
        <v>4968</v>
      </c>
    </row>
    <row r="95" spans="2:31">
      <c r="B95" s="1" t="s">
        <v>226</v>
      </c>
      <c r="D95" s="1" t="s">
        <v>0</v>
      </c>
      <c r="F95" s="1">
        <v>0</v>
      </c>
      <c r="G95" s="1">
        <v>0</v>
      </c>
      <c r="H95" s="1">
        <v>0</v>
      </c>
      <c r="I95" s="1">
        <v>0</v>
      </c>
      <c r="J95" s="1">
        <v>0</v>
      </c>
      <c r="K95" s="1">
        <v>0</v>
      </c>
      <c r="M95" s="1">
        <v>164</v>
      </c>
      <c r="N95" s="1">
        <v>0</v>
      </c>
      <c r="O95" s="1">
        <v>0</v>
      </c>
      <c r="P95" s="1">
        <v>173</v>
      </c>
      <c r="Q95" s="1">
        <v>0</v>
      </c>
      <c r="S95" s="1">
        <v>167</v>
      </c>
      <c r="V95" s="1">
        <v>141</v>
      </c>
      <c r="Y95" s="1">
        <v>148</v>
      </c>
      <c r="AB95" s="1">
        <v>175</v>
      </c>
      <c r="AE95" s="1">
        <v>154</v>
      </c>
    </row>
    <row r="96" spans="2:31">
      <c r="B96" s="1" t="s">
        <v>225</v>
      </c>
      <c r="D96" s="1" t="s">
        <v>0</v>
      </c>
      <c r="M96" s="1">
        <v>4736</v>
      </c>
      <c r="P96" s="1">
        <v>4512</v>
      </c>
      <c r="S96" s="1">
        <v>4505</v>
      </c>
      <c r="V96" s="1">
        <v>3874</v>
      </c>
      <c r="Y96" s="1">
        <v>4501</v>
      </c>
      <c r="AB96" s="1">
        <v>4705</v>
      </c>
      <c r="AE96" s="1">
        <v>5122</v>
      </c>
    </row>
    <row r="97" spans="2:31">
      <c r="B97" s="1" t="s">
        <v>224</v>
      </c>
      <c r="D97" s="1" t="s">
        <v>0</v>
      </c>
      <c r="M97" s="1">
        <v>15543</v>
      </c>
      <c r="P97" s="1">
        <v>15928</v>
      </c>
      <c r="S97" s="1">
        <v>16175</v>
      </c>
      <c r="V97" s="1">
        <v>16836</v>
      </c>
      <c r="Y97" s="1">
        <v>18169</v>
      </c>
      <c r="AB97" s="1">
        <v>18511</v>
      </c>
      <c r="AE97" s="1">
        <v>20702</v>
      </c>
    </row>
    <row r="98" spans="2:31">
      <c r="B98" s="1" t="s">
        <v>223</v>
      </c>
      <c r="D98" s="1" t="s">
        <v>0</v>
      </c>
      <c r="M98" s="1">
        <v>10.963250964557</v>
      </c>
      <c r="P98" s="1">
        <v>10.404537606127001</v>
      </c>
      <c r="S98" s="1">
        <v>10.402139694717</v>
      </c>
      <c r="V98" s="1">
        <v>9.35175367101</v>
      </c>
      <c r="Y98" s="1">
        <v>10.900212845874</v>
      </c>
      <c r="AB98" s="1">
        <v>10.862538685355</v>
      </c>
      <c r="AE98" s="1">
        <v>11.912823882747</v>
      </c>
    </row>
    <row r="99" spans="2:31">
      <c r="B99" s="1" t="s">
        <v>222</v>
      </c>
      <c r="D99" s="1" t="s">
        <v>0</v>
      </c>
      <c r="F99" s="1">
        <v>0</v>
      </c>
      <c r="G99" s="1">
        <v>0</v>
      </c>
      <c r="H99" s="1">
        <v>0</v>
      </c>
      <c r="I99" s="1">
        <v>0</v>
      </c>
      <c r="J99" s="1">
        <v>0</v>
      </c>
      <c r="K99" s="1">
        <v>0</v>
      </c>
      <c r="M99" s="1">
        <v>473</v>
      </c>
      <c r="N99" s="1">
        <v>0</v>
      </c>
      <c r="O99" s="1">
        <v>0</v>
      </c>
      <c r="P99" s="1">
        <v>419</v>
      </c>
      <c r="Q99" s="1">
        <v>0</v>
      </c>
      <c r="S99" s="1">
        <v>169</v>
      </c>
      <c r="V99" s="1">
        <v>635</v>
      </c>
      <c r="Y99" s="1">
        <v>498</v>
      </c>
      <c r="AB99" s="1">
        <v>-24</v>
      </c>
      <c r="AE99" s="1">
        <v>997</v>
      </c>
    </row>
    <row r="100" spans="2:31">
      <c r="B100" s="1" t="s">
        <v>221</v>
      </c>
      <c r="D100" s="1" t="s">
        <v>0</v>
      </c>
      <c r="F100" s="1">
        <v>0</v>
      </c>
      <c r="G100" s="1">
        <v>0</v>
      </c>
      <c r="H100" s="1">
        <v>0</v>
      </c>
      <c r="I100" s="1">
        <v>0</v>
      </c>
      <c r="J100" s="1">
        <v>0</v>
      </c>
      <c r="K100" s="1">
        <v>0</v>
      </c>
      <c r="L100" s="1">
        <v>0</v>
      </c>
      <c r="M100" s="1">
        <v>0</v>
      </c>
      <c r="N100" s="1">
        <v>0</v>
      </c>
      <c r="O100" s="1">
        <v>0</v>
      </c>
      <c r="P100" s="1">
        <v>0</v>
      </c>
      <c r="Q100" s="1">
        <v>0</v>
      </c>
      <c r="S100" s="1">
        <v>0</v>
      </c>
    </row>
    <row r="101" spans="2:31">
      <c r="B101" s="1" t="s">
        <v>220</v>
      </c>
      <c r="D101" s="1" t="s">
        <v>0</v>
      </c>
      <c r="F101" s="1">
        <v>0</v>
      </c>
      <c r="G101" s="1">
        <v>0</v>
      </c>
      <c r="H101" s="1">
        <v>0</v>
      </c>
      <c r="I101" s="1">
        <v>0</v>
      </c>
      <c r="J101" s="1">
        <v>0</v>
      </c>
      <c r="K101" s="1">
        <v>0</v>
      </c>
      <c r="L101" s="1">
        <v>0</v>
      </c>
      <c r="M101" s="1">
        <v>0</v>
      </c>
      <c r="N101" s="1">
        <v>0</v>
      </c>
      <c r="O101" s="1">
        <v>0</v>
      </c>
      <c r="P101" s="1">
        <v>0</v>
      </c>
      <c r="Q101" s="1">
        <v>0</v>
      </c>
      <c r="S101" s="1">
        <v>0</v>
      </c>
    </row>
    <row r="102" spans="2:31">
      <c r="B102" s="1" t="s">
        <v>219</v>
      </c>
      <c r="D102" s="1" t="s">
        <v>0</v>
      </c>
      <c r="F102" s="1">
        <v>0</v>
      </c>
      <c r="G102" s="1">
        <v>0</v>
      </c>
      <c r="H102" s="1">
        <v>0</v>
      </c>
      <c r="I102" s="1">
        <v>0</v>
      </c>
      <c r="J102" s="1">
        <v>0</v>
      </c>
      <c r="K102" s="1">
        <v>0</v>
      </c>
      <c r="L102" s="1">
        <v>0</v>
      </c>
      <c r="M102" s="1">
        <v>0</v>
      </c>
      <c r="N102" s="1">
        <v>0</v>
      </c>
      <c r="O102" s="1">
        <v>0</v>
      </c>
      <c r="P102" s="1">
        <v>0</v>
      </c>
      <c r="Q102" s="1">
        <v>0</v>
      </c>
      <c r="S102" s="1">
        <v>0</v>
      </c>
    </row>
    <row r="103" spans="2:31">
      <c r="B103" s="1" t="s">
        <v>218</v>
      </c>
      <c r="D103" s="1" t="s">
        <v>0</v>
      </c>
      <c r="F103" s="1">
        <v>0</v>
      </c>
      <c r="G103" s="1">
        <v>0</v>
      </c>
      <c r="H103" s="1">
        <v>0</v>
      </c>
      <c r="I103" s="1">
        <v>0</v>
      </c>
      <c r="J103" s="1">
        <v>0</v>
      </c>
      <c r="K103" s="1">
        <v>0</v>
      </c>
      <c r="L103" s="1">
        <v>0</v>
      </c>
      <c r="M103" s="1">
        <v>0</v>
      </c>
      <c r="N103" s="1">
        <v>0</v>
      </c>
      <c r="O103" s="1">
        <v>0</v>
      </c>
      <c r="P103" s="1">
        <v>0</v>
      </c>
      <c r="Q103" s="1">
        <v>0</v>
      </c>
      <c r="S103" s="1">
        <v>0</v>
      </c>
    </row>
    <row r="104" spans="2:31">
      <c r="B104" s="1" t="s">
        <v>217</v>
      </c>
      <c r="D104" s="1" t="s">
        <v>0</v>
      </c>
      <c r="Y104" s="1">
        <v>9.5000000000000001E-2</v>
      </c>
      <c r="AB104" s="1">
        <v>9.5000000000000001E-2</v>
      </c>
      <c r="AE104" s="1">
        <v>9.5000000000000001E-2</v>
      </c>
    </row>
    <row r="105" spans="2:31">
      <c r="B105" s="1" t="s">
        <v>216</v>
      </c>
      <c r="D105" s="1" t="s">
        <v>0</v>
      </c>
      <c r="F105" s="1">
        <v>0</v>
      </c>
      <c r="G105" s="1">
        <v>0</v>
      </c>
      <c r="H105" s="1">
        <v>0</v>
      </c>
      <c r="I105" s="1">
        <v>0</v>
      </c>
      <c r="J105" s="1">
        <v>0</v>
      </c>
      <c r="K105" s="1">
        <v>0</v>
      </c>
      <c r="M105" s="1">
        <v>-375</v>
      </c>
      <c r="N105" s="1">
        <v>0</v>
      </c>
      <c r="O105" s="1">
        <v>0</v>
      </c>
      <c r="P105" s="1">
        <v>-475</v>
      </c>
      <c r="Q105" s="1">
        <v>0</v>
      </c>
      <c r="S105" s="1">
        <v>-452</v>
      </c>
      <c r="V105" s="1">
        <v>-427</v>
      </c>
      <c r="Y105" s="1">
        <v>-387</v>
      </c>
      <c r="AB105" s="1">
        <v>-366</v>
      </c>
      <c r="AE105" s="1">
        <v>-418</v>
      </c>
    </row>
    <row r="106" spans="2:31">
      <c r="B106" s="1" t="s">
        <v>215</v>
      </c>
      <c r="D106" s="1" t="s">
        <v>0</v>
      </c>
    </row>
    <row r="107" spans="2:31">
      <c r="B107" s="1" t="s">
        <v>214</v>
      </c>
      <c r="D107" s="1" t="s">
        <v>0</v>
      </c>
      <c r="F107" s="1">
        <v>0</v>
      </c>
      <c r="G107" s="1">
        <v>0</v>
      </c>
      <c r="H107" s="1">
        <v>0</v>
      </c>
      <c r="I107" s="1">
        <v>0</v>
      </c>
      <c r="J107" s="1">
        <v>0</v>
      </c>
      <c r="K107" s="1">
        <v>0</v>
      </c>
      <c r="M107" s="1">
        <v>486.33239692817102</v>
      </c>
      <c r="N107" s="1">
        <v>0</v>
      </c>
      <c r="O107" s="1">
        <v>0</v>
      </c>
      <c r="P107" s="1">
        <v>838.35458228661003</v>
      </c>
      <c r="Q107" s="1">
        <v>0</v>
      </c>
      <c r="S107" s="1">
        <v>1109.3545822866099</v>
      </c>
      <c r="V107" s="1">
        <v>1064.3545822866099</v>
      </c>
      <c r="Y107" s="1">
        <v>1044.3545822866099</v>
      </c>
      <c r="AB107" s="1">
        <v>1100.3545822866099</v>
      </c>
      <c r="AE107" s="1">
        <v>1144.3545822866099</v>
      </c>
    </row>
    <row r="108" spans="2:31">
      <c r="B108" s="1" t="s">
        <v>213</v>
      </c>
      <c r="D108" s="1" t="s">
        <v>0</v>
      </c>
    </row>
    <row r="109" spans="2:31">
      <c r="B109" s="1" t="s">
        <v>212</v>
      </c>
      <c r="D109" s="1" t="s">
        <v>0</v>
      </c>
    </row>
    <row r="110" spans="2:31">
      <c r="B110" s="1" t="s">
        <v>211</v>
      </c>
      <c r="D110" s="1" t="s">
        <v>0</v>
      </c>
      <c r="F110" s="1">
        <v>1</v>
      </c>
      <c r="G110" s="1">
        <v>1</v>
      </c>
      <c r="H110" s="1">
        <v>1</v>
      </c>
      <c r="I110" s="1">
        <v>1</v>
      </c>
      <c r="J110" s="1">
        <v>1</v>
      </c>
      <c r="K110" s="1">
        <v>1</v>
      </c>
      <c r="L110" s="1">
        <v>1</v>
      </c>
      <c r="M110" s="1">
        <v>1</v>
      </c>
      <c r="N110" s="1">
        <v>1</v>
      </c>
      <c r="O110" s="1">
        <v>1</v>
      </c>
      <c r="P110" s="1">
        <v>1</v>
      </c>
      <c r="Q110" s="1">
        <v>1</v>
      </c>
      <c r="S110" s="1">
        <v>1</v>
      </c>
    </row>
    <row r="111" spans="2:31">
      <c r="B111" s="1" t="s">
        <v>210</v>
      </c>
      <c r="D111" s="1" t="s">
        <v>0</v>
      </c>
      <c r="F111" s="1">
        <v>0</v>
      </c>
      <c r="G111" s="1">
        <v>0</v>
      </c>
      <c r="H111" s="1">
        <v>0</v>
      </c>
      <c r="I111" s="1">
        <v>0</v>
      </c>
      <c r="J111" s="1">
        <v>0</v>
      </c>
      <c r="K111" s="1">
        <v>0</v>
      </c>
      <c r="N111" s="1">
        <v>0</v>
      </c>
      <c r="O111" s="1">
        <v>0</v>
      </c>
      <c r="Q111" s="1">
        <v>0</v>
      </c>
    </row>
    <row r="112" spans="2:31">
      <c r="B112" s="1" t="s">
        <v>209</v>
      </c>
      <c r="D112" s="1" t="s">
        <v>0</v>
      </c>
      <c r="M112" s="1">
        <v>501</v>
      </c>
      <c r="P112" s="1">
        <v>177</v>
      </c>
      <c r="S112" s="1">
        <v>406</v>
      </c>
      <c r="V112" s="1">
        <v>256</v>
      </c>
      <c r="Y112" s="1">
        <v>376</v>
      </c>
      <c r="AB112" s="1">
        <v>508</v>
      </c>
      <c r="AE112" s="1">
        <v>644</v>
      </c>
    </row>
    <row r="113" spans="2:31">
      <c r="B113" s="1" t="s">
        <v>208</v>
      </c>
      <c r="D113" s="1" t="s">
        <v>0</v>
      </c>
      <c r="F113" s="1">
        <v>0</v>
      </c>
      <c r="G113" s="1">
        <v>0</v>
      </c>
      <c r="H113" s="1">
        <v>0</v>
      </c>
      <c r="I113" s="1">
        <v>0</v>
      </c>
      <c r="J113" s="1">
        <v>0</v>
      </c>
      <c r="K113" s="1">
        <v>0</v>
      </c>
      <c r="M113" s="1">
        <v>7</v>
      </c>
      <c r="N113" s="1">
        <v>0</v>
      </c>
      <c r="O113" s="1">
        <v>0</v>
      </c>
      <c r="P113" s="1">
        <v>15</v>
      </c>
      <c r="Q113" s="1">
        <v>0</v>
      </c>
      <c r="S113" s="1">
        <v>15</v>
      </c>
      <c r="V113" s="1">
        <v>15</v>
      </c>
      <c r="Y113" s="1">
        <v>14</v>
      </c>
      <c r="AB113" s="1">
        <v>20</v>
      </c>
      <c r="AE113" s="1">
        <v>25</v>
      </c>
    </row>
    <row r="114" spans="2:31">
      <c r="B114" s="1" t="s">
        <v>207</v>
      </c>
      <c r="D114" s="1" t="s">
        <v>0</v>
      </c>
      <c r="F114" s="1">
        <v>0</v>
      </c>
      <c r="G114" s="1">
        <v>0</v>
      </c>
      <c r="H114" s="1">
        <v>0</v>
      </c>
      <c r="I114" s="1">
        <v>0</v>
      </c>
      <c r="J114" s="1">
        <v>0</v>
      </c>
      <c r="K114" s="1">
        <v>0</v>
      </c>
      <c r="M114" s="1">
        <v>0</v>
      </c>
      <c r="N114" s="1">
        <v>0</v>
      </c>
      <c r="O114" s="1">
        <v>0</v>
      </c>
      <c r="P114" s="1">
        <v>411</v>
      </c>
      <c r="Q114" s="1">
        <v>0</v>
      </c>
      <c r="S114" s="1">
        <v>357</v>
      </c>
      <c r="V114" s="1">
        <v>379</v>
      </c>
      <c r="Y114" s="1">
        <v>573</v>
      </c>
      <c r="AB114" s="1">
        <v>606</v>
      </c>
      <c r="AE114" s="1">
        <v>662</v>
      </c>
    </row>
    <row r="115" spans="2:31">
      <c r="B115" s="1" t="s">
        <v>206</v>
      </c>
      <c r="D115" s="1" t="s">
        <v>0</v>
      </c>
      <c r="F115" s="1">
        <v>0</v>
      </c>
      <c r="G115" s="1">
        <v>0</v>
      </c>
      <c r="H115" s="1">
        <v>0</v>
      </c>
      <c r="I115" s="1">
        <v>0</v>
      </c>
      <c r="J115" s="1">
        <v>0</v>
      </c>
      <c r="K115" s="1">
        <v>0</v>
      </c>
      <c r="L115" s="1">
        <v>0</v>
      </c>
      <c r="M115" s="1">
        <v>252</v>
      </c>
      <c r="N115" s="1">
        <v>0</v>
      </c>
      <c r="O115" s="1">
        <v>0</v>
      </c>
      <c r="P115" s="1">
        <v>-149</v>
      </c>
      <c r="Q115" s="1">
        <v>0</v>
      </c>
      <c r="S115" s="1">
        <v>-118</v>
      </c>
      <c r="V115" s="1">
        <v>-103</v>
      </c>
      <c r="Y115" s="1">
        <v>361</v>
      </c>
      <c r="AB115" s="1">
        <v>317</v>
      </c>
      <c r="AE115" s="1">
        <v>62</v>
      </c>
    </row>
    <row r="116" spans="2:31">
      <c r="B116" s="1" t="s">
        <v>205</v>
      </c>
      <c r="D116" s="1" t="s">
        <v>0</v>
      </c>
      <c r="F116" s="1">
        <v>0</v>
      </c>
      <c r="G116" s="1">
        <v>0</v>
      </c>
      <c r="H116" s="1">
        <v>0</v>
      </c>
      <c r="I116" s="1">
        <v>0</v>
      </c>
      <c r="J116" s="1">
        <v>0</v>
      </c>
      <c r="K116" s="1">
        <v>0</v>
      </c>
      <c r="M116" s="1">
        <v>566</v>
      </c>
      <c r="N116" s="1">
        <v>0</v>
      </c>
      <c r="O116" s="1">
        <v>0</v>
      </c>
      <c r="P116" s="1">
        <v>400</v>
      </c>
      <c r="Q116" s="1">
        <v>0</v>
      </c>
      <c r="S116" s="1">
        <v>353</v>
      </c>
      <c r="V116" s="1">
        <v>173</v>
      </c>
      <c r="Y116" s="1">
        <v>79</v>
      </c>
      <c r="AB116" s="1">
        <v>8</v>
      </c>
      <c r="AE116" s="1">
        <v>-146</v>
      </c>
    </row>
    <row r="117" spans="2:31">
      <c r="B117" s="1" t="s">
        <v>204</v>
      </c>
      <c r="D117" s="1" t="s">
        <v>0</v>
      </c>
      <c r="M117" s="1">
        <v>1326</v>
      </c>
      <c r="P117" s="1">
        <v>854</v>
      </c>
      <c r="S117" s="1">
        <v>1013</v>
      </c>
      <c r="V117" s="1">
        <v>720</v>
      </c>
      <c r="Y117" s="1">
        <v>1403</v>
      </c>
      <c r="AB117" s="1">
        <v>1459</v>
      </c>
      <c r="AE117" s="1">
        <v>1247</v>
      </c>
    </row>
    <row r="118" spans="2:31">
      <c r="B118" s="1" t="s">
        <v>203</v>
      </c>
      <c r="D118" s="1" t="s">
        <v>0</v>
      </c>
      <c r="F118" s="1">
        <v>0</v>
      </c>
      <c r="G118" s="1">
        <v>0</v>
      </c>
      <c r="H118" s="1">
        <v>0</v>
      </c>
      <c r="I118" s="1">
        <v>0</v>
      </c>
      <c r="J118" s="1">
        <v>0</v>
      </c>
      <c r="K118" s="1">
        <v>0</v>
      </c>
      <c r="L118" s="1">
        <v>0</v>
      </c>
      <c r="M118" s="1">
        <v>-699</v>
      </c>
      <c r="N118" s="1">
        <v>0</v>
      </c>
      <c r="O118" s="1">
        <v>0</v>
      </c>
      <c r="P118" s="1">
        <v>-689</v>
      </c>
      <c r="Q118" s="1">
        <v>0</v>
      </c>
      <c r="S118" s="1">
        <v>-639</v>
      </c>
      <c r="V118" s="1">
        <v>-671</v>
      </c>
      <c r="Y118" s="1">
        <v>-585</v>
      </c>
      <c r="AB118" s="1">
        <v>-525</v>
      </c>
      <c r="AE118" s="1">
        <v>-715</v>
      </c>
    </row>
    <row r="119" spans="2:31">
      <c r="B119" s="1" t="s">
        <v>202</v>
      </c>
      <c r="D119" s="1" t="s">
        <v>0</v>
      </c>
      <c r="F119" s="1">
        <v>0</v>
      </c>
      <c r="G119" s="1">
        <v>0</v>
      </c>
      <c r="H119" s="1">
        <v>0</v>
      </c>
      <c r="I119" s="1">
        <v>0</v>
      </c>
      <c r="J119" s="1">
        <v>0</v>
      </c>
      <c r="K119" s="1">
        <v>0</v>
      </c>
      <c r="L119" s="1">
        <v>0</v>
      </c>
      <c r="M119" s="1">
        <v>-144</v>
      </c>
      <c r="N119" s="1">
        <v>0</v>
      </c>
      <c r="O119" s="1">
        <v>0</v>
      </c>
      <c r="P119" s="1">
        <v>-53</v>
      </c>
      <c r="Q119" s="1">
        <v>0</v>
      </c>
      <c r="S119" s="1">
        <v>-74</v>
      </c>
      <c r="V119" s="1">
        <v>-521</v>
      </c>
      <c r="Y119" s="1">
        <v>-569</v>
      </c>
      <c r="AB119" s="1">
        <v>-175</v>
      </c>
      <c r="AE119" s="1">
        <v>-1402</v>
      </c>
    </row>
    <row r="120" spans="2:31">
      <c r="B120" s="1" t="s">
        <v>201</v>
      </c>
      <c r="D120" s="1" t="s">
        <v>0</v>
      </c>
      <c r="F120" s="1">
        <v>0</v>
      </c>
      <c r="G120" s="1">
        <v>0</v>
      </c>
      <c r="H120" s="1">
        <v>0</v>
      </c>
      <c r="I120" s="1">
        <v>0</v>
      </c>
      <c r="J120" s="1">
        <v>0</v>
      </c>
      <c r="K120" s="1">
        <v>0</v>
      </c>
      <c r="L120" s="1">
        <v>0</v>
      </c>
      <c r="M120" s="1">
        <v>159</v>
      </c>
      <c r="N120" s="1">
        <v>0</v>
      </c>
      <c r="O120" s="1">
        <v>0</v>
      </c>
      <c r="P120" s="1">
        <v>27</v>
      </c>
      <c r="Q120" s="1">
        <v>0</v>
      </c>
      <c r="S120" s="1">
        <v>-20</v>
      </c>
      <c r="V120" s="1">
        <v>300</v>
      </c>
      <c r="Y120" s="1">
        <v>0</v>
      </c>
      <c r="AB120" s="1">
        <v>0</v>
      </c>
      <c r="AE120" s="1">
        <v>0</v>
      </c>
    </row>
    <row r="121" spans="2:31">
      <c r="B121" s="1" t="s">
        <v>200</v>
      </c>
      <c r="D121" s="1" t="s">
        <v>0</v>
      </c>
      <c r="F121" s="1">
        <v>0</v>
      </c>
      <c r="G121" s="1">
        <v>0</v>
      </c>
      <c r="H121" s="1">
        <v>0</v>
      </c>
      <c r="I121" s="1">
        <v>0</v>
      </c>
      <c r="J121" s="1">
        <v>0</v>
      </c>
      <c r="K121" s="1">
        <v>0</v>
      </c>
      <c r="L121" s="1">
        <v>0</v>
      </c>
      <c r="M121" s="1">
        <v>0</v>
      </c>
      <c r="N121" s="1">
        <v>0</v>
      </c>
      <c r="O121" s="1">
        <v>0</v>
      </c>
      <c r="P121" s="1">
        <v>0</v>
      </c>
      <c r="Q121" s="1">
        <v>0</v>
      </c>
      <c r="S121" s="1">
        <v>0</v>
      </c>
    </row>
    <row r="122" spans="2:31">
      <c r="B122" s="1" t="s">
        <v>199</v>
      </c>
      <c r="D122" s="1" t="s">
        <v>0</v>
      </c>
      <c r="M122" s="1">
        <v>-684</v>
      </c>
      <c r="P122" s="1">
        <v>-715</v>
      </c>
      <c r="S122" s="1">
        <v>-733</v>
      </c>
      <c r="V122" s="1">
        <v>-892</v>
      </c>
      <c r="Y122" s="1">
        <v>-1154</v>
      </c>
      <c r="AB122" s="1">
        <v>-700</v>
      </c>
      <c r="AE122" s="1">
        <v>-2117</v>
      </c>
    </row>
    <row r="123" spans="2:31">
      <c r="B123" s="1" t="s">
        <v>198</v>
      </c>
      <c r="D123" s="1" t="s">
        <v>0</v>
      </c>
      <c r="F123" s="1">
        <v>0</v>
      </c>
      <c r="G123" s="1">
        <v>0</v>
      </c>
      <c r="H123" s="1">
        <v>0</v>
      </c>
      <c r="I123" s="1">
        <v>0</v>
      </c>
      <c r="J123" s="1">
        <v>0</v>
      </c>
      <c r="K123" s="1">
        <v>0</v>
      </c>
      <c r="L123" s="1">
        <v>0</v>
      </c>
      <c r="M123" s="1">
        <v>-91</v>
      </c>
      <c r="N123" s="1">
        <v>0</v>
      </c>
      <c r="O123" s="1">
        <v>0</v>
      </c>
      <c r="P123" s="1">
        <v>-155</v>
      </c>
      <c r="Q123" s="1">
        <v>0</v>
      </c>
      <c r="S123" s="1">
        <v>-96</v>
      </c>
      <c r="V123" s="1">
        <v>-202</v>
      </c>
      <c r="Y123" s="1">
        <v>-73</v>
      </c>
      <c r="AB123" s="1">
        <v>-161</v>
      </c>
      <c r="AE123" s="1">
        <v>-317</v>
      </c>
    </row>
    <row r="124" spans="2:31">
      <c r="B124" s="1" t="s">
        <v>197</v>
      </c>
      <c r="D124" s="1" t="s">
        <v>0</v>
      </c>
      <c r="F124" s="1">
        <v>0</v>
      </c>
      <c r="G124" s="1">
        <v>0</v>
      </c>
      <c r="H124" s="1">
        <v>0</v>
      </c>
      <c r="I124" s="1">
        <v>0</v>
      </c>
      <c r="J124" s="1">
        <v>0</v>
      </c>
      <c r="K124" s="1">
        <v>0</v>
      </c>
      <c r="L124" s="1">
        <v>0</v>
      </c>
      <c r="M124" s="1">
        <v>7</v>
      </c>
      <c r="N124" s="1">
        <v>0</v>
      </c>
      <c r="O124" s="1">
        <v>0</v>
      </c>
      <c r="P124" s="1">
        <v>8</v>
      </c>
      <c r="Q124" s="1">
        <v>0</v>
      </c>
      <c r="S124" s="1">
        <v>19</v>
      </c>
      <c r="V124" s="1">
        <v>-151</v>
      </c>
      <c r="Y124" s="1">
        <v>6</v>
      </c>
      <c r="AB124" s="1">
        <v>6</v>
      </c>
      <c r="AE124" s="1">
        <v>181</v>
      </c>
    </row>
    <row r="125" spans="2:31">
      <c r="B125" s="1" t="s">
        <v>196</v>
      </c>
      <c r="D125" s="1" t="s">
        <v>0</v>
      </c>
      <c r="F125" s="1">
        <v>0</v>
      </c>
      <c r="G125" s="1">
        <v>0</v>
      </c>
      <c r="H125" s="1">
        <v>0</v>
      </c>
      <c r="I125" s="1">
        <v>0</v>
      </c>
      <c r="J125" s="1">
        <v>0</v>
      </c>
      <c r="K125" s="1">
        <v>0</v>
      </c>
      <c r="L125" s="1">
        <v>0</v>
      </c>
      <c r="M125" s="1">
        <v>-919</v>
      </c>
      <c r="N125" s="1">
        <v>0</v>
      </c>
      <c r="O125" s="1">
        <v>0</v>
      </c>
      <c r="P125" s="1">
        <v>-247</v>
      </c>
      <c r="Q125" s="1">
        <v>0</v>
      </c>
      <c r="S125" s="1">
        <v>-263</v>
      </c>
      <c r="V125" s="1">
        <v>655</v>
      </c>
      <c r="Y125" s="1">
        <v>1021</v>
      </c>
      <c r="AB125" s="1">
        <v>-524</v>
      </c>
      <c r="AE125" s="1">
        <v>394</v>
      </c>
    </row>
    <row r="126" spans="2:31">
      <c r="B126" s="1" t="s">
        <v>195</v>
      </c>
      <c r="D126" s="1" t="s">
        <v>0</v>
      </c>
      <c r="F126" s="1">
        <v>0</v>
      </c>
      <c r="G126" s="1">
        <v>0</v>
      </c>
      <c r="H126" s="1">
        <v>0</v>
      </c>
      <c r="I126" s="1">
        <v>0</v>
      </c>
      <c r="J126" s="1">
        <v>0</v>
      </c>
      <c r="K126" s="1">
        <v>0</v>
      </c>
      <c r="L126" s="1">
        <v>0</v>
      </c>
      <c r="M126" s="1">
        <v>30</v>
      </c>
      <c r="N126" s="1">
        <v>0</v>
      </c>
      <c r="O126" s="1">
        <v>0</v>
      </c>
      <c r="P126" s="1">
        <v>25</v>
      </c>
      <c r="Q126" s="1">
        <v>0</v>
      </c>
      <c r="S126" s="1">
        <v>-16</v>
      </c>
      <c r="V126" s="1">
        <v>81</v>
      </c>
      <c r="Y126" s="1">
        <v>33</v>
      </c>
      <c r="AB126" s="1">
        <v>-18</v>
      </c>
      <c r="AE126" s="1">
        <v>-15</v>
      </c>
    </row>
    <row r="127" spans="2:31">
      <c r="B127" s="1" t="s">
        <v>194</v>
      </c>
      <c r="D127" s="1" t="s">
        <v>0</v>
      </c>
      <c r="M127" s="1">
        <v>-973</v>
      </c>
      <c r="P127" s="1">
        <v>-369</v>
      </c>
      <c r="S127" s="1">
        <v>-356</v>
      </c>
      <c r="V127" s="1">
        <v>383</v>
      </c>
      <c r="Y127" s="1">
        <v>987</v>
      </c>
      <c r="AB127" s="1">
        <v>-697</v>
      </c>
      <c r="AE127" s="1">
        <v>243</v>
      </c>
    </row>
    <row r="128" spans="2:31">
      <c r="B128" s="1" t="s">
        <v>193</v>
      </c>
      <c r="D128" s="1" t="s">
        <v>0</v>
      </c>
      <c r="P128" s="1">
        <v>37</v>
      </c>
      <c r="S128" s="1">
        <v>63</v>
      </c>
      <c r="V128" s="1">
        <v>-22</v>
      </c>
      <c r="Y128" s="1">
        <v>-75</v>
      </c>
      <c r="AB128" s="1">
        <v>-80</v>
      </c>
      <c r="AE128" s="1">
        <v>-4</v>
      </c>
    </row>
    <row r="129" spans="2:31">
      <c r="B129" s="1" t="s">
        <v>192</v>
      </c>
      <c r="D129" s="1" t="s">
        <v>0</v>
      </c>
      <c r="M129" s="1">
        <v>-331</v>
      </c>
      <c r="P129" s="1">
        <v>-193</v>
      </c>
      <c r="S129" s="1">
        <v>-13</v>
      </c>
      <c r="V129" s="1">
        <v>189</v>
      </c>
      <c r="Y129" s="1">
        <v>1161</v>
      </c>
      <c r="AB129" s="1">
        <v>-18</v>
      </c>
      <c r="AE129" s="1">
        <v>-631</v>
      </c>
    </row>
    <row r="130" spans="2:31">
      <c r="B130" s="1" t="s">
        <v>191</v>
      </c>
      <c r="D130" s="1" t="s">
        <v>0</v>
      </c>
    </row>
    <row r="131" spans="2:31">
      <c r="B131" s="1" t="s">
        <v>190</v>
      </c>
      <c r="D131" s="1" t="s">
        <v>0</v>
      </c>
    </row>
    <row r="132" spans="2:31">
      <c r="B132" s="1" t="s">
        <v>189</v>
      </c>
      <c r="D132" s="1" t="s">
        <v>0</v>
      </c>
    </row>
    <row r="133" spans="2:31">
      <c r="B133" s="1" t="s">
        <v>188</v>
      </c>
      <c r="D133" s="1" t="s">
        <v>0</v>
      </c>
    </row>
    <row r="134" spans="2:31">
      <c r="B134" s="1" t="s">
        <v>187</v>
      </c>
      <c r="D134" s="1" t="s">
        <v>0</v>
      </c>
    </row>
    <row r="135" spans="2:31">
      <c r="B135" s="1" t="s">
        <v>186</v>
      </c>
      <c r="D135" s="1" t="s">
        <v>0</v>
      </c>
    </row>
    <row r="136" spans="2:31">
      <c r="B136" s="1" t="s">
        <v>185</v>
      </c>
      <c r="D136" s="1" t="s">
        <v>0</v>
      </c>
    </row>
    <row r="137" spans="2:31">
      <c r="B137" s="1" t="s">
        <v>184</v>
      </c>
      <c r="D137" s="1" t="s">
        <v>0</v>
      </c>
    </row>
    <row r="138" spans="2:31">
      <c r="B138" s="1" t="s">
        <v>183</v>
      </c>
      <c r="D138" s="1" t="s">
        <v>0</v>
      </c>
    </row>
    <row r="139" spans="2:31">
      <c r="B139" s="1" t="s">
        <v>182</v>
      </c>
      <c r="D139" s="1" t="s">
        <v>0</v>
      </c>
    </row>
    <row r="140" spans="2:31">
      <c r="B140" s="1" t="s">
        <v>181</v>
      </c>
      <c r="D140" s="1" t="s">
        <v>0</v>
      </c>
    </row>
    <row r="141" spans="2:31">
      <c r="B141" s="1" t="s">
        <v>180</v>
      </c>
      <c r="D141" s="1" t="s">
        <v>0</v>
      </c>
    </row>
    <row r="142" spans="2:31">
      <c r="B142" s="1" t="s">
        <v>179</v>
      </c>
      <c r="D142" s="1" t="s">
        <v>0</v>
      </c>
    </row>
    <row r="143" spans="2:31">
      <c r="B143" s="1" t="s">
        <v>178</v>
      </c>
      <c r="D143" s="1" t="s">
        <v>0</v>
      </c>
    </row>
    <row r="144" spans="2:31">
      <c r="B144" s="1" t="s">
        <v>177</v>
      </c>
      <c r="D144" s="1" t="s">
        <v>0</v>
      </c>
    </row>
    <row r="145" spans="2:31">
      <c r="B145" s="1" t="s">
        <v>176</v>
      </c>
      <c r="D145" s="1" t="s">
        <v>0</v>
      </c>
    </row>
    <row r="146" spans="2:31">
      <c r="B146" s="1" t="s">
        <v>175</v>
      </c>
      <c r="D146" s="1" t="s">
        <v>0</v>
      </c>
    </row>
    <row r="147" spans="2:31">
      <c r="B147" s="1" t="s">
        <v>174</v>
      </c>
      <c r="D147" s="1" t="s">
        <v>0</v>
      </c>
      <c r="E147" s="1" t="s">
        <v>0</v>
      </c>
    </row>
    <row r="148" spans="2:31">
      <c r="B148" s="1" t="s">
        <v>173</v>
      </c>
      <c r="D148" s="1" t="s">
        <v>0</v>
      </c>
      <c r="E148" s="1" t="s">
        <v>0</v>
      </c>
    </row>
    <row r="149" spans="2:31">
      <c r="B149" s="1" t="s">
        <v>172</v>
      </c>
      <c r="D149" s="1" t="s">
        <v>0</v>
      </c>
      <c r="E149" s="1" t="s">
        <v>0</v>
      </c>
    </row>
    <row r="150" spans="2:31">
      <c r="B150" s="1" t="s">
        <v>171</v>
      </c>
      <c r="D150" s="1" t="s">
        <v>0</v>
      </c>
      <c r="Y150" s="1">
        <v>0.3</v>
      </c>
      <c r="AB150" s="1">
        <v>0.3</v>
      </c>
      <c r="AE150" s="1">
        <v>0.27402862985699999</v>
      </c>
    </row>
    <row r="151" spans="2:31">
      <c r="B151" s="1" t="s">
        <v>170</v>
      </c>
      <c r="D151" s="1" t="s">
        <v>0</v>
      </c>
      <c r="Y151" s="1">
        <v>0.23</v>
      </c>
      <c r="AB151" s="1">
        <v>0.23</v>
      </c>
      <c r="AE151" s="1">
        <v>0.27402862985699999</v>
      </c>
    </row>
    <row r="152" spans="2:31">
      <c r="B152" s="1" t="s">
        <v>169</v>
      </c>
      <c r="D152" s="1" t="s">
        <v>0</v>
      </c>
      <c r="Y152" s="1">
        <v>0.02</v>
      </c>
      <c r="AB152" s="1">
        <v>0.02</v>
      </c>
    </row>
    <row r="153" spans="2:31">
      <c r="B153" s="1" t="s">
        <v>168</v>
      </c>
      <c r="D153" s="1" t="s">
        <v>0</v>
      </c>
      <c r="Y153" s="1">
        <v>0.03</v>
      </c>
      <c r="AB153" s="1">
        <v>0.03</v>
      </c>
    </row>
    <row r="154" spans="2:31">
      <c r="B154" s="1" t="s">
        <v>167</v>
      </c>
      <c r="D154" s="1" t="s">
        <v>0</v>
      </c>
      <c r="Y154" s="1">
        <v>0.02</v>
      </c>
      <c r="AB154" s="1">
        <v>0.02</v>
      </c>
      <c r="AD154" s="1">
        <v>0</v>
      </c>
      <c r="AE154" s="1">
        <v>0</v>
      </c>
    </row>
    <row r="155" spans="2:31">
      <c r="B155" s="1" t="s">
        <v>166</v>
      </c>
      <c r="D155" s="1" t="s">
        <v>0</v>
      </c>
      <c r="Y155" s="1">
        <v>0.6</v>
      </c>
      <c r="AB155" s="1">
        <v>0.6</v>
      </c>
      <c r="AE155" s="1">
        <v>0.48372528970700002</v>
      </c>
    </row>
    <row r="156" spans="2:31">
      <c r="B156" s="1" t="s">
        <v>165</v>
      </c>
      <c r="D156" s="1" t="s">
        <v>0</v>
      </c>
      <c r="Y156" s="1">
        <v>7.0000000000000007E-2</v>
      </c>
      <c r="AB156" s="1">
        <v>7.0000000000000007E-2</v>
      </c>
    </row>
    <row r="157" spans="2:31">
      <c r="B157" s="1" t="s">
        <v>164</v>
      </c>
      <c r="D157" s="1" t="s">
        <v>0</v>
      </c>
      <c r="Y157" s="1">
        <v>0.45</v>
      </c>
      <c r="AB157" s="1">
        <v>0.45</v>
      </c>
    </row>
    <row r="158" spans="2:31">
      <c r="B158" s="1" t="s">
        <v>163</v>
      </c>
      <c r="D158" s="1" t="s">
        <v>0</v>
      </c>
    </row>
    <row r="159" spans="2:31">
      <c r="B159" s="1" t="s">
        <v>162</v>
      </c>
      <c r="D159" s="1" t="s">
        <v>0</v>
      </c>
    </row>
    <row r="160" spans="2:31">
      <c r="B160" s="1" t="s">
        <v>161</v>
      </c>
      <c r="D160" s="1" t="s">
        <v>0</v>
      </c>
    </row>
    <row r="161" spans="2:28">
      <c r="B161" s="1" t="s">
        <v>160</v>
      </c>
      <c r="D161" s="1" t="s">
        <v>0</v>
      </c>
    </row>
    <row r="162" spans="2:28">
      <c r="B162" s="1" t="s">
        <v>159</v>
      </c>
      <c r="D162" s="1" t="s">
        <v>0</v>
      </c>
    </row>
    <row r="163" spans="2:28">
      <c r="B163" s="1" t="s">
        <v>158</v>
      </c>
      <c r="D163" s="1" t="s">
        <v>0</v>
      </c>
    </row>
    <row r="164" spans="2:28">
      <c r="B164" s="1" t="s">
        <v>157</v>
      </c>
      <c r="D164" s="1" t="s">
        <v>0</v>
      </c>
    </row>
    <row r="165" spans="2:28">
      <c r="B165" s="1" t="s">
        <v>156</v>
      </c>
      <c r="D165" s="1" t="s">
        <v>0</v>
      </c>
    </row>
    <row r="166" spans="2:28">
      <c r="B166" s="1" t="s">
        <v>155</v>
      </c>
      <c r="D166" s="1" t="s">
        <v>0</v>
      </c>
    </row>
    <row r="167" spans="2:28">
      <c r="B167" s="1" t="s">
        <v>154</v>
      </c>
      <c r="D167" s="1" t="s">
        <v>0</v>
      </c>
    </row>
    <row r="168" spans="2:28">
      <c r="B168" s="1" t="s">
        <v>153</v>
      </c>
      <c r="D168" s="1" t="s">
        <v>0</v>
      </c>
    </row>
    <row r="169" spans="2:28">
      <c r="B169" s="1" t="s">
        <v>152</v>
      </c>
      <c r="D169" s="1" t="s">
        <v>0</v>
      </c>
    </row>
    <row r="170" spans="2:28">
      <c r="B170" s="1" t="s">
        <v>151</v>
      </c>
      <c r="D170" s="1" t="s">
        <v>0</v>
      </c>
    </row>
    <row r="171" spans="2:28">
      <c r="B171" s="1" t="s">
        <v>150</v>
      </c>
      <c r="D171" s="1" t="s">
        <v>0</v>
      </c>
    </row>
    <row r="172" spans="2:28">
      <c r="B172" s="1" t="s">
        <v>149</v>
      </c>
      <c r="D172" s="1" t="s">
        <v>0</v>
      </c>
    </row>
    <row r="173" spans="2:28">
      <c r="B173" s="1" t="s">
        <v>148</v>
      </c>
      <c r="D173" s="1" t="s">
        <v>0</v>
      </c>
    </row>
    <row r="174" spans="2:28">
      <c r="B174" s="1" t="s">
        <v>147</v>
      </c>
      <c r="D174" s="1" t="s">
        <v>0</v>
      </c>
      <c r="Y174" s="1">
        <v>0.02</v>
      </c>
      <c r="AB174" s="1">
        <v>0.02</v>
      </c>
    </row>
    <row r="175" spans="2:28">
      <c r="B175" s="1" t="s">
        <v>146</v>
      </c>
      <c r="D175" s="1" t="s">
        <v>0</v>
      </c>
      <c r="Y175" s="1">
        <v>0.03</v>
      </c>
      <c r="AB175" s="1">
        <v>0.03</v>
      </c>
    </row>
    <row r="176" spans="2:28">
      <c r="B176" s="1" t="s">
        <v>145</v>
      </c>
      <c r="D176" s="1" t="s">
        <v>0</v>
      </c>
      <c r="Y176" s="1">
        <v>0.01</v>
      </c>
      <c r="AB176" s="1">
        <v>0.01</v>
      </c>
    </row>
    <row r="177" spans="2:31">
      <c r="B177" s="1" t="s">
        <v>144</v>
      </c>
      <c r="D177" s="1" t="s">
        <v>0</v>
      </c>
      <c r="Y177" s="1">
        <v>0.02</v>
      </c>
      <c r="AB177" s="1">
        <v>0.02</v>
      </c>
      <c r="AD177" s="1">
        <v>0.48372528970700002</v>
      </c>
      <c r="AE177" s="1">
        <v>0.48372528970700002</v>
      </c>
    </row>
    <row r="178" spans="2:31">
      <c r="B178" s="1" t="s">
        <v>143</v>
      </c>
      <c r="D178" s="1" t="s">
        <v>0</v>
      </c>
      <c r="Y178" s="1">
        <v>0.09</v>
      </c>
      <c r="AB178" s="1">
        <v>0.09</v>
      </c>
      <c r="AE178" s="1">
        <v>0.15516359918200001</v>
      </c>
    </row>
    <row r="179" spans="2:31">
      <c r="B179" s="1" t="s">
        <v>142</v>
      </c>
      <c r="D179" s="1" t="s">
        <v>0</v>
      </c>
      <c r="Y179" s="1">
        <v>0.01</v>
      </c>
      <c r="AB179" s="1">
        <v>0.01</v>
      </c>
    </row>
    <row r="180" spans="2:31">
      <c r="B180" s="1" t="s">
        <v>141</v>
      </c>
      <c r="D180" s="1" t="s">
        <v>0</v>
      </c>
      <c r="Y180" s="1">
        <v>0.02</v>
      </c>
      <c r="AB180" s="1">
        <v>0.02</v>
      </c>
    </row>
    <row r="181" spans="2:31">
      <c r="B181" s="1" t="s">
        <v>140</v>
      </c>
      <c r="D181" s="1" t="s">
        <v>0</v>
      </c>
      <c r="Y181" s="1">
        <v>0.02</v>
      </c>
      <c r="AB181" s="1">
        <v>0.02</v>
      </c>
    </row>
    <row r="182" spans="2:31">
      <c r="B182" s="1" t="s">
        <v>139</v>
      </c>
      <c r="D182" s="1" t="s">
        <v>0</v>
      </c>
      <c r="Y182" s="1">
        <v>0.01</v>
      </c>
      <c r="AB182" s="1">
        <v>0.01</v>
      </c>
    </row>
    <row r="183" spans="2:31">
      <c r="B183" s="1" t="s">
        <v>138</v>
      </c>
      <c r="D183" s="1" t="s">
        <v>0</v>
      </c>
    </row>
    <row r="184" spans="2:31">
      <c r="B184" s="1" t="s">
        <v>137</v>
      </c>
      <c r="D184" s="1" t="s">
        <v>0</v>
      </c>
    </row>
    <row r="185" spans="2:31">
      <c r="B185" s="1" t="s">
        <v>136</v>
      </c>
      <c r="D185" s="1" t="s">
        <v>0</v>
      </c>
      <c r="Y185" s="1">
        <v>0.03</v>
      </c>
      <c r="AB185" s="1">
        <v>0.03</v>
      </c>
      <c r="AD185" s="1">
        <v>0.15516359918200001</v>
      </c>
      <c r="AE185" s="1">
        <v>0.15516359918200001</v>
      </c>
    </row>
    <row r="186" spans="2:31">
      <c r="B186" s="1" t="s">
        <v>135</v>
      </c>
      <c r="D186" s="1" t="s">
        <v>0</v>
      </c>
      <c r="Y186" s="1">
        <v>0.01</v>
      </c>
      <c r="AB186" s="1">
        <v>0.01</v>
      </c>
      <c r="AE186" s="1">
        <v>8.7082481254000005E-2</v>
      </c>
    </row>
    <row r="187" spans="2:31">
      <c r="B187" s="1" t="s">
        <v>134</v>
      </c>
      <c r="D187" s="1" t="s">
        <v>0</v>
      </c>
      <c r="AE187" s="1">
        <v>0.27402862985699999</v>
      </c>
    </row>
    <row r="188" spans="2:31">
      <c r="B188" s="1" t="s">
        <v>133</v>
      </c>
      <c r="D188" s="1" t="s">
        <v>0</v>
      </c>
      <c r="AE188" s="1">
        <v>0.27402862985699999</v>
      </c>
    </row>
    <row r="189" spans="2:31">
      <c r="B189" s="1" t="s">
        <v>132</v>
      </c>
      <c r="D189" s="1" t="s">
        <v>0</v>
      </c>
    </row>
    <row r="190" spans="2:31">
      <c r="B190" s="1" t="s">
        <v>131</v>
      </c>
      <c r="D190" s="1" t="s">
        <v>0</v>
      </c>
    </row>
    <row r="191" spans="2:31">
      <c r="B191" s="1" t="s">
        <v>130</v>
      </c>
      <c r="D191" s="1" t="s">
        <v>0</v>
      </c>
    </row>
    <row r="192" spans="2:31">
      <c r="B192" s="1" t="s">
        <v>129</v>
      </c>
      <c r="D192" s="1" t="s">
        <v>0</v>
      </c>
      <c r="AE192" s="1">
        <v>0.48372528970700002</v>
      </c>
    </row>
    <row r="193" spans="2:4">
      <c r="B193" s="1" t="s">
        <v>128</v>
      </c>
      <c r="D193" s="1" t="s">
        <v>0</v>
      </c>
    </row>
    <row r="194" spans="2:4">
      <c r="B194" s="1" t="s">
        <v>127</v>
      </c>
      <c r="D194" s="1" t="s">
        <v>0</v>
      </c>
    </row>
    <row r="195" spans="2:4">
      <c r="B195" s="1" t="s">
        <v>126</v>
      </c>
      <c r="D195" s="1" t="s">
        <v>0</v>
      </c>
    </row>
    <row r="196" spans="2:4">
      <c r="B196" s="1" t="s">
        <v>125</v>
      </c>
      <c r="D196" s="1" t="s">
        <v>0</v>
      </c>
    </row>
    <row r="197" spans="2:4">
      <c r="B197" s="1" t="s">
        <v>124</v>
      </c>
      <c r="D197" s="1" t="s">
        <v>0</v>
      </c>
    </row>
    <row r="198" spans="2:4">
      <c r="B198" s="1" t="s">
        <v>123</v>
      </c>
      <c r="D198" s="1" t="s">
        <v>0</v>
      </c>
    </row>
    <row r="199" spans="2:4">
      <c r="B199" s="1" t="s">
        <v>122</v>
      </c>
      <c r="D199" s="1" t="s">
        <v>0</v>
      </c>
    </row>
    <row r="200" spans="2:4">
      <c r="B200" s="1" t="s">
        <v>121</v>
      </c>
      <c r="D200" s="1" t="s">
        <v>0</v>
      </c>
    </row>
    <row r="201" spans="2:4">
      <c r="B201" s="1" t="s">
        <v>120</v>
      </c>
      <c r="D201" s="1" t="s">
        <v>0</v>
      </c>
    </row>
    <row r="202" spans="2:4">
      <c r="B202" s="1" t="s">
        <v>119</v>
      </c>
      <c r="D202" s="1" t="s">
        <v>0</v>
      </c>
    </row>
    <row r="203" spans="2:4">
      <c r="B203" s="1" t="s">
        <v>118</v>
      </c>
      <c r="D203" s="1" t="s">
        <v>0</v>
      </c>
    </row>
    <row r="204" spans="2:4">
      <c r="B204" s="1" t="s">
        <v>117</v>
      </c>
      <c r="D204" s="1" t="s">
        <v>0</v>
      </c>
    </row>
    <row r="205" spans="2:4">
      <c r="B205" s="1" t="s">
        <v>116</v>
      </c>
      <c r="D205" s="1" t="s">
        <v>0</v>
      </c>
    </row>
    <row r="206" spans="2:4">
      <c r="B206" s="1" t="s">
        <v>115</v>
      </c>
      <c r="D206" s="1" t="s">
        <v>0</v>
      </c>
    </row>
    <row r="207" spans="2:4">
      <c r="B207" s="1" t="s">
        <v>114</v>
      </c>
      <c r="D207" s="1" t="s">
        <v>0</v>
      </c>
    </row>
    <row r="208" spans="2:4">
      <c r="B208" s="1" t="s">
        <v>113</v>
      </c>
      <c r="D208" s="1" t="s">
        <v>0</v>
      </c>
    </row>
    <row r="209" spans="2:31">
      <c r="B209" s="1" t="s">
        <v>112</v>
      </c>
      <c r="D209" s="1" t="s">
        <v>0</v>
      </c>
    </row>
    <row r="210" spans="2:31">
      <c r="B210" s="1" t="s">
        <v>111</v>
      </c>
      <c r="D210" s="1" t="s">
        <v>0</v>
      </c>
    </row>
    <row r="211" spans="2:31">
      <c r="B211" s="1" t="s">
        <v>110</v>
      </c>
      <c r="D211" s="1" t="s">
        <v>0</v>
      </c>
    </row>
    <row r="212" spans="2:31">
      <c r="B212" s="1" t="s">
        <v>109</v>
      </c>
      <c r="D212" s="1" t="s">
        <v>0</v>
      </c>
    </row>
    <row r="213" spans="2:31">
      <c r="B213" s="1" t="s">
        <v>108</v>
      </c>
      <c r="D213" s="1" t="s">
        <v>0</v>
      </c>
    </row>
    <row r="214" spans="2:31">
      <c r="B214" s="1" t="s">
        <v>107</v>
      </c>
      <c r="D214" s="1" t="s">
        <v>0</v>
      </c>
      <c r="AE214" s="1">
        <v>0.48372528970700002</v>
      </c>
    </row>
    <row r="215" spans="2:31">
      <c r="B215" s="1" t="s">
        <v>106</v>
      </c>
      <c r="D215" s="1" t="s">
        <v>0</v>
      </c>
      <c r="AE215" s="1">
        <v>0.15516359918200001</v>
      </c>
    </row>
    <row r="216" spans="2:31">
      <c r="B216" s="1" t="s">
        <v>105</v>
      </c>
      <c r="D216" s="1" t="s">
        <v>0</v>
      </c>
    </row>
    <row r="217" spans="2:31">
      <c r="B217" s="1" t="s">
        <v>104</v>
      </c>
      <c r="D217" s="1" t="s">
        <v>0</v>
      </c>
    </row>
    <row r="218" spans="2:31">
      <c r="B218" s="1" t="s">
        <v>103</v>
      </c>
      <c r="D218" s="1" t="s">
        <v>0</v>
      </c>
    </row>
    <row r="219" spans="2:31">
      <c r="B219" s="1" t="s">
        <v>102</v>
      </c>
      <c r="D219" s="1" t="s">
        <v>0</v>
      </c>
    </row>
    <row r="220" spans="2:31">
      <c r="B220" s="1" t="s">
        <v>101</v>
      </c>
      <c r="D220" s="1" t="s">
        <v>0</v>
      </c>
    </row>
    <row r="221" spans="2:31">
      <c r="B221" s="1" t="s">
        <v>100</v>
      </c>
      <c r="D221" s="1" t="s">
        <v>0</v>
      </c>
    </row>
    <row r="222" spans="2:31">
      <c r="B222" s="1" t="s">
        <v>99</v>
      </c>
      <c r="D222" s="1" t="s">
        <v>0</v>
      </c>
      <c r="AE222" s="1">
        <v>0.15516359918200001</v>
      </c>
    </row>
    <row r="223" spans="2:31">
      <c r="B223" s="1" t="s">
        <v>98</v>
      </c>
      <c r="D223" s="1" t="s">
        <v>0</v>
      </c>
      <c r="AE223" s="1">
        <v>8.7082481254000005E-2</v>
      </c>
    </row>
    <row r="224" spans="2:31">
      <c r="B224" s="1" t="s">
        <v>97</v>
      </c>
      <c r="D224" s="1" t="s">
        <v>0</v>
      </c>
    </row>
    <row r="225" spans="2:4">
      <c r="B225" s="1" t="s">
        <v>96</v>
      </c>
      <c r="D225" s="1" t="s">
        <v>0</v>
      </c>
    </row>
    <row r="226" spans="2:4">
      <c r="B226" s="1" t="s">
        <v>95</v>
      </c>
      <c r="D226" s="1" t="s">
        <v>0</v>
      </c>
    </row>
    <row r="227" spans="2:4">
      <c r="B227" s="1" t="s">
        <v>94</v>
      </c>
      <c r="D227" s="1" t="s">
        <v>0</v>
      </c>
    </row>
    <row r="228" spans="2:4">
      <c r="B228" s="1" t="s">
        <v>93</v>
      </c>
      <c r="D228" s="1" t="s">
        <v>0</v>
      </c>
    </row>
    <row r="229" spans="2:4">
      <c r="B229" s="1" t="s">
        <v>92</v>
      </c>
      <c r="D229" s="1" t="s">
        <v>0</v>
      </c>
    </row>
    <row r="230" spans="2:4">
      <c r="B230" s="1" t="s">
        <v>91</v>
      </c>
      <c r="D230" s="1" t="s">
        <v>0</v>
      </c>
    </row>
    <row r="231" spans="2:4">
      <c r="B231" s="1" t="s">
        <v>90</v>
      </c>
      <c r="D231" s="1" t="s">
        <v>0</v>
      </c>
    </row>
    <row r="232" spans="2:4">
      <c r="B232" s="1" t="s">
        <v>89</v>
      </c>
      <c r="D232" s="1" t="s">
        <v>0</v>
      </c>
    </row>
    <row r="233" spans="2:4">
      <c r="B233" s="1" t="s">
        <v>88</v>
      </c>
      <c r="D233" s="1" t="s">
        <v>0</v>
      </c>
    </row>
    <row r="234" spans="2:4">
      <c r="B234" s="1" t="s">
        <v>87</v>
      </c>
      <c r="D234" s="1" t="s">
        <v>0</v>
      </c>
    </row>
    <row r="235" spans="2:4">
      <c r="B235" s="1" t="s">
        <v>86</v>
      </c>
      <c r="D235" s="1" t="s">
        <v>0</v>
      </c>
    </row>
    <row r="236" spans="2:4">
      <c r="B236" s="1" t="s">
        <v>85</v>
      </c>
      <c r="D236" s="1" t="s">
        <v>0</v>
      </c>
    </row>
    <row r="237" spans="2:4">
      <c r="B237" s="1" t="s">
        <v>84</v>
      </c>
      <c r="D237" s="1" t="s">
        <v>0</v>
      </c>
    </row>
    <row r="238" spans="2:4">
      <c r="B238" s="1" t="s">
        <v>83</v>
      </c>
      <c r="D238" s="1" t="s">
        <v>0</v>
      </c>
    </row>
    <row r="239" spans="2:4">
      <c r="B239" s="1" t="s">
        <v>82</v>
      </c>
      <c r="D239" s="1" t="s">
        <v>0</v>
      </c>
    </row>
    <row r="240" spans="2:4">
      <c r="B240" s="1" t="s">
        <v>81</v>
      </c>
      <c r="D240" s="1" t="s">
        <v>0</v>
      </c>
    </row>
    <row r="241" spans="2:4">
      <c r="B241" s="1" t="s">
        <v>80</v>
      </c>
      <c r="D241" s="1" t="s">
        <v>0</v>
      </c>
    </row>
    <row r="242" spans="2:4">
      <c r="B242" s="1" t="s">
        <v>79</v>
      </c>
      <c r="D242" s="1" t="s">
        <v>0</v>
      </c>
    </row>
    <row r="243" spans="2:4">
      <c r="B243" s="1" t="s">
        <v>78</v>
      </c>
      <c r="D243" s="1" t="s">
        <v>0</v>
      </c>
    </row>
    <row r="244" spans="2:4">
      <c r="B244" s="1" t="s">
        <v>77</v>
      </c>
      <c r="D244" s="1" t="s">
        <v>0</v>
      </c>
    </row>
    <row r="245" spans="2:4">
      <c r="B245" s="1" t="s">
        <v>76</v>
      </c>
      <c r="D245" s="1" t="s">
        <v>0</v>
      </c>
    </row>
    <row r="246" spans="2:4">
      <c r="B246" s="1" t="s">
        <v>75</v>
      </c>
      <c r="D246" s="1" t="s">
        <v>0</v>
      </c>
    </row>
    <row r="247" spans="2:4">
      <c r="B247" s="1" t="s">
        <v>74</v>
      </c>
      <c r="D247" s="1" t="s">
        <v>0</v>
      </c>
    </row>
    <row r="248" spans="2:4">
      <c r="B248" s="1" t="s">
        <v>73</v>
      </c>
      <c r="D248" s="1" t="s">
        <v>0</v>
      </c>
    </row>
    <row r="249" spans="2:4">
      <c r="B249" s="1" t="s">
        <v>72</v>
      </c>
      <c r="D249" s="1" t="s">
        <v>0</v>
      </c>
    </row>
    <row r="250" spans="2:4">
      <c r="B250" s="1" t="s">
        <v>71</v>
      </c>
      <c r="D250" s="1" t="s">
        <v>0</v>
      </c>
    </row>
    <row r="251" spans="2:4">
      <c r="B251" s="1" t="s">
        <v>70</v>
      </c>
      <c r="D251" s="1" t="s">
        <v>0</v>
      </c>
    </row>
    <row r="252" spans="2:4">
      <c r="B252" s="1" t="s">
        <v>69</v>
      </c>
      <c r="D252" s="1" t="s">
        <v>0</v>
      </c>
    </row>
    <row r="253" spans="2:4">
      <c r="B253" s="1" t="s">
        <v>68</v>
      </c>
      <c r="D253" s="1" t="s">
        <v>0</v>
      </c>
    </row>
    <row r="254" spans="2:4">
      <c r="B254" s="1" t="s">
        <v>67</v>
      </c>
      <c r="D254" s="1" t="s">
        <v>0</v>
      </c>
    </row>
    <row r="255" spans="2:4">
      <c r="B255" s="1" t="s">
        <v>66</v>
      </c>
      <c r="D255" s="1" t="s">
        <v>0</v>
      </c>
    </row>
    <row r="256" spans="2:4">
      <c r="B256" s="1" t="s">
        <v>65</v>
      </c>
      <c r="D256" s="1" t="s">
        <v>0</v>
      </c>
    </row>
    <row r="257" spans="2:28">
      <c r="B257" s="1" t="s">
        <v>64</v>
      </c>
      <c r="D257" s="1" t="s">
        <v>0</v>
      </c>
    </row>
    <row r="258" spans="2:28">
      <c r="B258" s="1" t="s">
        <v>63</v>
      </c>
      <c r="D258" s="1" t="s">
        <v>0</v>
      </c>
    </row>
    <row r="259" spans="2:28">
      <c r="B259" s="1" t="s">
        <v>62</v>
      </c>
      <c r="D259" s="1" t="s">
        <v>0</v>
      </c>
    </row>
    <row r="260" spans="2:28">
      <c r="B260" s="1" t="s">
        <v>61</v>
      </c>
      <c r="D260" s="1" t="s">
        <v>0</v>
      </c>
    </row>
    <row r="261" spans="2:28">
      <c r="B261" s="1" t="s">
        <v>60</v>
      </c>
      <c r="D261" s="1" t="s">
        <v>0</v>
      </c>
      <c r="Y261" s="1">
        <v>0</v>
      </c>
      <c r="AB261" s="1">
        <v>0</v>
      </c>
    </row>
    <row r="262" spans="2:28">
      <c r="B262" s="1" t="s">
        <v>59</v>
      </c>
      <c r="D262" s="1" t="s">
        <v>0</v>
      </c>
      <c r="Y262" s="1">
        <v>0.76</v>
      </c>
      <c r="AB262" s="1">
        <v>0.76</v>
      </c>
    </row>
    <row r="263" spans="2:28">
      <c r="B263" s="1" t="s">
        <v>58</v>
      </c>
      <c r="D263" s="1" t="s">
        <v>0</v>
      </c>
      <c r="Y263" s="1">
        <v>0.24</v>
      </c>
      <c r="AB263" s="1">
        <v>0.24</v>
      </c>
    </row>
    <row r="264" spans="2:28">
      <c r="B264" s="1" t="s">
        <v>57</v>
      </c>
      <c r="D264" s="1" t="s">
        <v>0</v>
      </c>
    </row>
    <row r="265" spans="2:28">
      <c r="B265" s="1" t="s">
        <v>56</v>
      </c>
      <c r="D265" s="1" t="s">
        <v>0</v>
      </c>
    </row>
    <row r="266" spans="2:28">
      <c r="B266" s="1" t="s">
        <v>55</v>
      </c>
      <c r="D266" s="1" t="s">
        <v>0</v>
      </c>
    </row>
    <row r="267" spans="2:28">
      <c r="B267" s="1" t="s">
        <v>54</v>
      </c>
      <c r="D267" s="1" t="s">
        <v>0</v>
      </c>
    </row>
    <row r="268" spans="2:28">
      <c r="B268" s="1" t="s">
        <v>53</v>
      </c>
      <c r="D268" s="1" t="s">
        <v>0</v>
      </c>
    </row>
    <row r="269" spans="2:28">
      <c r="B269" s="1" t="s">
        <v>52</v>
      </c>
      <c r="D269" s="1" t="s">
        <v>0</v>
      </c>
    </row>
    <row r="270" spans="2:28">
      <c r="B270" s="1" t="s">
        <v>51</v>
      </c>
      <c r="D270" s="1" t="s">
        <v>0</v>
      </c>
    </row>
    <row r="271" spans="2:28">
      <c r="B271" s="1" t="s">
        <v>50</v>
      </c>
      <c r="D271" s="1" t="s">
        <v>0</v>
      </c>
    </row>
    <row r="272" spans="2:28">
      <c r="B272" s="1" t="s">
        <v>49</v>
      </c>
      <c r="D272" s="1" t="s">
        <v>0</v>
      </c>
    </row>
    <row r="273" spans="2:31">
      <c r="B273" s="1" t="s">
        <v>48</v>
      </c>
      <c r="D273" s="1" t="s">
        <v>0</v>
      </c>
    </row>
    <row r="274" spans="2:31">
      <c r="B274" s="1" t="s">
        <v>47</v>
      </c>
      <c r="D274" s="1" t="s">
        <v>0</v>
      </c>
    </row>
    <row r="275" spans="2:31">
      <c r="B275" s="1" t="s">
        <v>46</v>
      </c>
      <c r="D275" s="1" t="s">
        <v>0</v>
      </c>
    </row>
    <row r="276" spans="2:31">
      <c r="B276" s="1" t="s">
        <v>45</v>
      </c>
      <c r="D276" s="1" t="s">
        <v>0</v>
      </c>
    </row>
    <row r="277" spans="2:31">
      <c r="B277" s="1" t="s">
        <v>44</v>
      </c>
      <c r="D277" s="1" t="s">
        <v>0</v>
      </c>
    </row>
    <row r="278" spans="2:31">
      <c r="B278" s="1" t="s">
        <v>43</v>
      </c>
      <c r="D278" s="1" t="s">
        <v>0</v>
      </c>
    </row>
    <row r="279" spans="2:31">
      <c r="B279" s="1" t="s">
        <v>42</v>
      </c>
      <c r="D279" s="1" t="s">
        <v>0</v>
      </c>
    </row>
    <row r="280" spans="2:31">
      <c r="B280" s="1" t="s">
        <v>41</v>
      </c>
      <c r="D280" s="1" t="s">
        <v>0</v>
      </c>
    </row>
    <row r="281" spans="2:31">
      <c r="B281" s="1" t="s">
        <v>40</v>
      </c>
      <c r="D281" s="1" t="s">
        <v>0</v>
      </c>
    </row>
    <row r="282" spans="2:31">
      <c r="B282" s="1" t="s">
        <v>39</v>
      </c>
      <c r="D282" s="1" t="s">
        <v>0</v>
      </c>
      <c r="AE282" s="1">
        <v>0</v>
      </c>
    </row>
    <row r="283" spans="2:31">
      <c r="B283" s="1" t="s">
        <v>38</v>
      </c>
      <c r="D283" s="1" t="s">
        <v>0</v>
      </c>
      <c r="AE283" s="1">
        <v>0.76</v>
      </c>
    </row>
    <row r="284" spans="2:31">
      <c r="B284" s="1" t="s">
        <v>37</v>
      </c>
      <c r="D284" s="1" t="s">
        <v>0</v>
      </c>
      <c r="AE284" s="1">
        <v>0.24</v>
      </c>
    </row>
    <row r="285" spans="2:31">
      <c r="B285" s="1" t="s">
        <v>36</v>
      </c>
      <c r="D285" s="1" t="s">
        <v>0</v>
      </c>
    </row>
    <row r="286" spans="2:31">
      <c r="B286" s="1" t="s">
        <v>35</v>
      </c>
      <c r="D286" s="1" t="s">
        <v>0</v>
      </c>
    </row>
    <row r="287" spans="2:31">
      <c r="B287" s="1" t="s">
        <v>34</v>
      </c>
      <c r="D287" s="1" t="s">
        <v>0</v>
      </c>
    </row>
    <row r="288" spans="2:31">
      <c r="B288" s="1" t="s">
        <v>33</v>
      </c>
      <c r="D288" s="1" t="s">
        <v>0</v>
      </c>
    </row>
    <row r="289" spans="2:4">
      <c r="B289" s="1" t="s">
        <v>32</v>
      </c>
      <c r="D289" s="1" t="s">
        <v>0</v>
      </c>
    </row>
    <row r="290" spans="2:4">
      <c r="B290" s="1" t="s">
        <v>31</v>
      </c>
      <c r="D290" s="1" t="s">
        <v>0</v>
      </c>
    </row>
    <row r="291" spans="2:4">
      <c r="B291" s="1" t="s">
        <v>30</v>
      </c>
      <c r="D291" s="1" t="s">
        <v>0</v>
      </c>
    </row>
    <row r="292" spans="2:4">
      <c r="B292" s="1" t="s">
        <v>29</v>
      </c>
      <c r="D292" s="1" t="s">
        <v>0</v>
      </c>
    </row>
    <row r="293" spans="2:4">
      <c r="B293" s="1" t="s">
        <v>28</v>
      </c>
      <c r="D293" s="1" t="s">
        <v>0</v>
      </c>
    </row>
    <row r="294" spans="2:4">
      <c r="B294" s="1" t="s">
        <v>27</v>
      </c>
      <c r="D294" s="1" t="s">
        <v>0</v>
      </c>
    </row>
    <row r="295" spans="2:4">
      <c r="B295" s="1" t="s">
        <v>26</v>
      </c>
      <c r="D295" s="1" t="s">
        <v>0</v>
      </c>
    </row>
    <row r="296" spans="2:4">
      <c r="B296" s="1" t="s">
        <v>25</v>
      </c>
      <c r="D296" s="1" t="s">
        <v>0</v>
      </c>
    </row>
    <row r="297" spans="2:4">
      <c r="B297" s="1" t="s">
        <v>24</v>
      </c>
      <c r="D297" s="1" t="s">
        <v>0</v>
      </c>
    </row>
    <row r="298" spans="2:4">
      <c r="B298" s="1" t="s">
        <v>23</v>
      </c>
      <c r="D298" s="1" t="s">
        <v>0</v>
      </c>
    </row>
    <row r="299" spans="2:4">
      <c r="B299" s="1" t="s">
        <v>22</v>
      </c>
      <c r="D299" s="1" t="s">
        <v>0</v>
      </c>
    </row>
    <row r="300" spans="2:4">
      <c r="B300" s="1" t="s">
        <v>21</v>
      </c>
      <c r="D300" s="1" t="s">
        <v>0</v>
      </c>
    </row>
    <row r="301" spans="2:4">
      <c r="B301" s="1" t="s">
        <v>20</v>
      </c>
      <c r="D301" s="1" t="s">
        <v>0</v>
      </c>
    </row>
    <row r="302" spans="2:4">
      <c r="B302" s="1" t="s">
        <v>19</v>
      </c>
      <c r="D302" s="1" t="s">
        <v>0</v>
      </c>
    </row>
    <row r="303" spans="2:4">
      <c r="B303" s="1" t="s">
        <v>18</v>
      </c>
      <c r="D303" s="1" t="s">
        <v>0</v>
      </c>
    </row>
    <row r="304" spans="2:4">
      <c r="B304" s="1" t="s">
        <v>17</v>
      </c>
      <c r="D304" s="1" t="s">
        <v>0</v>
      </c>
    </row>
    <row r="305" spans="2:4">
      <c r="B305" s="1" t="s">
        <v>16</v>
      </c>
      <c r="D305" s="1" t="s">
        <v>0</v>
      </c>
    </row>
    <row r="306" spans="2:4">
      <c r="B306" s="1" t="s">
        <v>15</v>
      </c>
      <c r="D306" s="1" t="s">
        <v>0</v>
      </c>
    </row>
    <row r="307" spans="2:4">
      <c r="B307" s="1" t="s">
        <v>14</v>
      </c>
      <c r="D307" s="1" t="s">
        <v>0</v>
      </c>
    </row>
    <row r="308" spans="2:4">
      <c r="B308" s="1" t="s">
        <v>13</v>
      </c>
      <c r="D308" s="1" t="s">
        <v>0</v>
      </c>
    </row>
    <row r="309" spans="2:4">
      <c r="B309" s="1" t="s">
        <v>12</v>
      </c>
      <c r="D309" s="1" t="s">
        <v>0</v>
      </c>
    </row>
    <row r="310" spans="2:4">
      <c r="B310" s="1" t="s">
        <v>11</v>
      </c>
      <c r="D310" s="1" t="s">
        <v>0</v>
      </c>
    </row>
    <row r="311" spans="2:4">
      <c r="B311" s="1" t="s">
        <v>10</v>
      </c>
      <c r="D311" s="1" t="s">
        <v>0</v>
      </c>
    </row>
    <row r="312" spans="2:4">
      <c r="B312" s="1" t="s">
        <v>9</v>
      </c>
      <c r="D312" s="1" t="s">
        <v>0</v>
      </c>
    </row>
    <row r="313" spans="2:4">
      <c r="B313" s="1" t="s">
        <v>8</v>
      </c>
      <c r="D313" s="1" t="s">
        <v>0</v>
      </c>
    </row>
    <row r="314" spans="2:4">
      <c r="B314" s="1" t="s">
        <v>7</v>
      </c>
      <c r="D314" s="1" t="s">
        <v>0</v>
      </c>
    </row>
    <row r="315" spans="2:4">
      <c r="B315" s="1" t="s">
        <v>6</v>
      </c>
      <c r="D315" s="1" t="s">
        <v>0</v>
      </c>
    </row>
    <row r="316" spans="2:4">
      <c r="B316" s="1" t="s">
        <v>5</v>
      </c>
      <c r="D316" s="1" t="s">
        <v>0</v>
      </c>
    </row>
    <row r="317" spans="2:4">
      <c r="B317" s="1" t="s">
        <v>4</v>
      </c>
      <c r="D317" s="1" t="s">
        <v>0</v>
      </c>
    </row>
    <row r="318" spans="2:4">
      <c r="B318" s="1" t="s">
        <v>3</v>
      </c>
      <c r="D318" s="1" t="s">
        <v>0</v>
      </c>
    </row>
    <row r="319" spans="2:4">
      <c r="B319" s="1" t="s">
        <v>2</v>
      </c>
      <c r="D319" s="1" t="s">
        <v>0</v>
      </c>
    </row>
    <row r="320" spans="2:4">
      <c r="B320" s="1" t="s">
        <v>1</v>
      </c>
      <c r="D320" s="1" t="s">
        <v>0</v>
      </c>
    </row>
  </sheetData>
  <pageMargins left="0.7" right="0.7" top="0.75" bottom="0.75" header="0.3" footer="0.3"/>
  <pageSetup paperSize="9" orientation="portrait" r:id="rId1"/>
  <customProperties>
    <customPr name="LIVENUMBERS" r:id="rId2"/>
    <customPr name="Password" r:id="rId3"/>
    <customPr name="Qube.Worksheet.Visibility" r:id="rId4"/>
    <customPr name="REORDER" r:id="rId5"/>
  </customPropertie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theme="0"/>
  </sheetPr>
  <dimension ref="A1:I27"/>
  <sheetViews>
    <sheetView showGridLines="0" tabSelected="1" workbookViewId="0"/>
  </sheetViews>
  <sheetFormatPr defaultColWidth="0" defaultRowHeight="12.75" customHeight="1" zeroHeight="1"/>
  <cols>
    <col min="1" max="1" width="8" style="167" customWidth="1"/>
    <col min="2" max="2" width="35" style="167" customWidth="1"/>
    <col min="3" max="3" width="15.875" style="167" customWidth="1"/>
    <col min="4" max="5" width="20" style="167" customWidth="1"/>
    <col min="6" max="16384" width="8" style="167" hidden="1"/>
  </cols>
  <sheetData>
    <row r="1" spans="1:9" ht="9.75" customHeight="1"/>
    <row r="2" spans="1:9" ht="21">
      <c r="A2" s="168" t="s">
        <v>1443</v>
      </c>
      <c r="B2" s="169"/>
      <c r="C2" s="169"/>
      <c r="D2" s="169"/>
      <c r="E2" s="169"/>
    </row>
    <row r="3" spans="1:9" ht="21">
      <c r="A3" s="168" t="s">
        <v>1444</v>
      </c>
      <c r="B3" s="169"/>
      <c r="C3" s="169"/>
      <c r="D3" s="169"/>
      <c r="E3" s="169"/>
    </row>
    <row r="4" spans="1:9" ht="21">
      <c r="A4" s="168" t="s">
        <v>1445</v>
      </c>
      <c r="B4" s="169"/>
      <c r="C4" s="169"/>
      <c r="D4" s="169"/>
      <c r="E4" s="169"/>
    </row>
    <row r="5" spans="1:9" ht="6" customHeight="1"/>
    <row r="6" spans="1:9" s="173" customFormat="1" ht="18" customHeight="1">
      <c r="A6" s="170"/>
      <c r="B6" s="171" t="s">
        <v>734</v>
      </c>
      <c r="C6" s="172"/>
      <c r="D6" s="170"/>
      <c r="E6" s="170"/>
    </row>
    <row r="7" spans="1:9" s="177" customFormat="1" ht="18" customHeight="1">
      <c r="A7" s="174"/>
      <c r="B7" s="175" t="s">
        <v>1446</v>
      </c>
      <c r="C7" s="176">
        <v>45919</v>
      </c>
      <c r="D7" s="174"/>
      <c r="E7" s="174"/>
      <c r="I7" s="177" t="s">
        <v>1447</v>
      </c>
    </row>
    <row r="8" spans="1:9" ht="6" customHeight="1"/>
    <row r="9" spans="1:9" s="179" customFormat="1" ht="18" customHeight="1">
      <c r="A9" s="170"/>
      <c r="B9" s="178" t="s">
        <v>1448</v>
      </c>
      <c r="C9" s="170"/>
      <c r="D9" s="170"/>
      <c r="E9" s="170"/>
    </row>
    <row r="10" spans="1:9" s="177" customFormat="1" ht="18" customHeight="1">
      <c r="A10" s="174"/>
      <c r="B10" s="180" t="s">
        <v>2100</v>
      </c>
      <c r="C10" s="174"/>
      <c r="D10" s="174"/>
      <c r="E10" s="174"/>
    </row>
    <row r="11" spans="1:9" s="177" customFormat="1" ht="18" customHeight="1">
      <c r="A11" s="174"/>
      <c r="B11" s="181" t="s">
        <v>2101</v>
      </c>
      <c r="C11" s="182"/>
      <c r="D11" s="182"/>
      <c r="E11" s="182"/>
    </row>
    <row r="12" spans="1:9" s="177" customFormat="1" ht="18" customHeight="1">
      <c r="A12" s="174"/>
      <c r="B12" s="180" t="s">
        <v>1638</v>
      </c>
      <c r="C12" s="174"/>
      <c r="D12" s="174"/>
      <c r="E12" s="174"/>
    </row>
    <row r="13" spans="1:9" s="177" customFormat="1" ht="18" customHeight="1">
      <c r="A13" s="174"/>
      <c r="B13" s="1661" t="s">
        <v>2102</v>
      </c>
      <c r="C13" s="174"/>
      <c r="D13" s="174"/>
      <c r="E13" s="174"/>
    </row>
    <row r="14" spans="1:9" s="177" customFormat="1" ht="18" customHeight="1">
      <c r="A14" s="174"/>
      <c r="B14" s="181" t="s">
        <v>2103</v>
      </c>
      <c r="C14" s="174"/>
      <c r="D14" s="174"/>
      <c r="E14" s="174"/>
    </row>
    <row r="15" spans="1:9" s="177" customFormat="1" ht="18" customHeight="1">
      <c r="A15" s="174"/>
      <c r="B15" s="183"/>
      <c r="C15" s="174"/>
      <c r="D15" s="174"/>
      <c r="E15" s="174"/>
    </row>
    <row r="16" spans="1:9" s="177" customFormat="1" ht="18" customHeight="1">
      <c r="A16" s="174"/>
      <c r="B16" s="183"/>
      <c r="C16" s="182"/>
      <c r="D16" s="182"/>
      <c r="E16" s="182"/>
    </row>
    <row r="17" spans="1:5" s="177" customFormat="1" ht="18" customHeight="1">
      <c r="A17" s="167"/>
      <c r="B17" s="167"/>
      <c r="C17" s="167"/>
      <c r="D17" s="167"/>
      <c r="E17" s="167"/>
    </row>
    <row r="18" spans="1:5" hidden="1"/>
    <row r="19" spans="1:5" hidden="1"/>
    <row r="20" spans="1:5" hidden="1"/>
    <row r="21" spans="1:5" hidden="1"/>
    <row r="22" spans="1:5" hidden="1"/>
    <row r="23" spans="1:5" hidden="1"/>
    <row r="24" spans="1:5" hidden="1"/>
    <row r="25" spans="1:5" hidden="1"/>
    <row r="26" spans="1:5" hidden="1"/>
    <row r="27" spans="1:5" hidden="1"/>
  </sheetData>
  <protectedRanges>
    <protectedRange password="EFD2" sqref="C10:E10 C7:E8 C12:E15" name="Cover_2_1"/>
    <protectedRange password="EFD2" sqref="C11:E11" name="Cover_1_1_1"/>
    <protectedRange password="EFD2" sqref="B10" name="Cover_2_1_1_1_1"/>
    <protectedRange password="EFD2" sqref="B12" name="Cover_2_1_1_1_1_1_1"/>
  </protectedRanges>
  <pageMargins left="0.7" right="0.7" top="0.75" bottom="0.75" header="0.3" footer="0.3"/>
  <pageSetup paperSize="9" orientation="portrait" r:id="rId1"/>
  <customProperties>
    <customPr name="Qube.Worksheet.Visibility" r:id="rId2"/>
    <customPr name="QXL_SHEET_ID" r:id="rId3"/>
  </customProperties>
  <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523339-EC58-4CA5-842D-836DC86427BE}">
  <sheetPr>
    <tabColor rgb="FF002060"/>
    <pageSetUpPr fitToPage="1"/>
  </sheetPr>
  <dimension ref="A1:Q46"/>
  <sheetViews>
    <sheetView showGridLines="0" zoomScaleNormal="100" workbookViewId="0"/>
  </sheetViews>
  <sheetFormatPr defaultColWidth="9" defaultRowHeight="12.75"/>
  <cols>
    <col min="1" max="1" width="9" style="1569"/>
    <col min="2" max="2" width="25" style="1569" bestFit="1" customWidth="1"/>
    <col min="3" max="14" width="10.625" style="1569" customWidth="1"/>
    <col min="15" max="15" width="9" style="1569"/>
    <col min="16" max="17" width="12.625" style="1569" customWidth="1"/>
    <col min="18" max="18" width="9" style="1569"/>
    <col min="19" max="19" width="22.25" style="1569" bestFit="1" customWidth="1"/>
    <col min="20" max="16384" width="9" style="1569"/>
  </cols>
  <sheetData>
    <row r="1" spans="1:17">
      <c r="A1" s="1568"/>
    </row>
    <row r="3" spans="1:17">
      <c r="O3" s="1657"/>
      <c r="P3" s="1657"/>
      <c r="Q3" s="1657"/>
    </row>
    <row r="4" spans="1:17">
      <c r="B4" s="1570" t="s">
        <v>1887</v>
      </c>
      <c r="C4" s="1570">
        <v>2026</v>
      </c>
      <c r="D4" s="1570">
        <v>2027</v>
      </c>
      <c r="E4" s="1570">
        <v>2028</v>
      </c>
      <c r="F4" s="1570">
        <v>2029</v>
      </c>
      <c r="G4" s="1570">
        <v>2030</v>
      </c>
      <c r="H4" s="1570">
        <v>2031</v>
      </c>
      <c r="I4" s="1570">
        <v>2032</v>
      </c>
      <c r="J4" s="1570">
        <v>2033</v>
      </c>
      <c r="K4" s="1570">
        <v>2034</v>
      </c>
      <c r="L4" s="1570">
        <v>2035</v>
      </c>
      <c r="M4" s="1571"/>
      <c r="O4" s="1658" t="s">
        <v>1741</v>
      </c>
      <c r="P4" s="1658"/>
      <c r="Q4" s="1657"/>
    </row>
    <row r="5" spans="1:17">
      <c r="B5" s="1569" t="s">
        <v>1741</v>
      </c>
      <c r="C5" s="1572">
        <f>'DCF Feed'!C4</f>
        <v>6014.912862687469</v>
      </c>
      <c r="D5" s="1572">
        <f>'DCF Feed'!D4</f>
        <v>6844.9823785453691</v>
      </c>
      <c r="E5" s="1572">
        <f>'DCF Feed'!E4</f>
        <v>7604.1887309951189</v>
      </c>
      <c r="F5" s="1572">
        <f>'DCF Feed'!F4</f>
        <v>8050.4884032810423</v>
      </c>
      <c r="G5" s="1572">
        <f>'DCF Feed'!G4</f>
        <v>8490.6102037785913</v>
      </c>
      <c r="H5" s="1572"/>
      <c r="I5" s="1572"/>
      <c r="J5" s="1572"/>
      <c r="K5" s="1572"/>
      <c r="L5" s="1572"/>
      <c r="M5" s="1573"/>
      <c r="O5" s="1658">
        <v>3</v>
      </c>
      <c r="P5" s="1658">
        <v>2025</v>
      </c>
      <c r="Q5" s="1657"/>
    </row>
    <row r="6" spans="1:17">
      <c r="B6" s="1574" t="s">
        <v>2069</v>
      </c>
      <c r="C6" s="1575">
        <f>-'DCF Feed'!C10</f>
        <v>0.25</v>
      </c>
      <c r="D6" s="1575">
        <f>-'DCF Feed'!D10</f>
        <v>0.25</v>
      </c>
      <c r="E6" s="1575">
        <f>-'DCF Feed'!E10</f>
        <v>0.25</v>
      </c>
      <c r="F6" s="1575">
        <f>-'DCF Feed'!F10</f>
        <v>0.25</v>
      </c>
      <c r="G6" s="1575">
        <f>-'DCF Feed'!G10</f>
        <v>0.25</v>
      </c>
      <c r="H6" s="1575"/>
      <c r="I6" s="1575"/>
      <c r="J6" s="1575"/>
      <c r="K6" s="1575"/>
      <c r="L6" s="1575"/>
      <c r="O6" s="1658">
        <f>12-O5</f>
        <v>9</v>
      </c>
      <c r="P6" s="1658">
        <f>+P5+1</f>
        <v>2026</v>
      </c>
      <c r="Q6" s="1657"/>
    </row>
    <row r="7" spans="1:17">
      <c r="B7" s="1569" t="s">
        <v>1983</v>
      </c>
      <c r="C7" s="1572">
        <f>C5*(1-C6)</f>
        <v>4511.1846470156015</v>
      </c>
      <c r="D7" s="1572">
        <f t="shared" ref="D7:G7" si="0">D5*(1-D6)</f>
        <v>5133.7367839090266</v>
      </c>
      <c r="E7" s="1572">
        <f t="shared" si="0"/>
        <v>5703.141548246339</v>
      </c>
      <c r="F7" s="1572">
        <f t="shared" si="0"/>
        <v>6037.8663024607813</v>
      </c>
      <c r="G7" s="1572">
        <f t="shared" si="0"/>
        <v>6367.9576528339439</v>
      </c>
      <c r="H7" s="1572"/>
      <c r="I7" s="1572"/>
      <c r="J7" s="1572"/>
      <c r="K7" s="1572"/>
      <c r="L7" s="1572"/>
      <c r="O7" s="1659"/>
      <c r="P7" s="1659"/>
      <c r="Q7" s="1657"/>
    </row>
    <row r="8" spans="1:17">
      <c r="B8" s="1569" t="s">
        <v>1129</v>
      </c>
      <c r="C8" s="1573">
        <f>INDEX('Income Statement'!192:192, MATCH('DCF Valuation'!C4,'Income Statement'!3:3,0))</f>
        <v>1819.1631042456681</v>
      </c>
      <c r="D8" s="1573">
        <f>INDEX('Income Statement'!192:192, MATCH('DCF Valuation'!D4,'Income Statement'!3:3,0))</f>
        <v>1935.1625545397319</v>
      </c>
      <c r="E8" s="1573">
        <f>INDEX('Income Statement'!192:192, MATCH('DCF Valuation'!E4,'Income Statement'!3:3,0))</f>
        <v>2098.9075231837023</v>
      </c>
      <c r="F8" s="1573">
        <f>INDEX('Income Statement'!192:192, MATCH('DCF Valuation'!F4,'Income Statement'!3:3,0))</f>
        <v>2201.9771920158687</v>
      </c>
      <c r="G8" s="1573">
        <f>INDEX('Income Statement'!192:192, MATCH('DCF Valuation'!G4,'Income Statement'!3:3,0))</f>
        <v>2308.5662499416876</v>
      </c>
      <c r="H8" s="1572"/>
      <c r="I8" s="1572"/>
      <c r="J8" s="1572"/>
      <c r="K8" s="1572"/>
      <c r="L8" s="1572"/>
      <c r="O8" s="1660" t="e">
        <f>(#REF!*0.3)+(C5*0.9)</f>
        <v>#REF!</v>
      </c>
      <c r="P8" s="1658"/>
      <c r="Q8" s="1657"/>
    </row>
    <row r="9" spans="1:17">
      <c r="B9" s="1569" t="s">
        <v>2070</v>
      </c>
      <c r="C9" s="1573">
        <f>INDEX('Cashflow Statement'!22:22, MATCH('DCF Valuation'!C4,'Cashflow Statement'!2:2,0))</f>
        <v>228.01263880030092</v>
      </c>
      <c r="D9" s="1573">
        <f>INDEX('Cashflow Statement'!22:22, MATCH('DCF Valuation'!D4,'Cashflow Statement'!2:2,0))</f>
        <v>-54.587281404747046</v>
      </c>
      <c r="E9" s="1573">
        <f>INDEX('Cashflow Statement'!22:22, MATCH('DCF Valuation'!E4,'Cashflow Statement'!2:2,0))</f>
        <v>-501.92971793559809</v>
      </c>
      <c r="F9" s="1573">
        <f>INDEX('Cashflow Statement'!22:22, MATCH('DCF Valuation'!F4,'Cashflow Statement'!2:2,0))</f>
        <v>-444.89696808365989</v>
      </c>
      <c r="G9" s="1573">
        <f>INDEX('Cashflow Statement'!22:22, MATCH('DCF Valuation'!G4,'Cashflow Statement'!2:2,0))</f>
        <v>-599.4732165548794</v>
      </c>
      <c r="H9" s="1573"/>
      <c r="I9" s="1573"/>
      <c r="J9" s="1573"/>
      <c r="K9" s="1573"/>
      <c r="L9" s="1573"/>
      <c r="O9" s="1657"/>
      <c r="P9" s="1657"/>
      <c r="Q9" s="1657"/>
    </row>
    <row r="10" spans="1:17">
      <c r="B10" s="1569" t="s">
        <v>2071</v>
      </c>
      <c r="C10" s="1573">
        <f>(INDEX('Cashflow Statement'!69:69, MATCH('DCF Valuation'!C4,'Cashflow Statement'!2:2,0)))+INDEX('Cashflow Statement'!70:70, MATCH('DCF Valuation'!C4,'Cashflow Statement'!2:2,0))</f>
        <v>-2103.4318007587094</v>
      </c>
      <c r="D10" s="1573">
        <f>(INDEX('Cashflow Statement'!69:69, MATCH('DCF Valuation'!D4,'Cashflow Statement'!2:2,0)))+INDEX('Cashflow Statement'!70:70, MATCH('DCF Valuation'!D4,'Cashflow Statement'!2:2,0))</f>
        <v>-2076.823632399492</v>
      </c>
      <c r="E10" s="1573">
        <f>(INDEX('Cashflow Statement'!69:69, MATCH('DCF Valuation'!E4,'Cashflow Statement'!2:2,0)))+INDEX('Cashflow Statement'!70:70, MATCH('DCF Valuation'!E4,'Cashflow Statement'!2:2,0))</f>
        <v>-1999.0146582066595</v>
      </c>
      <c r="F10" s="1573">
        <f>(INDEX('Cashflow Statement'!69:69, MATCH('DCF Valuation'!F4,'Cashflow Statement'!2:2,0)))+INDEX('Cashflow Statement'!70:70, MATCH('DCF Valuation'!F4,'Cashflow Statement'!2:2,0))</f>
        <v>-1853.0032568404092</v>
      </c>
      <c r="G10" s="1573">
        <f>(INDEX('Cashflow Statement'!69:69, MATCH('DCF Valuation'!G4,'Cashflow Statement'!2:2,0)))+INDEX('Cashflow Statement'!70:70, MATCH('DCF Valuation'!G4,'Cashflow Statement'!2:2,0))</f>
        <v>-1688.3971010284163</v>
      </c>
      <c r="H10" s="1573"/>
      <c r="I10" s="1573"/>
      <c r="J10" s="1573"/>
      <c r="K10" s="1573"/>
      <c r="L10" s="1573"/>
      <c r="O10" s="1657"/>
      <c r="P10" s="1657"/>
      <c r="Q10" s="1657"/>
    </row>
    <row r="11" spans="1:17">
      <c r="B11" s="1576" t="s">
        <v>2094</v>
      </c>
      <c r="C11" s="1577">
        <f>C7+C8+C9+C10</f>
        <v>4454.9285893028609</v>
      </c>
      <c r="D11" s="1577">
        <f>D7+D8+D9+D10</f>
        <v>4937.4884246445199</v>
      </c>
      <c r="E11" s="1577">
        <f>E7+E8+E9+E10</f>
        <v>5301.1046952877841</v>
      </c>
      <c r="F11" s="1577">
        <f t="shared" ref="F11:G11" si="1">F7+F8+F9+F10</f>
        <v>5941.9432695525811</v>
      </c>
      <c r="G11" s="1577">
        <f t="shared" si="1"/>
        <v>6388.6535851923363</v>
      </c>
      <c r="H11" s="1577">
        <f>G11*(1+H12)</f>
        <v>6737.9225460076832</v>
      </c>
      <c r="I11" s="1577">
        <f>H11*(1+I12)</f>
        <v>7064.7296383252715</v>
      </c>
      <c r="J11" s="1577">
        <f>I11*(1+J12)</f>
        <v>7363.8156693824112</v>
      </c>
      <c r="K11" s="1577">
        <f>J11*(1+K12)</f>
        <v>7630.1468383698993</v>
      </c>
      <c r="L11" s="1577">
        <f>K11*(1+L12)</f>
        <v>7859.0512435209966</v>
      </c>
      <c r="O11" s="1657"/>
      <c r="P11" s="1657"/>
      <c r="Q11" s="1657"/>
    </row>
    <row r="12" spans="1:17">
      <c r="B12" s="1569" t="s">
        <v>1890</v>
      </c>
      <c r="C12" s="1578"/>
      <c r="D12" s="1578">
        <f>'DCF Feed'!D5</f>
        <v>0.13800191869895584</v>
      </c>
      <c r="E12" s="1578">
        <f>'DCF Feed'!E5</f>
        <v>0.11091428881239707</v>
      </c>
      <c r="F12" s="1578">
        <f>'DCF Feed'!F5</f>
        <v>5.8691293453406734E-2</v>
      </c>
      <c r="G12" s="1579">
        <f>'DCF Feed'!G5</f>
        <v>5.4670198682377213E-2</v>
      </c>
      <c r="H12" s="1579">
        <f>G12</f>
        <v>5.4670198682377213E-2</v>
      </c>
      <c r="I12" s="1579">
        <f>H12+(($L$12-$H$12)/4)</f>
        <v>4.850264901178291E-2</v>
      </c>
      <c r="J12" s="1579">
        <f>I12+(($L$12-$H$12)/4)</f>
        <v>4.2335099341188606E-2</v>
      </c>
      <c r="K12" s="1579">
        <f>J12+(($L$12-$H$12)/4)</f>
        <v>3.6167549670594303E-2</v>
      </c>
      <c r="L12" s="1579">
        <f>$D$33</f>
        <v>0.03</v>
      </c>
    </row>
    <row r="13" spans="1:17">
      <c r="B13" s="1569" t="s">
        <v>1436</v>
      </c>
      <c r="C13" s="1579"/>
      <c r="D13" s="1579">
        <f t="shared" ref="D13:L13" si="2">$D$32</f>
        <v>7.325000000000001E-2</v>
      </c>
      <c r="E13" s="1579">
        <f t="shared" si="2"/>
        <v>7.325000000000001E-2</v>
      </c>
      <c r="F13" s="1579">
        <f t="shared" si="2"/>
        <v>7.325000000000001E-2</v>
      </c>
      <c r="G13" s="1579">
        <f t="shared" si="2"/>
        <v>7.325000000000001E-2</v>
      </c>
      <c r="H13" s="1579">
        <f t="shared" si="2"/>
        <v>7.325000000000001E-2</v>
      </c>
      <c r="I13" s="1579">
        <f t="shared" si="2"/>
        <v>7.325000000000001E-2</v>
      </c>
      <c r="J13" s="1579">
        <f t="shared" si="2"/>
        <v>7.325000000000001E-2</v>
      </c>
      <c r="K13" s="1579">
        <f t="shared" si="2"/>
        <v>7.325000000000001E-2</v>
      </c>
      <c r="L13" s="1579">
        <f t="shared" si="2"/>
        <v>7.325000000000001E-2</v>
      </c>
    </row>
    <row r="14" spans="1:17">
      <c r="B14" s="1569" t="s">
        <v>2072</v>
      </c>
      <c r="C14" s="1603"/>
      <c r="D14" s="1616">
        <v>1</v>
      </c>
      <c r="E14" s="1616">
        <f>D14+1</f>
        <v>2</v>
      </c>
      <c r="F14" s="1616">
        <f t="shared" ref="F14:L14" si="3">E14+1</f>
        <v>3</v>
      </c>
      <c r="G14" s="1616">
        <f t="shared" si="3"/>
        <v>4</v>
      </c>
      <c r="H14" s="1616">
        <f t="shared" si="3"/>
        <v>5</v>
      </c>
      <c r="I14" s="1616">
        <f t="shared" si="3"/>
        <v>6</v>
      </c>
      <c r="J14" s="1616">
        <f t="shared" si="3"/>
        <v>7</v>
      </c>
      <c r="K14" s="1616">
        <f t="shared" si="3"/>
        <v>8</v>
      </c>
      <c r="L14" s="1616">
        <f t="shared" si="3"/>
        <v>9</v>
      </c>
    </row>
    <row r="15" spans="1:17">
      <c r="B15" s="1569" t="s">
        <v>2073</v>
      </c>
      <c r="C15" s="1572"/>
      <c r="D15" s="1572">
        <f t="shared" ref="D15:L15" si="4">D11/((1+D13)^D14)</f>
        <v>4600.5016768176283</v>
      </c>
      <c r="E15" s="1572">
        <f t="shared" si="4"/>
        <v>4602.1904533566467</v>
      </c>
      <c r="F15" s="1572">
        <f t="shared" si="4"/>
        <v>4806.4652815153122</v>
      </c>
      <c r="G15" s="1572">
        <f t="shared" si="4"/>
        <v>4815.10488101391</v>
      </c>
      <c r="H15" s="1572">
        <f t="shared" si="4"/>
        <v>4731.7471432894718</v>
      </c>
      <c r="I15" s="1572">
        <f t="shared" si="4"/>
        <v>4622.6409636086155</v>
      </c>
      <c r="J15" s="1572">
        <f t="shared" si="4"/>
        <v>4489.4860731624822</v>
      </c>
      <c r="K15" s="1572">
        <f t="shared" si="4"/>
        <v>4334.3673735933162</v>
      </c>
      <c r="L15" s="1572">
        <f t="shared" si="4"/>
        <v>4159.700344561953</v>
      </c>
      <c r="M15" s="1572">
        <f>SUM(C15:L15)</f>
        <v>41162.204190919336</v>
      </c>
    </row>
    <row r="16" spans="1:17">
      <c r="E16" s="1580"/>
      <c r="F16" s="1580"/>
      <c r="G16" s="1580"/>
    </row>
    <row r="18" spans="2:4">
      <c r="B18" s="1581" t="s">
        <v>2074</v>
      </c>
      <c r="C18" s="1582"/>
      <c r="D18" s="1583"/>
    </row>
    <row r="19" spans="2:4">
      <c r="B19" s="1584" t="s">
        <v>2075</v>
      </c>
      <c r="C19" s="1585" t="s">
        <v>2076</v>
      </c>
      <c r="D19" s="1586">
        <v>3.5000000000000003E-2</v>
      </c>
    </row>
    <row r="20" spans="2:4">
      <c r="B20" s="1584" t="s">
        <v>2077</v>
      </c>
      <c r="C20" s="1585" t="s">
        <v>2076</v>
      </c>
      <c r="D20" s="1586">
        <v>4.4999999999999998E-2</v>
      </c>
    </row>
    <row r="21" spans="2:4">
      <c r="B21" s="1584"/>
      <c r="C21" s="1585"/>
      <c r="D21" s="1586"/>
    </row>
    <row r="22" spans="2:4">
      <c r="B22" s="1584" t="s">
        <v>569</v>
      </c>
      <c r="C22" s="1585" t="s">
        <v>1142</v>
      </c>
      <c r="D22" s="1587">
        <v>0.85</v>
      </c>
    </row>
    <row r="23" spans="2:4">
      <c r="B23" s="1588" t="s">
        <v>2078</v>
      </c>
      <c r="C23" s="1589" t="s">
        <v>2076</v>
      </c>
      <c r="D23" s="1590">
        <f>D19+D22*(D20)</f>
        <v>7.325000000000001E-2</v>
      </c>
    </row>
    <row r="24" spans="2:4">
      <c r="B24" s="1584"/>
      <c r="C24" s="1585"/>
      <c r="D24" s="1591"/>
    </row>
    <row r="25" spans="2:4">
      <c r="B25" s="1584" t="s">
        <v>2079</v>
      </c>
      <c r="C25" s="1585" t="s">
        <v>2076</v>
      </c>
      <c r="D25" s="1586">
        <v>0.04</v>
      </c>
    </row>
    <row r="26" spans="2:4">
      <c r="B26" s="1584" t="s">
        <v>2080</v>
      </c>
      <c r="C26" s="1585" t="s">
        <v>2076</v>
      </c>
      <c r="D26" s="1592">
        <f>C6</f>
        <v>0.25</v>
      </c>
    </row>
    <row r="27" spans="2:4">
      <c r="B27" s="1588" t="s">
        <v>2081</v>
      </c>
      <c r="C27" s="1589" t="s">
        <v>2076</v>
      </c>
      <c r="D27" s="1590">
        <f>D25*(1-D26)</f>
        <v>0.03</v>
      </c>
    </row>
    <row r="28" spans="2:4">
      <c r="B28" s="1584"/>
      <c r="C28" s="1585"/>
      <c r="D28" s="1591"/>
    </row>
    <row r="29" spans="2:4">
      <c r="B29" s="1584" t="s">
        <v>2082</v>
      </c>
      <c r="C29" s="1585" t="s">
        <v>2076</v>
      </c>
      <c r="D29" s="1593">
        <v>1</v>
      </c>
    </row>
    <row r="30" spans="2:4">
      <c r="B30" s="1584" t="s">
        <v>2083</v>
      </c>
      <c r="C30" s="1585" t="s">
        <v>2076</v>
      </c>
      <c r="D30" s="1586">
        <v>0</v>
      </c>
    </row>
    <row r="31" spans="2:4">
      <c r="B31" s="1584"/>
      <c r="C31" s="1585"/>
      <c r="D31" s="1591"/>
    </row>
    <row r="32" spans="2:4">
      <c r="B32" s="1588" t="s">
        <v>1436</v>
      </c>
      <c r="C32" s="1589" t="s">
        <v>2076</v>
      </c>
      <c r="D32" s="1590">
        <f>(D23*D29)+(D30*D27)</f>
        <v>7.325000000000001E-2</v>
      </c>
    </row>
    <row r="33" spans="2:4">
      <c r="B33" s="1594" t="s">
        <v>2084</v>
      </c>
      <c r="C33" s="1595" t="s">
        <v>2076</v>
      </c>
      <c r="D33" s="1596">
        <v>0.03</v>
      </c>
    </row>
    <row r="35" spans="2:4" ht="14.25">
      <c r="B35" s="1597" t="s">
        <v>2074</v>
      </c>
      <c r="C35" s="1598"/>
      <c r="D35" s="1599"/>
    </row>
    <row r="36" spans="2:4">
      <c r="B36" s="1600" t="s">
        <v>2085</v>
      </c>
      <c r="C36" s="1606" t="s">
        <v>2086</v>
      </c>
      <c r="D36" s="1604">
        <f>M15</f>
        <v>41162.204190919336</v>
      </c>
    </row>
    <row r="37" spans="2:4">
      <c r="B37" s="1600" t="s">
        <v>2087</v>
      </c>
      <c r="C37" s="1606" t="s">
        <v>2086</v>
      </c>
      <c r="D37" s="1604">
        <f>L11/(D32-D33)</f>
        <v>181712.16748025423</v>
      </c>
    </row>
    <row r="38" spans="2:4">
      <c r="B38" s="1600" t="s">
        <v>2088</v>
      </c>
      <c r="C38" s="1606" t="s">
        <v>2086</v>
      </c>
      <c r="D38" s="1604">
        <f>D37/(1+L13)^L14</f>
        <v>96178.042648831266</v>
      </c>
    </row>
    <row r="39" spans="2:4">
      <c r="B39" s="1601" t="s">
        <v>2089</v>
      </c>
      <c r="C39" s="1507" t="s">
        <v>2086</v>
      </c>
      <c r="D39" s="1621">
        <f>D36+D38</f>
        <v>137340.24683975062</v>
      </c>
    </row>
    <row r="40" spans="2:4">
      <c r="B40" s="1600" t="s">
        <v>2097</v>
      </c>
      <c r="C40" s="1606" t="s">
        <v>2086</v>
      </c>
      <c r="D40" s="1604">
        <f>'DCF Feed'!C8</f>
        <v>3382.4906324987242</v>
      </c>
    </row>
    <row r="41" spans="2:4">
      <c r="B41" s="1600" t="s">
        <v>1879</v>
      </c>
      <c r="C41" s="1606" t="s">
        <v>2086</v>
      </c>
      <c r="D41" s="1604">
        <f>'DCF Feed'!C9</f>
        <v>-23</v>
      </c>
    </row>
    <row r="42" spans="2:4">
      <c r="B42" s="1600" t="s">
        <v>1896</v>
      </c>
      <c r="C42" s="1606" t="s">
        <v>2086</v>
      </c>
      <c r="D42" s="1604">
        <f>-D41*(D26)</f>
        <v>5.75</v>
      </c>
    </row>
    <row r="43" spans="2:4">
      <c r="B43" s="1601" t="s">
        <v>2090</v>
      </c>
      <c r="C43" s="1507" t="s">
        <v>2086</v>
      </c>
      <c r="D43" s="1618">
        <f>SUM(D39:D42)</f>
        <v>140705.48747224934</v>
      </c>
    </row>
    <row r="44" spans="2:4">
      <c r="B44" s="1600" t="s">
        <v>1340</v>
      </c>
      <c r="C44" s="1606" t="s">
        <v>2091</v>
      </c>
      <c r="D44" s="1605">
        <f>'DCF Feed'!C12</f>
        <v>411.74891437832019</v>
      </c>
    </row>
    <row r="45" spans="2:4">
      <c r="B45" s="1602" t="s">
        <v>2092</v>
      </c>
      <c r="C45" s="1619" t="s">
        <v>2095</v>
      </c>
      <c r="D45" s="1620">
        <f>ROUND(D43/D44,-1)</f>
        <v>340</v>
      </c>
    </row>
    <row r="46" spans="2:4">
      <c r="D46" s="1617"/>
    </row>
  </sheetData>
  <printOptions horizontalCentered="1" verticalCentered="1"/>
  <pageMargins left="0.7" right="0.7" top="0.75" bottom="0.75" header="0.3" footer="0.3"/>
  <pageSetup paperSize="0" scale="35" orientation="portrait" r:id="rId1"/>
  <customProperties>
    <customPr name="Qube.Worksheet.Visibility" r:id="rId2"/>
  </customPropertie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57"/>
  <dimension ref="A1"/>
  <sheetViews>
    <sheetView workbookViewId="0"/>
  </sheetViews>
  <sheetFormatPr defaultRowHeight="14.25"/>
  <sheetData/>
  <pageMargins left="0.7" right="0.7" top="0.75" bottom="0.75" header="0.3" footer="0.3"/>
  <pageSetup paperSize="0" orientation="portrait" r:id="rId1"/>
  <customProperties>
    <customPr name="Qube.Worksheet.Visibility" r:id="rId2"/>
  </customPropertie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8"/>
  <dimension ref="F1:AJ1"/>
  <sheetViews>
    <sheetView workbookViewId="0"/>
  </sheetViews>
  <sheetFormatPr defaultRowHeight="14.25"/>
  <cols>
    <col min="6" max="36" width="8.875" style="4" customWidth="1"/>
  </cols>
  <sheetData/>
  <pageMargins left="0.7" right="0.7" top="0.75" bottom="0.75" header="0.3" footer="0.3"/>
  <pageSetup paperSize="0" orientation="portrait" r:id="rId1"/>
  <customProperties>
    <customPr name="Qube.Worksheet.Visibility" r:id="rId2"/>
  </customPropertie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6"/>
  <dimension ref="A2:S7"/>
  <sheetViews>
    <sheetView workbookViewId="0"/>
  </sheetViews>
  <sheetFormatPr defaultColWidth="9" defaultRowHeight="14.25"/>
  <cols>
    <col min="1" max="1" width="22.875" style="37" customWidth="1"/>
    <col min="2" max="2" width="14" style="37" customWidth="1"/>
    <col min="3" max="3" width="23.375" style="37" customWidth="1"/>
    <col min="4" max="4" width="9.25" style="37" customWidth="1"/>
    <col min="5" max="5" width="55.5" style="37" customWidth="1"/>
    <col min="6" max="6" width="35.75" style="37" customWidth="1"/>
    <col min="7" max="7" width="26.125" style="37" customWidth="1"/>
    <col min="8" max="8" width="22.875" style="37" customWidth="1"/>
    <col min="9" max="16384" width="9" style="37"/>
  </cols>
  <sheetData>
    <row r="2" spans="1:19" ht="25.5">
      <c r="B2" s="1662" t="s">
        <v>1000</v>
      </c>
      <c r="C2" s="1662"/>
      <c r="D2" s="1662"/>
      <c r="E2" s="1662"/>
      <c r="F2" s="42" t="str">
        <f>HYPERLINK("[cleanSafran model WIP.xlsx]SAF.PA_Exchange_Sheet!$A$1","SAF.PA_Exchange_Sheet")</f>
        <v>SAF.PA_Exchange_Sheet</v>
      </c>
    </row>
    <row r="3" spans="1:19" ht="23.25">
      <c r="B3" s="38" t="s">
        <v>1005</v>
      </c>
      <c r="C3" s="38"/>
      <c r="D3" s="38"/>
      <c r="E3" s="38"/>
      <c r="F3" s="43" t="str">
        <f>HYPERLINK("[cleanSafran model WIP.xlsx]QP_SAF.PA_migrated!$A$1","QP_SAF.PA_migrated")</f>
        <v>QP_SAF.PA_migrated</v>
      </c>
    </row>
    <row r="5" spans="1:19" ht="25.5">
      <c r="A5" s="39"/>
      <c r="B5" s="1663" t="s">
        <v>1001</v>
      </c>
      <c r="C5" s="1664"/>
      <c r="D5" s="1664"/>
      <c r="E5" s="1664"/>
      <c r="F5" s="1664"/>
      <c r="G5" s="39"/>
      <c r="H5" s="39"/>
      <c r="I5" s="39"/>
      <c r="J5" s="39"/>
      <c r="K5" s="39"/>
      <c r="L5" s="39"/>
      <c r="M5" s="39"/>
      <c r="N5" s="39"/>
      <c r="O5" s="39"/>
      <c r="P5" s="39"/>
      <c r="Q5" s="39"/>
      <c r="R5" s="39"/>
      <c r="S5" s="39"/>
    </row>
    <row r="6" spans="1:19" ht="15">
      <c r="B6" s="40" t="s">
        <v>1002</v>
      </c>
      <c r="C6" s="1665" t="s">
        <v>1003</v>
      </c>
      <c r="D6" s="1666"/>
      <c r="E6" s="1667" t="s">
        <v>1004</v>
      </c>
      <c r="F6" s="1666"/>
    </row>
    <row r="7" spans="1:19">
      <c r="C7" s="41"/>
      <c r="D7" s="41"/>
    </row>
  </sheetData>
  <mergeCells count="4">
    <mergeCell ref="B2:E2"/>
    <mergeCell ref="B5:F5"/>
    <mergeCell ref="C6:D6"/>
    <mergeCell ref="E6:F6"/>
  </mergeCells>
  <conditionalFormatting sqref="B2:E2">
    <cfRule type="containsText" dxfId="13" priority="1" operator="containsText" text="error">
      <formula>NOT(ISERROR(SEARCH("error",B2)))</formula>
    </cfRule>
  </conditionalFormatting>
  <pageMargins left="0.7" right="0.7" top="0.75" bottom="0.75" header="0.3" footer="0.3"/>
  <pageSetup orientation="portrait" r:id="rId1"/>
  <customProperties>
    <customPr name="Qube.Worksheet.Visibility" r:id="rId2"/>
  </customPropertie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A1:AO409"/>
  <sheetViews>
    <sheetView workbookViewId="0"/>
  </sheetViews>
  <sheetFormatPr defaultColWidth="9" defaultRowHeight="14.25"/>
  <cols>
    <col min="1" max="1" width="3.25" style="4" customWidth="1"/>
    <col min="2" max="2" width="22.5" style="4" customWidth="1"/>
    <col min="3" max="3" width="22.25" style="4" customWidth="1"/>
    <col min="4" max="4" width="9" style="4"/>
    <col min="5" max="5" width="14.25" style="4" customWidth="1"/>
    <col min="6" max="36" width="8.625" customWidth="1"/>
    <col min="37" max="16384" width="9" style="4"/>
  </cols>
  <sheetData>
    <row r="1" spans="1:40" s="35" customFormat="1" ht="11.25">
      <c r="A1" s="36" t="s">
        <v>741</v>
      </c>
      <c r="F1" s="35">
        <v>1998</v>
      </c>
      <c r="G1" s="35">
        <v>1999</v>
      </c>
      <c r="H1" s="35">
        <v>2000</v>
      </c>
      <c r="I1" s="35">
        <v>2001</v>
      </c>
      <c r="J1" s="35">
        <v>2002</v>
      </c>
      <c r="K1" s="35">
        <v>2003</v>
      </c>
      <c r="L1" s="35">
        <v>2004</v>
      </c>
      <c r="M1" s="35">
        <v>2005</v>
      </c>
      <c r="N1" s="35" t="s">
        <v>331</v>
      </c>
      <c r="O1" s="35" t="s">
        <v>330</v>
      </c>
      <c r="P1" s="35">
        <v>2006</v>
      </c>
      <c r="Q1" s="35" t="s">
        <v>329</v>
      </c>
      <c r="R1" s="35" t="s">
        <v>328</v>
      </c>
      <c r="S1" s="35">
        <v>2007</v>
      </c>
      <c r="T1" s="35" t="s">
        <v>327</v>
      </c>
      <c r="U1" s="35" t="s">
        <v>326</v>
      </c>
      <c r="V1" s="35">
        <v>2008</v>
      </c>
      <c r="W1" s="35" t="s">
        <v>325</v>
      </c>
      <c r="X1" s="35" t="s">
        <v>324</v>
      </c>
      <c r="Y1" s="35">
        <v>2009</v>
      </c>
      <c r="Z1" s="35" t="s">
        <v>323</v>
      </c>
      <c r="AA1" s="35" t="s">
        <v>322</v>
      </c>
      <c r="AB1" s="35">
        <v>2010</v>
      </c>
      <c r="AC1" s="35" t="s">
        <v>321</v>
      </c>
      <c r="AD1" s="35" t="s">
        <v>320</v>
      </c>
      <c r="AE1" s="35">
        <v>2011</v>
      </c>
      <c r="AF1" s="35">
        <v>2012</v>
      </c>
      <c r="AG1" s="35">
        <v>2013</v>
      </c>
      <c r="AH1" s="35">
        <v>2014</v>
      </c>
      <c r="AI1" s="35">
        <v>2015</v>
      </c>
      <c r="AJ1" s="35">
        <v>2016</v>
      </c>
      <c r="AK1" s="35">
        <v>2017</v>
      </c>
      <c r="AL1" s="35">
        <v>2018</v>
      </c>
      <c r="AM1" s="35">
        <v>2019</v>
      </c>
      <c r="AN1" s="35">
        <v>2020</v>
      </c>
    </row>
    <row r="2" spans="1:40" s="34" customFormat="1" ht="11.25">
      <c r="F2" s="34" t="s">
        <v>740</v>
      </c>
      <c r="G2" s="34" t="s">
        <v>740</v>
      </c>
      <c r="H2" s="34" t="s">
        <v>740</v>
      </c>
      <c r="I2" s="34" t="s">
        <v>740</v>
      </c>
      <c r="J2" s="34" t="s">
        <v>740</v>
      </c>
      <c r="K2" s="34" t="s">
        <v>740</v>
      </c>
      <c r="L2" s="34" t="s">
        <v>740</v>
      </c>
      <c r="M2" s="34" t="s">
        <v>740</v>
      </c>
      <c r="N2" s="34" t="s">
        <v>740</v>
      </c>
      <c r="O2" s="34" t="s">
        <v>740</v>
      </c>
      <c r="P2" s="34" t="s">
        <v>740</v>
      </c>
      <c r="Q2" s="34" t="s">
        <v>740</v>
      </c>
      <c r="R2" s="34" t="s">
        <v>740</v>
      </c>
      <c r="S2" s="34" t="s">
        <v>740</v>
      </c>
      <c r="T2" s="34" t="s">
        <v>740</v>
      </c>
      <c r="U2" s="34" t="s">
        <v>740</v>
      </c>
      <c r="V2" s="34" t="s">
        <v>740</v>
      </c>
      <c r="W2" s="34" t="s">
        <v>740</v>
      </c>
      <c r="X2" s="34" t="s">
        <v>740</v>
      </c>
      <c r="Y2" s="34" t="s">
        <v>740</v>
      </c>
      <c r="Z2" s="34" t="s">
        <v>740</v>
      </c>
      <c r="AA2" s="34" t="s">
        <v>740</v>
      </c>
      <c r="AB2" s="34" t="s">
        <v>740</v>
      </c>
      <c r="AC2" s="34" t="s">
        <v>740</v>
      </c>
      <c r="AD2" s="34" t="s">
        <v>740</v>
      </c>
      <c r="AE2" s="34" t="s">
        <v>740</v>
      </c>
      <c r="AF2" s="34" t="s">
        <v>740</v>
      </c>
      <c r="AG2" s="34" t="s">
        <v>739</v>
      </c>
      <c r="AH2" s="34" t="s">
        <v>739</v>
      </c>
      <c r="AI2" s="34" t="s">
        <v>739</v>
      </c>
      <c r="AJ2" s="34" t="s">
        <v>739</v>
      </c>
      <c r="AK2" s="34" t="s">
        <v>739</v>
      </c>
      <c r="AL2" s="34" t="s">
        <v>739</v>
      </c>
      <c r="AM2" s="34" t="s">
        <v>739</v>
      </c>
      <c r="AN2" s="34" t="s">
        <v>739</v>
      </c>
    </row>
    <row r="3" spans="1:40" s="33" customFormat="1" ht="11.25">
      <c r="F3" s="33">
        <v>36160</v>
      </c>
      <c r="G3" s="33">
        <v>36525</v>
      </c>
      <c r="H3" s="33">
        <v>36891</v>
      </c>
      <c r="I3" s="33">
        <v>37256</v>
      </c>
      <c r="J3" s="33">
        <v>37621</v>
      </c>
      <c r="K3" s="33">
        <v>37986</v>
      </c>
      <c r="L3" s="33">
        <v>38352</v>
      </c>
      <c r="M3" s="33">
        <v>38717</v>
      </c>
      <c r="N3" s="33">
        <v>38898</v>
      </c>
      <c r="O3" s="33">
        <v>39082</v>
      </c>
      <c r="P3" s="33">
        <v>39082</v>
      </c>
      <c r="Q3" s="33">
        <v>39263</v>
      </c>
      <c r="R3" s="33">
        <v>39447</v>
      </c>
      <c r="S3" s="33">
        <v>39447</v>
      </c>
      <c r="T3" s="33">
        <v>39629</v>
      </c>
      <c r="U3" s="33">
        <v>39813</v>
      </c>
      <c r="V3" s="33">
        <v>39813</v>
      </c>
      <c r="W3" s="33">
        <v>39994</v>
      </c>
      <c r="X3" s="33">
        <v>40178</v>
      </c>
      <c r="Y3" s="33">
        <v>40178</v>
      </c>
      <c r="Z3" s="33">
        <v>40359</v>
      </c>
      <c r="AA3" s="33">
        <v>40543</v>
      </c>
      <c r="AB3" s="33">
        <v>40543</v>
      </c>
      <c r="AC3" s="33">
        <v>40724</v>
      </c>
      <c r="AD3" s="33">
        <v>40908</v>
      </c>
      <c r="AE3" s="33">
        <v>40908</v>
      </c>
      <c r="AF3" s="33">
        <v>41274</v>
      </c>
      <c r="AG3" s="33">
        <v>41639</v>
      </c>
      <c r="AH3" s="33">
        <v>42004</v>
      </c>
      <c r="AI3" s="33">
        <v>42369</v>
      </c>
      <c r="AJ3" s="33">
        <v>42735</v>
      </c>
      <c r="AK3" s="33">
        <v>43100</v>
      </c>
      <c r="AL3" s="33">
        <v>43465</v>
      </c>
      <c r="AM3" s="33">
        <v>43830</v>
      </c>
      <c r="AN3" s="33">
        <v>44196</v>
      </c>
    </row>
    <row r="4" spans="1:40" ht="11.25">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row>
    <row r="5" spans="1:40" s="8" customFormat="1" ht="15.75">
      <c r="A5" s="8" t="s">
        <v>738</v>
      </c>
      <c r="D5" s="9" t="s">
        <v>737</v>
      </c>
    </row>
    <row r="6" spans="1:40" ht="11.25">
      <c r="B6" s="4" t="s">
        <v>736</v>
      </c>
      <c r="C6" s="4" t="s">
        <v>735</v>
      </c>
      <c r="E6" s="32" t="s">
        <v>734</v>
      </c>
      <c r="F6" s="4"/>
      <c r="G6" s="4"/>
      <c r="H6" s="4"/>
      <c r="I6" s="4"/>
      <c r="J6" s="4"/>
      <c r="K6" s="4"/>
      <c r="L6" s="4"/>
      <c r="M6" s="4"/>
      <c r="N6" s="4"/>
      <c r="O6" s="4"/>
      <c r="P6" s="4"/>
      <c r="Q6" s="4"/>
      <c r="R6" s="4"/>
      <c r="S6" s="4"/>
      <c r="T6" s="4"/>
      <c r="U6" s="4"/>
      <c r="V6" s="4"/>
      <c r="W6" s="4"/>
      <c r="X6" s="4"/>
      <c r="Y6" s="4"/>
      <c r="Z6" s="4"/>
      <c r="AA6" s="4"/>
      <c r="AB6" s="4"/>
      <c r="AC6" s="4"/>
      <c r="AD6" s="4"/>
      <c r="AE6" s="4"/>
      <c r="AF6" s="4"/>
      <c r="AG6" s="4"/>
      <c r="AH6" s="4"/>
      <c r="AI6" s="4"/>
      <c r="AJ6" s="4"/>
    </row>
    <row r="7" spans="1:40" ht="11.25">
      <c r="B7" s="4" t="s">
        <v>733</v>
      </c>
      <c r="C7" s="4" t="s">
        <v>733</v>
      </c>
      <c r="E7" s="32" t="s">
        <v>732</v>
      </c>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row>
    <row r="8" spans="1:40" ht="11.25">
      <c r="B8" s="4" t="s">
        <v>731</v>
      </c>
      <c r="C8" s="4" t="s">
        <v>731</v>
      </c>
      <c r="E8" s="32" t="s">
        <v>730</v>
      </c>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c r="AJ8" s="4"/>
    </row>
    <row r="9" spans="1:40" ht="11.25">
      <c r="B9" s="4" t="s">
        <v>729</v>
      </c>
      <c r="C9" s="4" t="s">
        <v>729</v>
      </c>
      <c r="E9" s="32" t="s">
        <v>0</v>
      </c>
      <c r="F9" s="4"/>
      <c r="G9" s="4"/>
      <c r="H9" s="4"/>
      <c r="I9" s="4"/>
      <c r="J9" s="4"/>
      <c r="K9" s="4"/>
      <c r="L9" s="4"/>
      <c r="M9" s="4"/>
      <c r="N9" s="4"/>
      <c r="O9" s="4"/>
      <c r="P9" s="4"/>
      <c r="Q9" s="4"/>
      <c r="R9" s="4"/>
      <c r="S9" s="4"/>
      <c r="T9" s="4"/>
      <c r="U9" s="4"/>
      <c r="V9" s="4"/>
      <c r="W9" s="4"/>
      <c r="X9" s="4"/>
      <c r="Y9" s="4"/>
      <c r="Z9" s="4"/>
      <c r="AA9" s="4"/>
      <c r="AB9" s="4"/>
      <c r="AC9" s="4"/>
      <c r="AD9" s="4"/>
      <c r="AE9" s="4"/>
      <c r="AF9" s="4"/>
      <c r="AG9" s="4"/>
      <c r="AH9" s="4"/>
      <c r="AI9" s="4"/>
      <c r="AJ9" s="4"/>
    </row>
    <row r="10" spans="1:40" ht="11.25">
      <c r="B10" s="4" t="s">
        <v>728</v>
      </c>
      <c r="C10" s="4" t="s">
        <v>728</v>
      </c>
      <c r="E10" s="32" t="s">
        <v>0</v>
      </c>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c r="AJ10" s="4"/>
    </row>
    <row r="11" spans="1:40" ht="11.25">
      <c r="B11" s="4" t="s">
        <v>727</v>
      </c>
      <c r="C11" s="4" t="s">
        <v>726</v>
      </c>
      <c r="E11" s="32" t="s">
        <v>0</v>
      </c>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c r="AJ11" s="4"/>
    </row>
    <row r="12" spans="1:40" ht="11.25">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c r="AJ12" s="4"/>
    </row>
    <row r="13" spans="1:40" s="8" customFormat="1" ht="15.75">
      <c r="A13" s="8" t="s">
        <v>725</v>
      </c>
      <c r="D13" s="9" t="s">
        <v>724</v>
      </c>
    </row>
    <row r="14" spans="1:40">
      <c r="B14" s="4" t="s">
        <v>723</v>
      </c>
      <c r="C14" s="4" t="s">
        <v>317</v>
      </c>
    </row>
    <row r="15" spans="1:40">
      <c r="B15" s="4" t="s">
        <v>722</v>
      </c>
      <c r="C15" s="4" t="s">
        <v>316</v>
      </c>
    </row>
    <row r="16" spans="1:40">
      <c r="B16" s="4" t="s">
        <v>721</v>
      </c>
      <c r="C16" s="4" t="s">
        <v>315</v>
      </c>
    </row>
    <row r="17" spans="1:41">
      <c r="B17" s="4" t="s">
        <v>720</v>
      </c>
      <c r="C17" s="4" t="s">
        <v>313</v>
      </c>
      <c r="D17" s="4" t="s">
        <v>0</v>
      </c>
    </row>
    <row r="18" spans="1:41">
      <c r="B18" s="4" t="s">
        <v>719</v>
      </c>
      <c r="C18" s="4" t="s">
        <v>312</v>
      </c>
    </row>
    <row r="19" spans="1:41">
      <c r="B19" s="4" t="s">
        <v>718</v>
      </c>
      <c r="C19" s="4" t="s">
        <v>311</v>
      </c>
    </row>
    <row r="20" spans="1:41">
      <c r="B20" s="4" t="s">
        <v>717</v>
      </c>
      <c r="C20" s="4" t="s">
        <v>310</v>
      </c>
    </row>
    <row r="21" spans="1:41" ht="11.25">
      <c r="F21" s="4"/>
      <c r="G21" s="4"/>
      <c r="H21" s="4"/>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c r="AJ21" s="4"/>
    </row>
    <row r="22" spans="1:41" s="8" customFormat="1" ht="15.75">
      <c r="A22" s="8" t="s">
        <v>716</v>
      </c>
      <c r="D22" s="9" t="s">
        <v>715</v>
      </c>
    </row>
    <row r="23" spans="1:41">
      <c r="B23" s="4" t="s">
        <v>714</v>
      </c>
      <c r="C23" s="4" t="s">
        <v>309</v>
      </c>
      <c r="D23" s="4" t="s">
        <v>0</v>
      </c>
      <c r="AK23" s="28" t="e">
        <f>AK116/AK75</f>
        <v>#REF!</v>
      </c>
      <c r="AL23" s="28" t="e">
        <f>AL116/AL75</f>
        <v>#REF!</v>
      </c>
      <c r="AM23" s="28" t="e">
        <f>AM116/AM75</f>
        <v>#REF!</v>
      </c>
      <c r="AN23" s="28" t="e">
        <f>AN116/AN75</f>
        <v>#REF!</v>
      </c>
    </row>
    <row r="24" spans="1:41">
      <c r="B24" s="4" t="s">
        <v>713</v>
      </c>
      <c r="C24" s="4" t="s">
        <v>308</v>
      </c>
      <c r="D24" s="4" t="s">
        <v>0</v>
      </c>
      <c r="AK24" s="28" t="e">
        <f>#REF!</f>
        <v>#REF!</v>
      </c>
      <c r="AL24" s="28" t="e">
        <f>#REF!</f>
        <v>#REF!</v>
      </c>
      <c r="AM24" s="28" t="e">
        <f>#REF!</f>
        <v>#REF!</v>
      </c>
      <c r="AN24" s="28" t="e">
        <f>#REF!</f>
        <v>#REF!</v>
      </c>
    </row>
    <row r="25" spans="1:41">
      <c r="B25" s="4" t="s">
        <v>703</v>
      </c>
      <c r="C25" s="4" t="s">
        <v>307</v>
      </c>
      <c r="D25" s="4" t="s">
        <v>0</v>
      </c>
      <c r="AK25" s="29" t="e">
        <f>#REF!</f>
        <v>#REF!</v>
      </c>
      <c r="AL25" s="29" t="e">
        <f>#REF!</f>
        <v>#REF!</v>
      </c>
      <c r="AM25" s="29" t="e">
        <f>#REF!</f>
        <v>#REF!</v>
      </c>
      <c r="AN25" s="29" t="e">
        <f>#REF!</f>
        <v>#REF!</v>
      </c>
      <c r="AO25" s="31" t="s">
        <v>712</v>
      </c>
    </row>
    <row r="26" spans="1:41">
      <c r="B26" s="4" t="s">
        <v>700</v>
      </c>
      <c r="C26" s="4" t="s">
        <v>306</v>
      </c>
      <c r="D26" s="4" t="s">
        <v>0</v>
      </c>
      <c r="AK26" s="28" t="e">
        <f>#REF!</f>
        <v>#REF!</v>
      </c>
      <c r="AL26" s="28" t="e">
        <f>#REF!</f>
        <v>#REF!</v>
      </c>
      <c r="AM26" s="28" t="e">
        <f>#REF!</f>
        <v>#REF!</v>
      </c>
      <c r="AN26" s="28" t="e">
        <f>#REF!</f>
        <v>#REF!</v>
      </c>
    </row>
    <row r="27" spans="1:41">
      <c r="B27" s="4" t="s">
        <v>711</v>
      </c>
      <c r="C27" s="4" t="s">
        <v>305</v>
      </c>
      <c r="D27" s="4" t="s">
        <v>0</v>
      </c>
      <c r="AK27" s="25"/>
      <c r="AL27" s="25"/>
      <c r="AM27" s="25"/>
      <c r="AN27" s="25"/>
    </row>
    <row r="28" spans="1:41" s="10" customFormat="1" ht="11.25">
      <c r="B28" s="10" t="s">
        <v>710</v>
      </c>
      <c r="E28" s="14"/>
      <c r="P28" s="19"/>
      <c r="S28" s="19"/>
      <c r="V28" s="19"/>
      <c r="Y28" s="19"/>
      <c r="AB28" s="19"/>
      <c r="AE28" s="19"/>
      <c r="AF28" s="19"/>
      <c r="AG28" s="19"/>
      <c r="AH28" s="19"/>
      <c r="AI28" s="19"/>
      <c r="AJ28" s="19"/>
      <c r="AK28" s="19"/>
      <c r="AL28" s="19"/>
      <c r="AM28" s="19"/>
      <c r="AN28" s="19"/>
    </row>
    <row r="29" spans="1:41">
      <c r="B29" s="4" t="s">
        <v>709</v>
      </c>
      <c r="C29" s="4" t="s">
        <v>304</v>
      </c>
      <c r="D29" s="4" t="s">
        <v>0</v>
      </c>
      <c r="AK29" s="25" t="e">
        <f>#REF!</f>
        <v>#REF!</v>
      </c>
      <c r="AL29" s="25" t="e">
        <f>#REF!</f>
        <v>#REF!</v>
      </c>
      <c r="AM29" s="25" t="e">
        <f>#REF!</f>
        <v>#REF!</v>
      </c>
      <c r="AN29" s="25" t="e">
        <f>#REF!</f>
        <v>#REF!</v>
      </c>
    </row>
    <row r="30" spans="1:41">
      <c r="B30" s="4" t="s">
        <v>701</v>
      </c>
      <c r="C30" s="4" t="s">
        <v>303</v>
      </c>
      <c r="D30" s="4" t="s">
        <v>0</v>
      </c>
      <c r="AK30" s="25" t="e">
        <f>#REF!</f>
        <v>#REF!</v>
      </c>
      <c r="AL30" s="25" t="e">
        <f>#REF!</f>
        <v>#REF!</v>
      </c>
      <c r="AM30" s="25" t="e">
        <f>#REF!</f>
        <v>#REF!</v>
      </c>
      <c r="AN30" s="25" t="e">
        <f>#REF!</f>
        <v>#REF!</v>
      </c>
    </row>
    <row r="31" spans="1:41">
      <c r="B31" s="4" t="s">
        <v>708</v>
      </c>
      <c r="C31" s="4" t="s">
        <v>302</v>
      </c>
      <c r="D31" s="4" t="s">
        <v>0</v>
      </c>
      <c r="AK31" s="25" t="e">
        <f>#REF!</f>
        <v>#REF!</v>
      </c>
      <c r="AL31" s="25" t="e">
        <f>#REF!</f>
        <v>#REF!</v>
      </c>
      <c r="AM31" s="25" t="e">
        <f>#REF!</f>
        <v>#REF!</v>
      </c>
      <c r="AN31" s="25" t="e">
        <f>#REF!</f>
        <v>#REF!</v>
      </c>
    </row>
    <row r="32" spans="1:41">
      <c r="B32" s="4" t="s">
        <v>702</v>
      </c>
      <c r="C32" s="4" t="s">
        <v>301</v>
      </c>
      <c r="D32" s="4" t="s">
        <v>0</v>
      </c>
      <c r="AK32" s="25" t="e">
        <f>#REF!</f>
        <v>#REF!</v>
      </c>
      <c r="AL32" s="25" t="e">
        <f>#REF!</f>
        <v>#REF!</v>
      </c>
      <c r="AM32" s="25" t="e">
        <f>#REF!</f>
        <v>#REF!</v>
      </c>
      <c r="AN32" s="25" t="e">
        <f>#REF!</f>
        <v>#REF!</v>
      </c>
    </row>
    <row r="33" spans="1:40">
      <c r="B33" s="4" t="s">
        <v>707</v>
      </c>
      <c r="C33" s="4" t="s">
        <v>300</v>
      </c>
      <c r="D33" s="4" t="s">
        <v>0</v>
      </c>
      <c r="AK33" s="29" t="e">
        <f>#REF!</f>
        <v>#REF!</v>
      </c>
      <c r="AL33" s="29" t="e">
        <f>#REF!</f>
        <v>#REF!</v>
      </c>
      <c r="AM33" s="29" t="e">
        <f>#REF!</f>
        <v>#REF!</v>
      </c>
      <c r="AN33" s="29" t="e">
        <f>#REF!</f>
        <v>#REF!</v>
      </c>
    </row>
    <row r="34" spans="1:40">
      <c r="B34" s="4" t="s">
        <v>706</v>
      </c>
      <c r="C34" s="4" t="s">
        <v>299</v>
      </c>
      <c r="D34" s="4" t="s">
        <v>0</v>
      </c>
      <c r="AK34" s="25" t="e">
        <f>AK116</f>
        <v>#REF!</v>
      </c>
      <c r="AL34" s="25" t="e">
        <f>AL116</f>
        <v>#REF!</v>
      </c>
      <c r="AM34" s="25" t="e">
        <f>AM116</f>
        <v>#REF!</v>
      </c>
      <c r="AN34" s="25" t="e">
        <f>AN116</f>
        <v>#REF!</v>
      </c>
    </row>
    <row r="35" spans="1:40" ht="11.25">
      <c r="F35" s="4"/>
      <c r="G35" s="4"/>
      <c r="H35" s="4"/>
      <c r="I35" s="4"/>
      <c r="J35" s="4"/>
      <c r="K35" s="4"/>
      <c r="L35" s="4"/>
      <c r="M35" s="4"/>
      <c r="N35" s="4"/>
      <c r="O35" s="4"/>
      <c r="P35" s="30"/>
      <c r="Q35" s="4"/>
      <c r="R35" s="4"/>
      <c r="S35" s="30"/>
      <c r="T35" s="4"/>
      <c r="U35" s="4"/>
      <c r="V35" s="30"/>
      <c r="W35" s="4"/>
      <c r="X35" s="4"/>
      <c r="Y35" s="30"/>
      <c r="Z35" s="4"/>
      <c r="AA35" s="4"/>
      <c r="AB35" s="30"/>
      <c r="AC35" s="4"/>
      <c r="AD35" s="4"/>
      <c r="AE35" s="30"/>
      <c r="AF35" s="30"/>
      <c r="AG35" s="30"/>
      <c r="AH35" s="30"/>
      <c r="AI35" s="30"/>
      <c r="AJ35" s="30"/>
      <c r="AK35" s="30"/>
      <c r="AL35" s="30"/>
      <c r="AM35" s="30"/>
      <c r="AN35" s="30"/>
    </row>
    <row r="36" spans="1:40" s="21" customFormat="1" ht="15.75">
      <c r="A36" s="21" t="s">
        <v>705</v>
      </c>
      <c r="D36" s="23" t="s">
        <v>704</v>
      </c>
      <c r="P36" s="22"/>
      <c r="S36" s="22"/>
      <c r="V36" s="22"/>
      <c r="Y36" s="22"/>
      <c r="AB36" s="22"/>
      <c r="AE36" s="22"/>
      <c r="AF36" s="22"/>
      <c r="AG36" s="22"/>
      <c r="AH36" s="22"/>
      <c r="AI36" s="22"/>
      <c r="AJ36" s="22"/>
      <c r="AK36" s="22"/>
      <c r="AL36" s="22"/>
      <c r="AM36" s="22"/>
      <c r="AN36" s="22"/>
    </row>
    <row r="37" spans="1:40" s="10" customFormat="1" ht="11.25">
      <c r="B37" s="10" t="s">
        <v>703</v>
      </c>
      <c r="D37" s="10" t="s">
        <v>0</v>
      </c>
      <c r="F37" s="12"/>
      <c r="G37" s="12"/>
      <c r="H37" s="12"/>
      <c r="I37" s="12"/>
      <c r="J37" s="12"/>
      <c r="K37" s="12"/>
      <c r="L37" s="12"/>
      <c r="M37" s="12">
        <v>724</v>
      </c>
      <c r="N37" s="12"/>
      <c r="O37" s="12"/>
      <c r="P37" s="11"/>
      <c r="Q37" s="12"/>
      <c r="R37" s="12"/>
      <c r="S37" s="11"/>
      <c r="T37" s="12"/>
      <c r="U37" s="12"/>
      <c r="V37" s="11"/>
      <c r="W37" s="12"/>
      <c r="X37" s="12"/>
      <c r="Y37" s="11"/>
      <c r="Z37" s="12"/>
      <c r="AA37" s="12"/>
      <c r="AB37" s="11"/>
      <c r="AC37" s="12"/>
      <c r="AD37" s="12"/>
      <c r="AE37" s="11"/>
      <c r="AF37" s="11"/>
      <c r="AG37" s="11"/>
      <c r="AH37" s="11"/>
      <c r="AI37" s="11"/>
      <c r="AJ37" s="11"/>
      <c r="AK37" s="11"/>
      <c r="AL37" s="11"/>
      <c r="AM37" s="11"/>
      <c r="AN37" s="11"/>
    </row>
    <row r="38" spans="1:40" s="10" customFormat="1" ht="11.25">
      <c r="B38" s="10" t="s">
        <v>702</v>
      </c>
      <c r="D38" s="10" t="s">
        <v>0</v>
      </c>
      <c r="F38" s="12"/>
      <c r="G38" s="12"/>
      <c r="H38" s="12"/>
      <c r="I38" s="12"/>
      <c r="J38" s="12"/>
      <c r="K38" s="12"/>
      <c r="L38" s="12"/>
      <c r="M38" s="12">
        <v>383</v>
      </c>
      <c r="N38" s="12"/>
      <c r="O38" s="12"/>
      <c r="P38" s="11"/>
      <c r="Q38" s="12"/>
      <c r="R38" s="12"/>
      <c r="S38" s="11"/>
      <c r="T38" s="12"/>
      <c r="U38" s="12"/>
      <c r="V38" s="11"/>
      <c r="W38" s="12"/>
      <c r="X38" s="12"/>
      <c r="Y38" s="11"/>
      <c r="Z38" s="12"/>
      <c r="AA38" s="12"/>
      <c r="AB38" s="11"/>
      <c r="AC38" s="12"/>
      <c r="AD38" s="12"/>
      <c r="AE38" s="11"/>
      <c r="AF38" s="11"/>
      <c r="AG38" s="11"/>
      <c r="AH38" s="11"/>
      <c r="AI38" s="11"/>
      <c r="AJ38" s="11"/>
      <c r="AK38" s="11"/>
      <c r="AL38" s="11"/>
      <c r="AM38" s="11"/>
      <c r="AN38" s="11"/>
    </row>
    <row r="39" spans="1:40" s="10" customFormat="1" ht="11.25">
      <c r="B39" s="10" t="s">
        <v>701</v>
      </c>
      <c r="D39" s="10" t="s">
        <v>0</v>
      </c>
      <c r="F39" s="12"/>
      <c r="G39" s="12"/>
      <c r="H39" s="12"/>
      <c r="I39" s="12"/>
      <c r="J39" s="12"/>
      <c r="K39" s="12"/>
      <c r="L39" s="12"/>
      <c r="M39" s="12">
        <v>279.96755162241891</v>
      </c>
      <c r="N39" s="12"/>
      <c r="O39" s="12"/>
      <c r="P39" s="11"/>
      <c r="Q39" s="12"/>
      <c r="R39" s="12"/>
      <c r="S39" s="11"/>
      <c r="T39" s="12"/>
      <c r="U39" s="12"/>
      <c r="V39" s="11"/>
      <c r="W39" s="12"/>
      <c r="X39" s="12"/>
      <c r="Y39" s="11"/>
      <c r="Z39" s="12"/>
      <c r="AA39" s="12"/>
      <c r="AB39" s="11"/>
      <c r="AC39" s="12"/>
      <c r="AD39" s="12"/>
      <c r="AE39" s="11"/>
      <c r="AF39" s="11"/>
      <c r="AG39" s="11"/>
      <c r="AH39" s="11"/>
      <c r="AI39" s="11"/>
      <c r="AJ39" s="11"/>
      <c r="AK39" s="11"/>
      <c r="AL39" s="11"/>
      <c r="AM39" s="11"/>
      <c r="AN39" s="11"/>
    </row>
    <row r="40" spans="1:40" s="10" customFormat="1" ht="11.25">
      <c r="B40" s="10" t="s">
        <v>700</v>
      </c>
      <c r="D40" s="10" t="s">
        <v>0</v>
      </c>
      <c r="F40" s="18"/>
      <c r="G40" s="18"/>
      <c r="H40" s="18"/>
      <c r="I40" s="18"/>
      <c r="J40" s="18"/>
      <c r="K40" s="18"/>
      <c r="L40" s="18"/>
      <c r="M40" s="18">
        <v>0.68399456559627525</v>
      </c>
      <c r="N40" s="18"/>
      <c r="O40" s="18"/>
      <c r="P40" s="17"/>
      <c r="Q40" s="18"/>
      <c r="R40" s="18"/>
      <c r="S40" s="17"/>
      <c r="T40" s="18"/>
      <c r="U40" s="18"/>
      <c r="V40" s="17"/>
      <c r="W40" s="18"/>
      <c r="X40" s="18"/>
      <c r="Y40" s="17"/>
      <c r="Z40" s="18"/>
      <c r="AA40" s="18"/>
      <c r="AB40" s="17"/>
      <c r="AC40" s="18"/>
      <c r="AD40" s="18"/>
      <c r="AE40" s="17"/>
      <c r="AF40" s="17"/>
      <c r="AG40" s="17"/>
      <c r="AH40" s="17"/>
      <c r="AI40" s="17"/>
      <c r="AJ40" s="17"/>
      <c r="AK40" s="17"/>
      <c r="AL40" s="17"/>
      <c r="AM40" s="17"/>
      <c r="AN40" s="17"/>
    </row>
    <row r="41" spans="1:40" ht="11.25">
      <c r="F41" s="4"/>
      <c r="G41" s="4"/>
      <c r="H41" s="4"/>
      <c r="I41" s="4"/>
      <c r="J41" s="4"/>
      <c r="K41" s="4"/>
      <c r="L41" s="4"/>
      <c r="M41" s="4"/>
      <c r="N41" s="4"/>
      <c r="O41" s="4"/>
      <c r="P41" s="4"/>
      <c r="Q41" s="4"/>
      <c r="R41" s="4"/>
      <c r="S41" s="4"/>
      <c r="T41" s="4"/>
      <c r="U41" s="4"/>
      <c r="V41" s="4"/>
      <c r="W41" s="4"/>
      <c r="X41" s="4"/>
      <c r="Y41" s="4"/>
      <c r="Z41" s="4"/>
      <c r="AA41" s="4"/>
      <c r="AB41" s="4"/>
      <c r="AC41" s="4"/>
      <c r="AD41" s="4"/>
      <c r="AE41" s="4"/>
      <c r="AF41" s="4"/>
      <c r="AG41" s="4"/>
      <c r="AH41" s="4"/>
      <c r="AI41" s="4"/>
      <c r="AJ41" s="4"/>
    </row>
    <row r="42" spans="1:40" s="8" customFormat="1" ht="15.75">
      <c r="A42" s="8" t="s">
        <v>699</v>
      </c>
      <c r="D42" s="9" t="s">
        <v>698</v>
      </c>
    </row>
    <row r="43" spans="1:40">
      <c r="B43" s="4" t="s">
        <v>697</v>
      </c>
      <c r="C43" s="4" t="s">
        <v>298</v>
      </c>
      <c r="D43" s="4" t="s">
        <v>0</v>
      </c>
      <c r="AK43" s="29" t="e">
        <f>#REF!</f>
        <v>#REF!</v>
      </c>
      <c r="AL43" s="29" t="e">
        <f>#REF!</f>
        <v>#REF!</v>
      </c>
      <c r="AM43" s="29" t="e">
        <f>#REF!</f>
        <v>#REF!</v>
      </c>
      <c r="AN43" s="29" t="e">
        <f>#REF!</f>
        <v>#REF!</v>
      </c>
    </row>
    <row r="44" spans="1:40">
      <c r="B44" s="4" t="s">
        <v>696</v>
      </c>
      <c r="C44" s="4" t="s">
        <v>297</v>
      </c>
      <c r="D44" s="4" t="s">
        <v>0</v>
      </c>
      <c r="AK44" s="25"/>
      <c r="AL44" s="25"/>
      <c r="AM44" s="25"/>
      <c r="AN44" s="25"/>
    </row>
    <row r="45" spans="1:40">
      <c r="B45" s="4" t="s">
        <v>695</v>
      </c>
      <c r="C45" s="4" t="s">
        <v>296</v>
      </c>
      <c r="D45" s="4" t="s">
        <v>0</v>
      </c>
      <c r="AK45" s="25"/>
      <c r="AL45" s="25"/>
      <c r="AM45" s="25"/>
      <c r="AN45" s="25"/>
    </row>
    <row r="46" spans="1:40">
      <c r="B46" s="4" t="s">
        <v>694</v>
      </c>
      <c r="C46" s="4" t="s">
        <v>295</v>
      </c>
      <c r="D46" s="4" t="s">
        <v>0</v>
      </c>
      <c r="AK46" s="25" t="e">
        <f>AK51-AK48-AK43</f>
        <v>#REF!</v>
      </c>
      <c r="AL46" s="25" t="e">
        <f>AL51-AL48-AL43</f>
        <v>#REF!</v>
      </c>
      <c r="AM46" s="25" t="e">
        <f>AM51-AM48-AM43</f>
        <v>#REF!</v>
      </c>
      <c r="AN46" s="25" t="e">
        <f>AN51-AN48-AN43</f>
        <v>#REF!</v>
      </c>
    </row>
    <row r="47" spans="1:40">
      <c r="B47" s="4" t="s">
        <v>693</v>
      </c>
      <c r="C47" s="4" t="s">
        <v>294</v>
      </c>
      <c r="D47" s="4" t="s">
        <v>0</v>
      </c>
      <c r="AK47" s="25" t="e">
        <f>-#REF!</f>
        <v>#REF!</v>
      </c>
      <c r="AL47" s="25" t="e">
        <f>-#REF!</f>
        <v>#REF!</v>
      </c>
      <c r="AM47" s="25" t="e">
        <f>-#REF!</f>
        <v>#REF!</v>
      </c>
      <c r="AN47" s="25" t="e">
        <f>-#REF!</f>
        <v>#REF!</v>
      </c>
    </row>
    <row r="48" spans="1:40" ht="10.5" customHeight="1">
      <c r="B48" s="4" t="s">
        <v>692</v>
      </c>
      <c r="C48" s="4" t="s">
        <v>293</v>
      </c>
      <c r="D48" s="4" t="s">
        <v>0</v>
      </c>
      <c r="AK48" s="25"/>
      <c r="AL48" s="25"/>
      <c r="AM48" s="25"/>
      <c r="AN48" s="25"/>
    </row>
    <row r="49" spans="2:41">
      <c r="B49" s="4" t="s">
        <v>691</v>
      </c>
      <c r="C49" s="4" t="s">
        <v>292</v>
      </c>
      <c r="D49" s="4" t="s">
        <v>0</v>
      </c>
      <c r="AK49" s="25" t="e">
        <f>AK46+AK48+AK52+AK53</f>
        <v>#REF!</v>
      </c>
      <c r="AL49" s="25" t="e">
        <f>AL46+AL48+AL52+AL53</f>
        <v>#REF!</v>
      </c>
      <c r="AM49" s="25" t="e">
        <f>AM46+AM48+AM52+AM53</f>
        <v>#REF!</v>
      </c>
      <c r="AN49" s="25" t="e">
        <f>AN46+AN48+AN52+AN53</f>
        <v>#REF!</v>
      </c>
    </row>
    <row r="50" spans="2:41">
      <c r="B50" s="4" t="s">
        <v>690</v>
      </c>
      <c r="C50" s="4" t="s">
        <v>291</v>
      </c>
      <c r="D50" s="4" t="s">
        <v>0</v>
      </c>
      <c r="AK50" s="25" t="e">
        <f>AK46+AK48</f>
        <v>#REF!</v>
      </c>
      <c r="AL50" s="25" t="e">
        <f>AL46+AL48</f>
        <v>#REF!</v>
      </c>
      <c r="AM50" s="25" t="e">
        <f>AM46+AM48</f>
        <v>#REF!</v>
      </c>
      <c r="AN50" s="25" t="e">
        <f>AN46+AN48</f>
        <v>#REF!</v>
      </c>
    </row>
    <row r="51" spans="2:41">
      <c r="B51" s="4" t="s">
        <v>689</v>
      </c>
      <c r="C51" s="4" t="s">
        <v>290</v>
      </c>
      <c r="D51" s="4" t="s">
        <v>0</v>
      </c>
      <c r="AK51" s="25" t="e">
        <f>AK25</f>
        <v>#REF!</v>
      </c>
      <c r="AL51" s="25" t="e">
        <f>AL25</f>
        <v>#REF!</v>
      </c>
      <c r="AM51" s="25" t="e">
        <f>AM25</f>
        <v>#REF!</v>
      </c>
      <c r="AN51" s="25" t="e">
        <f>AN25</f>
        <v>#REF!</v>
      </c>
    </row>
    <row r="52" spans="2:41">
      <c r="B52" s="4" t="s">
        <v>688</v>
      </c>
      <c r="C52" s="4" t="s">
        <v>289</v>
      </c>
      <c r="D52" s="4" t="s">
        <v>0</v>
      </c>
      <c r="AK52" s="25" t="e">
        <f>-#REF!</f>
        <v>#REF!</v>
      </c>
      <c r="AL52" s="25" t="e">
        <f>-#REF!</f>
        <v>#REF!</v>
      </c>
      <c r="AM52" s="25" t="e">
        <f>-#REF!</f>
        <v>#REF!</v>
      </c>
      <c r="AN52" s="25" t="e">
        <f>-#REF!</f>
        <v>#REF!</v>
      </c>
    </row>
    <row r="53" spans="2:41">
      <c r="B53" s="4" t="s">
        <v>687</v>
      </c>
      <c r="C53" s="4" t="s">
        <v>288</v>
      </c>
      <c r="D53" s="4" t="s">
        <v>0</v>
      </c>
      <c r="AK53" s="25" t="e">
        <f>-#REF!-#REF!</f>
        <v>#REF!</v>
      </c>
      <c r="AL53" s="25" t="e">
        <f>-#REF!-#REF!</f>
        <v>#REF!</v>
      </c>
      <c r="AM53" s="25" t="e">
        <f>-#REF!-#REF!</f>
        <v>#REF!</v>
      </c>
      <c r="AN53" s="25" t="e">
        <f>-#REF!-#REF!</f>
        <v>#REF!</v>
      </c>
      <c r="AO53" s="4" t="s">
        <v>686</v>
      </c>
    </row>
    <row r="54" spans="2:41">
      <c r="B54" s="4" t="s">
        <v>685</v>
      </c>
      <c r="C54" s="4" t="s">
        <v>287</v>
      </c>
      <c r="D54" s="4" t="s">
        <v>0</v>
      </c>
      <c r="AK54" s="25" t="e">
        <f>AK51+AK52+AK53</f>
        <v>#REF!</v>
      </c>
      <c r="AL54" s="25" t="e">
        <f>AL51+AL52+AL53</f>
        <v>#REF!</v>
      </c>
      <c r="AM54" s="25" t="e">
        <f>AM51+AM52+AM53</f>
        <v>#REF!</v>
      </c>
      <c r="AN54" s="25" t="e">
        <f>AN51+AN52+AN53</f>
        <v>#REF!</v>
      </c>
    </row>
    <row r="55" spans="2:41">
      <c r="B55" s="4" t="s">
        <v>684</v>
      </c>
      <c r="C55" s="4" t="s">
        <v>286</v>
      </c>
      <c r="D55" s="4" t="s">
        <v>0</v>
      </c>
      <c r="AK55" s="25"/>
      <c r="AL55" s="25"/>
      <c r="AM55" s="25"/>
      <c r="AN55" s="25"/>
    </row>
    <row r="56" spans="2:41">
      <c r="B56" s="4" t="s">
        <v>683</v>
      </c>
      <c r="C56" s="4" t="s">
        <v>285</v>
      </c>
      <c r="D56" s="4" t="s">
        <v>0</v>
      </c>
      <c r="AK56" s="25"/>
      <c r="AL56" s="25"/>
      <c r="AM56" s="25"/>
      <c r="AN56" s="25"/>
    </row>
    <row r="57" spans="2:41">
      <c r="B57" s="4" t="s">
        <v>682</v>
      </c>
      <c r="C57" s="4" t="s">
        <v>284</v>
      </c>
      <c r="D57" s="4" t="s">
        <v>0</v>
      </c>
      <c r="AK57" s="25" t="e">
        <f>#REF!</f>
        <v>#REF!</v>
      </c>
      <c r="AL57" s="25" t="e">
        <f>#REF!</f>
        <v>#REF!</v>
      </c>
      <c r="AM57" s="25" t="e">
        <f>#REF!</f>
        <v>#REF!</v>
      </c>
      <c r="AN57" s="25" t="e">
        <f>#REF!</f>
        <v>#REF!</v>
      </c>
    </row>
    <row r="58" spans="2:41">
      <c r="B58" s="4" t="s">
        <v>681</v>
      </c>
      <c r="C58" s="4" t="s">
        <v>283</v>
      </c>
      <c r="D58" s="4" t="s">
        <v>0</v>
      </c>
      <c r="AK58" s="25" t="e">
        <f>#REF!</f>
        <v>#REF!</v>
      </c>
      <c r="AL58" s="25" t="e">
        <f>#REF!</f>
        <v>#REF!</v>
      </c>
      <c r="AM58" s="25" t="e">
        <f>#REF!</f>
        <v>#REF!</v>
      </c>
      <c r="AN58" s="25" t="e">
        <f>#REF!</f>
        <v>#REF!</v>
      </c>
    </row>
    <row r="59" spans="2:41">
      <c r="B59" s="4" t="s">
        <v>680</v>
      </c>
      <c r="C59" s="4" t="s">
        <v>282</v>
      </c>
      <c r="D59" s="4" t="s">
        <v>0</v>
      </c>
      <c r="AK59" s="25"/>
      <c r="AL59" s="25"/>
      <c r="AM59" s="25"/>
      <c r="AN59" s="25"/>
    </row>
    <row r="60" spans="2:41">
      <c r="B60" s="4" t="s">
        <v>679</v>
      </c>
      <c r="C60" s="4" t="s">
        <v>281</v>
      </c>
      <c r="D60" s="4" t="s">
        <v>0</v>
      </c>
      <c r="AK60" s="25"/>
      <c r="AL60" s="25"/>
      <c r="AM60" s="25"/>
      <c r="AN60" s="25"/>
    </row>
    <row r="61" spans="2:41">
      <c r="B61" s="4" t="s">
        <v>678</v>
      </c>
      <c r="C61" s="4" t="s">
        <v>280</v>
      </c>
      <c r="D61" s="4" t="s">
        <v>0</v>
      </c>
      <c r="AK61" s="25" t="e">
        <f>AK54+AK57+AK58</f>
        <v>#REF!</v>
      </c>
      <c r="AL61" s="25" t="e">
        <f>AL54+AL57+AL58</f>
        <v>#REF!</v>
      </c>
      <c r="AM61" s="25" t="e">
        <f>AM54+AM57+AM58</f>
        <v>#REF!</v>
      </c>
      <c r="AN61" s="25" t="e">
        <f>AN54+AN57+AN58</f>
        <v>#REF!</v>
      </c>
    </row>
    <row r="62" spans="2:41">
      <c r="B62" s="4" t="s">
        <v>677</v>
      </c>
      <c r="C62" s="4" t="s">
        <v>279</v>
      </c>
      <c r="D62" s="4" t="s">
        <v>0</v>
      </c>
      <c r="AK62" s="25" t="e">
        <f>#REF!</f>
        <v>#REF!</v>
      </c>
      <c r="AL62" s="25" t="e">
        <f>#REF!</f>
        <v>#REF!</v>
      </c>
      <c r="AM62" s="25" t="e">
        <f>#REF!</f>
        <v>#REF!</v>
      </c>
      <c r="AN62" s="25" t="e">
        <f>#REF!</f>
        <v>#REF!</v>
      </c>
    </row>
    <row r="63" spans="2:41">
      <c r="B63" s="4" t="s">
        <v>608</v>
      </c>
      <c r="C63" s="4" t="s">
        <v>278</v>
      </c>
      <c r="D63" s="4" t="s">
        <v>0</v>
      </c>
      <c r="AK63" s="25" t="e">
        <f>#REF!</f>
        <v>#REF!</v>
      </c>
      <c r="AL63" s="25" t="e">
        <f>#REF!</f>
        <v>#REF!</v>
      </c>
      <c r="AM63" s="25" t="e">
        <f>#REF!</f>
        <v>#REF!</v>
      </c>
      <c r="AN63" s="25" t="e">
        <f>#REF!</f>
        <v>#REF!</v>
      </c>
    </row>
    <row r="64" spans="2:41">
      <c r="B64" s="4" t="s">
        <v>605</v>
      </c>
      <c r="C64" s="4" t="s">
        <v>277</v>
      </c>
      <c r="D64" s="4" t="s">
        <v>0</v>
      </c>
      <c r="AK64" s="25" t="e">
        <f>AK61+AK62+AK63</f>
        <v>#REF!</v>
      </c>
      <c r="AL64" s="25" t="e">
        <f>AL61+AL62+AL63</f>
        <v>#REF!</v>
      </c>
      <c r="AM64" s="25" t="e">
        <f>AM61+AM62+AM63</f>
        <v>#REF!</v>
      </c>
      <c r="AN64" s="25" t="e">
        <f>AN61+AN62+AN63</f>
        <v>#REF!</v>
      </c>
    </row>
    <row r="65" spans="1:41">
      <c r="B65" s="4" t="s">
        <v>676</v>
      </c>
      <c r="C65" s="4" t="s">
        <v>276</v>
      </c>
      <c r="D65" s="4" t="s">
        <v>0</v>
      </c>
      <c r="AK65" s="25"/>
      <c r="AL65" s="25"/>
      <c r="AM65" s="25"/>
      <c r="AN65" s="25"/>
    </row>
    <row r="66" spans="1:41">
      <c r="B66" s="4" t="s">
        <v>675</v>
      </c>
      <c r="C66" s="4" t="s">
        <v>275</v>
      </c>
      <c r="D66" s="4" t="s">
        <v>0</v>
      </c>
      <c r="AK66" s="25" t="e">
        <f>AK64+AK65</f>
        <v>#REF!</v>
      </c>
      <c r="AL66" s="25" t="e">
        <f>AL64+AL65</f>
        <v>#REF!</v>
      </c>
      <c r="AM66" s="25" t="e">
        <f>AM64+AM65</f>
        <v>#REF!</v>
      </c>
      <c r="AN66" s="25" t="e">
        <f>AN64+AN65</f>
        <v>#REF!</v>
      </c>
    </row>
    <row r="67" spans="1:41">
      <c r="B67" s="4" t="s">
        <v>674</v>
      </c>
      <c r="C67" s="4" t="s">
        <v>274</v>
      </c>
      <c r="D67" s="4" t="s">
        <v>0</v>
      </c>
      <c r="AK67" s="25" t="e">
        <f>#REF!</f>
        <v>#REF!</v>
      </c>
      <c r="AL67" s="25" t="e">
        <f>#REF!</f>
        <v>#REF!</v>
      </c>
      <c r="AM67" s="25" t="e">
        <f>#REF!</f>
        <v>#REF!</v>
      </c>
      <c r="AN67" s="25" t="e">
        <f>#REF!</f>
        <v>#REF!</v>
      </c>
      <c r="AO67" s="4" t="s">
        <v>673</v>
      </c>
    </row>
    <row r="68" spans="1:41">
      <c r="B68" s="4" t="s">
        <v>672</v>
      </c>
      <c r="C68" s="4" t="s">
        <v>273</v>
      </c>
      <c r="D68" s="4" t="s">
        <v>0</v>
      </c>
      <c r="AK68" s="25" t="e">
        <f>AK66+AK67</f>
        <v>#REF!</v>
      </c>
      <c r="AL68" s="25" t="e">
        <f>AL66+AL67</f>
        <v>#REF!</v>
      </c>
      <c r="AM68" s="25" t="e">
        <f>AM66+AM67</f>
        <v>#REF!</v>
      </c>
      <c r="AN68" s="25" t="e">
        <f>AN66+AN67</f>
        <v>#REF!</v>
      </c>
    </row>
    <row r="69" spans="1:41">
      <c r="B69" s="4" t="s">
        <v>671</v>
      </c>
      <c r="C69" s="4" t="s">
        <v>272</v>
      </c>
      <c r="D69" s="4" t="s">
        <v>0</v>
      </c>
      <c r="AK69" s="28" t="e">
        <f>AK66/AK75</f>
        <v>#REF!</v>
      </c>
      <c r="AL69" s="28" t="e">
        <f>AL66/AL75</f>
        <v>#REF!</v>
      </c>
      <c r="AM69" s="28" t="e">
        <f>AM66/AM75</f>
        <v>#REF!</v>
      </c>
      <c r="AN69" s="28" t="e">
        <f>AN66/AN75</f>
        <v>#REF!</v>
      </c>
    </row>
    <row r="70" spans="1:41">
      <c r="B70" s="4" t="s">
        <v>670</v>
      </c>
      <c r="C70" s="4" t="s">
        <v>271</v>
      </c>
      <c r="D70" s="4" t="s">
        <v>0</v>
      </c>
      <c r="AK70" s="28" t="e">
        <f>AK66/AK76</f>
        <v>#REF!</v>
      </c>
      <c r="AL70" s="28" t="e">
        <f>AL66/AL76</f>
        <v>#REF!</v>
      </c>
      <c r="AM70" s="28" t="e">
        <f>AM66/AM76</f>
        <v>#REF!</v>
      </c>
      <c r="AN70" s="28" t="e">
        <f>AN66/AN76</f>
        <v>#REF!</v>
      </c>
    </row>
    <row r="71" spans="1:41">
      <c r="B71" s="4" t="s">
        <v>669</v>
      </c>
      <c r="C71" s="4" t="s">
        <v>270</v>
      </c>
      <c r="D71" s="4" t="s">
        <v>0</v>
      </c>
      <c r="AK71" s="28" t="e">
        <f>AK68/AK75</f>
        <v>#REF!</v>
      </c>
      <c r="AL71" s="28" t="e">
        <f>AL68/AL75</f>
        <v>#REF!</v>
      </c>
      <c r="AM71" s="28" t="e">
        <f>AM68/AM75</f>
        <v>#REF!</v>
      </c>
      <c r="AN71" s="28" t="e">
        <f>AN68/AN75</f>
        <v>#REF!</v>
      </c>
    </row>
    <row r="72" spans="1:41">
      <c r="B72" s="4" t="s">
        <v>668</v>
      </c>
      <c r="C72" s="4" t="s">
        <v>269</v>
      </c>
      <c r="D72" s="4" t="s">
        <v>0</v>
      </c>
      <c r="AK72" s="28" t="e">
        <f>AK68/AK76</f>
        <v>#REF!</v>
      </c>
      <c r="AL72" s="28" t="e">
        <f>AL68/AL76</f>
        <v>#REF!</v>
      </c>
      <c r="AM72" s="28" t="e">
        <f>AM68/AM76</f>
        <v>#REF!</v>
      </c>
      <c r="AN72" s="28" t="e">
        <f>AN68/AN76</f>
        <v>#REF!</v>
      </c>
    </row>
    <row r="73" spans="1:41">
      <c r="B73" s="4" t="s">
        <v>667</v>
      </c>
      <c r="C73" s="4" t="s">
        <v>268</v>
      </c>
      <c r="D73" s="4" t="s">
        <v>0</v>
      </c>
      <c r="AK73" s="25" t="e">
        <f>-(#REF!*#REF!)/1000</f>
        <v>#REF!</v>
      </c>
      <c r="AL73" s="25" t="e">
        <f>-(#REF!*#REF!)/1000</f>
        <v>#REF!</v>
      </c>
      <c r="AM73" s="25" t="e">
        <f>-(#REF!*#REF!)/1000</f>
        <v>#REF!</v>
      </c>
      <c r="AN73" s="25" t="e">
        <f>-(#REF!*#REF!)/1000</f>
        <v>#REF!</v>
      </c>
    </row>
    <row r="74" spans="1:41">
      <c r="B74" s="4" t="s">
        <v>666</v>
      </c>
      <c r="C74" s="4" t="s">
        <v>267</v>
      </c>
      <c r="D74" s="4" t="s">
        <v>0</v>
      </c>
      <c r="AK74" s="28" t="e">
        <f>#REF!</f>
        <v>#REF!</v>
      </c>
      <c r="AL74" s="28" t="e">
        <f>#REF!</f>
        <v>#REF!</v>
      </c>
      <c r="AM74" s="28" t="e">
        <f>#REF!</f>
        <v>#REF!</v>
      </c>
      <c r="AN74" s="28" t="e">
        <f>#REF!</f>
        <v>#REF!</v>
      </c>
    </row>
    <row r="75" spans="1:41">
      <c r="B75" s="4" t="s">
        <v>665</v>
      </c>
      <c r="C75" s="4" t="s">
        <v>266</v>
      </c>
      <c r="AK75" s="25" t="e">
        <f>#REF!/1000</f>
        <v>#REF!</v>
      </c>
      <c r="AL75" s="25" t="e">
        <f>#REF!/1000</f>
        <v>#REF!</v>
      </c>
      <c r="AM75" s="25" t="e">
        <f>#REF!/1000</f>
        <v>#REF!</v>
      </c>
      <c r="AN75" s="25" t="e">
        <f>#REF!/1000</f>
        <v>#REF!</v>
      </c>
    </row>
    <row r="76" spans="1:41">
      <c r="B76" s="4" t="s">
        <v>664</v>
      </c>
      <c r="C76" s="4" t="s">
        <v>265</v>
      </c>
      <c r="AK76" s="25" t="e">
        <f>#REF!/1000</f>
        <v>#REF!</v>
      </c>
      <c r="AL76" s="25" t="e">
        <f>#REF!/1000</f>
        <v>#REF!</v>
      </c>
      <c r="AM76" s="25" t="e">
        <f>#REF!/1000</f>
        <v>#REF!</v>
      </c>
      <c r="AN76" s="25" t="e">
        <f>#REF!/1000</f>
        <v>#REF!</v>
      </c>
    </row>
    <row r="77" spans="1:41">
      <c r="B77" s="4" t="s">
        <v>663</v>
      </c>
      <c r="C77" s="4" t="s">
        <v>264</v>
      </c>
      <c r="AK77" s="25" t="e">
        <f>#REF!/1000</f>
        <v>#REF!</v>
      </c>
      <c r="AL77" s="25" t="e">
        <f>#REF!/1000</f>
        <v>#REF!</v>
      </c>
      <c r="AM77" s="25" t="e">
        <f>#REF!/1000</f>
        <v>#REF!</v>
      </c>
      <c r="AN77" s="25" t="e">
        <f>#REF!/1000</f>
        <v>#REF!</v>
      </c>
    </row>
    <row r="78" spans="1:41" ht="11.25">
      <c r="F78" s="4"/>
      <c r="G78" s="4"/>
      <c r="H78" s="4"/>
      <c r="I78" s="4"/>
      <c r="J78" s="4"/>
      <c r="K78" s="4"/>
      <c r="L78" s="4"/>
      <c r="M78" s="4"/>
      <c r="N78" s="4"/>
      <c r="O78" s="4"/>
      <c r="P78" s="4"/>
      <c r="Q78" s="4"/>
      <c r="R78" s="4"/>
      <c r="S78" s="4"/>
      <c r="T78" s="4"/>
      <c r="U78" s="4"/>
      <c r="V78" s="4"/>
      <c r="W78" s="4"/>
      <c r="X78" s="4"/>
      <c r="Y78" s="4"/>
      <c r="Z78" s="4"/>
      <c r="AA78" s="4"/>
      <c r="AB78" s="4"/>
      <c r="AC78" s="4"/>
      <c r="AD78" s="4"/>
      <c r="AE78" s="4"/>
      <c r="AF78" s="4"/>
      <c r="AG78" s="4"/>
      <c r="AH78" s="4"/>
      <c r="AI78" s="4"/>
      <c r="AJ78" s="4"/>
    </row>
    <row r="79" spans="1:41" s="8" customFormat="1" ht="15.75">
      <c r="A79" s="8" t="s">
        <v>662</v>
      </c>
      <c r="D79" s="9" t="s">
        <v>661</v>
      </c>
    </row>
    <row r="80" spans="1:41">
      <c r="B80" s="4" t="s">
        <v>660</v>
      </c>
      <c r="C80" s="4" t="s">
        <v>259</v>
      </c>
      <c r="D80" s="4" t="s">
        <v>0</v>
      </c>
      <c r="AK80" s="25"/>
      <c r="AL80" s="25"/>
      <c r="AM80" s="25"/>
      <c r="AN80" s="25"/>
    </row>
    <row r="81" spans="1:40">
      <c r="B81" s="4" t="s">
        <v>659</v>
      </c>
      <c r="C81" s="4" t="s">
        <v>258</v>
      </c>
      <c r="D81" s="4" t="s">
        <v>0</v>
      </c>
      <c r="AK81" s="25"/>
      <c r="AL81" s="25"/>
      <c r="AM81" s="25"/>
      <c r="AN81" s="25"/>
    </row>
    <row r="82" spans="1:40">
      <c r="B82" s="4" t="s">
        <v>658</v>
      </c>
      <c r="C82" s="4" t="s">
        <v>257</v>
      </c>
      <c r="D82" s="4" t="s">
        <v>0</v>
      </c>
      <c r="AK82" s="25"/>
      <c r="AL82" s="25"/>
      <c r="AM82" s="25"/>
      <c r="AN82" s="25"/>
    </row>
    <row r="83" spans="1:40">
      <c r="B83" s="4" t="s">
        <v>657</v>
      </c>
      <c r="C83" s="4" t="s">
        <v>256</v>
      </c>
      <c r="D83" s="4" t="s">
        <v>0</v>
      </c>
      <c r="AK83" s="25"/>
      <c r="AL83" s="25"/>
      <c r="AM83" s="25"/>
      <c r="AN83" s="25"/>
    </row>
    <row r="84" spans="1:40">
      <c r="B84" s="4" t="s">
        <v>656</v>
      </c>
      <c r="C84" s="4" t="s">
        <v>255</v>
      </c>
      <c r="D84" s="4" t="s">
        <v>0</v>
      </c>
      <c r="AK84" s="25"/>
      <c r="AL84" s="25"/>
      <c r="AM84" s="25"/>
      <c r="AN84" s="25"/>
    </row>
    <row r="85" spans="1:40">
      <c r="B85" s="4" t="s">
        <v>655</v>
      </c>
      <c r="C85" s="4" t="s">
        <v>254</v>
      </c>
      <c r="D85" s="4" t="s">
        <v>0</v>
      </c>
      <c r="AK85" s="25"/>
      <c r="AL85" s="25"/>
      <c r="AM85" s="25"/>
      <c r="AN85" s="25"/>
    </row>
    <row r="86" spans="1:40">
      <c r="B86" s="4" t="s">
        <v>654</v>
      </c>
      <c r="C86" s="4" t="s">
        <v>253</v>
      </c>
      <c r="D86" s="4" t="s">
        <v>0</v>
      </c>
      <c r="AK86" s="25"/>
      <c r="AL86" s="25"/>
      <c r="AM86" s="25"/>
      <c r="AN86" s="25"/>
    </row>
    <row r="87" spans="1:40">
      <c r="B87" s="4" t="s">
        <v>653</v>
      </c>
      <c r="C87" s="4" t="s">
        <v>252</v>
      </c>
      <c r="AK87" s="26" t="e">
        <f>1-#REF!</f>
        <v>#REF!</v>
      </c>
      <c r="AL87" s="26" t="e">
        <f>1-#REF!</f>
        <v>#REF!</v>
      </c>
      <c r="AM87" s="26" t="e">
        <f>1-#REF!</f>
        <v>#REF!</v>
      </c>
      <c r="AN87" s="26" t="e">
        <f>1-#REF!</f>
        <v>#REF!</v>
      </c>
    </row>
    <row r="88" spans="1:40" ht="11.25">
      <c r="F88" s="4"/>
      <c r="G88" s="4"/>
      <c r="H88" s="4"/>
      <c r="I88" s="4"/>
      <c r="J88" s="4"/>
      <c r="K88" s="4"/>
      <c r="L88" s="4"/>
      <c r="M88" s="4"/>
      <c r="N88" s="4"/>
      <c r="O88" s="4"/>
      <c r="P88" s="4"/>
      <c r="Q88" s="4"/>
      <c r="R88" s="4"/>
      <c r="S88" s="4"/>
      <c r="T88" s="4"/>
      <c r="U88" s="4"/>
      <c r="V88" s="4"/>
      <c r="W88" s="4"/>
      <c r="X88" s="4"/>
      <c r="Y88" s="4"/>
      <c r="Z88" s="4"/>
      <c r="AA88" s="4"/>
      <c r="AB88" s="4"/>
      <c r="AC88" s="4"/>
      <c r="AD88" s="4"/>
      <c r="AE88" s="4"/>
      <c r="AF88" s="4"/>
      <c r="AG88" s="4"/>
      <c r="AH88" s="4"/>
      <c r="AI88" s="4"/>
      <c r="AJ88" s="4"/>
    </row>
    <row r="89" spans="1:40" s="8" customFormat="1" ht="15.75">
      <c r="A89" s="8" t="s">
        <v>652</v>
      </c>
      <c r="D89" s="9" t="s">
        <v>651</v>
      </c>
    </row>
    <row r="90" spans="1:40">
      <c r="B90" s="4" t="s">
        <v>650</v>
      </c>
      <c r="C90" s="4" t="s">
        <v>251</v>
      </c>
      <c r="D90" s="4" t="s">
        <v>0</v>
      </c>
      <c r="AK90" s="29" t="e">
        <f>#REF!</f>
        <v>#REF!</v>
      </c>
      <c r="AL90" s="29" t="e">
        <f>#REF!</f>
        <v>#REF!</v>
      </c>
      <c r="AM90" s="29" t="e">
        <f>#REF!</f>
        <v>#REF!</v>
      </c>
      <c r="AN90" s="29" t="e">
        <f>#REF!</f>
        <v>#REF!</v>
      </c>
    </row>
    <row r="91" spans="1:40">
      <c r="B91" s="4" t="s">
        <v>649</v>
      </c>
      <c r="C91" s="4" t="s">
        <v>250</v>
      </c>
      <c r="D91" s="4" t="s">
        <v>0</v>
      </c>
      <c r="AK91" s="29" t="e">
        <f>#REF!</f>
        <v>#REF!</v>
      </c>
      <c r="AL91" s="29" t="e">
        <f>#REF!</f>
        <v>#REF!</v>
      </c>
      <c r="AM91" s="29" t="e">
        <f>#REF!</f>
        <v>#REF!</v>
      </c>
      <c r="AN91" s="29" t="e">
        <f>#REF!</f>
        <v>#REF!</v>
      </c>
    </row>
    <row r="92" spans="1:40">
      <c r="B92" s="4" t="s">
        <v>648</v>
      </c>
      <c r="C92" s="4" t="s">
        <v>249</v>
      </c>
      <c r="D92" s="4" t="s">
        <v>0</v>
      </c>
      <c r="AK92" s="25" t="e">
        <f>#REF!</f>
        <v>#REF!</v>
      </c>
      <c r="AL92" s="25" t="e">
        <f>#REF!</f>
        <v>#REF!</v>
      </c>
      <c r="AM92" s="25" t="e">
        <f>#REF!</f>
        <v>#REF!</v>
      </c>
      <c r="AN92" s="25" t="e">
        <f>#REF!</f>
        <v>#REF!</v>
      </c>
    </row>
    <row r="93" spans="1:40">
      <c r="B93" s="4" t="s">
        <v>647</v>
      </c>
      <c r="C93" s="4" t="s">
        <v>248</v>
      </c>
      <c r="D93" s="4" t="s">
        <v>0</v>
      </c>
      <c r="AK93" s="25" t="e">
        <f>AK94-AK92-AK91</f>
        <v>#REF!</v>
      </c>
      <c r="AL93" s="25" t="e">
        <f>AL94-AL92-AL91</f>
        <v>#REF!</v>
      </c>
      <c r="AM93" s="25" t="e">
        <f>AM94-AM92-AM91</f>
        <v>#REF!</v>
      </c>
      <c r="AN93" s="25" t="e">
        <f>AN94-AN92-AN91</f>
        <v>#REF!</v>
      </c>
    </row>
    <row r="94" spans="1:40">
      <c r="B94" s="4" t="s">
        <v>646</v>
      </c>
      <c r="C94" s="4" t="s">
        <v>247</v>
      </c>
      <c r="D94" s="4" t="s">
        <v>0</v>
      </c>
      <c r="AK94" s="25" t="e">
        <f>#REF!</f>
        <v>#REF!</v>
      </c>
      <c r="AL94" s="25" t="e">
        <f>#REF!</f>
        <v>#REF!</v>
      </c>
      <c r="AM94" s="25" t="e">
        <f>#REF!</f>
        <v>#REF!</v>
      </c>
      <c r="AN94" s="25" t="e">
        <f>#REF!</f>
        <v>#REF!</v>
      </c>
    </row>
    <row r="95" spans="1:40">
      <c r="B95" s="4" t="s">
        <v>645</v>
      </c>
      <c r="C95" s="4" t="s">
        <v>246</v>
      </c>
      <c r="D95" s="4" t="s">
        <v>0</v>
      </c>
      <c r="AK95" s="25" t="e">
        <f>#REF!</f>
        <v>#REF!</v>
      </c>
      <c r="AL95" s="25" t="e">
        <f>#REF!</f>
        <v>#REF!</v>
      </c>
      <c r="AM95" s="25" t="e">
        <f>#REF!</f>
        <v>#REF!</v>
      </c>
      <c r="AN95" s="25" t="e">
        <f>#REF!</f>
        <v>#REF!</v>
      </c>
    </row>
    <row r="96" spans="1:40">
      <c r="B96" s="4" t="s">
        <v>644</v>
      </c>
      <c r="C96" s="4" t="s">
        <v>245</v>
      </c>
      <c r="D96" s="4" t="s">
        <v>0</v>
      </c>
      <c r="AK96" s="25" t="e">
        <f>AK97-AK95</f>
        <v>#REF!</v>
      </c>
      <c r="AL96" s="25" t="e">
        <f>AL97-AL95</f>
        <v>#REF!</v>
      </c>
      <c r="AM96" s="25" t="e">
        <f>AM97-AM95</f>
        <v>#REF!</v>
      </c>
      <c r="AN96" s="25" t="e">
        <f>AN97-AN95</f>
        <v>#REF!</v>
      </c>
    </row>
    <row r="97" spans="2:40">
      <c r="B97" s="4" t="s">
        <v>643</v>
      </c>
      <c r="C97" s="4" t="s">
        <v>244</v>
      </c>
      <c r="D97" s="4" t="s">
        <v>0</v>
      </c>
      <c r="AK97" s="25" t="e">
        <f>#REF!</f>
        <v>#REF!</v>
      </c>
      <c r="AL97" s="25" t="e">
        <f>#REF!</f>
        <v>#REF!</v>
      </c>
      <c r="AM97" s="25" t="e">
        <f>#REF!</f>
        <v>#REF!</v>
      </c>
      <c r="AN97" s="25" t="e">
        <f>#REF!</f>
        <v>#REF!</v>
      </c>
    </row>
    <row r="98" spans="2:40">
      <c r="B98" s="4" t="s">
        <v>642</v>
      </c>
      <c r="C98" s="4" t="s">
        <v>243</v>
      </c>
      <c r="D98" s="4" t="s">
        <v>0</v>
      </c>
      <c r="AK98" s="25" t="e">
        <f>#REF!</f>
        <v>#REF!</v>
      </c>
      <c r="AL98" s="25" t="e">
        <f>#REF!</f>
        <v>#REF!</v>
      </c>
      <c r="AM98" s="25" t="e">
        <f>#REF!</f>
        <v>#REF!</v>
      </c>
      <c r="AN98" s="25" t="e">
        <f>#REF!</f>
        <v>#REF!</v>
      </c>
    </row>
    <row r="99" spans="2:40">
      <c r="B99" s="4" t="s">
        <v>641</v>
      </c>
      <c r="C99" s="4" t="s">
        <v>242</v>
      </c>
      <c r="D99" s="4" t="s">
        <v>0</v>
      </c>
      <c r="AK99" s="25" t="e">
        <f>AK100-AK98</f>
        <v>#REF!</v>
      </c>
      <c r="AL99" s="25" t="e">
        <f>AL100-AL98</f>
        <v>#REF!</v>
      </c>
      <c r="AM99" s="25" t="e">
        <f>AM100-AM98</f>
        <v>#REF!</v>
      </c>
      <c r="AN99" s="25" t="e">
        <f>AN100-AN98</f>
        <v>#REF!</v>
      </c>
    </row>
    <row r="100" spans="2:40">
      <c r="B100" s="4" t="s">
        <v>640</v>
      </c>
      <c r="C100" s="4" t="s">
        <v>241</v>
      </c>
      <c r="D100" s="4" t="s">
        <v>0</v>
      </c>
      <c r="AK100" s="25" t="e">
        <f>#REF!</f>
        <v>#REF!</v>
      </c>
      <c r="AL100" s="25" t="e">
        <f>#REF!</f>
        <v>#REF!</v>
      </c>
      <c r="AM100" s="25" t="e">
        <f>#REF!</f>
        <v>#REF!</v>
      </c>
      <c r="AN100" s="25" t="e">
        <f>#REF!</f>
        <v>#REF!</v>
      </c>
    </row>
    <row r="101" spans="2:40">
      <c r="B101" s="4" t="s">
        <v>639</v>
      </c>
      <c r="C101" s="4" t="s">
        <v>240</v>
      </c>
      <c r="D101" s="4" t="s">
        <v>0</v>
      </c>
      <c r="AK101" s="25" t="e">
        <f>#REF!</f>
        <v>#REF!</v>
      </c>
      <c r="AL101" s="25" t="e">
        <f>#REF!</f>
        <v>#REF!</v>
      </c>
      <c r="AM101" s="25" t="e">
        <f>#REF!</f>
        <v>#REF!</v>
      </c>
      <c r="AN101" s="25" t="e">
        <f>#REF!</f>
        <v>#REF!</v>
      </c>
    </row>
    <row r="102" spans="2:40">
      <c r="B102" s="4" t="s">
        <v>638</v>
      </c>
      <c r="C102" s="4" t="s">
        <v>239</v>
      </c>
      <c r="D102" s="4" t="s">
        <v>0</v>
      </c>
      <c r="AK102" s="25"/>
      <c r="AL102" s="25"/>
      <c r="AM102" s="25"/>
      <c r="AN102" s="25"/>
    </row>
    <row r="103" spans="2:40">
      <c r="B103" s="4" t="s">
        <v>637</v>
      </c>
      <c r="C103" s="4" t="s">
        <v>238</v>
      </c>
      <c r="D103" s="4" t="s">
        <v>0</v>
      </c>
      <c r="AK103" s="25" t="e">
        <f>AK104-AK97-AK100-AK101-AK102-AK94</f>
        <v>#REF!</v>
      </c>
      <c r="AL103" s="25" t="e">
        <f>AL104-AL97-AL100-AL101-AL102-AL94</f>
        <v>#REF!</v>
      </c>
      <c r="AM103" s="25" t="e">
        <f>AM104-AM97-AM100-AM101-AM102-AM94</f>
        <v>#REF!</v>
      </c>
      <c r="AN103" s="25" t="e">
        <f>AN104-AN97-AN100-AN101-AN102-AN94</f>
        <v>#REF!</v>
      </c>
    </row>
    <row r="104" spans="2:40">
      <c r="B104" s="4" t="s">
        <v>636</v>
      </c>
      <c r="C104" s="4" t="s">
        <v>237</v>
      </c>
      <c r="D104" s="4" t="s">
        <v>0</v>
      </c>
      <c r="AK104" s="29" t="e">
        <f>AK94+#REF!</f>
        <v>#REF!</v>
      </c>
      <c r="AL104" s="29" t="e">
        <f>AL94+#REF!</f>
        <v>#REF!</v>
      </c>
      <c r="AM104" s="29" t="e">
        <f>AM94+#REF!</f>
        <v>#REF!</v>
      </c>
      <c r="AN104" s="29" t="e">
        <f>AN94+#REF!</f>
        <v>#REF!</v>
      </c>
    </row>
    <row r="105" spans="2:40">
      <c r="B105" s="4" t="s">
        <v>563</v>
      </c>
      <c r="C105" s="4" t="s">
        <v>236</v>
      </c>
      <c r="D105" s="4" t="s">
        <v>0</v>
      </c>
      <c r="AK105" s="25" t="e">
        <f>-#REF!</f>
        <v>#REF!</v>
      </c>
      <c r="AL105" s="25" t="e">
        <f>-#REF!</f>
        <v>#REF!</v>
      </c>
      <c r="AM105" s="25" t="e">
        <f>-#REF!</f>
        <v>#REF!</v>
      </c>
      <c r="AN105" s="25" t="e">
        <f>-#REF!</f>
        <v>#REF!</v>
      </c>
    </row>
    <row r="106" spans="2:40">
      <c r="B106" s="4" t="s">
        <v>635</v>
      </c>
      <c r="C106" s="4" t="s">
        <v>235</v>
      </c>
      <c r="D106" s="4" t="s">
        <v>0</v>
      </c>
      <c r="AK106" s="25" t="e">
        <f>-#REF!</f>
        <v>#REF!</v>
      </c>
      <c r="AL106" s="25" t="e">
        <f>-#REF!</f>
        <v>#REF!</v>
      </c>
      <c r="AM106" s="25" t="e">
        <f>-#REF!</f>
        <v>#REF!</v>
      </c>
      <c r="AN106" s="25" t="e">
        <f>-#REF!</f>
        <v>#REF!</v>
      </c>
    </row>
    <row r="107" spans="2:40">
      <c r="B107" s="4" t="s">
        <v>634</v>
      </c>
      <c r="C107" s="4" t="s">
        <v>234</v>
      </c>
      <c r="D107" s="4" t="s">
        <v>0</v>
      </c>
      <c r="AK107" s="25"/>
      <c r="AL107" s="25"/>
      <c r="AM107" s="25"/>
      <c r="AN107" s="25"/>
    </row>
    <row r="108" spans="2:40">
      <c r="B108" s="4" t="s">
        <v>633</v>
      </c>
      <c r="C108" s="4" t="s">
        <v>233</v>
      </c>
      <c r="D108" s="4" t="s">
        <v>0</v>
      </c>
      <c r="AK108" s="25" t="e">
        <f>-#REF!</f>
        <v>#REF!</v>
      </c>
      <c r="AL108" s="25" t="e">
        <f>-#REF!</f>
        <v>#REF!</v>
      </c>
      <c r="AM108" s="25" t="e">
        <f>-#REF!</f>
        <v>#REF!</v>
      </c>
      <c r="AN108" s="25" t="e">
        <f>-#REF!</f>
        <v>#REF!</v>
      </c>
    </row>
    <row r="109" spans="2:40">
      <c r="B109" s="4" t="s">
        <v>632</v>
      </c>
      <c r="C109" s="4" t="s">
        <v>232</v>
      </c>
      <c r="D109" s="4" t="s">
        <v>0</v>
      </c>
      <c r="AK109" s="25"/>
      <c r="AL109" s="25"/>
      <c r="AM109" s="25"/>
      <c r="AN109" s="25"/>
    </row>
    <row r="110" spans="2:40">
      <c r="B110" s="4" t="s">
        <v>631</v>
      </c>
      <c r="C110" s="4" t="s">
        <v>231</v>
      </c>
      <c r="D110" s="4" t="s">
        <v>0</v>
      </c>
      <c r="AK110" s="25"/>
      <c r="AL110" s="25"/>
      <c r="AM110" s="25"/>
      <c r="AN110" s="25"/>
    </row>
    <row r="111" spans="2:40">
      <c r="B111" s="4" t="s">
        <v>630</v>
      </c>
      <c r="C111" s="4" t="s">
        <v>230</v>
      </c>
      <c r="D111" s="4" t="s">
        <v>0</v>
      </c>
      <c r="AK111" s="25">
        <f>AK109+AK110</f>
        <v>0</v>
      </c>
      <c r="AL111" s="25">
        <f>AL109+AL110</f>
        <v>0</v>
      </c>
      <c r="AM111" s="25">
        <f>AM109+AM110</f>
        <v>0</v>
      </c>
      <c r="AN111" s="25">
        <f>AN109+AN110</f>
        <v>0</v>
      </c>
    </row>
    <row r="112" spans="2:40">
      <c r="B112" s="4" t="s">
        <v>629</v>
      </c>
      <c r="C112" s="4" t="s">
        <v>229</v>
      </c>
      <c r="D112" s="4" t="s">
        <v>0</v>
      </c>
      <c r="AK112" s="25" t="e">
        <f>AK108-#REF!</f>
        <v>#REF!</v>
      </c>
      <c r="AL112" s="25" t="e">
        <f>AL108-#REF!</f>
        <v>#REF!</v>
      </c>
      <c r="AM112" s="25" t="e">
        <f>AM108-#REF!</f>
        <v>#REF!</v>
      </c>
      <c r="AN112" s="25" t="e">
        <f>AN108-#REF!</f>
        <v>#REF!</v>
      </c>
    </row>
    <row r="113" spans="1:41">
      <c r="B113" s="4" t="s">
        <v>628</v>
      </c>
      <c r="C113" s="4" t="s">
        <v>228</v>
      </c>
      <c r="D113" s="4" t="s">
        <v>0</v>
      </c>
      <c r="AK113" s="25"/>
      <c r="AL113" s="25"/>
      <c r="AM113" s="25"/>
      <c r="AN113" s="25"/>
    </row>
    <row r="114" spans="1:41">
      <c r="B114" s="4" t="s">
        <v>627</v>
      </c>
      <c r="C114" s="4" t="s">
        <v>227</v>
      </c>
      <c r="D114" s="4" t="s">
        <v>0</v>
      </c>
      <c r="AK114" s="25" t="e">
        <f>#REF!-#REF!</f>
        <v>#REF!</v>
      </c>
      <c r="AL114" s="25" t="e">
        <f>#REF!-#REF!</f>
        <v>#REF!</v>
      </c>
      <c r="AM114" s="25" t="e">
        <f>#REF!-#REF!</f>
        <v>#REF!</v>
      </c>
      <c r="AN114" s="25" t="e">
        <f>#REF!-#REF!</f>
        <v>#REF!</v>
      </c>
    </row>
    <row r="115" spans="1:41">
      <c r="B115" s="4" t="s">
        <v>608</v>
      </c>
      <c r="C115" s="4" t="s">
        <v>226</v>
      </c>
      <c r="D115" s="4" t="s">
        <v>0</v>
      </c>
      <c r="AK115" s="25" t="e">
        <f>#REF!</f>
        <v>#REF!</v>
      </c>
      <c r="AL115" s="25" t="e">
        <f>#REF!</f>
        <v>#REF!</v>
      </c>
      <c r="AM115" s="25" t="e">
        <f>#REF!</f>
        <v>#REF!</v>
      </c>
      <c r="AN115" s="25" t="e">
        <f>#REF!</f>
        <v>#REF!</v>
      </c>
    </row>
    <row r="116" spans="1:41">
      <c r="B116" s="4" t="s">
        <v>626</v>
      </c>
      <c r="C116" s="4" t="s">
        <v>225</v>
      </c>
      <c r="D116" s="4" t="s">
        <v>0</v>
      </c>
      <c r="AK116" s="25" t="e">
        <f>AK114+AK115</f>
        <v>#REF!</v>
      </c>
      <c r="AL116" s="25" t="e">
        <f>AL114+AL115</f>
        <v>#REF!</v>
      </c>
      <c r="AM116" s="25" t="e">
        <f>AM114+AM115</f>
        <v>#REF!</v>
      </c>
      <c r="AN116" s="25" t="e">
        <f>AN114+AN115</f>
        <v>#REF!</v>
      </c>
    </row>
    <row r="117" spans="1:41">
      <c r="B117" s="4" t="s">
        <v>625</v>
      </c>
      <c r="C117" s="4" t="s">
        <v>224</v>
      </c>
      <c r="D117" s="4" t="s">
        <v>0</v>
      </c>
      <c r="AK117" s="29" t="e">
        <f>AK112+AK116</f>
        <v>#REF!</v>
      </c>
      <c r="AL117" s="29" t="e">
        <f>AL112+AL116</f>
        <v>#REF!</v>
      </c>
      <c r="AM117" s="29" t="e">
        <f>AM112+AM116</f>
        <v>#REF!</v>
      </c>
      <c r="AN117" s="29" t="e">
        <f>AN112+AN116</f>
        <v>#REF!</v>
      </c>
    </row>
    <row r="118" spans="1:41">
      <c r="B118" s="4" t="s">
        <v>624</v>
      </c>
      <c r="C118" s="4" t="s">
        <v>223</v>
      </c>
      <c r="D118" s="4" t="s">
        <v>0</v>
      </c>
      <c r="AK118" s="28" t="e">
        <f>AK23</f>
        <v>#REF!</v>
      </c>
      <c r="AL118" s="28" t="e">
        <f>AL23</f>
        <v>#REF!</v>
      </c>
      <c r="AM118" s="28" t="e">
        <f>AM23</f>
        <v>#REF!</v>
      </c>
      <c r="AN118" s="28" t="e">
        <f>AN23</f>
        <v>#REF!</v>
      </c>
    </row>
    <row r="119" spans="1:41" ht="11.25">
      <c r="F119" s="4"/>
      <c r="G119" s="4"/>
      <c r="H119" s="4"/>
      <c r="I119" s="4"/>
      <c r="J119" s="4"/>
      <c r="K119" s="4"/>
      <c r="L119" s="4"/>
      <c r="M119" s="4"/>
      <c r="N119" s="4"/>
      <c r="O119" s="4"/>
      <c r="P119" s="27" t="e">
        <f>#REF!-#REF!</f>
        <v>#REF!</v>
      </c>
      <c r="Q119" s="4"/>
      <c r="R119" s="4"/>
      <c r="S119" s="27" t="e">
        <f>#REF!-#REF!</f>
        <v>#REF!</v>
      </c>
      <c r="T119" s="4"/>
      <c r="U119" s="4"/>
      <c r="V119" s="27" t="e">
        <f>#REF!-#REF!</f>
        <v>#REF!</v>
      </c>
      <c r="W119" s="4"/>
      <c r="X119" s="4"/>
      <c r="Y119" s="27" t="e">
        <f>#REF!-#REF!</f>
        <v>#REF!</v>
      </c>
      <c r="Z119" s="4"/>
      <c r="AA119" s="4"/>
      <c r="AB119" s="27" t="e">
        <f>#REF!-#REF!</f>
        <v>#REF!</v>
      </c>
      <c r="AC119" s="4"/>
      <c r="AD119" s="4"/>
      <c r="AE119" s="27" t="e">
        <f>#REF!-#REF!</f>
        <v>#REF!</v>
      </c>
      <c r="AF119" s="27" t="e">
        <f>#REF!-#REF!</f>
        <v>#REF!</v>
      </c>
      <c r="AG119" s="27" t="e">
        <f>#REF!-#REF!</f>
        <v>#REF!</v>
      </c>
      <c r="AH119" s="27" t="e">
        <f>#REF!-#REF!</f>
        <v>#REF!</v>
      </c>
      <c r="AI119" s="27" t="e">
        <f>#REF!-#REF!</f>
        <v>#REF!</v>
      </c>
      <c r="AJ119" s="27" t="e">
        <f>#REF!-#REF!</f>
        <v>#REF!</v>
      </c>
      <c r="AK119" s="27" t="e">
        <f>AK117-AK104</f>
        <v>#REF!</v>
      </c>
      <c r="AL119" s="27" t="e">
        <f>AL117-AL104</f>
        <v>#REF!</v>
      </c>
      <c r="AM119" s="27" t="e">
        <f>AM117-AM104</f>
        <v>#REF!</v>
      </c>
      <c r="AN119" s="27" t="e">
        <f>AN117-AN104</f>
        <v>#REF!</v>
      </c>
    </row>
    <row r="120" spans="1:41" s="8" customFormat="1" ht="15.75">
      <c r="A120" s="8" t="s">
        <v>623</v>
      </c>
      <c r="D120" s="9" t="s">
        <v>622</v>
      </c>
    </row>
    <row r="121" spans="1:41">
      <c r="B121" s="4" t="s">
        <v>621</v>
      </c>
      <c r="C121" s="4" t="s">
        <v>222</v>
      </c>
      <c r="D121" s="4" t="s">
        <v>0</v>
      </c>
      <c r="AK121" s="25" t="e">
        <f>#REF!</f>
        <v>#REF!</v>
      </c>
      <c r="AL121" s="25" t="e">
        <f>#REF!</f>
        <v>#REF!</v>
      </c>
      <c r="AM121" s="25" t="e">
        <f>#REF!</f>
        <v>#REF!</v>
      </c>
      <c r="AN121" s="25" t="e">
        <f>#REF!</f>
        <v>#REF!</v>
      </c>
      <c r="AO121" s="4" t="s">
        <v>620</v>
      </c>
    </row>
    <row r="122" spans="1:41">
      <c r="B122" s="4" t="s">
        <v>619</v>
      </c>
      <c r="C122" s="4" t="s">
        <v>221</v>
      </c>
      <c r="D122" s="4" t="s">
        <v>0</v>
      </c>
      <c r="AK122" s="24"/>
      <c r="AL122" s="24"/>
      <c r="AM122" s="24"/>
      <c r="AN122" s="24"/>
    </row>
    <row r="123" spans="1:41">
      <c r="B123" s="4" t="s">
        <v>618</v>
      </c>
      <c r="C123" s="4" t="s">
        <v>220</v>
      </c>
      <c r="D123" s="4" t="s">
        <v>0</v>
      </c>
      <c r="AK123" s="24"/>
      <c r="AL123" s="24"/>
      <c r="AM123" s="24"/>
      <c r="AN123" s="24"/>
    </row>
    <row r="124" spans="1:41">
      <c r="B124" s="4" t="s">
        <v>617</v>
      </c>
      <c r="C124" s="4" t="s">
        <v>219</v>
      </c>
      <c r="D124" s="4" t="s">
        <v>0</v>
      </c>
      <c r="AK124" s="24"/>
      <c r="AL124" s="24"/>
      <c r="AM124" s="24"/>
      <c r="AN124" s="24"/>
    </row>
    <row r="125" spans="1:41">
      <c r="B125" s="4" t="s">
        <v>616</v>
      </c>
      <c r="C125" s="4" t="s">
        <v>218</v>
      </c>
      <c r="D125" s="4" t="s">
        <v>0</v>
      </c>
      <c r="AK125" s="24"/>
      <c r="AL125" s="24"/>
      <c r="AM125" s="24"/>
      <c r="AN125" s="24"/>
    </row>
    <row r="126" spans="1:41">
      <c r="B126" s="4" t="s">
        <v>615</v>
      </c>
      <c r="C126" s="4" t="s">
        <v>217</v>
      </c>
      <c r="AK126" s="24"/>
      <c r="AL126" s="24"/>
      <c r="AM126" s="24"/>
      <c r="AN126" s="24"/>
    </row>
    <row r="127" spans="1:41">
      <c r="B127" s="4" t="s">
        <v>614</v>
      </c>
      <c r="C127" s="4" t="s">
        <v>216</v>
      </c>
      <c r="D127" s="4" t="s">
        <v>0</v>
      </c>
      <c r="AK127" s="24"/>
      <c r="AL127" s="24"/>
      <c r="AM127" s="24"/>
      <c r="AN127" s="24"/>
    </row>
    <row r="128" spans="1:41">
      <c r="B128" s="4" t="s">
        <v>613</v>
      </c>
      <c r="C128" s="4" t="s">
        <v>215</v>
      </c>
      <c r="D128" s="4" t="s">
        <v>0</v>
      </c>
      <c r="AK128" s="24"/>
      <c r="AL128" s="24"/>
      <c r="AM128" s="24"/>
      <c r="AN128" s="24"/>
    </row>
    <row r="129" spans="1:40">
      <c r="B129" s="4" t="s">
        <v>612</v>
      </c>
      <c r="C129" s="4" t="s">
        <v>214</v>
      </c>
      <c r="D129" s="4" t="s">
        <v>0</v>
      </c>
      <c r="AK129" s="24"/>
      <c r="AL129" s="24"/>
      <c r="AM129" s="24"/>
      <c r="AN129" s="24"/>
    </row>
    <row r="130" spans="1:40">
      <c r="B130" s="4" t="s">
        <v>611</v>
      </c>
      <c r="C130" s="4" t="s">
        <v>213</v>
      </c>
      <c r="D130" s="4" t="s">
        <v>0</v>
      </c>
      <c r="AK130" s="24"/>
      <c r="AL130" s="24"/>
      <c r="AM130" s="24"/>
      <c r="AN130" s="24"/>
    </row>
    <row r="131" spans="1:40" s="1" customFormat="1" ht="12.75">
      <c r="B131" s="1" t="s">
        <v>610</v>
      </c>
      <c r="C131" s="1" t="s">
        <v>212</v>
      </c>
      <c r="D131" s="1" t="s">
        <v>0</v>
      </c>
      <c r="AK131" s="7"/>
      <c r="AL131" s="7"/>
      <c r="AM131" s="7"/>
      <c r="AN131" s="7"/>
    </row>
    <row r="132" spans="1:40">
      <c r="B132" s="4" t="s">
        <v>609</v>
      </c>
      <c r="C132" s="4" t="s">
        <v>211</v>
      </c>
      <c r="AK132" s="24"/>
      <c r="AL132" s="24"/>
      <c r="AM132" s="24"/>
      <c r="AN132" s="24"/>
    </row>
    <row r="133" spans="1:40">
      <c r="B133" s="4" t="s">
        <v>608</v>
      </c>
      <c r="C133" s="4" t="s">
        <v>210</v>
      </c>
      <c r="D133" s="4" t="s">
        <v>0</v>
      </c>
      <c r="AK133" s="24"/>
      <c r="AL133" s="24"/>
      <c r="AM133" s="24"/>
      <c r="AN133" s="24"/>
    </row>
    <row r="134" spans="1:40" ht="11.25">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c r="AJ134" s="4"/>
    </row>
    <row r="135" spans="1:40" s="8" customFormat="1" ht="15.75">
      <c r="A135" s="8" t="s">
        <v>607</v>
      </c>
      <c r="D135" s="9" t="s">
        <v>606</v>
      </c>
    </row>
    <row r="136" spans="1:40">
      <c r="B136" s="4" t="s">
        <v>605</v>
      </c>
      <c r="C136" s="4" t="s">
        <v>209</v>
      </c>
      <c r="D136" s="4" t="s">
        <v>0</v>
      </c>
      <c r="AK136" s="25" t="e">
        <f>AK30</f>
        <v>#REF!</v>
      </c>
      <c r="AL136" s="25" t="e">
        <f>AL30</f>
        <v>#REF!</v>
      </c>
      <c r="AM136" s="25" t="e">
        <f>AM30</f>
        <v>#REF!</v>
      </c>
      <c r="AN136" s="25" t="e">
        <f>AN30</f>
        <v>#REF!</v>
      </c>
    </row>
    <row r="137" spans="1:40">
      <c r="B137" s="4" t="s">
        <v>604</v>
      </c>
      <c r="C137" s="4" t="s">
        <v>208</v>
      </c>
      <c r="D137" s="4" t="s">
        <v>0</v>
      </c>
      <c r="AK137" s="25" t="e">
        <f>-AK63</f>
        <v>#REF!</v>
      </c>
      <c r="AL137" s="25" t="e">
        <f>-AL63</f>
        <v>#REF!</v>
      </c>
      <c r="AM137" s="25" t="e">
        <f>-AM63</f>
        <v>#REF!</v>
      </c>
      <c r="AN137" s="25" t="e">
        <f>-AN63</f>
        <v>#REF!</v>
      </c>
    </row>
    <row r="138" spans="1:40">
      <c r="B138" s="4" t="s">
        <v>603</v>
      </c>
      <c r="C138" s="4" t="s">
        <v>207</v>
      </c>
      <c r="D138" s="4" t="s">
        <v>0</v>
      </c>
      <c r="AK138" s="25" t="e">
        <f>#REF!+#REF!-#REF!-#REF!</f>
        <v>#REF!</v>
      </c>
      <c r="AL138" s="25" t="e">
        <f>#REF!+#REF!-#REF!-#REF!</f>
        <v>#REF!</v>
      </c>
      <c r="AM138" s="25" t="e">
        <f>#REF!+#REF!-#REF!-#REF!</f>
        <v>#REF!</v>
      </c>
      <c r="AN138" s="25" t="e">
        <f>#REF!+#REF!-#REF!-#REF!</f>
        <v>#REF!</v>
      </c>
    </row>
    <row r="139" spans="1:40">
      <c r="B139" s="4" t="s">
        <v>602</v>
      </c>
      <c r="C139" s="4" t="s">
        <v>206</v>
      </c>
      <c r="D139" s="4" t="s">
        <v>0</v>
      </c>
      <c r="AK139" s="25" t="e">
        <f>SUM(#REF!)</f>
        <v>#REF!</v>
      </c>
      <c r="AL139" s="25" t="e">
        <f>SUM(#REF!)</f>
        <v>#REF!</v>
      </c>
      <c r="AM139" s="25" t="e">
        <f>SUM(#REF!)</f>
        <v>#REF!</v>
      </c>
      <c r="AN139" s="25" t="e">
        <f>SUM(#REF!)</f>
        <v>#REF!</v>
      </c>
    </row>
    <row r="140" spans="1:40">
      <c r="B140" s="4" t="s">
        <v>601</v>
      </c>
      <c r="C140" s="4" t="s">
        <v>205</v>
      </c>
      <c r="D140" s="4" t="s">
        <v>0</v>
      </c>
      <c r="AK140" s="25" t="e">
        <f>AK141-AK136-AK137-AK138-AK139</f>
        <v>#REF!</v>
      </c>
      <c r="AL140" s="25" t="e">
        <f>AL141-AL136-AL137-AL138-AL139</f>
        <v>#REF!</v>
      </c>
      <c r="AM140" s="25" t="e">
        <f>AM141-AM136-AM137-AM138-AM139</f>
        <v>#REF!</v>
      </c>
      <c r="AN140" s="25" t="e">
        <f>AN141-AN136-AN137-AN138-AN139</f>
        <v>#REF!</v>
      </c>
    </row>
    <row r="141" spans="1:40">
      <c r="B141" s="4" t="s">
        <v>600</v>
      </c>
      <c r="C141" s="4" t="s">
        <v>204</v>
      </c>
      <c r="D141" s="4" t="s">
        <v>0</v>
      </c>
      <c r="AK141" s="25" t="e">
        <f>#REF!</f>
        <v>#REF!</v>
      </c>
      <c r="AL141" s="25" t="e">
        <f>#REF!</f>
        <v>#REF!</v>
      </c>
      <c r="AM141" s="25" t="e">
        <f>#REF!</f>
        <v>#REF!</v>
      </c>
      <c r="AN141" s="25" t="e">
        <f>#REF!</f>
        <v>#REF!</v>
      </c>
    </row>
    <row r="142" spans="1:40">
      <c r="B142" s="4" t="s">
        <v>599</v>
      </c>
      <c r="C142" s="4" t="s">
        <v>203</v>
      </c>
      <c r="D142" s="4" t="s">
        <v>0</v>
      </c>
      <c r="AK142" s="25" t="e">
        <f>#REF!+#REF!</f>
        <v>#REF!</v>
      </c>
      <c r="AL142" s="25" t="e">
        <f>#REF!+#REF!</f>
        <v>#REF!</v>
      </c>
      <c r="AM142" s="25" t="e">
        <f>#REF!+#REF!</f>
        <v>#REF!</v>
      </c>
      <c r="AN142" s="25" t="e">
        <f>#REF!+#REF!</f>
        <v>#REF!</v>
      </c>
    </row>
    <row r="143" spans="1:40">
      <c r="B143" s="4" t="s">
        <v>598</v>
      </c>
      <c r="C143" s="4" t="s">
        <v>202</v>
      </c>
      <c r="D143" s="4" t="s">
        <v>0</v>
      </c>
      <c r="AK143" s="25" t="e">
        <f>#REF!</f>
        <v>#REF!</v>
      </c>
      <c r="AL143" s="25" t="e">
        <f>#REF!</f>
        <v>#REF!</v>
      </c>
      <c r="AM143" s="25" t="e">
        <f>#REF!</f>
        <v>#REF!</v>
      </c>
      <c r="AN143" s="25" t="e">
        <f>#REF!</f>
        <v>#REF!</v>
      </c>
    </row>
    <row r="144" spans="1:40">
      <c r="B144" s="4" t="s">
        <v>597</v>
      </c>
      <c r="C144" s="4" t="s">
        <v>201</v>
      </c>
      <c r="D144" s="4" t="s">
        <v>0</v>
      </c>
      <c r="AK144" s="25" t="e">
        <f>#REF!</f>
        <v>#REF!</v>
      </c>
      <c r="AL144" s="25" t="e">
        <f>#REF!</f>
        <v>#REF!</v>
      </c>
      <c r="AM144" s="25" t="e">
        <f>#REF!</f>
        <v>#REF!</v>
      </c>
      <c r="AN144" s="25" t="e">
        <f>#REF!</f>
        <v>#REF!</v>
      </c>
    </row>
    <row r="145" spans="1:40">
      <c r="B145" s="4" t="s">
        <v>596</v>
      </c>
      <c r="C145" s="4" t="s">
        <v>200</v>
      </c>
      <c r="D145" s="4" t="s">
        <v>0</v>
      </c>
      <c r="AK145" s="25" t="e">
        <f>AK146-AK142-AK143-AK144</f>
        <v>#REF!</v>
      </c>
      <c r="AL145" s="25" t="e">
        <f>AL146-AL142-AL143-AL144</f>
        <v>#REF!</v>
      </c>
      <c r="AM145" s="25" t="e">
        <f>AM146-AM142-AM143-AM144</f>
        <v>#REF!</v>
      </c>
      <c r="AN145" s="25" t="e">
        <f>AN146-AN142-AN143-AN144</f>
        <v>#REF!</v>
      </c>
    </row>
    <row r="146" spans="1:40">
      <c r="B146" s="4" t="s">
        <v>595</v>
      </c>
      <c r="C146" s="4" t="s">
        <v>199</v>
      </c>
      <c r="D146" s="4" t="s">
        <v>0</v>
      </c>
      <c r="AK146" s="25" t="e">
        <f>#REF!</f>
        <v>#REF!</v>
      </c>
      <c r="AL146" s="25" t="e">
        <f>#REF!</f>
        <v>#REF!</v>
      </c>
      <c r="AM146" s="25" t="e">
        <f>#REF!</f>
        <v>#REF!</v>
      </c>
      <c r="AN146" s="25" t="e">
        <f>#REF!</f>
        <v>#REF!</v>
      </c>
    </row>
    <row r="147" spans="1:40">
      <c r="B147" s="4" t="s">
        <v>594</v>
      </c>
      <c r="C147" s="4" t="s">
        <v>198</v>
      </c>
      <c r="D147" s="4" t="s">
        <v>0</v>
      </c>
      <c r="AK147" s="25" t="e">
        <f>#REF!+#REF!</f>
        <v>#REF!</v>
      </c>
      <c r="AL147" s="25" t="e">
        <f>#REF!+#REF!</f>
        <v>#REF!</v>
      </c>
      <c r="AM147" s="25" t="e">
        <f>#REF!+#REF!</f>
        <v>#REF!</v>
      </c>
      <c r="AN147" s="25" t="e">
        <f>#REF!+#REF!</f>
        <v>#REF!</v>
      </c>
    </row>
    <row r="148" spans="1:40">
      <c r="B148" s="4" t="s">
        <v>593</v>
      </c>
      <c r="C148" s="4" t="s">
        <v>197</v>
      </c>
      <c r="D148" s="4" t="s">
        <v>0</v>
      </c>
      <c r="AK148" s="25" t="e">
        <f>#REF!+#REF!</f>
        <v>#REF!</v>
      </c>
      <c r="AL148" s="25" t="e">
        <f>#REF!+#REF!</f>
        <v>#REF!</v>
      </c>
      <c r="AM148" s="25" t="e">
        <f>#REF!+#REF!</f>
        <v>#REF!</v>
      </c>
      <c r="AN148" s="25" t="e">
        <f>#REF!+#REF!</f>
        <v>#REF!</v>
      </c>
    </row>
    <row r="149" spans="1:40">
      <c r="B149" s="4" t="s">
        <v>592</v>
      </c>
      <c r="C149" s="4" t="s">
        <v>196</v>
      </c>
      <c r="D149" s="4" t="s">
        <v>0</v>
      </c>
      <c r="AK149" s="25" t="e">
        <f>#REF!+#REF!+#REF!</f>
        <v>#REF!</v>
      </c>
      <c r="AL149" s="25" t="e">
        <f>#REF!+#REF!+#REF!</f>
        <v>#REF!</v>
      </c>
      <c r="AM149" s="25" t="e">
        <f>#REF!+#REF!+#REF!</f>
        <v>#REF!</v>
      </c>
      <c r="AN149" s="25" t="e">
        <f>#REF!+#REF!+#REF!</f>
        <v>#REF!</v>
      </c>
    </row>
    <row r="150" spans="1:40">
      <c r="B150" s="4" t="s">
        <v>591</v>
      </c>
      <c r="C150" s="4" t="s">
        <v>195</v>
      </c>
      <c r="D150" s="4" t="s">
        <v>0</v>
      </c>
      <c r="AK150" s="25" t="e">
        <f>AK151-AK147-AK148-AK149</f>
        <v>#REF!</v>
      </c>
      <c r="AL150" s="25" t="e">
        <f>AL151-AL147-AL148-AL149</f>
        <v>#REF!</v>
      </c>
      <c r="AM150" s="25" t="e">
        <f>AM151-AM147-AM148-AM149</f>
        <v>#REF!</v>
      </c>
      <c r="AN150" s="25" t="e">
        <f>AN151-AN147-AN148-AN149</f>
        <v>#REF!</v>
      </c>
    </row>
    <row r="151" spans="1:40">
      <c r="B151" s="4" t="s">
        <v>590</v>
      </c>
      <c r="C151" s="4" t="s">
        <v>194</v>
      </c>
      <c r="D151" s="4" t="s">
        <v>0</v>
      </c>
      <c r="AK151" s="25" t="e">
        <f>#REF!</f>
        <v>#REF!</v>
      </c>
      <c r="AL151" s="25" t="e">
        <f>#REF!</f>
        <v>#REF!</v>
      </c>
      <c r="AM151" s="25" t="e">
        <f>#REF!</f>
        <v>#REF!</v>
      </c>
      <c r="AN151" s="25" t="e">
        <f>#REF!</f>
        <v>#REF!</v>
      </c>
    </row>
    <row r="152" spans="1:40">
      <c r="B152" s="4" t="s">
        <v>589</v>
      </c>
      <c r="C152" s="4" t="s">
        <v>193</v>
      </c>
      <c r="D152" s="4" t="s">
        <v>0</v>
      </c>
      <c r="AK152" s="25" t="e">
        <f>AK153-AK151-AK146-AK141</f>
        <v>#REF!</v>
      </c>
      <c r="AL152" s="25" t="e">
        <f>AL153-AL151-AL146-AL141</f>
        <v>#REF!</v>
      </c>
      <c r="AM152" s="25" t="e">
        <f>AM153-AM151-AM146-AM141</f>
        <v>#REF!</v>
      </c>
      <c r="AN152" s="25" t="e">
        <f>AN153-AN151-AN146-AN141</f>
        <v>#REF!</v>
      </c>
    </row>
    <row r="153" spans="1:40">
      <c r="B153" s="4" t="s">
        <v>588</v>
      </c>
      <c r="C153" s="4" t="s">
        <v>192</v>
      </c>
      <c r="D153" s="4" t="s">
        <v>0</v>
      </c>
      <c r="AK153" s="25" t="e">
        <f>AK90-#REF!</f>
        <v>#REF!</v>
      </c>
      <c r="AL153" s="25" t="e">
        <f>AL90-AK90</f>
        <v>#REF!</v>
      </c>
      <c r="AM153" s="25" t="e">
        <f>AM90-AL90</f>
        <v>#REF!</v>
      </c>
      <c r="AN153" s="25" t="e">
        <f>AN90-AM90</f>
        <v>#REF!</v>
      </c>
    </row>
    <row r="154" spans="1:40" ht="11.25">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row>
    <row r="155" spans="1:40" s="8" customFormat="1" ht="15.75">
      <c r="A155" s="8" t="s">
        <v>587</v>
      </c>
      <c r="D155" s="9" t="s">
        <v>586</v>
      </c>
    </row>
    <row r="156" spans="1:40">
      <c r="B156" s="4" t="s">
        <v>585</v>
      </c>
      <c r="C156" s="4" t="s">
        <v>191</v>
      </c>
      <c r="D156" s="4" t="s">
        <v>0</v>
      </c>
      <c r="AK156" s="24"/>
      <c r="AL156" s="24"/>
      <c r="AM156" s="24"/>
      <c r="AN156" s="24"/>
    </row>
    <row r="157" spans="1:40">
      <c r="B157" s="4" t="s">
        <v>584</v>
      </c>
      <c r="C157" s="4" t="s">
        <v>190</v>
      </c>
      <c r="D157" s="4" t="s">
        <v>0</v>
      </c>
      <c r="AK157" s="24"/>
      <c r="AL157" s="24"/>
      <c r="AM157" s="24"/>
      <c r="AN157" s="24"/>
    </row>
    <row r="158" spans="1:40">
      <c r="B158" s="4" t="s">
        <v>583</v>
      </c>
      <c r="C158" s="4" t="s">
        <v>189</v>
      </c>
      <c r="D158" s="4" t="s">
        <v>0</v>
      </c>
      <c r="AK158" s="24"/>
      <c r="AL158" s="24"/>
      <c r="AM158" s="24"/>
      <c r="AN158" s="24"/>
    </row>
    <row r="159" spans="1:40">
      <c r="B159" s="4" t="s">
        <v>582</v>
      </c>
      <c r="C159" s="4" t="s">
        <v>188</v>
      </c>
      <c r="D159" s="4" t="s">
        <v>0</v>
      </c>
      <c r="AK159" s="24"/>
      <c r="AL159" s="24"/>
      <c r="AM159" s="24"/>
      <c r="AN159" s="24"/>
    </row>
    <row r="160" spans="1:40">
      <c r="B160" s="4" t="s">
        <v>581</v>
      </c>
      <c r="C160" s="4" t="s">
        <v>187</v>
      </c>
      <c r="D160" s="4" t="s">
        <v>0</v>
      </c>
      <c r="AK160" s="24"/>
      <c r="AL160" s="24"/>
      <c r="AM160" s="24"/>
      <c r="AN160" s="24"/>
    </row>
    <row r="161" spans="1:40" s="1" customFormat="1" ht="12.75">
      <c r="B161" s="1" t="s">
        <v>580</v>
      </c>
      <c r="C161" s="1" t="s">
        <v>186</v>
      </c>
      <c r="D161" s="1" t="s">
        <v>0</v>
      </c>
      <c r="AK161" s="7"/>
      <c r="AL161" s="7"/>
      <c r="AM161" s="7"/>
      <c r="AN161" s="7"/>
    </row>
    <row r="162" spans="1:40">
      <c r="B162" s="4" t="s">
        <v>579</v>
      </c>
      <c r="C162" s="4" t="s">
        <v>185</v>
      </c>
      <c r="D162" s="4" t="s">
        <v>0</v>
      </c>
      <c r="AK162" s="24"/>
      <c r="AL162" s="24"/>
      <c r="AM162" s="24"/>
      <c r="AN162" s="24"/>
    </row>
    <row r="163" spans="1:40">
      <c r="B163" s="4" t="s">
        <v>578</v>
      </c>
      <c r="C163" s="4" t="s">
        <v>184</v>
      </c>
      <c r="D163" s="4" t="s">
        <v>0</v>
      </c>
      <c r="AK163" s="24"/>
      <c r="AL163" s="24"/>
      <c r="AM163" s="24"/>
      <c r="AN163" s="24"/>
    </row>
    <row r="164" spans="1:40">
      <c r="B164" s="4" t="s">
        <v>577</v>
      </c>
      <c r="C164" s="4" t="s">
        <v>183</v>
      </c>
      <c r="D164" s="4" t="s">
        <v>0</v>
      </c>
      <c r="AK164" s="24"/>
      <c r="AL164" s="24"/>
      <c r="AM164" s="24"/>
      <c r="AN164" s="24"/>
    </row>
    <row r="165" spans="1:40">
      <c r="B165" s="4" t="s">
        <v>576</v>
      </c>
      <c r="C165" s="4" t="s">
        <v>182</v>
      </c>
      <c r="D165" s="4" t="s">
        <v>0</v>
      </c>
      <c r="AK165" s="24"/>
      <c r="AL165" s="24"/>
      <c r="AM165" s="24"/>
      <c r="AN165" s="24"/>
    </row>
    <row r="166" spans="1:40">
      <c r="B166" s="4" t="s">
        <v>575</v>
      </c>
      <c r="C166" s="4" t="s">
        <v>181</v>
      </c>
      <c r="D166" s="4" t="s">
        <v>0</v>
      </c>
      <c r="AK166" s="24"/>
      <c r="AL166" s="24"/>
      <c r="AM166" s="24"/>
      <c r="AN166" s="24"/>
    </row>
    <row r="167" spans="1:40">
      <c r="B167" s="4" t="s">
        <v>574</v>
      </c>
      <c r="C167" s="4" t="s">
        <v>180</v>
      </c>
      <c r="D167" s="4" t="s">
        <v>0</v>
      </c>
      <c r="AK167" s="24"/>
      <c r="AL167" s="24"/>
      <c r="AM167" s="24"/>
      <c r="AN167" s="24"/>
    </row>
    <row r="168" spans="1:40">
      <c r="B168" s="4" t="s">
        <v>573</v>
      </c>
      <c r="C168" s="4" t="s">
        <v>179</v>
      </c>
      <c r="D168" s="4" t="s">
        <v>0</v>
      </c>
      <c r="AK168" s="24"/>
      <c r="AL168" s="24"/>
      <c r="AM168" s="24"/>
      <c r="AN168" s="24"/>
    </row>
    <row r="169" spans="1:40" ht="11.25">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row>
    <row r="170" spans="1:40" s="8" customFormat="1" ht="15.75">
      <c r="A170" s="8" t="s">
        <v>572</v>
      </c>
      <c r="D170" s="9" t="s">
        <v>571</v>
      </c>
    </row>
    <row r="171" spans="1:40">
      <c r="B171" s="4" t="s">
        <v>570</v>
      </c>
      <c r="C171" s="4" t="s">
        <v>178</v>
      </c>
      <c r="AK171" s="24"/>
      <c r="AL171" s="24"/>
      <c r="AM171" s="24"/>
      <c r="AN171" s="24"/>
    </row>
    <row r="172" spans="1:40">
      <c r="B172" s="4" t="s">
        <v>569</v>
      </c>
      <c r="C172" s="4" t="s">
        <v>177</v>
      </c>
    </row>
    <row r="173" spans="1:40">
      <c r="B173" s="4" t="s">
        <v>568</v>
      </c>
      <c r="C173" s="4" t="s">
        <v>176</v>
      </c>
    </row>
    <row r="174" spans="1:40">
      <c r="B174" s="4" t="s">
        <v>567</v>
      </c>
      <c r="C174" s="4" t="s">
        <v>175</v>
      </c>
    </row>
    <row r="175" spans="1:40" ht="11.25">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row>
    <row r="176" spans="1:40" s="21" customFormat="1" ht="15.75">
      <c r="A176" s="21" t="s">
        <v>566</v>
      </c>
      <c r="D176" s="23" t="s">
        <v>565</v>
      </c>
      <c r="P176" s="22"/>
      <c r="S176" s="22"/>
      <c r="V176" s="22"/>
      <c r="Y176" s="22"/>
      <c r="AB176" s="22"/>
      <c r="AE176" s="22"/>
      <c r="AF176" s="22"/>
      <c r="AG176" s="22"/>
      <c r="AH176" s="22"/>
      <c r="AI176" s="22"/>
      <c r="AJ176" s="22"/>
    </row>
    <row r="177" spans="2:36" s="10" customFormat="1" ht="11.25">
      <c r="B177" s="10" t="s">
        <v>564</v>
      </c>
      <c r="E177" s="20"/>
      <c r="P177" s="19"/>
      <c r="S177" s="19"/>
      <c r="V177" s="19"/>
      <c r="Y177" s="19"/>
      <c r="AB177" s="19"/>
      <c r="AE177" s="19"/>
      <c r="AF177" s="19"/>
      <c r="AG177" s="19"/>
      <c r="AH177" s="19"/>
      <c r="AI177" s="19"/>
      <c r="AJ177" s="19"/>
    </row>
    <row r="178" spans="2:36" s="10" customFormat="1" ht="11.25">
      <c r="B178" s="10" t="s">
        <v>563</v>
      </c>
      <c r="D178" s="10" t="s">
        <v>0</v>
      </c>
      <c r="F178" s="12"/>
      <c r="G178" s="12"/>
      <c r="H178" s="12"/>
      <c r="I178" s="12"/>
      <c r="J178" s="12"/>
      <c r="K178" s="12"/>
      <c r="L178" s="12"/>
      <c r="M178" s="12"/>
      <c r="N178" s="12"/>
      <c r="O178" s="12"/>
      <c r="P178" s="11"/>
      <c r="Q178" s="12"/>
      <c r="R178" s="12"/>
      <c r="S178" s="11"/>
      <c r="T178" s="12"/>
      <c r="U178" s="12"/>
      <c r="V178" s="11"/>
      <c r="W178" s="12"/>
      <c r="X178" s="12"/>
      <c r="Y178" s="11"/>
      <c r="Z178" s="12"/>
      <c r="AA178" s="12"/>
      <c r="AB178" s="11"/>
      <c r="AC178" s="12"/>
      <c r="AD178" s="12"/>
      <c r="AE178" s="11"/>
      <c r="AF178" s="11"/>
      <c r="AG178" s="11"/>
      <c r="AH178" s="11"/>
      <c r="AI178" s="11"/>
      <c r="AJ178" s="11"/>
    </row>
    <row r="179" spans="2:36" s="10" customFormat="1" ht="11.25">
      <c r="B179" s="10" t="s">
        <v>562</v>
      </c>
      <c r="D179" s="10" t="s">
        <v>0</v>
      </c>
      <c r="F179" s="12"/>
      <c r="G179" s="12"/>
      <c r="H179" s="12"/>
      <c r="I179" s="12"/>
      <c r="J179" s="12"/>
      <c r="K179" s="12"/>
      <c r="L179" s="12"/>
      <c r="M179" s="12"/>
      <c r="N179" s="12"/>
      <c r="O179" s="12"/>
      <c r="P179" s="11"/>
      <c r="Q179" s="12"/>
      <c r="R179" s="12"/>
      <c r="S179" s="11"/>
      <c r="T179" s="12"/>
      <c r="U179" s="12"/>
      <c r="V179" s="11"/>
      <c r="W179" s="12"/>
      <c r="X179" s="12"/>
      <c r="Y179" s="11"/>
      <c r="Z179" s="12"/>
      <c r="AA179" s="12"/>
      <c r="AB179" s="11"/>
      <c r="AC179" s="12"/>
      <c r="AD179" s="12"/>
      <c r="AE179" s="11"/>
      <c r="AF179" s="11"/>
      <c r="AG179" s="11"/>
      <c r="AH179" s="11"/>
      <c r="AI179" s="11"/>
      <c r="AJ179" s="11"/>
    </row>
    <row r="180" spans="2:36" s="10" customFormat="1" ht="11.25">
      <c r="B180" s="10" t="s">
        <v>561</v>
      </c>
      <c r="D180" s="10" t="s">
        <v>0</v>
      </c>
      <c r="F180" s="12"/>
      <c r="G180" s="12"/>
      <c r="H180" s="12"/>
      <c r="I180" s="12"/>
      <c r="J180" s="12"/>
      <c r="K180" s="12"/>
      <c r="L180" s="12"/>
      <c r="M180" s="12"/>
      <c r="N180" s="12"/>
      <c r="O180" s="12"/>
      <c r="P180" s="11"/>
      <c r="Q180" s="12"/>
      <c r="R180" s="12"/>
      <c r="S180" s="11"/>
      <c r="T180" s="12"/>
      <c r="U180" s="12"/>
      <c r="V180" s="11"/>
      <c r="W180" s="12"/>
      <c r="X180" s="12"/>
      <c r="Y180" s="11"/>
      <c r="Z180" s="12"/>
      <c r="AA180" s="12"/>
      <c r="AB180" s="11"/>
      <c r="AC180" s="12"/>
      <c r="AD180" s="12"/>
      <c r="AE180" s="11"/>
      <c r="AF180" s="11"/>
      <c r="AG180" s="11"/>
      <c r="AH180" s="11"/>
      <c r="AI180" s="11"/>
      <c r="AJ180" s="11"/>
    </row>
    <row r="181" spans="2:36" s="10" customFormat="1" ht="11.25">
      <c r="B181" s="10" t="s">
        <v>560</v>
      </c>
      <c r="D181" s="10" t="s">
        <v>0</v>
      </c>
      <c r="F181" s="12"/>
      <c r="G181" s="12"/>
      <c r="H181" s="12"/>
      <c r="I181" s="12"/>
      <c r="J181" s="12"/>
      <c r="K181" s="12"/>
      <c r="L181" s="12"/>
      <c r="M181" s="12"/>
      <c r="N181" s="12"/>
      <c r="O181" s="12"/>
      <c r="P181" s="11"/>
      <c r="Q181" s="12"/>
      <c r="R181" s="12"/>
      <c r="S181" s="11"/>
      <c r="T181" s="12"/>
      <c r="U181" s="12"/>
      <c r="V181" s="11"/>
      <c r="W181" s="12"/>
      <c r="X181" s="12"/>
      <c r="Y181" s="11"/>
      <c r="Z181" s="12"/>
      <c r="AA181" s="12"/>
      <c r="AB181" s="11"/>
      <c r="AC181" s="12"/>
      <c r="AD181" s="12"/>
      <c r="AE181" s="11"/>
      <c r="AF181" s="11"/>
      <c r="AG181" s="11"/>
      <c r="AH181" s="11"/>
      <c r="AI181" s="11"/>
      <c r="AJ181" s="11"/>
    </row>
    <row r="182" spans="2:36" s="10" customFormat="1" ht="11.25">
      <c r="B182" s="10" t="s">
        <v>559</v>
      </c>
      <c r="D182" s="10" t="s">
        <v>0</v>
      </c>
      <c r="F182" s="12"/>
      <c r="G182" s="12"/>
      <c r="H182" s="12"/>
      <c r="I182" s="12"/>
      <c r="J182" s="12"/>
      <c r="K182" s="12"/>
      <c r="L182" s="12"/>
      <c r="M182" s="12"/>
      <c r="N182" s="12"/>
      <c r="O182" s="12"/>
      <c r="P182" s="11"/>
      <c r="Q182" s="12"/>
      <c r="R182" s="12"/>
      <c r="S182" s="11"/>
      <c r="T182" s="12"/>
      <c r="U182" s="12"/>
      <c r="V182" s="11"/>
      <c r="W182" s="12"/>
      <c r="X182" s="12"/>
      <c r="Y182" s="11"/>
      <c r="Z182" s="12"/>
      <c r="AA182" s="12"/>
      <c r="AB182" s="11"/>
      <c r="AC182" s="12"/>
      <c r="AD182" s="12"/>
      <c r="AE182" s="11"/>
      <c r="AF182" s="11"/>
      <c r="AG182" s="11"/>
      <c r="AH182" s="11"/>
      <c r="AI182" s="11"/>
      <c r="AJ182" s="11"/>
    </row>
    <row r="183" spans="2:36" s="10" customFormat="1" ht="11.25">
      <c r="B183" s="10" t="s">
        <v>558</v>
      </c>
      <c r="D183" s="10" t="s">
        <v>0</v>
      </c>
      <c r="F183" s="12"/>
      <c r="G183" s="12"/>
      <c r="H183" s="12"/>
      <c r="I183" s="12"/>
      <c r="J183" s="12"/>
      <c r="K183" s="12"/>
      <c r="L183" s="12"/>
      <c r="M183" s="12"/>
      <c r="N183" s="12"/>
      <c r="O183" s="12"/>
      <c r="P183" s="11"/>
      <c r="Q183" s="12"/>
      <c r="R183" s="12"/>
      <c r="S183" s="11"/>
      <c r="T183" s="12"/>
      <c r="U183" s="12"/>
      <c r="V183" s="11"/>
      <c r="W183" s="12"/>
      <c r="X183" s="12"/>
      <c r="Y183" s="11"/>
      <c r="Z183" s="12"/>
      <c r="AA183" s="12"/>
      <c r="AB183" s="11"/>
      <c r="AC183" s="12"/>
      <c r="AD183" s="12"/>
      <c r="AE183" s="11"/>
      <c r="AF183" s="11"/>
      <c r="AG183" s="11"/>
      <c r="AH183" s="11"/>
      <c r="AI183" s="11"/>
      <c r="AJ183" s="11"/>
    </row>
    <row r="184" spans="2:36" s="10" customFormat="1" ht="11.25">
      <c r="B184" s="10" t="s">
        <v>557</v>
      </c>
      <c r="D184" s="10" t="s">
        <v>0</v>
      </c>
      <c r="F184" s="18"/>
      <c r="G184" s="18"/>
      <c r="H184" s="18"/>
      <c r="I184" s="18"/>
      <c r="J184" s="18"/>
      <c r="K184" s="18"/>
      <c r="L184" s="18"/>
      <c r="M184" s="18"/>
      <c r="N184" s="18"/>
      <c r="O184" s="18"/>
      <c r="P184" s="17"/>
      <c r="Q184" s="18"/>
      <c r="R184" s="18"/>
      <c r="S184" s="17"/>
      <c r="T184" s="18"/>
      <c r="U184" s="18"/>
      <c r="V184" s="17"/>
      <c r="W184" s="18"/>
      <c r="X184" s="18"/>
      <c r="Y184" s="17"/>
      <c r="Z184" s="18"/>
      <c r="AA184" s="18"/>
      <c r="AB184" s="17"/>
      <c r="AC184" s="18"/>
      <c r="AD184" s="18"/>
      <c r="AE184" s="17"/>
      <c r="AF184" s="17"/>
      <c r="AG184" s="17"/>
      <c r="AH184" s="17"/>
      <c r="AI184" s="17"/>
      <c r="AJ184" s="17"/>
    </row>
    <row r="185" spans="2:36" s="10" customFormat="1" ht="11.25">
      <c r="B185" s="10" t="s">
        <v>556</v>
      </c>
      <c r="D185" s="10" t="s">
        <v>0</v>
      </c>
      <c r="F185" s="12"/>
      <c r="G185" s="12"/>
      <c r="H185" s="12"/>
      <c r="I185" s="12"/>
      <c r="J185" s="12"/>
      <c r="K185" s="12"/>
      <c r="L185" s="12"/>
      <c r="M185" s="12"/>
      <c r="N185" s="12"/>
      <c r="O185" s="12"/>
      <c r="P185" s="11"/>
      <c r="Q185" s="12"/>
      <c r="R185" s="12"/>
      <c r="S185" s="11"/>
      <c r="T185" s="12"/>
      <c r="U185" s="12"/>
      <c r="V185" s="11"/>
      <c r="W185" s="12"/>
      <c r="X185" s="12"/>
      <c r="Y185" s="11"/>
      <c r="Z185" s="12"/>
      <c r="AA185" s="12"/>
      <c r="AB185" s="11"/>
      <c r="AC185" s="12"/>
      <c r="AD185" s="12"/>
      <c r="AE185" s="11"/>
      <c r="AF185" s="11"/>
      <c r="AG185" s="11"/>
      <c r="AH185" s="11"/>
      <c r="AI185" s="11"/>
      <c r="AJ185" s="11"/>
    </row>
    <row r="186" spans="2:36" s="10" customFormat="1" ht="11.25">
      <c r="B186" s="10" t="s">
        <v>555</v>
      </c>
      <c r="D186" s="10" t="s">
        <v>0</v>
      </c>
      <c r="F186" s="12"/>
      <c r="G186" s="12"/>
      <c r="H186" s="12"/>
      <c r="I186" s="12"/>
      <c r="J186" s="12"/>
      <c r="K186" s="12"/>
      <c r="L186" s="12"/>
      <c r="M186" s="12"/>
      <c r="N186" s="12"/>
      <c r="O186" s="12"/>
      <c r="P186" s="11"/>
      <c r="Q186" s="12"/>
      <c r="R186" s="12"/>
      <c r="S186" s="11"/>
      <c r="T186" s="12"/>
      <c r="U186" s="12"/>
      <c r="V186" s="11"/>
      <c r="W186" s="12"/>
      <c r="X186" s="12"/>
      <c r="Y186" s="11"/>
      <c r="Z186" s="12"/>
      <c r="AA186" s="12"/>
      <c r="AB186" s="11"/>
      <c r="AC186" s="12"/>
      <c r="AD186" s="12"/>
      <c r="AE186" s="11"/>
      <c r="AF186" s="11"/>
      <c r="AG186" s="11"/>
      <c r="AH186" s="11"/>
      <c r="AI186" s="11"/>
      <c r="AJ186" s="11"/>
    </row>
    <row r="187" spans="2:36" s="10" customFormat="1" ht="11.25">
      <c r="B187" s="10" t="s">
        <v>554</v>
      </c>
      <c r="D187" s="10" t="s">
        <v>0</v>
      </c>
      <c r="F187" s="12"/>
      <c r="G187" s="12"/>
      <c r="H187" s="12"/>
      <c r="I187" s="12"/>
      <c r="J187" s="12"/>
      <c r="K187" s="12"/>
      <c r="L187" s="12"/>
      <c r="M187" s="12"/>
      <c r="N187" s="12"/>
      <c r="O187" s="12"/>
      <c r="P187" s="11"/>
      <c r="Q187" s="12"/>
      <c r="R187" s="12"/>
      <c r="S187" s="11"/>
      <c r="T187" s="12"/>
      <c r="U187" s="12"/>
      <c r="V187" s="11"/>
      <c r="W187" s="12"/>
      <c r="X187" s="12"/>
      <c r="Y187" s="11"/>
      <c r="Z187" s="12"/>
      <c r="AA187" s="12"/>
      <c r="AB187" s="11"/>
      <c r="AC187" s="12"/>
      <c r="AD187" s="12"/>
      <c r="AE187" s="11"/>
      <c r="AF187" s="11"/>
      <c r="AG187" s="11"/>
      <c r="AH187" s="11"/>
      <c r="AI187" s="11"/>
      <c r="AJ187" s="11"/>
    </row>
    <row r="188" spans="2:36" s="10" customFormat="1" ht="11.25">
      <c r="B188" s="10" t="s">
        <v>553</v>
      </c>
      <c r="D188" s="10" t="s">
        <v>0</v>
      </c>
      <c r="F188" s="12"/>
      <c r="G188" s="12"/>
      <c r="H188" s="12"/>
      <c r="I188" s="12"/>
      <c r="J188" s="12"/>
      <c r="K188" s="12"/>
      <c r="L188" s="12"/>
      <c r="M188" s="12"/>
      <c r="N188" s="12"/>
      <c r="O188" s="12"/>
      <c r="P188" s="11"/>
      <c r="Q188" s="12"/>
      <c r="R188" s="12"/>
      <c r="S188" s="11"/>
      <c r="T188" s="12"/>
      <c r="U188" s="12"/>
      <c r="V188" s="11"/>
      <c r="W188" s="12"/>
      <c r="X188" s="12"/>
      <c r="Y188" s="11"/>
      <c r="Z188" s="12"/>
      <c r="AA188" s="12"/>
      <c r="AB188" s="11"/>
      <c r="AC188" s="12"/>
      <c r="AD188" s="12"/>
      <c r="AE188" s="11"/>
      <c r="AF188" s="11"/>
      <c r="AG188" s="11"/>
      <c r="AH188" s="11"/>
      <c r="AI188" s="11"/>
      <c r="AJ188" s="11"/>
    </row>
    <row r="189" spans="2:36" s="10" customFormat="1" ht="11.25">
      <c r="B189" s="10" t="s">
        <v>552</v>
      </c>
      <c r="D189" s="10" t="s">
        <v>0</v>
      </c>
      <c r="F189" s="12"/>
      <c r="G189" s="12"/>
      <c r="H189" s="12"/>
      <c r="I189" s="12"/>
      <c r="J189" s="12"/>
      <c r="K189" s="12"/>
      <c r="L189" s="12"/>
      <c r="M189" s="12"/>
      <c r="N189" s="12"/>
      <c r="O189" s="12"/>
      <c r="P189" s="11"/>
      <c r="Q189" s="12"/>
      <c r="R189" s="12"/>
      <c r="S189" s="11"/>
      <c r="T189" s="12"/>
      <c r="U189" s="12"/>
      <c r="V189" s="11"/>
      <c r="W189" s="12"/>
      <c r="X189" s="12"/>
      <c r="Y189" s="11"/>
      <c r="Z189" s="12"/>
      <c r="AA189" s="12"/>
      <c r="AB189" s="11"/>
      <c r="AC189" s="12"/>
      <c r="AD189" s="12"/>
      <c r="AE189" s="11"/>
      <c r="AF189" s="11"/>
      <c r="AG189" s="11"/>
      <c r="AH189" s="11"/>
      <c r="AI189" s="11"/>
      <c r="AJ189" s="11"/>
    </row>
    <row r="190" spans="2:36" s="10" customFormat="1" ht="11.25">
      <c r="B190" s="10" t="s">
        <v>551</v>
      </c>
      <c r="D190" s="10" t="s">
        <v>0</v>
      </c>
      <c r="F190" s="12"/>
      <c r="G190" s="12"/>
      <c r="H190" s="12"/>
      <c r="I190" s="12"/>
      <c r="J190" s="12"/>
      <c r="K190" s="12"/>
      <c r="L190" s="12"/>
      <c r="M190" s="12"/>
      <c r="N190" s="12"/>
      <c r="O190" s="12"/>
      <c r="P190" s="11"/>
      <c r="Q190" s="12"/>
      <c r="R190" s="12"/>
      <c r="S190" s="11"/>
      <c r="T190" s="12"/>
      <c r="U190" s="12"/>
      <c r="V190" s="11"/>
      <c r="W190" s="12"/>
      <c r="X190" s="12"/>
      <c r="Y190" s="11"/>
      <c r="Z190" s="12"/>
      <c r="AA190" s="12"/>
      <c r="AB190" s="11"/>
      <c r="AC190" s="12"/>
      <c r="AD190" s="12"/>
      <c r="AE190" s="11"/>
      <c r="AF190" s="11"/>
      <c r="AG190" s="11"/>
      <c r="AH190" s="11"/>
      <c r="AI190" s="11"/>
      <c r="AJ190" s="11"/>
    </row>
    <row r="191" spans="2:36" s="10" customFormat="1" ht="11.25">
      <c r="B191" s="10" t="s">
        <v>550</v>
      </c>
      <c r="D191" s="10" t="s">
        <v>0</v>
      </c>
      <c r="F191" s="12"/>
      <c r="G191" s="12"/>
      <c r="H191" s="12"/>
      <c r="I191" s="12"/>
      <c r="J191" s="12"/>
      <c r="K191" s="12"/>
      <c r="L191" s="12"/>
      <c r="M191" s="12"/>
      <c r="N191" s="12"/>
      <c r="O191" s="12"/>
      <c r="P191" s="11"/>
      <c r="Q191" s="12"/>
      <c r="R191" s="12"/>
      <c r="S191" s="11"/>
      <c r="T191" s="12"/>
      <c r="U191" s="12"/>
      <c r="V191" s="11"/>
      <c r="W191" s="12"/>
      <c r="X191" s="12"/>
      <c r="Y191" s="11"/>
      <c r="Z191" s="12"/>
      <c r="AA191" s="12"/>
      <c r="AB191" s="11"/>
      <c r="AC191" s="12"/>
      <c r="AD191" s="12"/>
      <c r="AE191" s="11"/>
      <c r="AF191" s="11"/>
      <c r="AG191" s="11"/>
      <c r="AH191" s="11"/>
      <c r="AI191" s="11"/>
      <c r="AJ191" s="11"/>
    </row>
    <row r="192" spans="2:36" s="10" customFormat="1" ht="11.25">
      <c r="B192" s="10" t="s">
        <v>549</v>
      </c>
      <c r="D192" s="10" t="s">
        <v>0</v>
      </c>
      <c r="F192" s="12"/>
      <c r="G192" s="12"/>
      <c r="H192" s="12"/>
      <c r="I192" s="12"/>
      <c r="J192" s="12"/>
      <c r="K192" s="12"/>
      <c r="L192" s="12"/>
      <c r="M192" s="12"/>
      <c r="N192" s="12"/>
      <c r="O192" s="12"/>
      <c r="P192" s="11"/>
      <c r="Q192" s="12"/>
      <c r="R192" s="12"/>
      <c r="S192" s="11"/>
      <c r="T192" s="12"/>
      <c r="U192" s="12"/>
      <c r="V192" s="11"/>
      <c r="W192" s="12"/>
      <c r="X192" s="12"/>
      <c r="Y192" s="11"/>
      <c r="Z192" s="12"/>
      <c r="AA192" s="12"/>
      <c r="AB192" s="11"/>
      <c r="AC192" s="12"/>
      <c r="AD192" s="12"/>
      <c r="AE192" s="11"/>
      <c r="AF192" s="11"/>
      <c r="AG192" s="11"/>
      <c r="AH192" s="11"/>
      <c r="AI192" s="11"/>
      <c r="AJ192" s="11"/>
    </row>
    <row r="193" spans="2:36" s="10" customFormat="1" ht="11.25">
      <c r="B193" s="10" t="s">
        <v>548</v>
      </c>
      <c r="D193" s="10" t="s">
        <v>0</v>
      </c>
      <c r="F193" s="12"/>
      <c r="G193" s="12"/>
      <c r="H193" s="12"/>
      <c r="I193" s="12"/>
      <c r="J193" s="12"/>
      <c r="K193" s="12"/>
      <c r="L193" s="12"/>
      <c r="M193" s="12"/>
      <c r="N193" s="12"/>
      <c r="O193" s="12"/>
      <c r="P193" s="11"/>
      <c r="Q193" s="12"/>
      <c r="R193" s="12"/>
      <c r="S193" s="11"/>
      <c r="T193" s="12"/>
      <c r="U193" s="12"/>
      <c r="V193" s="11"/>
      <c r="W193" s="12"/>
      <c r="X193" s="12"/>
      <c r="Y193" s="11"/>
      <c r="Z193" s="12"/>
      <c r="AA193" s="12"/>
      <c r="AB193" s="11"/>
      <c r="AC193" s="12"/>
      <c r="AD193" s="12"/>
      <c r="AE193" s="11"/>
      <c r="AF193" s="11"/>
      <c r="AG193" s="11"/>
      <c r="AH193" s="11"/>
      <c r="AI193" s="11"/>
      <c r="AJ193" s="11"/>
    </row>
    <row r="194" spans="2:36" s="10" customFormat="1" ht="11.25">
      <c r="B194" s="10" t="s">
        <v>547</v>
      </c>
      <c r="D194" s="10" t="s">
        <v>0</v>
      </c>
      <c r="F194" s="12"/>
      <c r="G194" s="12"/>
      <c r="H194" s="12"/>
      <c r="I194" s="12"/>
      <c r="J194" s="12"/>
      <c r="K194" s="12"/>
      <c r="L194" s="12"/>
      <c r="M194" s="12"/>
      <c r="N194" s="12"/>
      <c r="O194" s="12"/>
      <c r="P194" s="11"/>
      <c r="Q194" s="12"/>
      <c r="R194" s="12"/>
      <c r="S194" s="11"/>
      <c r="T194" s="12"/>
      <c r="U194" s="12"/>
      <c r="V194" s="11"/>
      <c r="W194" s="12"/>
      <c r="X194" s="12"/>
      <c r="Y194" s="11"/>
      <c r="Z194" s="12"/>
      <c r="AA194" s="12"/>
      <c r="AB194" s="11"/>
      <c r="AC194" s="12"/>
      <c r="AD194" s="12"/>
      <c r="AE194" s="11"/>
      <c r="AF194" s="11"/>
      <c r="AG194" s="11"/>
      <c r="AH194" s="11"/>
      <c r="AI194" s="11"/>
      <c r="AJ194" s="11"/>
    </row>
    <row r="195" spans="2:36" s="10" customFormat="1" ht="11.25">
      <c r="B195" s="10" t="s">
        <v>546</v>
      </c>
      <c r="D195" s="10" t="s">
        <v>0</v>
      </c>
      <c r="F195" s="12"/>
      <c r="G195" s="12"/>
      <c r="H195" s="12"/>
      <c r="I195" s="12"/>
      <c r="J195" s="12"/>
      <c r="K195" s="12"/>
      <c r="L195" s="12"/>
      <c r="M195" s="12"/>
      <c r="N195" s="12"/>
      <c r="O195" s="12"/>
      <c r="P195" s="11"/>
      <c r="Q195" s="12"/>
      <c r="R195" s="12"/>
      <c r="S195" s="11"/>
      <c r="T195" s="12"/>
      <c r="U195" s="12"/>
      <c r="V195" s="11"/>
      <c r="W195" s="12"/>
      <c r="X195" s="12"/>
      <c r="Y195" s="11"/>
      <c r="Z195" s="12"/>
      <c r="AA195" s="12"/>
      <c r="AB195" s="11"/>
      <c r="AC195" s="12"/>
      <c r="AD195" s="12"/>
      <c r="AE195" s="11"/>
      <c r="AF195" s="11"/>
      <c r="AG195" s="11"/>
      <c r="AH195" s="11"/>
      <c r="AI195" s="11"/>
      <c r="AJ195" s="11"/>
    </row>
    <row r="196" spans="2:36" s="10" customFormat="1" ht="11.25">
      <c r="B196" s="10" t="s">
        <v>545</v>
      </c>
      <c r="D196" s="10" t="s">
        <v>0</v>
      </c>
      <c r="F196" s="12"/>
      <c r="G196" s="12"/>
      <c r="H196" s="12"/>
      <c r="I196" s="12"/>
      <c r="J196" s="12"/>
      <c r="K196" s="12"/>
      <c r="L196" s="12"/>
      <c r="M196" s="12"/>
      <c r="N196" s="12"/>
      <c r="O196" s="12"/>
      <c r="P196" s="11"/>
      <c r="Q196" s="12"/>
      <c r="R196" s="12"/>
      <c r="S196" s="11"/>
      <c r="T196" s="12"/>
      <c r="U196" s="12"/>
      <c r="V196" s="11"/>
      <c r="W196" s="12"/>
      <c r="X196" s="12"/>
      <c r="Y196" s="11"/>
      <c r="Z196" s="12"/>
      <c r="AA196" s="12"/>
      <c r="AB196" s="11"/>
      <c r="AC196" s="12"/>
      <c r="AD196" s="12"/>
      <c r="AE196" s="11"/>
      <c r="AF196" s="11"/>
      <c r="AG196" s="11"/>
      <c r="AH196" s="11"/>
      <c r="AI196" s="11"/>
      <c r="AJ196" s="11"/>
    </row>
    <row r="197" spans="2:36" s="10" customFormat="1" ht="11.25">
      <c r="B197" s="10" t="s">
        <v>544</v>
      </c>
      <c r="D197" s="10" t="s">
        <v>0</v>
      </c>
      <c r="F197" s="12"/>
      <c r="G197" s="12"/>
      <c r="H197" s="12"/>
      <c r="I197" s="12"/>
      <c r="J197" s="12"/>
      <c r="K197" s="12"/>
      <c r="L197" s="12"/>
      <c r="M197" s="12"/>
      <c r="N197" s="12"/>
      <c r="O197" s="12"/>
      <c r="P197" s="11"/>
      <c r="Q197" s="12"/>
      <c r="R197" s="12"/>
      <c r="S197" s="11"/>
      <c r="T197" s="12"/>
      <c r="U197" s="12"/>
      <c r="V197" s="11"/>
      <c r="W197" s="12"/>
      <c r="X197" s="12"/>
      <c r="Y197" s="11"/>
      <c r="Z197" s="12"/>
      <c r="AA197" s="12"/>
      <c r="AB197" s="11"/>
      <c r="AC197" s="12"/>
      <c r="AD197" s="12"/>
      <c r="AE197" s="11"/>
      <c r="AF197" s="11"/>
      <c r="AG197" s="11"/>
      <c r="AH197" s="11"/>
      <c r="AI197" s="11"/>
      <c r="AJ197" s="11"/>
    </row>
    <row r="198" spans="2:36" s="10" customFormat="1" ht="11.25">
      <c r="B198" s="10" t="s">
        <v>543</v>
      </c>
      <c r="D198" s="10" t="s">
        <v>0</v>
      </c>
      <c r="F198" s="12"/>
      <c r="G198" s="12"/>
      <c r="H198" s="12"/>
      <c r="I198" s="12"/>
      <c r="J198" s="12"/>
      <c r="K198" s="12"/>
      <c r="L198" s="12"/>
      <c r="M198" s="12"/>
      <c r="N198" s="12"/>
      <c r="O198" s="12"/>
      <c r="P198" s="11"/>
      <c r="Q198" s="12"/>
      <c r="R198" s="12"/>
      <c r="S198" s="11"/>
      <c r="T198" s="12"/>
      <c r="U198" s="12"/>
      <c r="V198" s="11"/>
      <c r="W198" s="12"/>
      <c r="X198" s="12"/>
      <c r="Y198" s="11"/>
      <c r="Z198" s="12"/>
      <c r="AA198" s="12"/>
      <c r="AB198" s="11"/>
      <c r="AC198" s="12"/>
      <c r="AD198" s="12"/>
      <c r="AE198" s="11"/>
      <c r="AF198" s="11"/>
      <c r="AG198" s="11"/>
      <c r="AH198" s="11"/>
      <c r="AI198" s="11"/>
      <c r="AJ198" s="11"/>
    </row>
    <row r="199" spans="2:36" s="10" customFormat="1" ht="11.25">
      <c r="B199" s="10" t="s">
        <v>542</v>
      </c>
      <c r="D199" s="10" t="s">
        <v>0</v>
      </c>
      <c r="F199" s="12"/>
      <c r="G199" s="12"/>
      <c r="H199" s="12"/>
      <c r="I199" s="12"/>
      <c r="J199" s="12"/>
      <c r="K199" s="12"/>
      <c r="L199" s="12"/>
      <c r="M199" s="12"/>
      <c r="N199" s="12"/>
      <c r="O199" s="12"/>
      <c r="P199" s="11"/>
      <c r="Q199" s="12"/>
      <c r="R199" s="12"/>
      <c r="S199" s="11"/>
      <c r="T199" s="12"/>
      <c r="U199" s="12"/>
      <c r="V199" s="11"/>
      <c r="W199" s="12"/>
      <c r="X199" s="12"/>
      <c r="Y199" s="11"/>
      <c r="Z199" s="12"/>
      <c r="AA199" s="12"/>
      <c r="AB199" s="11"/>
      <c r="AC199" s="12"/>
      <c r="AD199" s="12"/>
      <c r="AE199" s="11"/>
      <c r="AF199" s="11"/>
      <c r="AG199" s="11"/>
      <c r="AH199" s="11"/>
      <c r="AI199" s="11"/>
      <c r="AJ199" s="11"/>
    </row>
    <row r="200" spans="2:36" s="10" customFormat="1" ht="11.25">
      <c r="B200" s="10" t="s">
        <v>541</v>
      </c>
      <c r="F200" s="16"/>
      <c r="G200" s="16"/>
      <c r="H200" s="16"/>
      <c r="I200" s="16"/>
      <c r="J200" s="16"/>
      <c r="K200" s="16"/>
      <c r="L200" s="16"/>
      <c r="M200" s="16"/>
      <c r="N200" s="16"/>
      <c r="O200" s="16"/>
      <c r="P200" s="15"/>
      <c r="Q200" s="16"/>
      <c r="R200" s="16"/>
      <c r="S200" s="15"/>
      <c r="T200" s="16"/>
      <c r="U200" s="16"/>
      <c r="V200" s="15"/>
      <c r="W200" s="16"/>
      <c r="X200" s="16"/>
      <c r="Y200" s="15"/>
      <c r="Z200" s="16"/>
      <c r="AA200" s="16"/>
      <c r="AB200" s="15"/>
      <c r="AC200" s="16"/>
      <c r="AD200" s="16"/>
      <c r="AE200" s="15"/>
      <c r="AF200" s="15"/>
      <c r="AG200" s="15"/>
      <c r="AH200" s="15"/>
      <c r="AI200" s="15"/>
      <c r="AJ200" s="15"/>
    </row>
    <row r="201" spans="2:36" s="10" customFormat="1" ht="11.25">
      <c r="B201" s="10" t="s">
        <v>540</v>
      </c>
      <c r="D201" s="10" t="s">
        <v>0</v>
      </c>
      <c r="F201" s="12"/>
      <c r="G201" s="12"/>
      <c r="H201" s="12"/>
      <c r="I201" s="12"/>
      <c r="J201" s="12"/>
      <c r="K201" s="12"/>
      <c r="L201" s="12"/>
      <c r="M201" s="12"/>
      <c r="N201" s="12"/>
      <c r="O201" s="12"/>
      <c r="P201" s="11"/>
      <c r="Q201" s="12"/>
      <c r="R201" s="12"/>
      <c r="S201" s="11"/>
      <c r="T201" s="12"/>
      <c r="U201" s="12"/>
      <c r="V201" s="11"/>
      <c r="W201" s="12"/>
      <c r="X201" s="12"/>
      <c r="Y201" s="11"/>
      <c r="Z201" s="12"/>
      <c r="AA201" s="12"/>
      <c r="AB201" s="11"/>
      <c r="AC201" s="12"/>
      <c r="AD201" s="12"/>
      <c r="AE201" s="11"/>
      <c r="AF201" s="11"/>
      <c r="AG201" s="11"/>
      <c r="AH201" s="11"/>
      <c r="AI201" s="11"/>
      <c r="AJ201" s="11"/>
    </row>
    <row r="202" spans="2:36" s="10" customFormat="1" ht="11.25">
      <c r="B202" s="10" t="s">
        <v>539</v>
      </c>
      <c r="D202" s="10" t="s">
        <v>0</v>
      </c>
      <c r="F202" s="12"/>
      <c r="G202" s="12"/>
      <c r="H202" s="12"/>
      <c r="I202" s="12"/>
      <c r="J202" s="12"/>
      <c r="K202" s="12"/>
      <c r="L202" s="12"/>
      <c r="M202" s="12"/>
      <c r="N202" s="12"/>
      <c r="O202" s="12"/>
      <c r="P202" s="11"/>
      <c r="Q202" s="12"/>
      <c r="R202" s="12"/>
      <c r="S202" s="11"/>
      <c r="T202" s="12"/>
      <c r="U202" s="12"/>
      <c r="V202" s="11"/>
      <c r="W202" s="12"/>
      <c r="X202" s="12"/>
      <c r="Y202" s="11"/>
      <c r="Z202" s="12"/>
      <c r="AA202" s="12"/>
      <c r="AB202" s="11"/>
      <c r="AC202" s="12"/>
      <c r="AD202" s="12"/>
      <c r="AE202" s="11"/>
      <c r="AF202" s="11"/>
      <c r="AG202" s="11"/>
      <c r="AH202" s="11"/>
      <c r="AI202" s="11"/>
      <c r="AJ202" s="11"/>
    </row>
    <row r="203" spans="2:36" s="10" customFormat="1" ht="11.25">
      <c r="B203" s="10" t="s">
        <v>538</v>
      </c>
      <c r="D203" s="10" t="s">
        <v>0</v>
      </c>
      <c r="F203" s="12"/>
      <c r="G203" s="12"/>
      <c r="H203" s="12"/>
      <c r="I203" s="12"/>
      <c r="J203" s="12"/>
      <c r="K203" s="12"/>
      <c r="L203" s="12"/>
      <c r="M203" s="12"/>
      <c r="N203" s="12"/>
      <c r="O203" s="12"/>
      <c r="P203" s="11"/>
      <c r="Q203" s="12"/>
      <c r="R203" s="12"/>
      <c r="S203" s="11"/>
      <c r="T203" s="12"/>
      <c r="U203" s="12"/>
      <c r="V203" s="11"/>
      <c r="W203" s="12"/>
      <c r="X203" s="12"/>
      <c r="Y203" s="11"/>
      <c r="Z203" s="12"/>
      <c r="AA203" s="12"/>
      <c r="AB203" s="11"/>
      <c r="AC203" s="12"/>
      <c r="AD203" s="12"/>
      <c r="AE203" s="11"/>
      <c r="AF203" s="11"/>
      <c r="AG203" s="11"/>
      <c r="AH203" s="11"/>
      <c r="AI203" s="11"/>
      <c r="AJ203" s="11"/>
    </row>
    <row r="204" spans="2:36" s="10" customFormat="1" ht="11.25">
      <c r="B204" s="10" t="s">
        <v>537</v>
      </c>
      <c r="D204" s="10" t="s">
        <v>0</v>
      </c>
      <c r="F204" s="12"/>
      <c r="G204" s="12"/>
      <c r="H204" s="12"/>
      <c r="I204" s="12"/>
      <c r="J204" s="12"/>
      <c r="K204" s="12"/>
      <c r="L204" s="12"/>
      <c r="M204" s="12"/>
      <c r="N204" s="12"/>
      <c r="O204" s="12"/>
      <c r="P204" s="11"/>
      <c r="Q204" s="12"/>
      <c r="R204" s="12"/>
      <c r="S204" s="11"/>
      <c r="T204" s="12"/>
      <c r="U204" s="12"/>
      <c r="V204" s="11"/>
      <c r="W204" s="12"/>
      <c r="X204" s="12"/>
      <c r="Y204" s="11"/>
      <c r="Z204" s="12"/>
      <c r="AA204" s="12"/>
      <c r="AB204" s="11"/>
      <c r="AC204" s="12"/>
      <c r="AD204" s="12"/>
      <c r="AE204" s="11"/>
      <c r="AF204" s="11"/>
      <c r="AG204" s="11"/>
      <c r="AH204" s="11"/>
      <c r="AI204" s="11"/>
      <c r="AJ204" s="11"/>
    </row>
    <row r="205" spans="2:36" s="10" customFormat="1" ht="11.25">
      <c r="B205" s="10" t="s">
        <v>536</v>
      </c>
      <c r="D205" s="10" t="s">
        <v>0</v>
      </c>
      <c r="F205" s="12"/>
      <c r="G205" s="12"/>
      <c r="H205" s="12"/>
      <c r="I205" s="12"/>
      <c r="J205" s="12"/>
      <c r="K205" s="12"/>
      <c r="L205" s="12"/>
      <c r="M205" s="12"/>
      <c r="N205" s="12"/>
      <c r="O205" s="12"/>
      <c r="P205" s="11"/>
      <c r="Q205" s="12"/>
      <c r="R205" s="12"/>
      <c r="S205" s="11"/>
      <c r="T205" s="12"/>
      <c r="U205" s="12"/>
      <c r="V205" s="11"/>
      <c r="W205" s="12"/>
      <c r="X205" s="12"/>
      <c r="Y205" s="11"/>
      <c r="Z205" s="12"/>
      <c r="AA205" s="12"/>
      <c r="AB205" s="11"/>
      <c r="AC205" s="12"/>
      <c r="AD205" s="12"/>
      <c r="AE205" s="11"/>
      <c r="AF205" s="11"/>
      <c r="AG205" s="11"/>
      <c r="AH205" s="11"/>
      <c r="AI205" s="11"/>
      <c r="AJ205" s="11"/>
    </row>
    <row r="206" spans="2:36" s="10" customFormat="1" ht="11.25">
      <c r="B206" s="10" t="s">
        <v>535</v>
      </c>
      <c r="D206" s="10" t="s">
        <v>0</v>
      </c>
      <c r="F206" s="12"/>
      <c r="G206" s="12"/>
      <c r="H206" s="12"/>
      <c r="I206" s="12"/>
      <c r="J206" s="12"/>
      <c r="K206" s="12"/>
      <c r="L206" s="12"/>
      <c r="M206" s="12"/>
      <c r="N206" s="12"/>
      <c r="O206" s="12"/>
      <c r="P206" s="11"/>
      <c r="Q206" s="12"/>
      <c r="R206" s="12"/>
      <c r="S206" s="11"/>
      <c r="T206" s="12"/>
      <c r="U206" s="12"/>
      <c r="V206" s="11"/>
      <c r="W206" s="12"/>
      <c r="X206" s="12"/>
      <c r="Y206" s="11"/>
      <c r="Z206" s="12"/>
      <c r="AA206" s="12"/>
      <c r="AB206" s="11"/>
      <c r="AC206" s="12"/>
      <c r="AD206" s="12"/>
      <c r="AE206" s="11"/>
      <c r="AF206" s="11"/>
      <c r="AG206" s="11"/>
      <c r="AH206" s="11"/>
      <c r="AI206" s="11"/>
      <c r="AJ206" s="11"/>
    </row>
    <row r="207" spans="2:36" s="10" customFormat="1" ht="11.25">
      <c r="B207" s="10" t="s">
        <v>534</v>
      </c>
      <c r="D207" s="10" t="s">
        <v>0</v>
      </c>
      <c r="F207" s="12"/>
      <c r="G207" s="12"/>
      <c r="H207" s="12"/>
      <c r="I207" s="12"/>
      <c r="J207" s="12"/>
      <c r="K207" s="12"/>
      <c r="L207" s="12"/>
      <c r="M207" s="12"/>
      <c r="N207" s="12"/>
      <c r="O207" s="12"/>
      <c r="P207" s="11"/>
      <c r="Q207" s="12"/>
      <c r="R207" s="12"/>
      <c r="S207" s="11"/>
      <c r="T207" s="12"/>
      <c r="U207" s="12"/>
      <c r="V207" s="11"/>
      <c r="W207" s="12"/>
      <c r="X207" s="12"/>
      <c r="Y207" s="11"/>
      <c r="Z207" s="12"/>
      <c r="AA207" s="12"/>
      <c r="AB207" s="11"/>
      <c r="AC207" s="12"/>
      <c r="AD207" s="12"/>
      <c r="AE207" s="11"/>
      <c r="AF207" s="11"/>
      <c r="AG207" s="11"/>
      <c r="AH207" s="11"/>
      <c r="AI207" s="11"/>
      <c r="AJ207" s="11"/>
    </row>
    <row r="208" spans="2:36" s="10" customFormat="1" ht="11.25">
      <c r="B208" s="10" t="s">
        <v>533</v>
      </c>
      <c r="D208" s="10" t="s">
        <v>0</v>
      </c>
      <c r="F208" s="12"/>
      <c r="G208" s="12"/>
      <c r="H208" s="12"/>
      <c r="I208" s="12"/>
      <c r="J208" s="12"/>
      <c r="K208" s="12"/>
      <c r="L208" s="12"/>
      <c r="M208" s="12"/>
      <c r="N208" s="12"/>
      <c r="O208" s="12"/>
      <c r="P208" s="11"/>
      <c r="Q208" s="12"/>
      <c r="R208" s="12"/>
      <c r="S208" s="11"/>
      <c r="T208" s="12"/>
      <c r="U208" s="12"/>
      <c r="V208" s="11"/>
      <c r="W208" s="12"/>
      <c r="X208" s="12"/>
      <c r="Y208" s="11"/>
      <c r="Z208" s="12"/>
      <c r="AA208" s="12"/>
      <c r="AB208" s="11"/>
      <c r="AC208" s="12"/>
      <c r="AD208" s="12"/>
      <c r="AE208" s="11"/>
      <c r="AF208" s="11"/>
      <c r="AG208" s="11"/>
      <c r="AH208" s="11"/>
      <c r="AI208" s="11"/>
      <c r="AJ208" s="11"/>
    </row>
    <row r="209" spans="2:36" s="10" customFormat="1" ht="11.25">
      <c r="B209" s="10" t="s">
        <v>532</v>
      </c>
      <c r="D209" s="10" t="s">
        <v>0</v>
      </c>
      <c r="F209" s="12"/>
      <c r="G209" s="12"/>
      <c r="H209" s="12"/>
      <c r="I209" s="12"/>
      <c r="J209" s="12"/>
      <c r="K209" s="12"/>
      <c r="L209" s="12"/>
      <c r="M209" s="12"/>
      <c r="N209" s="12"/>
      <c r="O209" s="12"/>
      <c r="P209" s="11"/>
      <c r="Q209" s="12"/>
      <c r="R209" s="12"/>
      <c r="S209" s="11"/>
      <c r="T209" s="12"/>
      <c r="U209" s="12"/>
      <c r="V209" s="11"/>
      <c r="W209" s="12"/>
      <c r="X209" s="12"/>
      <c r="Y209" s="11"/>
      <c r="Z209" s="12"/>
      <c r="AA209" s="12"/>
      <c r="AB209" s="11"/>
      <c r="AC209" s="12"/>
      <c r="AD209" s="12"/>
      <c r="AE209" s="11"/>
      <c r="AF209" s="11"/>
      <c r="AG209" s="11"/>
      <c r="AH209" s="11"/>
      <c r="AI209" s="11"/>
      <c r="AJ209" s="11"/>
    </row>
    <row r="210" spans="2:36" s="10" customFormat="1" ht="11.25">
      <c r="B210" s="10" t="s">
        <v>531</v>
      </c>
      <c r="D210" s="10" t="s">
        <v>0</v>
      </c>
      <c r="F210" s="12"/>
      <c r="G210" s="12"/>
      <c r="H210" s="12"/>
      <c r="I210" s="12"/>
      <c r="J210" s="12"/>
      <c r="K210" s="12"/>
      <c r="L210" s="12"/>
      <c r="M210" s="12"/>
      <c r="N210" s="12"/>
      <c r="O210" s="12"/>
      <c r="P210" s="11"/>
      <c r="Q210" s="12"/>
      <c r="R210" s="12"/>
      <c r="S210" s="11"/>
      <c r="T210" s="12"/>
      <c r="U210" s="12"/>
      <c r="V210" s="11"/>
      <c r="W210" s="12"/>
      <c r="X210" s="12"/>
      <c r="Y210" s="11"/>
      <c r="Z210" s="12"/>
      <c r="AA210" s="12"/>
      <c r="AB210" s="11"/>
      <c r="AC210" s="12"/>
      <c r="AD210" s="12"/>
      <c r="AE210" s="11"/>
      <c r="AF210" s="11"/>
      <c r="AG210" s="11"/>
      <c r="AH210" s="11"/>
      <c r="AI210" s="11"/>
      <c r="AJ210" s="11"/>
    </row>
    <row r="211" spans="2:36" s="10" customFormat="1" ht="11.25">
      <c r="B211" s="10" t="s">
        <v>530</v>
      </c>
      <c r="D211" s="10" t="s">
        <v>0</v>
      </c>
      <c r="F211" s="12"/>
      <c r="G211" s="12"/>
      <c r="H211" s="12"/>
      <c r="I211" s="12"/>
      <c r="J211" s="12"/>
      <c r="K211" s="12"/>
      <c r="L211" s="12"/>
      <c r="M211" s="12"/>
      <c r="N211" s="12"/>
      <c r="O211" s="12"/>
      <c r="P211" s="11"/>
      <c r="Q211" s="12"/>
      <c r="R211" s="12"/>
      <c r="S211" s="11"/>
      <c r="T211" s="12"/>
      <c r="U211" s="12"/>
      <c r="V211" s="11"/>
      <c r="W211" s="12"/>
      <c r="X211" s="12"/>
      <c r="Y211" s="11"/>
      <c r="Z211" s="12"/>
      <c r="AA211" s="12"/>
      <c r="AB211" s="11"/>
      <c r="AC211" s="12"/>
      <c r="AD211" s="12"/>
      <c r="AE211" s="11"/>
      <c r="AF211" s="11"/>
      <c r="AG211" s="11"/>
      <c r="AH211" s="11"/>
      <c r="AI211" s="11"/>
      <c r="AJ211" s="11"/>
    </row>
    <row r="212" spans="2:36" s="10" customFormat="1" ht="11.25">
      <c r="B212" s="10" t="s">
        <v>529</v>
      </c>
      <c r="D212" s="10" t="s">
        <v>0</v>
      </c>
      <c r="F212" s="12"/>
      <c r="G212" s="12"/>
      <c r="H212" s="12"/>
      <c r="I212" s="12"/>
      <c r="J212" s="12"/>
      <c r="K212" s="12"/>
      <c r="L212" s="12"/>
      <c r="M212" s="12"/>
      <c r="N212" s="12"/>
      <c r="O212" s="12"/>
      <c r="P212" s="11"/>
      <c r="Q212" s="12"/>
      <c r="R212" s="12"/>
      <c r="S212" s="11"/>
      <c r="T212" s="12"/>
      <c r="U212" s="12"/>
      <c r="V212" s="11"/>
      <c r="W212" s="12"/>
      <c r="X212" s="12"/>
      <c r="Y212" s="11"/>
      <c r="Z212" s="12"/>
      <c r="AA212" s="12"/>
      <c r="AB212" s="11"/>
      <c r="AC212" s="12"/>
      <c r="AD212" s="12"/>
      <c r="AE212" s="11"/>
      <c r="AF212" s="11"/>
      <c r="AG212" s="11"/>
      <c r="AH212" s="11"/>
      <c r="AI212" s="11"/>
      <c r="AJ212" s="11"/>
    </row>
    <row r="213" spans="2:36" s="10" customFormat="1" ht="11.25">
      <c r="B213" s="10" t="s">
        <v>528</v>
      </c>
      <c r="D213" s="10" t="s">
        <v>0</v>
      </c>
      <c r="F213" s="12"/>
      <c r="G213" s="12"/>
      <c r="H213" s="12"/>
      <c r="I213" s="12"/>
      <c r="J213" s="12"/>
      <c r="K213" s="12"/>
      <c r="L213" s="12"/>
      <c r="M213" s="12"/>
      <c r="N213" s="12"/>
      <c r="O213" s="12"/>
      <c r="P213" s="11"/>
      <c r="Q213" s="12"/>
      <c r="R213" s="12"/>
      <c r="S213" s="11"/>
      <c r="T213" s="12"/>
      <c r="U213" s="12"/>
      <c r="V213" s="11"/>
      <c r="W213" s="12"/>
      <c r="X213" s="12"/>
      <c r="Y213" s="11"/>
      <c r="Z213" s="12"/>
      <c r="AA213" s="12"/>
      <c r="AB213" s="11"/>
      <c r="AC213" s="12"/>
      <c r="AD213" s="12"/>
      <c r="AE213" s="11"/>
      <c r="AF213" s="11"/>
      <c r="AG213" s="11"/>
      <c r="AH213" s="11"/>
      <c r="AI213" s="11"/>
      <c r="AJ213" s="11"/>
    </row>
    <row r="214" spans="2:36" s="10" customFormat="1" ht="11.25">
      <c r="B214" s="10" t="s">
        <v>527</v>
      </c>
      <c r="D214" s="10" t="s">
        <v>0</v>
      </c>
      <c r="F214" s="12"/>
      <c r="G214" s="12"/>
      <c r="H214" s="12"/>
      <c r="I214" s="12"/>
      <c r="J214" s="12"/>
      <c r="K214" s="12"/>
      <c r="L214" s="12"/>
      <c r="M214" s="12"/>
      <c r="N214" s="12"/>
      <c r="O214" s="12"/>
      <c r="P214" s="11"/>
      <c r="Q214" s="12"/>
      <c r="R214" s="12"/>
      <c r="S214" s="11"/>
      <c r="T214" s="12"/>
      <c r="U214" s="12"/>
      <c r="V214" s="11"/>
      <c r="W214" s="12"/>
      <c r="X214" s="12"/>
      <c r="Y214" s="11"/>
      <c r="Z214" s="12"/>
      <c r="AA214" s="12"/>
      <c r="AB214" s="11"/>
      <c r="AC214" s="12"/>
      <c r="AD214" s="12"/>
      <c r="AE214" s="11"/>
      <c r="AF214" s="11"/>
      <c r="AG214" s="11"/>
      <c r="AH214" s="11"/>
      <c r="AI214" s="11"/>
      <c r="AJ214" s="11"/>
    </row>
    <row r="215" spans="2:36" s="10" customFormat="1" ht="11.25">
      <c r="B215" s="10" t="s">
        <v>526</v>
      </c>
      <c r="D215" s="10" t="s">
        <v>0</v>
      </c>
      <c r="F215" s="12"/>
      <c r="G215" s="12"/>
      <c r="H215" s="12"/>
      <c r="I215" s="12"/>
      <c r="J215" s="12"/>
      <c r="K215" s="12"/>
      <c r="L215" s="12"/>
      <c r="M215" s="12"/>
      <c r="N215" s="12"/>
      <c r="O215" s="12"/>
      <c r="P215" s="11"/>
      <c r="Q215" s="12"/>
      <c r="R215" s="12"/>
      <c r="S215" s="11"/>
      <c r="T215" s="12"/>
      <c r="U215" s="12"/>
      <c r="V215" s="11"/>
      <c r="W215" s="12"/>
      <c r="X215" s="12"/>
      <c r="Y215" s="11"/>
      <c r="Z215" s="12"/>
      <c r="AA215" s="12"/>
      <c r="AB215" s="11"/>
      <c r="AC215" s="12"/>
      <c r="AD215" s="12"/>
      <c r="AE215" s="11"/>
      <c r="AF215" s="11"/>
      <c r="AG215" s="11"/>
      <c r="AH215" s="11"/>
      <c r="AI215" s="11"/>
      <c r="AJ215" s="11"/>
    </row>
    <row r="216" spans="2:36" s="10" customFormat="1" ht="11.25">
      <c r="B216" s="10" t="s">
        <v>525</v>
      </c>
      <c r="D216" s="10" t="s">
        <v>0</v>
      </c>
      <c r="F216" s="12"/>
      <c r="G216" s="12"/>
      <c r="H216" s="12"/>
      <c r="I216" s="12"/>
      <c r="J216" s="12"/>
      <c r="K216" s="12"/>
      <c r="L216" s="12"/>
      <c r="M216" s="12"/>
      <c r="N216" s="12"/>
      <c r="O216" s="12"/>
      <c r="P216" s="11"/>
      <c r="Q216" s="12"/>
      <c r="R216" s="12"/>
      <c r="S216" s="11"/>
      <c r="T216" s="12"/>
      <c r="U216" s="12"/>
      <c r="V216" s="11"/>
      <c r="W216" s="12"/>
      <c r="X216" s="12"/>
      <c r="Y216" s="11"/>
      <c r="Z216" s="12"/>
      <c r="AA216" s="12"/>
      <c r="AB216" s="11"/>
      <c r="AC216" s="12"/>
      <c r="AD216" s="12"/>
      <c r="AE216" s="11"/>
      <c r="AF216" s="11"/>
      <c r="AG216" s="11"/>
      <c r="AH216" s="11"/>
      <c r="AI216" s="11"/>
      <c r="AJ216" s="11"/>
    </row>
    <row r="217" spans="2:36" s="10" customFormat="1" ht="11.25">
      <c r="B217" s="10" t="s">
        <v>524</v>
      </c>
      <c r="D217" s="10" t="s">
        <v>0</v>
      </c>
      <c r="F217" s="12"/>
      <c r="G217" s="12"/>
      <c r="H217" s="12"/>
      <c r="I217" s="12"/>
      <c r="J217" s="12"/>
      <c r="K217" s="12"/>
      <c r="L217" s="12"/>
      <c r="M217" s="12"/>
      <c r="N217" s="12"/>
      <c r="O217" s="12"/>
      <c r="P217" s="11"/>
      <c r="Q217" s="12"/>
      <c r="R217" s="12"/>
      <c r="S217" s="11"/>
      <c r="T217" s="12"/>
      <c r="U217" s="12"/>
      <c r="V217" s="11"/>
      <c r="W217" s="12"/>
      <c r="X217" s="12"/>
      <c r="Y217" s="11"/>
      <c r="Z217" s="12"/>
      <c r="AA217" s="12"/>
      <c r="AB217" s="11"/>
      <c r="AC217" s="12"/>
      <c r="AD217" s="12"/>
      <c r="AE217" s="11"/>
      <c r="AF217" s="11"/>
      <c r="AG217" s="11"/>
      <c r="AH217" s="11"/>
      <c r="AI217" s="11"/>
      <c r="AJ217" s="11"/>
    </row>
    <row r="218" spans="2:36" s="10" customFormat="1" ht="11.25">
      <c r="B218" s="10" t="s">
        <v>523</v>
      </c>
      <c r="D218" s="10" t="s">
        <v>0</v>
      </c>
      <c r="F218" s="12"/>
      <c r="G218" s="12"/>
      <c r="H218" s="12"/>
      <c r="I218" s="12"/>
      <c r="J218" s="12"/>
      <c r="K218" s="12"/>
      <c r="L218" s="12"/>
      <c r="M218" s="12"/>
      <c r="N218" s="12"/>
      <c r="O218" s="12"/>
      <c r="P218" s="11"/>
      <c r="Q218" s="12"/>
      <c r="R218" s="12"/>
      <c r="S218" s="11"/>
      <c r="T218" s="12"/>
      <c r="U218" s="12"/>
      <c r="V218" s="11"/>
      <c r="W218" s="12"/>
      <c r="X218" s="12"/>
      <c r="Y218" s="11"/>
      <c r="Z218" s="12"/>
      <c r="AA218" s="12"/>
      <c r="AB218" s="11"/>
      <c r="AC218" s="12"/>
      <c r="AD218" s="12"/>
      <c r="AE218" s="11"/>
      <c r="AF218" s="11"/>
      <c r="AG218" s="11"/>
      <c r="AH218" s="11"/>
      <c r="AI218" s="11"/>
      <c r="AJ218" s="11"/>
    </row>
    <row r="219" spans="2:36" s="10" customFormat="1" ht="11.25">
      <c r="B219" s="10" t="s">
        <v>522</v>
      </c>
      <c r="D219" s="10" t="s">
        <v>0</v>
      </c>
      <c r="F219" s="12"/>
      <c r="G219" s="12"/>
      <c r="H219" s="12"/>
      <c r="I219" s="12"/>
      <c r="J219" s="12"/>
      <c r="K219" s="12"/>
      <c r="L219" s="12"/>
      <c r="M219" s="12"/>
      <c r="N219" s="12"/>
      <c r="O219" s="12"/>
      <c r="P219" s="11"/>
      <c r="Q219" s="12"/>
      <c r="R219" s="12"/>
      <c r="S219" s="11"/>
      <c r="T219" s="12"/>
      <c r="U219" s="12"/>
      <c r="V219" s="11"/>
      <c r="W219" s="12"/>
      <c r="X219" s="12"/>
      <c r="Y219" s="11"/>
      <c r="Z219" s="12"/>
      <c r="AA219" s="12"/>
      <c r="AB219" s="11"/>
      <c r="AC219" s="12"/>
      <c r="AD219" s="12"/>
      <c r="AE219" s="11"/>
      <c r="AF219" s="11"/>
      <c r="AG219" s="11"/>
      <c r="AH219" s="11"/>
      <c r="AI219" s="11"/>
      <c r="AJ219" s="11"/>
    </row>
    <row r="220" spans="2:36" s="10" customFormat="1" ht="11.25">
      <c r="B220" s="10" t="s">
        <v>521</v>
      </c>
      <c r="D220" s="10" t="s">
        <v>0</v>
      </c>
      <c r="F220" s="12"/>
      <c r="G220" s="12"/>
      <c r="H220" s="12"/>
      <c r="I220" s="12"/>
      <c r="J220" s="12"/>
      <c r="K220" s="12"/>
      <c r="L220" s="12"/>
      <c r="M220" s="12"/>
      <c r="N220" s="12"/>
      <c r="O220" s="12"/>
      <c r="P220" s="11"/>
      <c r="Q220" s="12"/>
      <c r="R220" s="12"/>
      <c r="S220" s="11"/>
      <c r="T220" s="12"/>
      <c r="U220" s="12"/>
      <c r="V220" s="11"/>
      <c r="W220" s="12"/>
      <c r="X220" s="12"/>
      <c r="Y220" s="11"/>
      <c r="Z220" s="12"/>
      <c r="AA220" s="12"/>
      <c r="AB220" s="11"/>
      <c r="AC220" s="12"/>
      <c r="AD220" s="12"/>
      <c r="AE220" s="11"/>
      <c r="AF220" s="11"/>
      <c r="AG220" s="11"/>
      <c r="AH220" s="11"/>
      <c r="AI220" s="11"/>
      <c r="AJ220" s="11"/>
    </row>
    <row r="221" spans="2:36" s="10" customFormat="1" ht="11.25">
      <c r="B221" s="10" t="s">
        <v>520</v>
      </c>
      <c r="D221" s="10" t="s">
        <v>0</v>
      </c>
      <c r="F221" s="12"/>
      <c r="G221" s="12"/>
      <c r="H221" s="12"/>
      <c r="I221" s="12"/>
      <c r="J221" s="12"/>
      <c r="K221" s="12"/>
      <c r="L221" s="12"/>
      <c r="M221" s="12"/>
      <c r="N221" s="12"/>
      <c r="O221" s="12"/>
      <c r="P221" s="11"/>
      <c r="Q221" s="12"/>
      <c r="R221" s="12"/>
      <c r="S221" s="11"/>
      <c r="T221" s="12"/>
      <c r="U221" s="12"/>
      <c r="V221" s="11"/>
      <c r="W221" s="12"/>
      <c r="X221" s="12"/>
      <c r="Y221" s="11"/>
      <c r="Z221" s="12"/>
      <c r="AA221" s="12"/>
      <c r="AB221" s="11"/>
      <c r="AC221" s="12"/>
      <c r="AD221" s="12"/>
      <c r="AE221" s="11"/>
      <c r="AF221" s="11"/>
      <c r="AG221" s="11"/>
      <c r="AH221" s="11"/>
      <c r="AI221" s="11"/>
      <c r="AJ221" s="11"/>
    </row>
    <row r="222" spans="2:36" s="10" customFormat="1" ht="11.25">
      <c r="B222" s="10" t="s">
        <v>519</v>
      </c>
      <c r="D222" s="10" t="s">
        <v>0</v>
      </c>
      <c r="F222" s="12"/>
      <c r="G222" s="12"/>
      <c r="H222" s="12"/>
      <c r="I222" s="12"/>
      <c r="J222" s="12"/>
      <c r="K222" s="12"/>
      <c r="L222" s="12"/>
      <c r="M222" s="12"/>
      <c r="N222" s="12"/>
      <c r="O222" s="12"/>
      <c r="P222" s="11"/>
      <c r="Q222" s="12"/>
      <c r="R222" s="12"/>
      <c r="S222" s="11"/>
      <c r="T222" s="12"/>
      <c r="U222" s="12"/>
      <c r="V222" s="11"/>
      <c r="W222" s="12"/>
      <c r="X222" s="12"/>
      <c r="Y222" s="11"/>
      <c r="Z222" s="12"/>
      <c r="AA222" s="12"/>
      <c r="AB222" s="11"/>
      <c r="AC222" s="12"/>
      <c r="AD222" s="12"/>
      <c r="AE222" s="11"/>
      <c r="AF222" s="11"/>
      <c r="AG222" s="11"/>
      <c r="AH222" s="11"/>
      <c r="AI222" s="11"/>
      <c r="AJ222" s="11"/>
    </row>
    <row r="223" spans="2:36" s="10" customFormat="1" ht="11.25">
      <c r="B223" s="10" t="s">
        <v>518</v>
      </c>
      <c r="D223" s="10" t="s">
        <v>0</v>
      </c>
      <c r="F223" s="12"/>
      <c r="G223" s="12"/>
      <c r="H223" s="12"/>
      <c r="I223" s="12"/>
      <c r="J223" s="12"/>
      <c r="K223" s="12"/>
      <c r="L223" s="12"/>
      <c r="M223" s="12"/>
      <c r="N223" s="12"/>
      <c r="O223" s="12"/>
      <c r="P223" s="11"/>
      <c r="Q223" s="12"/>
      <c r="R223" s="12"/>
      <c r="S223" s="11"/>
      <c r="T223" s="12"/>
      <c r="U223" s="12"/>
      <c r="V223" s="11"/>
      <c r="W223" s="12"/>
      <c r="X223" s="12"/>
      <c r="Y223" s="11"/>
      <c r="Z223" s="12"/>
      <c r="AA223" s="12"/>
      <c r="AB223" s="11"/>
      <c r="AC223" s="12"/>
      <c r="AD223" s="12"/>
      <c r="AE223" s="11"/>
      <c r="AF223" s="11"/>
      <c r="AG223" s="11"/>
      <c r="AH223" s="11"/>
      <c r="AI223" s="11"/>
      <c r="AJ223" s="11"/>
    </row>
    <row r="224" spans="2:36" s="10" customFormat="1" ht="11.25">
      <c r="B224" s="10" t="s">
        <v>517</v>
      </c>
      <c r="D224" s="10" t="s">
        <v>0</v>
      </c>
      <c r="F224" s="12"/>
      <c r="G224" s="12"/>
      <c r="H224" s="12"/>
      <c r="I224" s="12"/>
      <c r="J224" s="12"/>
      <c r="K224" s="12"/>
      <c r="L224" s="12"/>
      <c r="M224" s="12"/>
      <c r="N224" s="12"/>
      <c r="O224" s="12"/>
      <c r="P224" s="11"/>
      <c r="Q224" s="12"/>
      <c r="R224" s="12"/>
      <c r="S224" s="11"/>
      <c r="T224" s="12"/>
      <c r="U224" s="12"/>
      <c r="V224" s="11"/>
      <c r="W224" s="12"/>
      <c r="X224" s="12"/>
      <c r="Y224" s="11"/>
      <c r="Z224" s="12"/>
      <c r="AA224" s="12"/>
      <c r="AB224" s="11"/>
      <c r="AC224" s="12"/>
      <c r="AD224" s="12"/>
      <c r="AE224" s="11"/>
      <c r="AF224" s="11"/>
      <c r="AG224" s="11"/>
      <c r="AH224" s="11"/>
      <c r="AI224" s="11"/>
      <c r="AJ224" s="11"/>
    </row>
    <row r="225" spans="1:40" s="10" customFormat="1" ht="11.25">
      <c r="B225" s="10" t="s">
        <v>516</v>
      </c>
      <c r="D225" s="10" t="s">
        <v>0</v>
      </c>
      <c r="F225" s="12"/>
      <c r="G225" s="12"/>
      <c r="H225" s="12"/>
      <c r="I225" s="12"/>
      <c r="J225" s="12"/>
      <c r="K225" s="12"/>
      <c r="L225" s="12"/>
      <c r="M225" s="12"/>
      <c r="N225" s="12"/>
      <c r="O225" s="12"/>
      <c r="P225" s="11"/>
      <c r="Q225" s="12"/>
      <c r="R225" s="12"/>
      <c r="S225" s="11"/>
      <c r="T225" s="12"/>
      <c r="U225" s="12"/>
      <c r="V225" s="11"/>
      <c r="W225" s="12"/>
      <c r="X225" s="12"/>
      <c r="Y225" s="11"/>
      <c r="Z225" s="12"/>
      <c r="AA225" s="12"/>
      <c r="AB225" s="11"/>
      <c r="AC225" s="12"/>
      <c r="AD225" s="12"/>
      <c r="AE225" s="11"/>
      <c r="AF225" s="11"/>
      <c r="AG225" s="11"/>
      <c r="AH225" s="11"/>
      <c r="AI225" s="11"/>
      <c r="AJ225" s="11"/>
    </row>
    <row r="226" spans="1:40" s="10" customFormat="1" ht="11.25">
      <c r="B226" s="10" t="s">
        <v>515</v>
      </c>
      <c r="D226" s="10" t="s">
        <v>0</v>
      </c>
      <c r="F226" s="12"/>
      <c r="G226" s="12"/>
      <c r="H226" s="12"/>
      <c r="I226" s="12"/>
      <c r="J226" s="12"/>
      <c r="K226" s="12"/>
      <c r="L226" s="12"/>
      <c r="M226" s="12"/>
      <c r="N226" s="12"/>
      <c r="O226" s="12"/>
      <c r="P226" s="11"/>
      <c r="Q226" s="12"/>
      <c r="R226" s="12"/>
      <c r="S226" s="11"/>
      <c r="T226" s="12"/>
      <c r="U226" s="12"/>
      <c r="V226" s="11"/>
      <c r="W226" s="12"/>
      <c r="X226" s="12"/>
      <c r="Y226" s="11"/>
      <c r="Z226" s="12"/>
      <c r="AA226" s="12"/>
      <c r="AB226" s="11"/>
      <c r="AC226" s="12"/>
      <c r="AD226" s="12"/>
      <c r="AE226" s="11"/>
      <c r="AF226" s="11"/>
      <c r="AG226" s="11"/>
      <c r="AH226" s="11"/>
      <c r="AI226" s="11"/>
      <c r="AJ226" s="11"/>
    </row>
    <row r="227" spans="1:40" s="10" customFormat="1" ht="11.25">
      <c r="B227" s="10" t="s">
        <v>514</v>
      </c>
      <c r="F227" s="14"/>
      <c r="G227" s="14"/>
      <c r="H227" s="14"/>
      <c r="I227" s="14"/>
      <c r="J227" s="14"/>
      <c r="K227" s="14"/>
      <c r="L227" s="14"/>
      <c r="M227" s="14"/>
      <c r="N227" s="14"/>
      <c r="O227" s="14"/>
      <c r="P227" s="13"/>
      <c r="Q227" s="14"/>
      <c r="R227" s="14"/>
      <c r="S227" s="13"/>
      <c r="T227" s="14"/>
      <c r="U227" s="14"/>
      <c r="V227" s="13"/>
      <c r="W227" s="14"/>
      <c r="X227" s="14"/>
      <c r="Y227" s="13"/>
      <c r="Z227" s="14"/>
      <c r="AA227" s="14"/>
      <c r="AB227" s="13"/>
      <c r="AC227" s="14"/>
      <c r="AD227" s="14"/>
      <c r="AE227" s="13"/>
      <c r="AF227" s="13"/>
      <c r="AG227" s="13"/>
      <c r="AH227" s="13"/>
      <c r="AI227" s="13"/>
      <c r="AJ227" s="13"/>
    </row>
    <row r="228" spans="1:40" s="10" customFormat="1" ht="11.25">
      <c r="B228" s="10" t="s">
        <v>513</v>
      </c>
      <c r="D228" s="10" t="s">
        <v>0</v>
      </c>
      <c r="F228" s="12"/>
      <c r="G228" s="12"/>
      <c r="H228" s="12"/>
      <c r="I228" s="12"/>
      <c r="J228" s="12"/>
      <c r="K228" s="12"/>
      <c r="L228" s="12"/>
      <c r="M228" s="12"/>
      <c r="N228" s="12"/>
      <c r="O228" s="12"/>
      <c r="P228" s="11"/>
      <c r="Q228" s="12"/>
      <c r="R228" s="12"/>
      <c r="S228" s="11"/>
      <c r="T228" s="12"/>
      <c r="U228" s="12"/>
      <c r="V228" s="11"/>
      <c r="W228" s="12"/>
      <c r="X228" s="12"/>
      <c r="Y228" s="11"/>
      <c r="Z228" s="12"/>
      <c r="AA228" s="12"/>
      <c r="AB228" s="11"/>
      <c r="AC228" s="12"/>
      <c r="AD228" s="12"/>
      <c r="AE228" s="11"/>
      <c r="AF228" s="11"/>
      <c r="AG228" s="11"/>
      <c r="AH228" s="11"/>
      <c r="AI228" s="11"/>
      <c r="AJ228" s="11"/>
    </row>
    <row r="229" spans="1:40" s="10" customFormat="1" ht="11.25">
      <c r="B229" s="10" t="s">
        <v>512</v>
      </c>
      <c r="D229" s="10" t="s">
        <v>0</v>
      </c>
      <c r="F229" s="12"/>
      <c r="G229" s="12"/>
      <c r="H229" s="12"/>
      <c r="I229" s="12"/>
      <c r="J229" s="12"/>
      <c r="K229" s="12"/>
      <c r="L229" s="12"/>
      <c r="M229" s="12"/>
      <c r="N229" s="12"/>
      <c r="O229" s="12"/>
      <c r="P229" s="11"/>
      <c r="Q229" s="12"/>
      <c r="R229" s="12"/>
      <c r="S229" s="11"/>
      <c r="T229" s="12"/>
      <c r="U229" s="12"/>
      <c r="V229" s="11"/>
      <c r="W229" s="12"/>
      <c r="X229" s="12"/>
      <c r="Y229" s="11"/>
      <c r="Z229" s="12"/>
      <c r="AA229" s="12"/>
      <c r="AB229" s="11"/>
      <c r="AC229" s="12"/>
      <c r="AD229" s="12"/>
      <c r="AE229" s="11"/>
      <c r="AF229" s="11"/>
      <c r="AG229" s="11"/>
      <c r="AH229" s="11"/>
      <c r="AI229" s="11"/>
      <c r="AJ229" s="11"/>
    </row>
    <row r="230" spans="1:40" s="10" customFormat="1" ht="11.25">
      <c r="B230" s="10" t="s">
        <v>511</v>
      </c>
      <c r="D230" s="10" t="s">
        <v>0</v>
      </c>
      <c r="F230" s="12"/>
      <c r="G230" s="12"/>
      <c r="H230" s="12"/>
      <c r="I230" s="12"/>
      <c r="J230" s="12"/>
      <c r="K230" s="12"/>
      <c r="L230" s="12"/>
      <c r="M230" s="12"/>
      <c r="N230" s="12"/>
      <c r="O230" s="12"/>
      <c r="P230" s="11"/>
      <c r="Q230" s="12"/>
      <c r="R230" s="12"/>
      <c r="S230" s="11"/>
      <c r="T230" s="12"/>
      <c r="U230" s="12"/>
      <c r="V230" s="11"/>
      <c r="W230" s="12"/>
      <c r="X230" s="12"/>
      <c r="Y230" s="11"/>
      <c r="Z230" s="12"/>
      <c r="AA230" s="12"/>
      <c r="AB230" s="11"/>
      <c r="AC230" s="12"/>
      <c r="AD230" s="12"/>
      <c r="AE230" s="11"/>
      <c r="AF230" s="11"/>
      <c r="AG230" s="11"/>
      <c r="AH230" s="11"/>
      <c r="AI230" s="11"/>
      <c r="AJ230" s="11"/>
    </row>
    <row r="231" spans="1:40" s="10" customFormat="1" ht="11.25">
      <c r="B231" s="10" t="s">
        <v>510</v>
      </c>
      <c r="D231" s="10" t="s">
        <v>0</v>
      </c>
      <c r="F231" s="12"/>
      <c r="G231" s="12"/>
      <c r="H231" s="12"/>
      <c r="I231" s="12"/>
      <c r="J231" s="12"/>
      <c r="K231" s="12"/>
      <c r="L231" s="12"/>
      <c r="M231" s="12"/>
      <c r="N231" s="12"/>
      <c r="O231" s="12"/>
      <c r="P231" s="11"/>
      <c r="Q231" s="12"/>
      <c r="R231" s="12"/>
      <c r="S231" s="11"/>
      <c r="T231" s="12"/>
      <c r="U231" s="12"/>
      <c r="V231" s="11"/>
      <c r="W231" s="12"/>
      <c r="X231" s="12"/>
      <c r="Y231" s="11"/>
      <c r="Z231" s="12"/>
      <c r="AA231" s="12"/>
      <c r="AB231" s="11"/>
      <c r="AC231" s="12"/>
      <c r="AD231" s="12"/>
      <c r="AE231" s="11"/>
      <c r="AF231" s="11"/>
      <c r="AG231" s="11"/>
      <c r="AH231" s="11"/>
      <c r="AI231" s="11"/>
      <c r="AJ231" s="11"/>
    </row>
    <row r="232" spans="1:40" s="10" customFormat="1" ht="11.25">
      <c r="B232" s="10" t="s">
        <v>509</v>
      </c>
      <c r="D232" s="10" t="s">
        <v>0</v>
      </c>
      <c r="F232" s="12"/>
      <c r="G232" s="12"/>
      <c r="H232" s="12"/>
      <c r="I232" s="12"/>
      <c r="J232" s="12"/>
      <c r="K232" s="12"/>
      <c r="L232" s="12"/>
      <c r="M232" s="12"/>
      <c r="N232" s="12"/>
      <c r="O232" s="12"/>
      <c r="P232" s="11"/>
      <c r="Q232" s="12"/>
      <c r="R232" s="12"/>
      <c r="S232" s="11"/>
      <c r="T232" s="12"/>
      <c r="U232" s="12"/>
      <c r="V232" s="11"/>
      <c r="W232" s="12"/>
      <c r="X232" s="12"/>
      <c r="Y232" s="11"/>
      <c r="Z232" s="12"/>
      <c r="AA232" s="12"/>
      <c r="AB232" s="11"/>
      <c r="AC232" s="12"/>
      <c r="AD232" s="12"/>
      <c r="AE232" s="11"/>
      <c r="AF232" s="11"/>
      <c r="AG232" s="11"/>
      <c r="AH232" s="11"/>
      <c r="AI232" s="11"/>
      <c r="AJ232" s="11"/>
    </row>
    <row r="233" spans="1:40" ht="11.25">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c r="AF233" s="4"/>
      <c r="AG233" s="4"/>
      <c r="AH233" s="4"/>
      <c r="AI233" s="4"/>
      <c r="AJ233" s="4"/>
    </row>
    <row r="234" spans="1:40" s="8" customFormat="1" ht="15.75">
      <c r="A234" s="8" t="s">
        <v>508</v>
      </c>
      <c r="D234" s="9" t="s">
        <v>507</v>
      </c>
    </row>
    <row r="235" spans="1:40" s="1" customFormat="1" ht="12.75">
      <c r="B235" s="1" t="s">
        <v>506</v>
      </c>
      <c r="C235" s="1" t="s">
        <v>171</v>
      </c>
      <c r="AK235" s="7"/>
      <c r="AL235" s="7"/>
      <c r="AM235" s="7"/>
      <c r="AN235" s="7"/>
    </row>
    <row r="236" spans="1:40" s="1" customFormat="1" ht="12.75">
      <c r="B236" s="1" t="s">
        <v>505</v>
      </c>
      <c r="C236" s="1" t="s">
        <v>170</v>
      </c>
      <c r="AK236" s="7"/>
      <c r="AL236" s="7"/>
      <c r="AM236" s="7"/>
      <c r="AN236" s="7"/>
    </row>
    <row r="237" spans="1:40" s="1" customFormat="1" ht="12.75">
      <c r="B237" s="1" t="s">
        <v>504</v>
      </c>
      <c r="C237" s="1" t="s">
        <v>169</v>
      </c>
      <c r="AK237" s="7"/>
      <c r="AL237" s="7"/>
      <c r="AM237" s="7"/>
      <c r="AN237" s="7"/>
    </row>
    <row r="238" spans="1:40" s="1" customFormat="1" ht="12.75">
      <c r="B238" s="1" t="s">
        <v>503</v>
      </c>
      <c r="C238" s="1" t="s">
        <v>168</v>
      </c>
      <c r="AK238" s="7"/>
      <c r="AL238" s="7"/>
      <c r="AM238" s="7"/>
      <c r="AN238" s="7"/>
    </row>
    <row r="239" spans="1:40" s="1" customFormat="1" ht="12.75">
      <c r="B239" s="1" t="s">
        <v>502</v>
      </c>
      <c r="C239" s="1" t="s">
        <v>167</v>
      </c>
      <c r="AK239" s="7"/>
      <c r="AL239" s="7"/>
      <c r="AM239" s="7"/>
      <c r="AN239" s="7"/>
    </row>
    <row r="240" spans="1:40" s="1" customFormat="1" ht="12.75">
      <c r="B240" s="1" t="s">
        <v>501</v>
      </c>
      <c r="C240" s="1" t="s">
        <v>166</v>
      </c>
      <c r="AK240" s="7"/>
      <c r="AL240" s="7"/>
      <c r="AM240" s="7"/>
      <c r="AN240" s="7"/>
    </row>
    <row r="241" spans="2:40" s="1" customFormat="1" ht="12.75">
      <c r="B241" s="1" t="s">
        <v>500</v>
      </c>
      <c r="C241" s="1" t="s">
        <v>165</v>
      </c>
      <c r="AK241" s="7"/>
      <c r="AL241" s="7"/>
      <c r="AM241" s="7"/>
      <c r="AN241" s="7"/>
    </row>
    <row r="242" spans="2:40" s="1" customFormat="1" ht="12.75">
      <c r="B242" s="1" t="s">
        <v>499</v>
      </c>
      <c r="C242" s="1" t="s">
        <v>164</v>
      </c>
      <c r="AK242" s="7"/>
      <c r="AL242" s="7"/>
      <c r="AM242" s="7"/>
      <c r="AN242" s="7"/>
    </row>
    <row r="243" spans="2:40" s="1" customFormat="1" ht="12.75">
      <c r="B243" s="1" t="s">
        <v>498</v>
      </c>
      <c r="C243" s="1" t="s">
        <v>147</v>
      </c>
      <c r="AK243" s="7"/>
      <c r="AL243" s="7"/>
      <c r="AM243" s="7"/>
      <c r="AN243" s="7"/>
    </row>
    <row r="244" spans="2:40" s="1" customFormat="1" ht="12.75">
      <c r="B244" s="1" t="s">
        <v>497</v>
      </c>
      <c r="C244" s="1" t="s">
        <v>146</v>
      </c>
      <c r="AK244" s="7"/>
      <c r="AL244" s="7"/>
      <c r="AM244" s="7"/>
      <c r="AN244" s="7"/>
    </row>
    <row r="245" spans="2:40" s="1" customFormat="1" ht="12.75">
      <c r="B245" s="1" t="s">
        <v>496</v>
      </c>
      <c r="C245" s="1" t="s">
        <v>145</v>
      </c>
      <c r="AK245" s="7"/>
      <c r="AL245" s="7"/>
      <c r="AM245" s="7"/>
      <c r="AN245" s="7"/>
    </row>
    <row r="246" spans="2:40" s="1" customFormat="1" ht="12.75">
      <c r="B246" s="1" t="s">
        <v>495</v>
      </c>
      <c r="C246" s="1" t="s">
        <v>144</v>
      </c>
      <c r="AK246" s="7"/>
      <c r="AL246" s="7"/>
      <c r="AM246" s="7"/>
      <c r="AN246" s="7"/>
    </row>
    <row r="247" spans="2:40" s="1" customFormat="1" ht="12.75">
      <c r="B247" s="1" t="s">
        <v>494</v>
      </c>
      <c r="C247" s="1" t="s">
        <v>143</v>
      </c>
      <c r="AK247" s="7"/>
      <c r="AL247" s="7"/>
      <c r="AM247" s="7"/>
      <c r="AN247" s="7"/>
    </row>
    <row r="248" spans="2:40" s="1" customFormat="1" ht="12.75">
      <c r="B248" s="1" t="s">
        <v>493</v>
      </c>
      <c r="C248" s="1" t="s">
        <v>142</v>
      </c>
      <c r="AK248" s="7"/>
      <c r="AL248" s="7"/>
      <c r="AM248" s="7"/>
      <c r="AN248" s="7"/>
    </row>
    <row r="249" spans="2:40" s="1" customFormat="1" ht="12.75">
      <c r="B249" s="1" t="s">
        <v>492</v>
      </c>
      <c r="C249" s="1" t="s">
        <v>141</v>
      </c>
      <c r="AK249" s="7"/>
      <c r="AL249" s="7"/>
      <c r="AM249" s="7"/>
      <c r="AN249" s="7"/>
    </row>
    <row r="250" spans="2:40" s="1" customFormat="1" ht="12.75">
      <c r="B250" s="1" t="s">
        <v>491</v>
      </c>
      <c r="C250" s="1" t="s">
        <v>140</v>
      </c>
      <c r="AK250" s="7"/>
      <c r="AL250" s="7"/>
      <c r="AM250" s="7"/>
      <c r="AN250" s="7"/>
    </row>
    <row r="251" spans="2:40" s="1" customFormat="1" ht="12.75">
      <c r="B251" s="1" t="s">
        <v>490</v>
      </c>
      <c r="C251" s="1" t="s">
        <v>139</v>
      </c>
      <c r="AK251" s="7"/>
      <c r="AL251" s="7"/>
      <c r="AM251" s="7"/>
      <c r="AN251" s="7"/>
    </row>
    <row r="252" spans="2:40" s="1" customFormat="1" ht="12.75">
      <c r="B252" s="1" t="s">
        <v>489</v>
      </c>
      <c r="C252" s="1" t="s">
        <v>136</v>
      </c>
      <c r="AK252" s="7"/>
      <c r="AL252" s="7"/>
      <c r="AM252" s="7"/>
      <c r="AN252" s="7"/>
    </row>
    <row r="253" spans="2:40" s="1" customFormat="1" ht="12.75">
      <c r="B253" s="1" t="s">
        <v>488</v>
      </c>
      <c r="C253" s="1" t="s">
        <v>135</v>
      </c>
      <c r="AK253" s="7"/>
      <c r="AL253" s="7"/>
      <c r="AM253" s="7"/>
      <c r="AN253" s="7"/>
    </row>
    <row r="254" spans="2:40" s="1" customFormat="1" ht="12.75">
      <c r="B254" s="1" t="s">
        <v>487</v>
      </c>
      <c r="C254" s="1" t="s">
        <v>97</v>
      </c>
      <c r="AK254" s="7"/>
      <c r="AL254" s="7"/>
      <c r="AM254" s="7"/>
      <c r="AN254" s="7"/>
    </row>
    <row r="255" spans="2:40" s="1" customFormat="1" ht="12.75">
      <c r="B255" s="1" t="s">
        <v>486</v>
      </c>
      <c r="C255" s="1" t="s">
        <v>96</v>
      </c>
      <c r="AK255" s="7"/>
      <c r="AL255" s="7"/>
      <c r="AM255" s="7"/>
      <c r="AN255" s="7"/>
    </row>
    <row r="256" spans="2:40" s="1" customFormat="1" ht="12.75">
      <c r="B256" s="1" t="s">
        <v>485</v>
      </c>
      <c r="C256" s="1" t="s">
        <v>95</v>
      </c>
      <c r="AK256" s="7"/>
      <c r="AL256" s="7"/>
      <c r="AM256" s="7"/>
      <c r="AN256" s="7"/>
    </row>
    <row r="257" spans="2:40" s="1" customFormat="1" ht="12.75">
      <c r="B257" s="1" t="s">
        <v>484</v>
      </c>
      <c r="C257" s="1" t="s">
        <v>94</v>
      </c>
      <c r="AK257" s="7"/>
      <c r="AL257" s="7"/>
      <c r="AM257" s="7"/>
      <c r="AN257" s="7"/>
    </row>
    <row r="258" spans="2:40" s="1" customFormat="1" ht="12.75">
      <c r="B258" s="1" t="s">
        <v>483</v>
      </c>
      <c r="C258" s="1" t="s">
        <v>93</v>
      </c>
      <c r="AK258" s="7"/>
      <c r="AL258" s="7"/>
      <c r="AM258" s="7"/>
      <c r="AN258" s="7"/>
    </row>
    <row r="259" spans="2:40" s="1" customFormat="1" ht="12.75">
      <c r="B259" s="1" t="s">
        <v>482</v>
      </c>
      <c r="C259" s="1" t="s">
        <v>92</v>
      </c>
      <c r="AK259" s="7"/>
      <c r="AL259" s="7"/>
      <c r="AM259" s="7"/>
      <c r="AN259" s="7"/>
    </row>
    <row r="260" spans="2:40" s="1" customFormat="1" ht="12.75">
      <c r="B260" s="1" t="s">
        <v>481</v>
      </c>
      <c r="C260" s="1" t="s">
        <v>91</v>
      </c>
      <c r="AK260" s="7"/>
      <c r="AL260" s="7"/>
      <c r="AM260" s="7"/>
      <c r="AN260" s="7"/>
    </row>
    <row r="261" spans="2:40" s="1" customFormat="1" ht="12.75">
      <c r="B261" s="1" t="s">
        <v>480</v>
      </c>
      <c r="C261" s="1" t="s">
        <v>90</v>
      </c>
      <c r="AK261" s="7"/>
      <c r="AL261" s="7"/>
      <c r="AM261" s="7"/>
      <c r="AN261" s="7"/>
    </row>
    <row r="262" spans="2:40" s="1" customFormat="1" ht="12.75">
      <c r="B262" s="1" t="s">
        <v>479</v>
      </c>
      <c r="C262" s="1" t="s">
        <v>73</v>
      </c>
      <c r="AK262" s="7"/>
      <c r="AL262" s="7"/>
      <c r="AM262" s="7"/>
      <c r="AN262" s="7"/>
    </row>
    <row r="263" spans="2:40" s="1" customFormat="1" ht="12.75">
      <c r="B263" s="1" t="s">
        <v>478</v>
      </c>
      <c r="C263" s="1" t="s">
        <v>72</v>
      </c>
      <c r="AK263" s="7"/>
      <c r="AL263" s="7"/>
      <c r="AM263" s="7"/>
      <c r="AN263" s="7"/>
    </row>
    <row r="264" spans="2:40" s="1" customFormat="1" ht="12.75">
      <c r="B264" s="1" t="s">
        <v>477</v>
      </c>
      <c r="C264" s="1" t="s">
        <v>71</v>
      </c>
      <c r="AK264" s="7"/>
      <c r="AL264" s="7"/>
      <c r="AM264" s="7"/>
      <c r="AN264" s="7"/>
    </row>
    <row r="265" spans="2:40" s="1" customFormat="1" ht="12.75">
      <c r="B265" s="1" t="s">
        <v>476</v>
      </c>
      <c r="C265" s="1" t="s">
        <v>70</v>
      </c>
      <c r="AK265" s="7"/>
      <c r="AL265" s="7"/>
      <c r="AM265" s="7"/>
      <c r="AN265" s="7"/>
    </row>
    <row r="266" spans="2:40" s="1" customFormat="1" ht="12.75">
      <c r="B266" s="1" t="s">
        <v>475</v>
      </c>
      <c r="C266" s="1" t="s">
        <v>69</v>
      </c>
      <c r="AK266" s="7"/>
      <c r="AL266" s="7"/>
      <c r="AM266" s="7"/>
      <c r="AN266" s="7"/>
    </row>
    <row r="267" spans="2:40" s="1" customFormat="1" ht="12.75">
      <c r="B267" s="1" t="s">
        <v>474</v>
      </c>
      <c r="C267" s="1" t="s">
        <v>68</v>
      </c>
      <c r="AK267" s="7"/>
      <c r="AL267" s="7"/>
      <c r="AM267" s="7"/>
      <c r="AN267" s="7"/>
    </row>
    <row r="268" spans="2:40" s="1" customFormat="1" ht="12.75">
      <c r="B268" s="1" t="s">
        <v>473</v>
      </c>
      <c r="C268" s="1" t="s">
        <v>67</v>
      </c>
      <c r="AK268" s="7"/>
      <c r="AL268" s="7"/>
      <c r="AM268" s="7"/>
      <c r="AN268" s="7"/>
    </row>
    <row r="269" spans="2:40" s="1" customFormat="1" ht="12.75">
      <c r="B269" s="1" t="s">
        <v>472</v>
      </c>
      <c r="C269" s="1" t="s">
        <v>66</v>
      </c>
      <c r="AK269" s="7"/>
      <c r="AL269" s="7"/>
      <c r="AM269" s="7"/>
      <c r="AN269" s="7"/>
    </row>
    <row r="270" spans="2:40" s="1" customFormat="1" ht="12.75">
      <c r="B270" s="1" t="s">
        <v>471</v>
      </c>
      <c r="C270" s="1" t="s">
        <v>65</v>
      </c>
      <c r="AK270" s="7"/>
      <c r="AL270" s="7"/>
      <c r="AM270" s="7"/>
      <c r="AN270" s="7"/>
    </row>
    <row r="271" spans="2:40" s="1" customFormat="1" ht="12.75">
      <c r="B271" s="1" t="s">
        <v>470</v>
      </c>
      <c r="C271" s="1" t="s">
        <v>62</v>
      </c>
      <c r="AK271" s="7"/>
      <c r="AL271" s="7"/>
      <c r="AM271" s="7"/>
      <c r="AN271" s="7"/>
    </row>
    <row r="272" spans="2:40" s="1" customFormat="1" ht="12.75">
      <c r="B272" s="1" t="s">
        <v>469</v>
      </c>
      <c r="C272" s="1" t="s">
        <v>61</v>
      </c>
      <c r="AK272" s="7"/>
      <c r="AL272" s="7"/>
      <c r="AM272" s="7"/>
      <c r="AN272" s="7"/>
    </row>
    <row r="273" spans="2:40" s="1" customFormat="1" ht="12.75">
      <c r="B273" s="1" t="s">
        <v>468</v>
      </c>
      <c r="C273" s="1" t="s">
        <v>60</v>
      </c>
      <c r="AK273" s="7"/>
      <c r="AL273" s="7"/>
      <c r="AM273" s="7"/>
      <c r="AN273" s="7"/>
    </row>
    <row r="274" spans="2:40" s="1" customFormat="1" ht="12.75">
      <c r="B274" s="1" t="s">
        <v>467</v>
      </c>
      <c r="C274" s="1" t="s">
        <v>59</v>
      </c>
      <c r="AK274" s="7"/>
      <c r="AL274" s="7"/>
      <c r="AM274" s="7"/>
      <c r="AN274" s="7"/>
    </row>
    <row r="275" spans="2:40" s="1" customFormat="1" ht="12.75">
      <c r="B275" s="1" t="s">
        <v>466</v>
      </c>
      <c r="C275" s="1" t="s">
        <v>58</v>
      </c>
      <c r="AK275" s="7"/>
      <c r="AL275" s="7"/>
      <c r="AM275" s="7"/>
      <c r="AN275" s="7"/>
    </row>
    <row r="276" spans="2:40" s="1" customFormat="1" ht="12.75">
      <c r="B276" s="1" t="s">
        <v>465</v>
      </c>
      <c r="C276" s="1" t="s">
        <v>57</v>
      </c>
      <c r="AK276" s="7"/>
      <c r="AL276" s="7"/>
      <c r="AM276" s="7"/>
      <c r="AN276" s="7"/>
    </row>
    <row r="277" spans="2:40" s="1" customFormat="1" ht="12.75">
      <c r="B277" s="1" t="s">
        <v>464</v>
      </c>
      <c r="C277" s="1" t="s">
        <v>56</v>
      </c>
      <c r="AK277" s="7"/>
      <c r="AL277" s="7"/>
      <c r="AM277" s="7"/>
      <c r="AN277" s="7"/>
    </row>
    <row r="278" spans="2:40" s="1" customFormat="1" ht="12.75">
      <c r="B278" s="1" t="s">
        <v>463</v>
      </c>
      <c r="C278" s="1" t="s">
        <v>55</v>
      </c>
      <c r="AK278" s="7"/>
      <c r="AL278" s="7"/>
      <c r="AM278" s="7"/>
      <c r="AN278" s="7"/>
    </row>
    <row r="279" spans="2:40" s="1" customFormat="1" ht="12.75">
      <c r="B279" s="1" t="s">
        <v>462</v>
      </c>
      <c r="C279" s="1" t="s">
        <v>54</v>
      </c>
      <c r="AK279" s="7"/>
      <c r="AL279" s="7"/>
      <c r="AM279" s="7"/>
      <c r="AN279" s="7"/>
    </row>
    <row r="280" spans="2:40" s="1" customFormat="1" ht="12.75">
      <c r="B280" s="1" t="s">
        <v>461</v>
      </c>
      <c r="C280" s="1" t="s">
        <v>53</v>
      </c>
      <c r="AK280" s="7"/>
      <c r="AL280" s="7"/>
      <c r="AM280" s="7"/>
      <c r="AN280" s="7"/>
    </row>
    <row r="281" spans="2:40" s="1" customFormat="1" ht="12.75">
      <c r="B281" s="1" t="s">
        <v>460</v>
      </c>
      <c r="C281" s="1" t="s">
        <v>52</v>
      </c>
      <c r="AK281" s="7"/>
      <c r="AL281" s="7"/>
      <c r="AM281" s="7"/>
      <c r="AN281" s="7"/>
    </row>
    <row r="282" spans="2:40" s="1" customFormat="1" ht="12.75">
      <c r="B282" s="1" t="s">
        <v>459</v>
      </c>
      <c r="C282" s="1" t="s">
        <v>51</v>
      </c>
      <c r="AK282" s="7"/>
      <c r="AL282" s="7"/>
      <c r="AM282" s="7"/>
      <c r="AN282" s="7"/>
    </row>
    <row r="283" spans="2:40" s="1" customFormat="1" ht="12.75">
      <c r="B283" s="1" t="s">
        <v>458</v>
      </c>
      <c r="C283" s="1" t="s">
        <v>50</v>
      </c>
      <c r="AK283" s="7"/>
      <c r="AL283" s="7"/>
      <c r="AM283" s="7"/>
      <c r="AN283" s="7"/>
    </row>
    <row r="284" spans="2:40" s="1" customFormat="1" ht="12.75">
      <c r="B284" s="1" t="s">
        <v>457</v>
      </c>
      <c r="C284" s="1" t="s">
        <v>49</v>
      </c>
      <c r="AK284" s="7"/>
      <c r="AL284" s="7"/>
      <c r="AM284" s="7"/>
      <c r="AN284" s="7"/>
    </row>
    <row r="285" spans="2:40" s="1" customFormat="1" ht="12.75">
      <c r="B285" s="1" t="s">
        <v>456</v>
      </c>
      <c r="C285" s="1" t="s">
        <v>48</v>
      </c>
      <c r="AK285" s="7"/>
      <c r="AL285" s="7"/>
      <c r="AM285" s="7"/>
      <c r="AN285" s="7"/>
    </row>
    <row r="286" spans="2:40" s="1" customFormat="1" ht="12.75">
      <c r="B286" s="1" t="s">
        <v>455</v>
      </c>
      <c r="C286" s="1" t="s">
        <v>47</v>
      </c>
      <c r="AK286" s="7"/>
      <c r="AL286" s="7"/>
      <c r="AM286" s="7"/>
      <c r="AN286" s="7"/>
    </row>
    <row r="287" spans="2:40" s="1" customFormat="1" ht="12.75">
      <c r="B287" s="1" t="s">
        <v>454</v>
      </c>
      <c r="C287" s="1" t="s">
        <v>46</v>
      </c>
      <c r="AK287" s="7"/>
      <c r="AL287" s="7"/>
      <c r="AM287" s="7"/>
      <c r="AN287" s="7"/>
    </row>
    <row r="288" spans="2:40" s="1" customFormat="1" ht="12.75">
      <c r="B288" s="1" t="s">
        <v>453</v>
      </c>
      <c r="C288" s="1" t="s">
        <v>45</v>
      </c>
      <c r="AK288" s="7"/>
      <c r="AL288" s="7"/>
      <c r="AM288" s="7"/>
      <c r="AN288" s="7"/>
    </row>
    <row r="289" spans="2:40" s="1" customFormat="1" ht="12.75">
      <c r="B289" s="1" t="s">
        <v>452</v>
      </c>
      <c r="C289" s="1" t="s">
        <v>44</v>
      </c>
      <c r="AK289" s="7"/>
      <c r="AL289" s="7"/>
      <c r="AM289" s="7"/>
      <c r="AN289" s="7"/>
    </row>
    <row r="290" spans="2:40" s="1" customFormat="1" ht="12.75">
      <c r="B290" s="1" t="s">
        <v>451</v>
      </c>
      <c r="C290" s="1" t="s">
        <v>43</v>
      </c>
      <c r="AK290" s="7"/>
      <c r="AL290" s="7"/>
      <c r="AM290" s="7"/>
      <c r="AN290" s="7"/>
    </row>
    <row r="291" spans="2:40" s="1" customFormat="1" ht="12.75">
      <c r="B291" s="1" t="s">
        <v>450</v>
      </c>
      <c r="C291" s="1" t="s">
        <v>42</v>
      </c>
      <c r="AK291" s="7"/>
      <c r="AL291" s="7"/>
      <c r="AM291" s="7"/>
      <c r="AN291" s="7"/>
    </row>
    <row r="292" spans="2:40" s="1" customFormat="1" ht="12.75">
      <c r="B292" s="1" t="s">
        <v>449</v>
      </c>
      <c r="C292" s="1" t="s">
        <v>41</v>
      </c>
      <c r="AK292" s="7"/>
      <c r="AL292" s="7"/>
      <c r="AM292" s="7"/>
      <c r="AN292" s="7"/>
    </row>
    <row r="293" spans="2:40" s="1" customFormat="1" ht="12.75">
      <c r="B293" s="1" t="s">
        <v>448</v>
      </c>
      <c r="C293" s="1" t="s">
        <v>40</v>
      </c>
      <c r="AK293" s="7"/>
      <c r="AL293" s="7"/>
      <c r="AM293" s="7"/>
      <c r="AN293" s="7"/>
    </row>
    <row r="294" spans="2:40" s="1" customFormat="1" ht="12.75">
      <c r="B294" s="1" t="s">
        <v>447</v>
      </c>
      <c r="C294" s="1" t="s">
        <v>24</v>
      </c>
      <c r="AK294" s="7"/>
      <c r="AL294" s="7"/>
      <c r="AM294" s="7"/>
      <c r="AN294" s="7"/>
    </row>
    <row r="295" spans="2:40" s="1" customFormat="1" ht="12.75">
      <c r="B295" s="1" t="s">
        <v>446</v>
      </c>
      <c r="C295" s="1" t="s">
        <v>23</v>
      </c>
      <c r="AK295" s="7"/>
      <c r="AL295" s="7"/>
      <c r="AM295" s="7"/>
      <c r="AN295" s="7"/>
    </row>
    <row r="296" spans="2:40" s="1" customFormat="1" ht="12.75">
      <c r="B296" s="1" t="s">
        <v>445</v>
      </c>
      <c r="C296" s="1" t="s">
        <v>22</v>
      </c>
      <c r="AK296" s="7"/>
      <c r="AL296" s="7"/>
      <c r="AM296" s="7"/>
      <c r="AN296" s="7"/>
    </row>
    <row r="297" spans="2:40" s="1" customFormat="1" ht="12.75">
      <c r="B297" s="1" t="s">
        <v>444</v>
      </c>
      <c r="C297" s="1" t="s">
        <v>21</v>
      </c>
      <c r="AK297" s="7"/>
      <c r="AL297" s="7"/>
      <c r="AM297" s="7"/>
      <c r="AN297" s="7"/>
    </row>
    <row r="298" spans="2:40" s="1" customFormat="1" ht="12.75">
      <c r="B298" s="1" t="s">
        <v>443</v>
      </c>
      <c r="C298" s="1" t="s">
        <v>20</v>
      </c>
      <c r="AK298" s="7"/>
      <c r="AL298" s="7"/>
      <c r="AM298" s="7"/>
      <c r="AN298" s="7"/>
    </row>
    <row r="299" spans="2:40" s="1" customFormat="1" ht="12.75">
      <c r="B299" s="1" t="s">
        <v>442</v>
      </c>
      <c r="C299" s="1" t="s">
        <v>19</v>
      </c>
      <c r="AK299" s="7"/>
      <c r="AL299" s="7"/>
      <c r="AM299" s="7"/>
      <c r="AN299" s="7"/>
    </row>
    <row r="300" spans="2:40" s="1" customFormat="1" ht="12.75">
      <c r="B300" s="1" t="s">
        <v>441</v>
      </c>
      <c r="C300" s="1" t="s">
        <v>18</v>
      </c>
      <c r="AK300" s="7"/>
      <c r="AL300" s="7"/>
      <c r="AM300" s="7"/>
      <c r="AN300" s="7"/>
    </row>
    <row r="301" spans="2:40" s="1" customFormat="1" ht="12.75">
      <c r="B301" s="1" t="s">
        <v>440</v>
      </c>
      <c r="C301" s="1" t="s">
        <v>17</v>
      </c>
      <c r="AK301" s="7"/>
      <c r="AL301" s="7"/>
      <c r="AM301" s="7"/>
      <c r="AN301" s="7"/>
    </row>
    <row r="302" spans="2:40" s="1" customFormat="1" ht="12.75">
      <c r="B302" s="1" t="s">
        <v>439</v>
      </c>
      <c r="C302" s="1" t="s">
        <v>16</v>
      </c>
      <c r="AK302" s="7"/>
      <c r="AL302" s="7"/>
      <c r="AM302" s="7"/>
      <c r="AN302" s="7"/>
    </row>
    <row r="303" spans="2:40" s="1" customFormat="1" ht="12.75">
      <c r="B303" s="1" t="s">
        <v>438</v>
      </c>
      <c r="C303" s="1" t="s">
        <v>15</v>
      </c>
      <c r="AK303" s="7"/>
      <c r="AL303" s="7"/>
      <c r="AM303" s="7"/>
      <c r="AN303" s="7"/>
    </row>
    <row r="304" spans="2:40" s="1" customFormat="1" ht="12.75">
      <c r="B304" s="1" t="s">
        <v>437</v>
      </c>
      <c r="C304" s="1" t="s">
        <v>14</v>
      </c>
      <c r="AK304" s="7"/>
      <c r="AL304" s="7"/>
      <c r="AM304" s="7"/>
      <c r="AN304" s="7"/>
    </row>
    <row r="305" spans="2:40" s="1" customFormat="1" ht="12.75">
      <c r="B305" s="1" t="s">
        <v>436</v>
      </c>
      <c r="C305" s="1" t="s">
        <v>13</v>
      </c>
      <c r="AK305" s="7"/>
      <c r="AL305" s="7"/>
      <c r="AM305" s="7"/>
      <c r="AN305" s="7"/>
    </row>
    <row r="306" spans="2:40" s="1" customFormat="1" ht="12.75">
      <c r="B306" s="1" t="s">
        <v>435</v>
      </c>
      <c r="C306" s="1" t="s">
        <v>12</v>
      </c>
      <c r="AK306" s="7"/>
      <c r="AL306" s="7"/>
      <c r="AM306" s="7"/>
      <c r="AN306" s="7"/>
    </row>
    <row r="307" spans="2:40" s="1" customFormat="1" ht="12.75">
      <c r="B307" s="1" t="s">
        <v>434</v>
      </c>
      <c r="C307" s="1" t="s">
        <v>11</v>
      </c>
      <c r="AK307" s="7"/>
      <c r="AL307" s="7"/>
      <c r="AM307" s="7"/>
      <c r="AN307" s="7"/>
    </row>
    <row r="308" spans="2:40" s="1" customFormat="1" ht="12.75">
      <c r="B308" s="1" t="s">
        <v>433</v>
      </c>
      <c r="C308" s="1" t="s">
        <v>10</v>
      </c>
      <c r="AK308" s="7"/>
      <c r="AL308" s="7"/>
      <c r="AM308" s="7"/>
      <c r="AN308" s="7"/>
    </row>
    <row r="309" spans="2:40" s="1" customFormat="1" ht="12.75">
      <c r="B309" s="1" t="s">
        <v>432</v>
      </c>
      <c r="C309" s="1" t="s">
        <v>9</v>
      </c>
      <c r="AK309" s="7"/>
      <c r="AL309" s="7"/>
      <c r="AM309" s="7"/>
      <c r="AN309" s="7"/>
    </row>
    <row r="310" spans="2:40" s="1" customFormat="1" ht="12.75">
      <c r="B310" s="1" t="s">
        <v>431</v>
      </c>
      <c r="C310" s="1" t="s">
        <v>8</v>
      </c>
      <c r="AK310" s="7"/>
      <c r="AL310" s="7"/>
      <c r="AM310" s="7"/>
      <c r="AN310" s="7"/>
    </row>
    <row r="311" spans="2:40" s="1" customFormat="1" ht="12.75">
      <c r="B311" s="1" t="s">
        <v>430</v>
      </c>
      <c r="C311" s="1" t="s">
        <v>7</v>
      </c>
      <c r="AK311" s="7"/>
      <c r="AL311" s="7"/>
      <c r="AM311" s="7"/>
      <c r="AN311" s="7"/>
    </row>
    <row r="312" spans="2:40" s="1" customFormat="1" ht="12.75">
      <c r="B312" s="1" t="s">
        <v>429</v>
      </c>
      <c r="C312" s="1" t="s">
        <v>6</v>
      </c>
      <c r="AK312" s="7"/>
      <c r="AL312" s="7"/>
      <c r="AM312" s="7"/>
      <c r="AN312" s="7"/>
    </row>
    <row r="313" spans="2:40" s="1" customFormat="1" ht="12.75">
      <c r="B313" s="1" t="s">
        <v>428</v>
      </c>
      <c r="C313" s="1" t="s">
        <v>5</v>
      </c>
      <c r="AK313" s="7"/>
      <c r="AL313" s="7"/>
      <c r="AM313" s="7"/>
      <c r="AN313" s="7"/>
    </row>
    <row r="314" spans="2:40" s="1" customFormat="1" ht="12.75">
      <c r="B314" s="1" t="s">
        <v>427</v>
      </c>
      <c r="C314" s="1" t="s">
        <v>4</v>
      </c>
      <c r="AK314" s="7"/>
      <c r="AL314" s="7"/>
      <c r="AM314" s="7"/>
      <c r="AN314" s="7"/>
    </row>
    <row r="315" spans="2:40" s="1" customFormat="1" ht="12.75">
      <c r="B315" s="1" t="s">
        <v>426</v>
      </c>
      <c r="C315" s="1" t="s">
        <v>3</v>
      </c>
      <c r="AK315" s="7"/>
      <c r="AL315" s="7"/>
      <c r="AM315" s="7"/>
      <c r="AN315" s="7"/>
    </row>
    <row r="316" spans="2:40" s="1" customFormat="1" ht="12.75">
      <c r="B316" s="1" t="s">
        <v>425</v>
      </c>
      <c r="C316" s="1" t="s">
        <v>2</v>
      </c>
      <c r="AK316" s="7"/>
      <c r="AL316" s="7"/>
      <c r="AM316" s="7"/>
      <c r="AN316" s="7"/>
    </row>
    <row r="317" spans="2:40" s="1" customFormat="1" ht="12.75">
      <c r="B317" s="1" t="s">
        <v>424</v>
      </c>
      <c r="C317" s="1" t="s">
        <v>1</v>
      </c>
      <c r="AK317" s="7"/>
      <c r="AL317" s="7"/>
      <c r="AM317" s="7"/>
      <c r="AN317" s="7"/>
    </row>
    <row r="318" spans="2:40" s="1" customFormat="1" ht="12.75">
      <c r="B318" s="1" t="s">
        <v>423</v>
      </c>
      <c r="C318" s="1" t="s">
        <v>163</v>
      </c>
      <c r="AK318" s="7"/>
      <c r="AL318" s="7"/>
      <c r="AM318" s="7"/>
      <c r="AN318" s="7"/>
    </row>
    <row r="319" spans="2:40" s="1" customFormat="1" ht="12.75">
      <c r="B319" s="1" t="s">
        <v>422</v>
      </c>
      <c r="C319" s="1" t="s">
        <v>162</v>
      </c>
      <c r="AK319" s="7"/>
      <c r="AL319" s="7"/>
      <c r="AM319" s="7"/>
      <c r="AN319" s="7"/>
    </row>
    <row r="320" spans="2:40" s="1" customFormat="1" ht="12.75">
      <c r="B320" s="1" t="s">
        <v>421</v>
      </c>
      <c r="C320" s="1" t="s">
        <v>161</v>
      </c>
      <c r="AK320" s="7"/>
      <c r="AL320" s="7"/>
      <c r="AM320" s="7"/>
      <c r="AN320" s="7"/>
    </row>
    <row r="321" spans="2:40" s="1" customFormat="1" ht="12.75">
      <c r="B321" s="1" t="s">
        <v>420</v>
      </c>
      <c r="C321" s="1" t="s">
        <v>160</v>
      </c>
      <c r="AK321" s="7"/>
      <c r="AL321" s="7"/>
      <c r="AM321" s="7"/>
      <c r="AN321" s="7"/>
    </row>
    <row r="322" spans="2:40" s="1" customFormat="1" ht="12.75">
      <c r="B322" s="1" t="s">
        <v>419</v>
      </c>
      <c r="C322" s="1" t="s">
        <v>159</v>
      </c>
      <c r="AK322" s="7"/>
      <c r="AL322" s="7"/>
      <c r="AM322" s="7"/>
      <c r="AN322" s="7"/>
    </row>
    <row r="323" spans="2:40" s="1" customFormat="1" ht="12.75">
      <c r="B323" s="1" t="s">
        <v>418</v>
      </c>
      <c r="C323" s="1" t="s">
        <v>158</v>
      </c>
      <c r="AK323" s="7"/>
      <c r="AL323" s="7"/>
      <c r="AM323" s="7"/>
      <c r="AN323" s="7"/>
    </row>
    <row r="324" spans="2:40" s="1" customFormat="1" ht="12.75">
      <c r="B324" s="1" t="s">
        <v>417</v>
      </c>
      <c r="C324" s="1" t="s">
        <v>157</v>
      </c>
      <c r="AK324" s="7"/>
      <c r="AL324" s="7"/>
      <c r="AM324" s="7"/>
      <c r="AN324" s="7"/>
    </row>
    <row r="325" spans="2:40" s="1" customFormat="1" ht="12.75">
      <c r="B325" s="1" t="s">
        <v>416</v>
      </c>
      <c r="C325" s="1" t="s">
        <v>156</v>
      </c>
      <c r="AK325" s="7"/>
      <c r="AL325" s="7"/>
      <c r="AM325" s="7"/>
      <c r="AN325" s="7"/>
    </row>
    <row r="326" spans="2:40" s="1" customFormat="1" ht="12.75">
      <c r="B326" s="1" t="s">
        <v>415</v>
      </c>
      <c r="C326" s="1" t="s">
        <v>155</v>
      </c>
      <c r="AK326" s="7"/>
      <c r="AL326" s="7"/>
      <c r="AM326" s="7"/>
      <c r="AN326" s="7"/>
    </row>
    <row r="327" spans="2:40" s="1" customFormat="1" ht="12.75">
      <c r="B327" s="1" t="s">
        <v>414</v>
      </c>
      <c r="C327" s="1" t="s">
        <v>154</v>
      </c>
      <c r="AK327" s="7"/>
      <c r="AL327" s="7"/>
      <c r="AM327" s="7"/>
      <c r="AN327" s="7"/>
    </row>
    <row r="328" spans="2:40" s="1" customFormat="1" ht="12.75">
      <c r="B328" s="1" t="s">
        <v>413</v>
      </c>
      <c r="C328" s="1" t="s">
        <v>153</v>
      </c>
      <c r="AK328" s="7"/>
      <c r="AL328" s="7"/>
      <c r="AM328" s="7"/>
      <c r="AN328" s="7"/>
    </row>
    <row r="329" spans="2:40" s="1" customFormat="1" ht="12.75">
      <c r="B329" s="1" t="s">
        <v>412</v>
      </c>
      <c r="C329" s="1" t="s">
        <v>152</v>
      </c>
      <c r="AK329" s="7"/>
      <c r="AL329" s="7"/>
      <c r="AM329" s="7"/>
      <c r="AN329" s="7"/>
    </row>
    <row r="330" spans="2:40" s="1" customFormat="1" ht="12.75">
      <c r="B330" s="1" t="s">
        <v>411</v>
      </c>
      <c r="C330" s="1" t="s">
        <v>151</v>
      </c>
      <c r="AK330" s="7"/>
      <c r="AL330" s="7"/>
      <c r="AM330" s="7"/>
      <c r="AN330" s="7"/>
    </row>
    <row r="331" spans="2:40" s="1" customFormat="1" ht="12.75">
      <c r="B331" s="1" t="s">
        <v>410</v>
      </c>
      <c r="C331" s="1" t="s">
        <v>150</v>
      </c>
      <c r="AK331" s="7"/>
      <c r="AL331" s="7"/>
      <c r="AM331" s="7"/>
      <c r="AN331" s="7"/>
    </row>
    <row r="332" spans="2:40" s="1" customFormat="1" ht="12.75">
      <c r="B332" s="1" t="s">
        <v>409</v>
      </c>
      <c r="C332" s="1" t="s">
        <v>149</v>
      </c>
      <c r="AK332" s="7"/>
      <c r="AL332" s="7"/>
      <c r="AM332" s="7"/>
      <c r="AN332" s="7"/>
    </row>
    <row r="333" spans="2:40" s="1" customFormat="1" ht="12.75">
      <c r="B333" s="1" t="s">
        <v>408</v>
      </c>
      <c r="C333" s="1" t="s">
        <v>148</v>
      </c>
      <c r="AK333" s="7"/>
      <c r="AL333" s="7"/>
      <c r="AM333" s="7"/>
      <c r="AN333" s="7"/>
    </row>
    <row r="334" spans="2:40" s="1" customFormat="1" ht="12.75">
      <c r="B334" s="1" t="s">
        <v>407</v>
      </c>
      <c r="C334" s="1" t="s">
        <v>138</v>
      </c>
      <c r="AK334" s="7"/>
      <c r="AL334" s="7"/>
      <c r="AM334" s="7"/>
      <c r="AN334" s="7"/>
    </row>
    <row r="335" spans="2:40" s="1" customFormat="1" ht="12.75">
      <c r="B335" s="1" t="s">
        <v>406</v>
      </c>
      <c r="C335" s="1" t="s">
        <v>137</v>
      </c>
      <c r="AK335" s="7"/>
      <c r="AL335" s="7"/>
      <c r="AM335" s="7"/>
      <c r="AN335" s="7"/>
    </row>
    <row r="336" spans="2:40" s="1" customFormat="1" ht="12.75">
      <c r="B336" s="1" t="s">
        <v>405</v>
      </c>
      <c r="C336" s="1" t="s">
        <v>89</v>
      </c>
      <c r="AK336" s="7"/>
      <c r="AL336" s="7"/>
      <c r="AM336" s="7"/>
      <c r="AN336" s="7"/>
    </row>
    <row r="337" spans="2:40" s="1" customFormat="1" ht="12.75">
      <c r="B337" s="1" t="s">
        <v>404</v>
      </c>
      <c r="C337" s="1" t="s">
        <v>88</v>
      </c>
      <c r="AK337" s="7"/>
      <c r="AL337" s="7"/>
      <c r="AM337" s="7"/>
      <c r="AN337" s="7"/>
    </row>
    <row r="338" spans="2:40" s="1" customFormat="1" ht="12.75">
      <c r="B338" s="1" t="s">
        <v>403</v>
      </c>
      <c r="C338" s="1" t="s">
        <v>87</v>
      </c>
      <c r="AK338" s="7"/>
      <c r="AL338" s="7"/>
      <c r="AM338" s="7"/>
      <c r="AN338" s="7"/>
    </row>
    <row r="339" spans="2:40" s="1" customFormat="1" ht="12.75">
      <c r="B339" s="1" t="s">
        <v>402</v>
      </c>
      <c r="C339" s="1" t="s">
        <v>86</v>
      </c>
      <c r="AK339" s="7"/>
      <c r="AL339" s="7"/>
      <c r="AM339" s="7"/>
      <c r="AN339" s="7"/>
    </row>
    <row r="340" spans="2:40" s="1" customFormat="1" ht="12.75">
      <c r="B340" s="1" t="s">
        <v>401</v>
      </c>
      <c r="C340" s="1" t="s">
        <v>85</v>
      </c>
      <c r="AK340" s="7"/>
      <c r="AL340" s="7"/>
      <c r="AM340" s="7"/>
      <c r="AN340" s="7"/>
    </row>
    <row r="341" spans="2:40" s="1" customFormat="1" ht="12.75">
      <c r="B341" s="1" t="s">
        <v>400</v>
      </c>
      <c r="C341" s="1" t="s">
        <v>84</v>
      </c>
      <c r="AK341" s="7"/>
      <c r="AL341" s="7"/>
      <c r="AM341" s="7"/>
      <c r="AN341" s="7"/>
    </row>
    <row r="342" spans="2:40" s="1" customFormat="1" ht="12.75">
      <c r="B342" s="1" t="s">
        <v>399</v>
      </c>
      <c r="C342" s="1" t="s">
        <v>83</v>
      </c>
      <c r="AK342" s="7"/>
      <c r="AL342" s="7"/>
      <c r="AM342" s="7"/>
      <c r="AN342" s="7"/>
    </row>
    <row r="343" spans="2:40" s="1" customFormat="1" ht="12.75">
      <c r="B343" s="1" t="s">
        <v>398</v>
      </c>
      <c r="C343" s="1" t="s">
        <v>82</v>
      </c>
      <c r="AK343" s="7"/>
      <c r="AL343" s="7"/>
      <c r="AM343" s="7"/>
      <c r="AN343" s="7"/>
    </row>
    <row r="344" spans="2:40" s="1" customFormat="1" ht="12.75">
      <c r="B344" s="1" t="s">
        <v>397</v>
      </c>
      <c r="C344" s="1" t="s">
        <v>81</v>
      </c>
      <c r="AK344" s="7"/>
      <c r="AL344" s="7"/>
      <c r="AM344" s="7"/>
      <c r="AN344" s="7"/>
    </row>
    <row r="345" spans="2:40" s="1" customFormat="1" ht="12.75">
      <c r="B345" s="1" t="s">
        <v>396</v>
      </c>
      <c r="C345" s="1" t="s">
        <v>80</v>
      </c>
      <c r="AK345" s="7"/>
      <c r="AL345" s="7"/>
      <c r="AM345" s="7"/>
      <c r="AN345" s="7"/>
    </row>
    <row r="346" spans="2:40" s="1" customFormat="1" ht="12.75">
      <c r="B346" s="1" t="s">
        <v>395</v>
      </c>
      <c r="C346" s="1" t="s">
        <v>79</v>
      </c>
      <c r="AK346" s="7"/>
      <c r="AL346" s="7"/>
      <c r="AM346" s="7"/>
      <c r="AN346" s="7"/>
    </row>
    <row r="347" spans="2:40" s="1" customFormat="1" ht="12.75">
      <c r="B347" s="1" t="s">
        <v>394</v>
      </c>
      <c r="C347" s="1" t="s">
        <v>78</v>
      </c>
      <c r="AK347" s="7"/>
      <c r="AL347" s="7"/>
      <c r="AM347" s="7"/>
      <c r="AN347" s="7"/>
    </row>
    <row r="348" spans="2:40" s="1" customFormat="1" ht="12.75">
      <c r="B348" s="1" t="s">
        <v>393</v>
      </c>
      <c r="C348" s="1" t="s">
        <v>77</v>
      </c>
      <c r="AK348" s="7"/>
      <c r="AL348" s="7"/>
      <c r="AM348" s="7"/>
      <c r="AN348" s="7"/>
    </row>
    <row r="349" spans="2:40" s="1" customFormat="1" ht="12.75">
      <c r="B349" s="1" t="s">
        <v>392</v>
      </c>
      <c r="C349" s="1" t="s">
        <v>76</v>
      </c>
      <c r="AK349" s="7"/>
      <c r="AL349" s="7"/>
      <c r="AM349" s="7"/>
      <c r="AN349" s="7"/>
    </row>
    <row r="350" spans="2:40" s="1" customFormat="1" ht="12.75">
      <c r="B350" s="1" t="s">
        <v>391</v>
      </c>
      <c r="C350" s="1" t="s">
        <v>75</v>
      </c>
      <c r="AK350" s="7"/>
      <c r="AL350" s="7"/>
      <c r="AM350" s="7"/>
      <c r="AN350" s="7"/>
    </row>
    <row r="351" spans="2:40" s="1" customFormat="1" ht="12.75">
      <c r="B351" s="1" t="s">
        <v>390</v>
      </c>
      <c r="C351" s="1" t="s">
        <v>74</v>
      </c>
      <c r="AK351" s="7"/>
      <c r="AL351" s="7"/>
      <c r="AM351" s="7"/>
      <c r="AN351" s="7"/>
    </row>
    <row r="352" spans="2:40" s="1" customFormat="1" ht="12.75">
      <c r="B352" s="1" t="s">
        <v>389</v>
      </c>
      <c r="C352" s="1" t="s">
        <v>64</v>
      </c>
      <c r="AK352" s="7"/>
      <c r="AL352" s="7"/>
      <c r="AM352" s="7"/>
      <c r="AN352" s="7"/>
    </row>
    <row r="353" spans="2:40" s="1" customFormat="1" ht="12.75">
      <c r="B353" s="1" t="s">
        <v>388</v>
      </c>
      <c r="C353" s="1" t="s">
        <v>63</v>
      </c>
      <c r="AK353" s="7"/>
      <c r="AL353" s="7"/>
      <c r="AM353" s="7"/>
      <c r="AN353" s="7"/>
    </row>
    <row r="354" spans="2:40" s="1" customFormat="1" ht="12.75">
      <c r="B354" s="1" t="s">
        <v>387</v>
      </c>
      <c r="C354" s="1" t="s">
        <v>260</v>
      </c>
      <c r="AK354" s="7"/>
      <c r="AL354" s="7"/>
      <c r="AM354" s="7"/>
      <c r="AN354" s="7"/>
    </row>
    <row r="355" spans="2:40" s="1" customFormat="1" ht="12.75">
      <c r="B355" s="1" t="s">
        <v>386</v>
      </c>
      <c r="C355" s="1" t="s">
        <v>134</v>
      </c>
      <c r="AK355" s="7"/>
      <c r="AL355" s="7"/>
      <c r="AM355" s="7"/>
      <c r="AN355" s="7"/>
    </row>
    <row r="356" spans="2:40" s="1" customFormat="1" ht="12.75">
      <c r="B356" s="1" t="s">
        <v>385</v>
      </c>
      <c r="C356" s="1" t="s">
        <v>133</v>
      </c>
      <c r="AK356" s="7"/>
      <c r="AL356" s="7"/>
      <c r="AM356" s="7"/>
      <c r="AN356" s="7"/>
    </row>
    <row r="357" spans="2:40" s="1" customFormat="1" ht="12.75">
      <c r="B357" s="1" t="s">
        <v>384</v>
      </c>
      <c r="C357" s="1" t="s">
        <v>132</v>
      </c>
      <c r="AK357" s="7"/>
      <c r="AL357" s="7"/>
      <c r="AM357" s="7"/>
      <c r="AN357" s="7"/>
    </row>
    <row r="358" spans="2:40" s="1" customFormat="1" ht="12.75">
      <c r="B358" s="1" t="s">
        <v>383</v>
      </c>
      <c r="C358" s="1" t="s">
        <v>131</v>
      </c>
      <c r="AK358" s="7"/>
      <c r="AL358" s="7"/>
      <c r="AM358" s="7"/>
      <c r="AN358" s="7"/>
    </row>
    <row r="359" spans="2:40" s="1" customFormat="1" ht="12.75">
      <c r="B359" s="1" t="s">
        <v>382</v>
      </c>
      <c r="C359" s="1" t="s">
        <v>130</v>
      </c>
      <c r="AK359" s="7"/>
      <c r="AL359" s="7"/>
      <c r="AM359" s="7"/>
      <c r="AN359" s="7"/>
    </row>
    <row r="360" spans="2:40" s="1" customFormat="1" ht="12.75">
      <c r="B360" s="1" t="s">
        <v>381</v>
      </c>
      <c r="C360" s="1" t="s">
        <v>129</v>
      </c>
      <c r="AK360" s="7"/>
      <c r="AL360" s="7"/>
      <c r="AM360" s="7"/>
      <c r="AN360" s="7"/>
    </row>
    <row r="361" spans="2:40" s="1" customFormat="1" ht="12.75">
      <c r="B361" s="1" t="s">
        <v>380</v>
      </c>
      <c r="C361" s="1" t="s">
        <v>128</v>
      </c>
      <c r="AK361" s="7"/>
      <c r="AL361" s="7"/>
      <c r="AM361" s="7"/>
      <c r="AN361" s="7"/>
    </row>
    <row r="362" spans="2:40" s="1" customFormat="1" ht="12.75">
      <c r="B362" s="1" t="s">
        <v>379</v>
      </c>
      <c r="C362" s="1" t="s">
        <v>127</v>
      </c>
      <c r="AK362" s="7"/>
      <c r="AL362" s="7"/>
      <c r="AM362" s="7"/>
      <c r="AN362" s="7"/>
    </row>
    <row r="363" spans="2:40" s="1" customFormat="1" ht="12.75">
      <c r="B363" s="1" t="s">
        <v>378</v>
      </c>
      <c r="C363" s="1" t="s">
        <v>126</v>
      </c>
      <c r="AK363" s="7"/>
      <c r="AL363" s="7"/>
      <c r="AM363" s="7"/>
      <c r="AN363" s="7"/>
    </row>
    <row r="364" spans="2:40" s="1" customFormat="1" ht="12.75">
      <c r="B364" s="1" t="s">
        <v>377</v>
      </c>
      <c r="C364" s="1" t="s">
        <v>125</v>
      </c>
      <c r="AK364" s="7"/>
      <c r="AL364" s="7"/>
      <c r="AM364" s="7"/>
      <c r="AN364" s="7"/>
    </row>
    <row r="365" spans="2:40" s="1" customFormat="1" ht="12.75">
      <c r="B365" s="1" t="s">
        <v>376</v>
      </c>
      <c r="C365" s="1" t="s">
        <v>124</v>
      </c>
      <c r="AK365" s="7"/>
      <c r="AL365" s="7"/>
      <c r="AM365" s="7"/>
      <c r="AN365" s="7"/>
    </row>
    <row r="366" spans="2:40" s="1" customFormat="1" ht="12.75">
      <c r="B366" s="1" t="s">
        <v>375</v>
      </c>
      <c r="C366" s="1" t="s">
        <v>123</v>
      </c>
      <c r="AK366" s="7"/>
      <c r="AL366" s="7"/>
      <c r="AM366" s="7"/>
      <c r="AN366" s="7"/>
    </row>
    <row r="367" spans="2:40" s="1" customFormat="1" ht="12.75">
      <c r="B367" s="1" t="s">
        <v>374</v>
      </c>
      <c r="C367" s="1" t="s">
        <v>122</v>
      </c>
      <c r="AK367" s="7"/>
      <c r="AL367" s="7"/>
      <c r="AM367" s="7"/>
      <c r="AN367" s="7"/>
    </row>
    <row r="368" spans="2:40" s="1" customFormat="1" ht="12.75">
      <c r="B368" s="1" t="s">
        <v>373</v>
      </c>
      <c r="C368" s="1" t="s">
        <v>121</v>
      </c>
      <c r="AK368" s="7"/>
      <c r="AL368" s="7"/>
      <c r="AM368" s="7"/>
      <c r="AN368" s="7"/>
    </row>
    <row r="369" spans="2:40" s="1" customFormat="1" ht="12.75">
      <c r="B369" s="1" t="s">
        <v>372</v>
      </c>
      <c r="C369" s="1" t="s">
        <v>120</v>
      </c>
      <c r="AK369" s="7"/>
      <c r="AL369" s="7"/>
      <c r="AM369" s="7"/>
      <c r="AN369" s="7"/>
    </row>
    <row r="370" spans="2:40" s="1" customFormat="1" ht="12.75">
      <c r="B370" s="1" t="s">
        <v>371</v>
      </c>
      <c r="C370" s="1" t="s">
        <v>119</v>
      </c>
      <c r="AK370" s="7"/>
      <c r="AL370" s="7"/>
      <c r="AM370" s="7"/>
      <c r="AN370" s="7"/>
    </row>
    <row r="371" spans="2:40" s="1" customFormat="1" ht="12.75">
      <c r="B371" s="1" t="s">
        <v>370</v>
      </c>
      <c r="C371" s="1" t="s">
        <v>118</v>
      </c>
      <c r="AK371" s="7"/>
      <c r="AL371" s="7"/>
      <c r="AM371" s="7"/>
      <c r="AN371" s="7"/>
    </row>
    <row r="372" spans="2:40" s="1" customFormat="1" ht="12.75">
      <c r="B372" s="1" t="s">
        <v>369</v>
      </c>
      <c r="C372" s="1" t="s">
        <v>117</v>
      </c>
      <c r="AK372" s="7"/>
      <c r="AL372" s="7"/>
      <c r="AM372" s="7"/>
      <c r="AN372" s="7"/>
    </row>
    <row r="373" spans="2:40" s="1" customFormat="1" ht="12.75">
      <c r="B373" s="1" t="s">
        <v>368</v>
      </c>
      <c r="C373" s="1" t="s">
        <v>116</v>
      </c>
      <c r="AK373" s="7"/>
      <c r="AL373" s="7"/>
      <c r="AM373" s="7"/>
      <c r="AN373" s="7"/>
    </row>
    <row r="374" spans="2:40" s="1" customFormat="1" ht="12.75">
      <c r="B374" s="1" t="s">
        <v>367</v>
      </c>
      <c r="C374" s="1" t="s">
        <v>115</v>
      </c>
      <c r="AK374" s="7"/>
      <c r="AL374" s="7"/>
      <c r="AM374" s="7"/>
      <c r="AN374" s="7"/>
    </row>
    <row r="375" spans="2:40" s="1" customFormat="1" ht="12.75">
      <c r="B375" s="1" t="s">
        <v>366</v>
      </c>
      <c r="C375" s="1" t="s">
        <v>114</v>
      </c>
      <c r="AK375" s="7"/>
      <c r="AL375" s="7"/>
      <c r="AM375" s="7"/>
      <c r="AN375" s="7"/>
    </row>
    <row r="376" spans="2:40" s="1" customFormat="1" ht="12.75">
      <c r="B376" s="1" t="s">
        <v>365</v>
      </c>
      <c r="C376" s="1" t="s">
        <v>113</v>
      </c>
      <c r="AK376" s="7"/>
      <c r="AL376" s="7"/>
      <c r="AM376" s="7"/>
      <c r="AN376" s="7"/>
    </row>
    <row r="377" spans="2:40" s="1" customFormat="1" ht="12.75">
      <c r="B377" s="1" t="s">
        <v>364</v>
      </c>
      <c r="C377" s="1" t="s">
        <v>112</v>
      </c>
      <c r="AK377" s="7"/>
      <c r="AL377" s="7"/>
      <c r="AM377" s="7"/>
      <c r="AN377" s="7"/>
    </row>
    <row r="378" spans="2:40" s="1" customFormat="1" ht="12.75">
      <c r="B378" s="1" t="s">
        <v>363</v>
      </c>
      <c r="C378" s="1" t="s">
        <v>111</v>
      </c>
      <c r="AK378" s="7"/>
      <c r="AL378" s="7"/>
      <c r="AM378" s="7"/>
      <c r="AN378" s="7"/>
    </row>
    <row r="379" spans="2:40" s="1" customFormat="1" ht="12.75">
      <c r="B379" s="1" t="s">
        <v>362</v>
      </c>
      <c r="C379" s="1" t="s">
        <v>110</v>
      </c>
      <c r="AK379" s="7"/>
      <c r="AL379" s="7"/>
      <c r="AM379" s="7"/>
      <c r="AN379" s="7"/>
    </row>
    <row r="380" spans="2:40" s="1" customFormat="1" ht="12.75">
      <c r="B380" s="1" t="s">
        <v>361</v>
      </c>
      <c r="C380" s="1" t="s">
        <v>109</v>
      </c>
      <c r="AK380" s="7"/>
      <c r="AL380" s="7"/>
      <c r="AM380" s="7"/>
      <c r="AN380" s="7"/>
    </row>
    <row r="381" spans="2:40" s="1" customFormat="1" ht="12.75">
      <c r="B381" s="1" t="s">
        <v>360</v>
      </c>
      <c r="C381" s="1" t="s">
        <v>108</v>
      </c>
      <c r="AK381" s="7"/>
      <c r="AL381" s="7"/>
      <c r="AM381" s="7"/>
      <c r="AN381" s="7"/>
    </row>
    <row r="382" spans="2:40" s="1" customFormat="1" ht="12.75">
      <c r="B382" s="1" t="s">
        <v>359</v>
      </c>
      <c r="C382" s="1" t="s">
        <v>107</v>
      </c>
      <c r="AK382" s="7"/>
      <c r="AL382" s="7"/>
      <c r="AM382" s="7"/>
      <c r="AN382" s="7"/>
    </row>
    <row r="383" spans="2:40" s="1" customFormat="1" ht="12.75">
      <c r="B383" s="1" t="s">
        <v>358</v>
      </c>
      <c r="C383" s="1" t="s">
        <v>106</v>
      </c>
      <c r="AK383" s="7"/>
      <c r="AL383" s="7"/>
      <c r="AM383" s="7"/>
      <c r="AN383" s="7"/>
    </row>
    <row r="384" spans="2:40" s="1" customFormat="1" ht="12.75">
      <c r="B384" s="1" t="s">
        <v>357</v>
      </c>
      <c r="C384" s="1" t="s">
        <v>105</v>
      </c>
      <c r="AK384" s="7"/>
      <c r="AL384" s="7"/>
      <c r="AM384" s="7"/>
      <c r="AN384" s="7"/>
    </row>
    <row r="385" spans="2:40" s="1" customFormat="1" ht="12.75">
      <c r="B385" s="1" t="s">
        <v>356</v>
      </c>
      <c r="C385" s="1" t="s">
        <v>104</v>
      </c>
      <c r="AK385" s="7"/>
      <c r="AL385" s="7"/>
      <c r="AM385" s="7"/>
      <c r="AN385" s="7"/>
    </row>
    <row r="386" spans="2:40" s="1" customFormat="1" ht="12.75">
      <c r="B386" s="1" t="s">
        <v>355</v>
      </c>
      <c r="C386" s="1" t="s">
        <v>103</v>
      </c>
      <c r="AK386" s="7"/>
      <c r="AL386" s="7"/>
      <c r="AM386" s="7"/>
      <c r="AN386" s="7"/>
    </row>
    <row r="387" spans="2:40" s="1" customFormat="1" ht="12.75">
      <c r="B387" s="1" t="s">
        <v>354</v>
      </c>
      <c r="C387" s="1" t="s">
        <v>102</v>
      </c>
      <c r="AK387" s="7"/>
      <c r="AL387" s="7"/>
      <c r="AM387" s="7"/>
      <c r="AN387" s="7"/>
    </row>
    <row r="388" spans="2:40" s="1" customFormat="1" ht="12.75">
      <c r="B388" s="1" t="s">
        <v>353</v>
      </c>
      <c r="C388" s="1" t="s">
        <v>101</v>
      </c>
      <c r="AK388" s="7"/>
      <c r="AL388" s="7"/>
      <c r="AM388" s="7"/>
      <c r="AN388" s="7"/>
    </row>
    <row r="389" spans="2:40" s="1" customFormat="1" ht="12.75">
      <c r="B389" s="1" t="s">
        <v>352</v>
      </c>
      <c r="C389" s="1" t="s">
        <v>100</v>
      </c>
      <c r="AK389" s="7"/>
      <c r="AL389" s="7"/>
      <c r="AM389" s="7"/>
      <c r="AN389" s="7"/>
    </row>
    <row r="390" spans="2:40" s="1" customFormat="1" ht="12.75">
      <c r="B390" s="1" t="s">
        <v>351</v>
      </c>
      <c r="C390" s="1" t="s">
        <v>99</v>
      </c>
      <c r="AK390" s="7"/>
      <c r="AL390" s="7"/>
      <c r="AM390" s="7"/>
      <c r="AN390" s="7"/>
    </row>
    <row r="391" spans="2:40" s="1" customFormat="1" ht="12.75">
      <c r="B391" s="1" t="s">
        <v>350</v>
      </c>
      <c r="C391" s="1" t="s">
        <v>98</v>
      </c>
      <c r="AK391" s="7"/>
      <c r="AL391" s="7"/>
      <c r="AM391" s="7"/>
      <c r="AN391" s="7"/>
    </row>
    <row r="392" spans="2:40" s="1" customFormat="1" ht="12.75">
      <c r="B392" s="1" t="s">
        <v>349</v>
      </c>
      <c r="C392" s="1" t="s">
        <v>39</v>
      </c>
      <c r="AK392" s="7"/>
      <c r="AL392" s="7"/>
      <c r="AM392" s="7"/>
      <c r="AN392" s="7"/>
    </row>
    <row r="393" spans="2:40" s="1" customFormat="1" ht="12.75">
      <c r="B393" s="1" t="s">
        <v>348</v>
      </c>
      <c r="C393" s="1" t="s">
        <v>38</v>
      </c>
      <c r="AK393" s="7"/>
      <c r="AL393" s="7"/>
      <c r="AM393" s="7"/>
      <c r="AN393" s="7"/>
    </row>
    <row r="394" spans="2:40" s="1" customFormat="1" ht="12.75">
      <c r="B394" s="1" t="s">
        <v>347</v>
      </c>
      <c r="C394" s="1" t="s">
        <v>37</v>
      </c>
      <c r="AK394" s="7"/>
      <c r="AL394" s="7"/>
      <c r="AM394" s="7"/>
      <c r="AN394" s="7"/>
    </row>
    <row r="395" spans="2:40" s="1" customFormat="1" ht="12.75">
      <c r="B395" s="1" t="s">
        <v>346</v>
      </c>
      <c r="C395" s="1" t="s">
        <v>36</v>
      </c>
      <c r="AK395" s="7"/>
      <c r="AL395" s="7"/>
      <c r="AM395" s="7"/>
      <c r="AN395" s="7"/>
    </row>
    <row r="396" spans="2:40" s="1" customFormat="1" ht="12.75">
      <c r="B396" s="1" t="s">
        <v>345</v>
      </c>
      <c r="C396" s="1" t="s">
        <v>35</v>
      </c>
      <c r="AK396" s="7"/>
      <c r="AL396" s="7"/>
      <c r="AM396" s="7"/>
      <c r="AN396" s="7"/>
    </row>
    <row r="397" spans="2:40" s="1" customFormat="1" ht="12.75">
      <c r="B397" s="1" t="s">
        <v>344</v>
      </c>
      <c r="C397" s="1" t="s">
        <v>34</v>
      </c>
      <c r="AK397" s="7"/>
      <c r="AL397" s="7"/>
      <c r="AM397" s="7"/>
      <c r="AN397" s="7"/>
    </row>
    <row r="398" spans="2:40" s="1" customFormat="1" ht="12.75">
      <c r="B398" s="1" t="s">
        <v>343</v>
      </c>
      <c r="C398" s="1" t="s">
        <v>33</v>
      </c>
      <c r="AK398" s="7"/>
      <c r="AL398" s="7"/>
      <c r="AM398" s="7"/>
      <c r="AN398" s="7"/>
    </row>
    <row r="399" spans="2:40" s="1" customFormat="1" ht="12.75">
      <c r="B399" s="1" t="s">
        <v>342</v>
      </c>
      <c r="C399" s="1" t="s">
        <v>32</v>
      </c>
      <c r="AK399" s="7"/>
      <c r="AL399" s="7"/>
      <c r="AM399" s="7"/>
      <c r="AN399" s="7"/>
    </row>
    <row r="400" spans="2:40" s="1" customFormat="1" ht="12.75">
      <c r="B400" s="1" t="s">
        <v>341</v>
      </c>
      <c r="C400" s="1" t="s">
        <v>31</v>
      </c>
      <c r="AK400" s="7"/>
      <c r="AL400" s="7"/>
      <c r="AM400" s="7"/>
      <c r="AN400" s="7"/>
    </row>
    <row r="401" spans="2:40" s="1" customFormat="1" ht="12.75">
      <c r="B401" s="1" t="s">
        <v>340</v>
      </c>
      <c r="C401" s="1" t="s">
        <v>30</v>
      </c>
      <c r="AK401" s="7"/>
      <c r="AL401" s="7"/>
      <c r="AM401" s="7"/>
      <c r="AN401" s="7"/>
    </row>
    <row r="402" spans="2:40" s="1" customFormat="1" ht="12.75">
      <c r="B402" s="1" t="s">
        <v>339</v>
      </c>
      <c r="C402" s="1" t="s">
        <v>29</v>
      </c>
      <c r="AK402" s="7"/>
      <c r="AL402" s="7"/>
      <c r="AM402" s="7"/>
      <c r="AN402" s="7"/>
    </row>
    <row r="403" spans="2:40" s="1" customFormat="1" ht="12.75">
      <c r="B403" s="1" t="s">
        <v>338</v>
      </c>
      <c r="C403" s="1" t="s">
        <v>28</v>
      </c>
      <c r="AK403" s="7"/>
      <c r="AL403" s="7"/>
      <c r="AM403" s="7"/>
      <c r="AN403" s="7"/>
    </row>
    <row r="404" spans="2:40" s="1" customFormat="1" ht="12.75">
      <c r="B404" s="1" t="s">
        <v>337</v>
      </c>
      <c r="C404" s="1" t="s">
        <v>27</v>
      </c>
      <c r="AK404" s="7"/>
      <c r="AL404" s="7"/>
      <c r="AM404" s="7"/>
      <c r="AN404" s="7"/>
    </row>
    <row r="405" spans="2:40" s="1" customFormat="1" ht="12.75">
      <c r="B405" s="1" t="s">
        <v>336</v>
      </c>
      <c r="C405" s="1" t="s">
        <v>26</v>
      </c>
      <c r="AK405" s="7"/>
      <c r="AL405" s="7"/>
      <c r="AM405" s="7"/>
      <c r="AN405" s="7"/>
    </row>
    <row r="406" spans="2:40" s="1" customFormat="1" ht="12.75">
      <c r="B406" s="1" t="s">
        <v>335</v>
      </c>
      <c r="C406" s="1" t="s">
        <v>25</v>
      </c>
      <c r="AK406" s="7"/>
      <c r="AL406" s="7"/>
      <c r="AM406" s="7"/>
      <c r="AN406" s="7"/>
    </row>
    <row r="407" spans="2:40" s="1" customFormat="1" ht="12.75">
      <c r="B407" s="1" t="s">
        <v>334</v>
      </c>
      <c r="C407" s="1" t="s">
        <v>263</v>
      </c>
      <c r="D407" s="1" t="s">
        <v>0</v>
      </c>
      <c r="AK407" s="5"/>
      <c r="AL407" s="5"/>
      <c r="AM407" s="5"/>
      <c r="AN407" s="5"/>
    </row>
    <row r="408" spans="2:40" s="1" customFormat="1" ht="12.75">
      <c r="B408" s="1" t="s">
        <v>333</v>
      </c>
      <c r="C408" s="1" t="s">
        <v>262</v>
      </c>
      <c r="D408" s="1" t="s">
        <v>0</v>
      </c>
      <c r="AK408" s="6"/>
      <c r="AL408" s="6"/>
      <c r="AM408" s="6"/>
      <c r="AN408" s="6"/>
    </row>
    <row r="409" spans="2:40" s="1" customFormat="1" ht="12.75">
      <c r="B409" s="1" t="s">
        <v>332</v>
      </c>
      <c r="C409" s="1" t="s">
        <v>261</v>
      </c>
      <c r="D409" s="1" t="s">
        <v>0</v>
      </c>
      <c r="AK409" s="5"/>
      <c r="AL409" s="5"/>
      <c r="AM409" s="5"/>
      <c r="AN409" s="5"/>
    </row>
  </sheetData>
  <sheetProtection formatCells="0" formatColumns="0" formatRows="0"/>
  <pageMargins left="0.75" right="0.75" top="1" bottom="1" header="0.5" footer="0.5"/>
  <pageSetup paperSize="9" orientation="portrait" r:id="rId1"/>
  <headerFooter alignWithMargins="0"/>
  <customProperties>
    <customPr name="Password" r:id="rId2"/>
    <customPr name="Qube.Worksheet.Visibility" r:id="rId3"/>
  </customPropertie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2A295-B346-4D47-AECA-5ED4B15CF5B5}">
  <sheetPr codeName="Sheet3">
    <tabColor rgb="FF002060"/>
    <pageSetUpPr fitToPage="1"/>
  </sheetPr>
  <dimension ref="B1:Z54"/>
  <sheetViews>
    <sheetView showGridLines="0" workbookViewId="0"/>
  </sheetViews>
  <sheetFormatPr defaultColWidth="9" defaultRowHeight="12"/>
  <cols>
    <col min="1" max="1" width="9" style="1035"/>
    <col min="2" max="2" width="17.5" style="1035" customWidth="1"/>
    <col min="3" max="3" width="8.625" style="1035" bestFit="1" customWidth="1"/>
    <col min="4" max="13" width="9" style="1035"/>
    <col min="14" max="14" width="14.125" style="1035" bestFit="1" customWidth="1"/>
    <col min="15" max="16384" width="9" style="1035"/>
  </cols>
  <sheetData>
    <row r="1" spans="2:26">
      <c r="B1" s="1388">
        <f ca="1">C34</f>
        <v>300</v>
      </c>
      <c r="Z1" s="1389" t="s">
        <v>734</v>
      </c>
    </row>
    <row r="2" spans="2:26" ht="12.75" thickBot="1">
      <c r="B2" s="1390" t="s">
        <v>1882</v>
      </c>
      <c r="C2" s="1431">
        <v>45918</v>
      </c>
    </row>
    <row r="3" spans="2:26">
      <c r="B3" s="1391" t="s">
        <v>1883</v>
      </c>
      <c r="C3" s="1392">
        <f>'DCF Feed'!H4</f>
        <v>0.10391989989433115</v>
      </c>
    </row>
    <row r="4" spans="2:26">
      <c r="B4" s="1393" t="s">
        <v>1884</v>
      </c>
      <c r="C4" s="1394">
        <v>0.1</v>
      </c>
    </row>
    <row r="5" spans="2:26">
      <c r="B5" s="1393" t="s">
        <v>1885</v>
      </c>
      <c r="C5" s="1395">
        <v>0.03</v>
      </c>
    </row>
    <row r="6" spans="2:26">
      <c r="B6" s="1393" t="s">
        <v>1886</v>
      </c>
      <c r="C6" s="1395">
        <v>0.09</v>
      </c>
    </row>
    <row r="7" spans="2:26">
      <c r="B7" s="1393" t="s">
        <v>514</v>
      </c>
      <c r="C7" s="1395">
        <f>-'DCF Feed'!E10</f>
        <v>0.25</v>
      </c>
    </row>
    <row r="8" spans="2:26">
      <c r="B8" s="1393" t="s">
        <v>745</v>
      </c>
      <c r="C8" s="1394">
        <v>1.05</v>
      </c>
    </row>
    <row r="9" spans="2:26" ht="12.75" thickBot="1">
      <c r="B9" s="1396" t="s">
        <v>1866</v>
      </c>
      <c r="C9" s="1555">
        <f ca="1">N19*(1-C7)</f>
        <v>22.912495960693427</v>
      </c>
    </row>
    <row r="11" spans="2:26" ht="12.75" thickBot="1"/>
    <row r="12" spans="2:26">
      <c r="B12" s="1432" t="s">
        <v>1887</v>
      </c>
      <c r="C12" s="1433">
        <f ca="1">YEAR(TODAY())</f>
        <v>2025</v>
      </c>
      <c r="D12" s="1433">
        <f ca="1">C12+1</f>
        <v>2026</v>
      </c>
      <c r="E12" s="1433">
        <f t="shared" ref="E12:M13" ca="1" si="0">D12+1</f>
        <v>2027</v>
      </c>
      <c r="F12" s="1433">
        <f t="shared" ca="1" si="0"/>
        <v>2028</v>
      </c>
      <c r="G12" s="1433">
        <f t="shared" ca="1" si="0"/>
        <v>2029</v>
      </c>
      <c r="H12" s="1433">
        <f t="shared" ca="1" si="0"/>
        <v>2030</v>
      </c>
      <c r="I12" s="1433">
        <f t="shared" ca="1" si="0"/>
        <v>2031</v>
      </c>
      <c r="J12" s="1433">
        <f t="shared" ca="1" si="0"/>
        <v>2032</v>
      </c>
      <c r="K12" s="1433">
        <f t="shared" ca="1" si="0"/>
        <v>2033</v>
      </c>
      <c r="L12" s="1433">
        <f t="shared" ca="1" si="0"/>
        <v>2034</v>
      </c>
      <c r="M12" s="1433">
        <f t="shared" ca="1" si="0"/>
        <v>2035</v>
      </c>
      <c r="N12" s="1434" t="s">
        <v>1888</v>
      </c>
    </row>
    <row r="13" spans="2:26">
      <c r="B13" s="1435"/>
      <c r="C13" s="1428">
        <v>0</v>
      </c>
      <c r="D13" s="1428">
        <f>C13+1</f>
        <v>1</v>
      </c>
      <c r="E13" s="1428">
        <f t="shared" si="0"/>
        <v>2</v>
      </c>
      <c r="F13" s="1428">
        <f t="shared" si="0"/>
        <v>3</v>
      </c>
      <c r="G13" s="1428">
        <f t="shared" si="0"/>
        <v>4</v>
      </c>
      <c r="H13" s="1428">
        <f t="shared" si="0"/>
        <v>5</v>
      </c>
      <c r="I13" s="1428">
        <f t="shared" si="0"/>
        <v>6</v>
      </c>
      <c r="J13" s="1428">
        <f t="shared" si="0"/>
        <v>7</v>
      </c>
      <c r="K13" s="1428">
        <f t="shared" si="0"/>
        <v>8</v>
      </c>
      <c r="L13" s="1428">
        <f t="shared" si="0"/>
        <v>9</v>
      </c>
      <c r="M13" s="1428">
        <f t="shared" si="0"/>
        <v>10</v>
      </c>
      <c r="N13" s="1436"/>
    </row>
    <row r="14" spans="2:26">
      <c r="B14" s="1437">
        <f>C2+365</f>
        <v>46283</v>
      </c>
      <c r="C14" s="1429">
        <v>45809</v>
      </c>
      <c r="D14" s="1429">
        <f>C14+365</f>
        <v>46174</v>
      </c>
      <c r="E14" s="1429">
        <f t="shared" ref="E14:M14" si="1">D14+365</f>
        <v>46539</v>
      </c>
      <c r="F14" s="1429">
        <f t="shared" si="1"/>
        <v>46904</v>
      </c>
      <c r="G14" s="1429">
        <f t="shared" si="1"/>
        <v>47269</v>
      </c>
      <c r="H14" s="1429">
        <f t="shared" si="1"/>
        <v>47634</v>
      </c>
      <c r="I14" s="1429">
        <f t="shared" si="1"/>
        <v>47999</v>
      </c>
      <c r="J14" s="1429">
        <f t="shared" si="1"/>
        <v>48364</v>
      </c>
      <c r="K14" s="1429">
        <f t="shared" si="1"/>
        <v>48729</v>
      </c>
      <c r="L14" s="1429">
        <f t="shared" si="1"/>
        <v>49094</v>
      </c>
      <c r="M14" s="1429">
        <f t="shared" si="1"/>
        <v>49459</v>
      </c>
      <c r="N14" s="1436"/>
    </row>
    <row r="15" spans="2:26">
      <c r="B15" s="1435" t="s">
        <v>1889</v>
      </c>
      <c r="C15" s="1430">
        <v>1</v>
      </c>
      <c r="D15" s="1430">
        <f ca="1">C15*(1+D16)</f>
        <v>1.1613904435939939</v>
      </c>
      <c r="E15" s="1430">
        <f t="shared" ref="E15:G15" ca="1" si="2">D15*(1+E16)</f>
        <v>1.3216645531685964</v>
      </c>
      <c r="F15" s="1430">
        <f t="shared" ca="1" si="2"/>
        <v>1.4682560371318458</v>
      </c>
      <c r="G15" s="1430">
        <f t="shared" ca="1" si="2"/>
        <v>1.554429883071887</v>
      </c>
      <c r="H15" s="1430">
        <f>C15*(1+C3)^5</f>
        <v>1.6394108736172524</v>
      </c>
      <c r="I15" s="1430">
        <f t="shared" ref="I15:M15" si="3">H15*(1+I16)</f>
        <v>1.8033519609789777</v>
      </c>
      <c r="J15" s="1430">
        <f t="shared" si="3"/>
        <v>1.9521284977597433</v>
      </c>
      <c r="K15" s="1430">
        <f t="shared" si="3"/>
        <v>2.0790168501141264</v>
      </c>
      <c r="L15" s="1430">
        <f t="shared" si="3"/>
        <v>2.1777701504945477</v>
      </c>
      <c r="M15" s="1430">
        <f t="shared" si="3"/>
        <v>2.2431032550093843</v>
      </c>
      <c r="N15" s="1438">
        <f>M15/(C6-C5)</f>
        <v>37.385054250156408</v>
      </c>
    </row>
    <row r="16" spans="2:26">
      <c r="B16" s="1435" t="s">
        <v>1890</v>
      </c>
      <c r="C16" s="1428"/>
      <c r="D16" s="1430">
        <f ca="1">INDEX('DCF Feed'!5:5,MATCH(DCF!D12,'DCF Feed'!1:1,0))</f>
        <v>0.1613904435939939</v>
      </c>
      <c r="E16" s="1430">
        <f ca="1">INDEX('DCF Feed'!5:5,MATCH(DCF!E12,'DCF Feed'!1:1,0))</f>
        <v>0.13800191869895584</v>
      </c>
      <c r="F16" s="1430">
        <f ca="1">INDEX('DCF Feed'!5:5,MATCH(DCF!F12,'DCF Feed'!1:1,0))</f>
        <v>0.11091428881239707</v>
      </c>
      <c r="G16" s="1430">
        <f ca="1">INDEX('DCF Feed'!5:5,MATCH(DCF!G12,'DCF Feed'!1:1,0))</f>
        <v>5.8691293453406734E-2</v>
      </c>
      <c r="H16" s="1430">
        <f ca="1">INDEX('DCF Feed'!5:5,MATCH(DCF!H12,'DCF Feed'!1:1,0))</f>
        <v>5.4670198682377213E-2</v>
      </c>
      <c r="I16" s="1430">
        <f>$C$4</f>
        <v>0.1</v>
      </c>
      <c r="J16" s="1430">
        <f>I16+(($M$16-$I$16)/4)</f>
        <v>8.2500000000000004E-2</v>
      </c>
      <c r="K16" s="1430">
        <f t="shared" ref="K16:L16" si="4">J16+(($M$16-$I$16)/4)</f>
        <v>6.5000000000000002E-2</v>
      </c>
      <c r="L16" s="1430">
        <f t="shared" si="4"/>
        <v>4.7500000000000001E-2</v>
      </c>
      <c r="M16" s="1430">
        <f>$C$5</f>
        <v>0.03</v>
      </c>
      <c r="N16" s="1436"/>
    </row>
    <row r="17" spans="2:14">
      <c r="B17" s="1435" t="s">
        <v>745</v>
      </c>
      <c r="C17" s="1428"/>
      <c r="D17" s="1430">
        <f ca="1">INDEX('DCF Feed'!7:7,MATCH(DCF!D12,'DCF Feed'!1:1,0))</f>
        <v>0.95509425608774368</v>
      </c>
      <c r="E17" s="1430">
        <f ca="1">INDEX('DCF Feed'!7:7,MATCH(DCF!E12,'DCF Feed'!1:1,0))</f>
        <v>0.97572869012741581</v>
      </c>
      <c r="F17" s="1430">
        <f ca="1">INDEX('DCF Feed'!7:7,MATCH(DCF!F12,'DCF Feed'!1:1,0))</f>
        <v>0.95005884695294285</v>
      </c>
      <c r="G17" s="1430">
        <f ca="1">INDEX('DCF Feed'!7:7,MATCH(DCF!G12,'DCF Feed'!1:1,0))</f>
        <v>0.99026337703510636</v>
      </c>
      <c r="H17" s="1430">
        <f ca="1">INDEX('DCF Feed'!7:7,MATCH(DCF!H12,'DCF Feed'!1:1,0))</f>
        <v>1.0039299859931916</v>
      </c>
      <c r="I17" s="1430">
        <f>$C$8</f>
        <v>1.05</v>
      </c>
      <c r="J17" s="1430">
        <f t="shared" ref="J17:M17" si="5">$C$8</f>
        <v>1.05</v>
      </c>
      <c r="K17" s="1430">
        <f t="shared" si="5"/>
        <v>1.05</v>
      </c>
      <c r="L17" s="1430">
        <f t="shared" si="5"/>
        <v>1.05</v>
      </c>
      <c r="M17" s="1430">
        <f t="shared" si="5"/>
        <v>1.05</v>
      </c>
      <c r="N17" s="1436"/>
    </row>
    <row r="18" spans="2:14">
      <c r="B18" s="1435" t="s">
        <v>1891</v>
      </c>
      <c r="C18" s="1430"/>
      <c r="D18" s="1430">
        <f>1/(1+$C$6)^((D14-$B$14)/365)</f>
        <v>1.0260692680957979</v>
      </c>
      <c r="E18" s="1430">
        <f t="shared" ref="E18:M18" si="6">1/(1+$C$6)^((E14-$B$14)/365)</f>
        <v>0.94134795238146596</v>
      </c>
      <c r="F18" s="1430">
        <f t="shared" si="6"/>
        <v>0.86362197466189539</v>
      </c>
      <c r="G18" s="1430">
        <f t="shared" si="6"/>
        <v>0.7923137382219223</v>
      </c>
      <c r="H18" s="1430">
        <f t="shared" si="6"/>
        <v>0.72689333781827725</v>
      </c>
      <c r="I18" s="1430">
        <f t="shared" si="6"/>
        <v>0.66687462185163049</v>
      </c>
      <c r="J18" s="1430">
        <f t="shared" si="6"/>
        <v>0.6118115796803949</v>
      </c>
      <c r="K18" s="1430">
        <f t="shared" si="6"/>
        <v>0.56129502722972002</v>
      </c>
      <c r="L18" s="1430">
        <f t="shared" si="6"/>
        <v>0.51494956626579813</v>
      </c>
      <c r="M18" s="1430">
        <f t="shared" si="6"/>
        <v>0.4724307947392643</v>
      </c>
      <c r="N18" s="1436"/>
    </row>
    <row r="19" spans="2:14" ht="12.75" thickBot="1">
      <c r="B19" s="1439" t="s">
        <v>1892</v>
      </c>
      <c r="C19" s="1440"/>
      <c r="D19" s="1441">
        <f ca="1">D15*D17*D18</f>
        <v>1.1381543473958187</v>
      </c>
      <c r="E19" s="1441">
        <f t="shared" ref="E19:L19" ca="1" si="7">E15*E17*E18</f>
        <v>1.2139491624071155</v>
      </c>
      <c r="F19" s="1441">
        <f t="shared" ca="1" si="7"/>
        <v>1.2046918881982582</v>
      </c>
      <c r="G19" s="1441">
        <f t="shared" ca="1" si="7"/>
        <v>1.2196045640887669</v>
      </c>
      <c r="H19" s="1441">
        <f t="shared" ca="1" si="7"/>
        <v>1.1963601152766115</v>
      </c>
      <c r="I19" s="1441">
        <f t="shared" si="7"/>
        <v>1.2627401398954146</v>
      </c>
      <c r="J19" s="1441">
        <f t="shared" si="7"/>
        <v>1.2540515609511802</v>
      </c>
      <c r="K19" s="1441">
        <f t="shared" si="7"/>
        <v>1.2252889104706481</v>
      </c>
      <c r="L19" s="1441">
        <f t="shared" si="7"/>
        <v>1.1775138841449577</v>
      </c>
      <c r="M19" s="1441">
        <f>(M15+N15)*M17*M18</f>
        <v>19.657640041429129</v>
      </c>
      <c r="N19" s="1442">
        <f ca="1">SUM(D19:M19)</f>
        <v>30.549994614257901</v>
      </c>
    </row>
    <row r="23" spans="2:14" ht="12.75" thickBot="1"/>
    <row r="24" spans="2:14" ht="13.5" thickBot="1">
      <c r="B24" s="1566" t="s">
        <v>1893</v>
      </c>
      <c r="C24" s="1567">
        <f ca="1">C12</f>
        <v>2025</v>
      </c>
    </row>
    <row r="25" spans="2:14" ht="12.75">
      <c r="B25" s="1557" t="s">
        <v>1894</v>
      </c>
      <c r="C25" s="1558">
        <f ca="1">C9</f>
        <v>22.912495960693427</v>
      </c>
    </row>
    <row r="26" spans="2:14" ht="12.75">
      <c r="B26" s="1557" t="s">
        <v>287</v>
      </c>
      <c r="C26" s="1559">
        <f ca="1">INDEX('DCF Feed'!4:4,MATCH(DCF!$C$24,'DCF Feed'!$1:$1,0))</f>
        <v>5179.0617839715924</v>
      </c>
    </row>
    <row r="27" spans="2:14" ht="12.75">
      <c r="B27" s="1557" t="s">
        <v>1895</v>
      </c>
      <c r="C27" s="1559">
        <f ca="1">C25*C26</f>
        <v>118665.2322054308</v>
      </c>
    </row>
    <row r="28" spans="2:14" ht="12.75">
      <c r="B28" s="1557" t="s">
        <v>1931</v>
      </c>
      <c r="C28" s="1559">
        <f>'DCF Feed'!B8</f>
        <v>2168.7677021781838</v>
      </c>
    </row>
    <row r="29" spans="2:14" ht="12.75" hidden="1">
      <c r="B29" s="1557" t="s">
        <v>776</v>
      </c>
      <c r="C29" s="1560"/>
    </row>
    <row r="30" spans="2:14" ht="12.75">
      <c r="B30" s="1557" t="s">
        <v>1879</v>
      </c>
      <c r="C30" s="1559">
        <f ca="1">INDEX('DCF Feed'!9:9,MATCH(DCF!C24,'DCF Feed'!1:1,0))</f>
        <v>-23</v>
      </c>
    </row>
    <row r="31" spans="2:14" ht="12.75">
      <c r="B31" s="1557" t="s">
        <v>1896</v>
      </c>
      <c r="C31" s="1561">
        <f ca="1">-C30*C7</f>
        <v>5.75</v>
      </c>
    </row>
    <row r="32" spans="2:14" ht="12.75">
      <c r="B32" s="1557" t="s">
        <v>1897</v>
      </c>
      <c r="C32" s="1559">
        <f ca="1">SUM(C27:C31)</f>
        <v>120816.74990760899</v>
      </c>
    </row>
    <row r="33" spans="2:8" ht="12.75">
      <c r="B33" s="1557" t="s">
        <v>1340</v>
      </c>
      <c r="C33" s="1559">
        <f>'DCF Feed'!E12</f>
        <v>402.77547575664045</v>
      </c>
    </row>
    <row r="34" spans="2:8" ht="12.75">
      <c r="B34" s="1562" t="s">
        <v>720</v>
      </c>
      <c r="C34" s="1563">
        <f ca="1">MROUND(C32/C33,1)</f>
        <v>300</v>
      </c>
    </row>
    <row r="35" spans="2:8" ht="12.75">
      <c r="B35" s="1557" t="s">
        <v>1898</v>
      </c>
      <c r="C35" s="1560" t="s">
        <v>2099</v>
      </c>
    </row>
    <row r="36" spans="2:8" ht="13.5" thickBot="1">
      <c r="B36" s="1564" t="s">
        <v>2015</v>
      </c>
      <c r="C36" s="1565" t="e">
        <f ca="1">C34/C35-1</f>
        <v>#VALUE!</v>
      </c>
    </row>
    <row r="38" spans="2:8" ht="12.75" thickBot="1"/>
    <row r="39" spans="2:8" ht="15">
      <c r="B39" s="1671" t="s">
        <v>1623</v>
      </c>
      <c r="C39" s="1672"/>
      <c r="D39" s="1673" t="s">
        <v>1436</v>
      </c>
      <c r="E39" s="1674"/>
      <c r="F39" s="1674"/>
      <c r="G39" s="1674"/>
      <c r="H39" s="1675"/>
    </row>
    <row r="40" spans="2:8" ht="14.25">
      <c r="B40" s="1492"/>
      <c r="C40" s="1493">
        <f ca="1">$C$34</f>
        <v>300</v>
      </c>
      <c r="D40" s="1494">
        <f>E40-0.5%</f>
        <v>7.9999999999999988E-2</v>
      </c>
      <c r="E40" s="1494">
        <f>F40-0.5%</f>
        <v>8.4999999999999992E-2</v>
      </c>
      <c r="F40" s="1494">
        <v>0.09</v>
      </c>
      <c r="G40" s="1494">
        <f>F40+0.5%</f>
        <v>9.5000000000000001E-2</v>
      </c>
      <c r="H40" s="1494">
        <f>G40+0.5%</f>
        <v>0.1</v>
      </c>
    </row>
    <row r="41" spans="2:8">
      <c r="B41" s="1668" t="s">
        <v>2016</v>
      </c>
      <c r="C41" s="1498">
        <f>C42-2%</f>
        <v>6.3919899894331139E-2</v>
      </c>
      <c r="D41" s="1496">
        <f t="dataTable" ref="D41:H45" dt2D="1" dtr="1" r1="C6" r2="C3" ca="1"/>
        <v>307</v>
      </c>
      <c r="E41" s="1496">
        <v>280</v>
      </c>
      <c r="F41" s="1496">
        <v>258</v>
      </c>
      <c r="G41" s="1496">
        <v>239</v>
      </c>
      <c r="H41" s="1497">
        <v>223</v>
      </c>
    </row>
    <row r="42" spans="2:8" ht="12.75" thickBot="1">
      <c r="B42" s="1669"/>
      <c r="C42" s="1498">
        <f>C43-2%</f>
        <v>8.3919899894331143E-2</v>
      </c>
      <c r="D42" s="1496">
        <v>331</v>
      </c>
      <c r="E42" s="1496">
        <v>302</v>
      </c>
      <c r="F42" s="1496">
        <v>278</v>
      </c>
      <c r="G42" s="1496">
        <v>258</v>
      </c>
      <c r="H42" s="1497">
        <v>240</v>
      </c>
    </row>
    <row r="43" spans="2:8" ht="12.75" thickBot="1">
      <c r="B43" s="1669" t="s">
        <v>2017</v>
      </c>
      <c r="C43" s="1498">
        <v>0.10391989989433115</v>
      </c>
      <c r="D43" s="1496">
        <v>358</v>
      </c>
      <c r="E43" s="1496">
        <v>326</v>
      </c>
      <c r="F43" s="1499">
        <v>300</v>
      </c>
      <c r="G43" s="1496">
        <v>278</v>
      </c>
      <c r="H43" s="1497">
        <v>258</v>
      </c>
    </row>
    <row r="44" spans="2:8">
      <c r="B44" s="1669"/>
      <c r="C44" s="1498">
        <f>C43+2%</f>
        <v>0.12391989989433115</v>
      </c>
      <c r="D44" s="1496">
        <v>387</v>
      </c>
      <c r="E44" s="1496">
        <v>352</v>
      </c>
      <c r="F44" s="1496">
        <v>323</v>
      </c>
      <c r="G44" s="1496">
        <v>299</v>
      </c>
      <c r="H44" s="1497">
        <v>278</v>
      </c>
    </row>
    <row r="45" spans="2:8" ht="12.75" thickBot="1">
      <c r="B45" s="1670"/>
      <c r="C45" s="1498">
        <f>C44+2%</f>
        <v>0.14391989989433115</v>
      </c>
      <c r="D45" s="1501">
        <v>418</v>
      </c>
      <c r="E45" s="1501">
        <v>380</v>
      </c>
      <c r="F45" s="1501">
        <v>348</v>
      </c>
      <c r="G45" s="1501">
        <v>322</v>
      </c>
      <c r="H45" s="1502">
        <v>299</v>
      </c>
    </row>
    <row r="46" spans="2:8" ht="14.25">
      <c r="B46"/>
      <c r="C46"/>
      <c r="D46"/>
      <c r="E46"/>
      <c r="F46"/>
      <c r="G46"/>
      <c r="H46"/>
    </row>
    <row r="47" spans="2:8" ht="15" thickBot="1">
      <c r="B47"/>
      <c r="C47"/>
      <c r="D47"/>
      <c r="E47"/>
      <c r="F47"/>
      <c r="G47"/>
      <c r="H47"/>
    </row>
    <row r="48" spans="2:8" ht="15">
      <c r="B48" s="1671"/>
      <c r="C48" s="1672"/>
      <c r="D48" s="1673" t="s">
        <v>2018</v>
      </c>
      <c r="E48" s="1674"/>
      <c r="F48" s="1674" t="s">
        <v>2019</v>
      </c>
      <c r="G48" s="1674"/>
      <c r="H48" s="1675"/>
    </row>
    <row r="49" spans="2:8" ht="14.25">
      <c r="B49" s="1492"/>
      <c r="C49" s="1493">
        <f ca="1">$C$34</f>
        <v>300</v>
      </c>
      <c r="D49" s="1503">
        <f>E49-10%</f>
        <v>0.85000000000000009</v>
      </c>
      <c r="E49" s="1503">
        <f>F49-10%</f>
        <v>0.95000000000000007</v>
      </c>
      <c r="F49" s="1503">
        <v>1.05</v>
      </c>
      <c r="G49" s="1503">
        <f>F49+10%</f>
        <v>1.1500000000000001</v>
      </c>
      <c r="H49" s="1503">
        <f>G49+10%</f>
        <v>1.2500000000000002</v>
      </c>
    </row>
    <row r="50" spans="2:8">
      <c r="B50" s="1668" t="s">
        <v>2016</v>
      </c>
      <c r="C50" s="1495">
        <f>C51-3%</f>
        <v>4.3919899894331149E-2</v>
      </c>
      <c r="D50" s="1504">
        <f t="dataTable" ref="D50:H54" dt2D="1" dtr="1" r1="C8" r2="C3" ca="1"/>
        <v>205</v>
      </c>
      <c r="E50" s="1504">
        <v>222</v>
      </c>
      <c r="F50" s="1504">
        <v>239</v>
      </c>
      <c r="G50" s="1504">
        <v>256</v>
      </c>
      <c r="H50" s="1505">
        <v>274</v>
      </c>
    </row>
    <row r="51" spans="2:8" ht="12.75" thickBot="1">
      <c r="B51" s="1669"/>
      <c r="C51" s="1498">
        <f>C52-3%</f>
        <v>7.3919899894331148E-2</v>
      </c>
      <c r="D51" s="1496">
        <v>229</v>
      </c>
      <c r="E51" s="1496">
        <v>248</v>
      </c>
      <c r="F51" s="1496">
        <v>268</v>
      </c>
      <c r="G51" s="1496">
        <v>288</v>
      </c>
      <c r="H51" s="1497">
        <v>307</v>
      </c>
    </row>
    <row r="52" spans="2:8" ht="12.75" thickBot="1">
      <c r="B52" s="1669" t="s">
        <v>2017</v>
      </c>
      <c r="C52" s="1498">
        <v>0.10391989989433115</v>
      </c>
      <c r="D52" s="1496">
        <v>255</v>
      </c>
      <c r="E52" s="1496">
        <v>277</v>
      </c>
      <c r="F52" s="1499">
        <v>300</v>
      </c>
      <c r="G52" s="1496">
        <v>323</v>
      </c>
      <c r="H52" s="1497">
        <v>345</v>
      </c>
    </row>
    <row r="53" spans="2:8">
      <c r="B53" s="1669"/>
      <c r="C53" s="1498">
        <f>C52+3%</f>
        <v>0.13391989989433115</v>
      </c>
      <c r="D53" s="1496">
        <v>284</v>
      </c>
      <c r="E53" s="1496">
        <v>310</v>
      </c>
      <c r="F53" s="1496">
        <v>336</v>
      </c>
      <c r="G53" s="1496">
        <v>361</v>
      </c>
      <c r="H53" s="1497">
        <v>387</v>
      </c>
    </row>
    <row r="54" spans="2:8" ht="12.75" thickBot="1">
      <c r="B54" s="1670"/>
      <c r="C54" s="1500">
        <f>C53+3%</f>
        <v>0.16391989989433114</v>
      </c>
      <c r="D54" s="1501">
        <v>316</v>
      </c>
      <c r="E54" s="1501">
        <v>346</v>
      </c>
      <c r="F54" s="1501">
        <v>375</v>
      </c>
      <c r="G54" s="1501">
        <v>405</v>
      </c>
      <c r="H54" s="1502">
        <v>434</v>
      </c>
    </row>
  </sheetData>
  <mergeCells count="6">
    <mergeCell ref="B50:B54"/>
    <mergeCell ref="B39:C39"/>
    <mergeCell ref="D39:H39"/>
    <mergeCell ref="B41:B45"/>
    <mergeCell ref="B48:C48"/>
    <mergeCell ref="D48:H48"/>
  </mergeCells>
  <conditionalFormatting sqref="D41:H45">
    <cfRule type="colorScale" priority="2">
      <colorScale>
        <cfvo type="min"/>
        <cfvo type="percentile" val="50"/>
        <cfvo type="max"/>
        <color rgb="FFF8696B"/>
        <color rgb="FFFFEB84"/>
        <color rgb="FF63BE7B"/>
      </colorScale>
    </cfRule>
  </conditionalFormatting>
  <conditionalFormatting sqref="D50:H54">
    <cfRule type="colorScale" priority="1">
      <colorScale>
        <cfvo type="min"/>
        <cfvo type="percentile" val="50"/>
        <cfvo type="max"/>
        <color rgb="FFF8696B"/>
        <color rgb="FFFFEB84"/>
        <color rgb="FF63BE7B"/>
      </colorScale>
    </cfRule>
  </conditionalFormatting>
  <printOptions horizontalCentered="1" verticalCentered="1"/>
  <pageMargins left="0.7" right="0.7" top="0.75" bottom="0.75" header="0.3" footer="0.3"/>
  <pageSetup paperSize="0" scale="10" orientation="portrait" r:id="rId1"/>
  <customProperties>
    <customPr name="Qube.Worksheet.ID" r:id="rId2"/>
    <customPr name="Qube.Worksheet.Visibility" r:id="rId3"/>
  </customPropertie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39B709-9C98-4EAA-A2B6-885350DFE9E8}">
  <sheetPr codeName="Sheet9">
    <tabColor rgb="FF002060"/>
  </sheetPr>
  <dimension ref="A1:H12"/>
  <sheetViews>
    <sheetView showGridLines="0" workbookViewId="0"/>
  </sheetViews>
  <sheetFormatPr defaultColWidth="9" defaultRowHeight="12"/>
  <cols>
    <col min="1" max="1" width="20.125" style="1035" bestFit="1" customWidth="1"/>
    <col min="2" max="16384" width="9" style="1035"/>
  </cols>
  <sheetData>
    <row r="1" spans="1:8">
      <c r="A1" s="1443" t="s">
        <v>1875</v>
      </c>
      <c r="B1" s="1443">
        <v>2025</v>
      </c>
      <c r="C1" s="1443">
        <f>B1+1</f>
        <v>2026</v>
      </c>
      <c r="D1" s="1443">
        <f t="shared" ref="D1:G1" si="0">C1+1</f>
        <v>2027</v>
      </c>
      <c r="E1" s="1443">
        <f t="shared" si="0"/>
        <v>2028</v>
      </c>
      <c r="F1" s="1443">
        <f t="shared" si="0"/>
        <v>2029</v>
      </c>
      <c r="G1" s="1443">
        <f t="shared" si="0"/>
        <v>2030</v>
      </c>
      <c r="H1" s="1443" t="s">
        <v>1876</v>
      </c>
    </row>
    <row r="2" spans="1:8">
      <c r="A2" s="1428" t="s">
        <v>791</v>
      </c>
      <c r="B2" s="1444">
        <f>INDEX('Income Statement'!39:39,MATCH(B1,'Income Statement'!38:38,0))</f>
        <v>30995.966922403386</v>
      </c>
      <c r="C2" s="1444">
        <f>INDEX('Income Statement'!39:39,MATCH(C1,'Income Statement'!38:38,0))</f>
        <v>34520.706683526871</v>
      </c>
      <c r="D2" s="1444">
        <f>INDEX('Income Statement'!39:39,MATCH(D1,'Income Statement'!38:38,0))</f>
        <v>38170.59080998729</v>
      </c>
      <c r="E2" s="1444">
        <f>INDEX('Income Statement'!39:39,MATCH(E1,'Income Statement'!38:38,0))</f>
        <v>41400.418805904548</v>
      </c>
      <c r="F2" s="1444">
        <f>INDEX('Income Statement'!39:39,MATCH(F1,'Income Statement'!38:38,0))</f>
        <v>43433.441894680291</v>
      </c>
      <c r="G2" s="1444">
        <f>INDEX('Income Statement'!39:39,MATCH(G1,'Income Statement'!38:38,0))</f>
        <v>45535.88404113664</v>
      </c>
      <c r="H2" s="1430">
        <f>(G2/B2)^(1/5)-1</f>
        <v>7.9965089120972888E-2</v>
      </c>
    </row>
    <row r="3" spans="1:8">
      <c r="A3" s="1445" t="s">
        <v>1877</v>
      </c>
      <c r="B3" s="1445"/>
      <c r="C3" s="1446">
        <f>C2/B2-1</f>
        <v>0.11371607699632236</v>
      </c>
      <c r="D3" s="1446">
        <f t="shared" ref="D3:G3" si="1">D2/C2-1</f>
        <v>0.10573028414282515</v>
      </c>
      <c r="E3" s="1446">
        <f t="shared" si="1"/>
        <v>8.461561446599819E-2</v>
      </c>
      <c r="F3" s="1446">
        <f t="shared" si="1"/>
        <v>4.9106341129230069E-2</v>
      </c>
      <c r="G3" s="1446">
        <f t="shared" si="1"/>
        <v>4.8406068106563227E-2</v>
      </c>
      <c r="H3" s="1428"/>
    </row>
    <row r="4" spans="1:8">
      <c r="A4" s="1428" t="s">
        <v>1741</v>
      </c>
      <c r="B4" s="1444">
        <f>INDEX('Income Statement'!74:74,MATCH(B1,'Income Statement'!$38:$38,0))</f>
        <v>5179.0617839715924</v>
      </c>
      <c r="C4" s="1444">
        <f>INDEX('Income Statement'!74:74,MATCH(C1,'Income Statement'!$38:$38,0))</f>
        <v>6014.912862687469</v>
      </c>
      <c r="D4" s="1444">
        <f>INDEX('Income Statement'!74:74,MATCH(D1,'Income Statement'!$38:$38,0))</f>
        <v>6844.9823785453691</v>
      </c>
      <c r="E4" s="1444">
        <f>INDEX('Income Statement'!74:74,MATCH(E1,'Income Statement'!$38:$38,0))</f>
        <v>7604.1887309951189</v>
      </c>
      <c r="F4" s="1444">
        <f>INDEX('Income Statement'!74:74,MATCH(F1,'Income Statement'!$38:$38,0))</f>
        <v>8050.4884032810423</v>
      </c>
      <c r="G4" s="1444">
        <f>INDEX('Income Statement'!74:74,MATCH(G1,'Income Statement'!$38:$38,0))</f>
        <v>8490.6102037785913</v>
      </c>
      <c r="H4" s="1430">
        <f>(G4/B4)^(1/5)-1</f>
        <v>0.10391989989433115</v>
      </c>
    </row>
    <row r="5" spans="1:8">
      <c r="A5" s="1445" t="s">
        <v>747</v>
      </c>
      <c r="B5" s="1445"/>
      <c r="C5" s="1446">
        <f>C4/B4-1</f>
        <v>0.1613904435939939</v>
      </c>
      <c r="D5" s="1446">
        <f t="shared" ref="D5:G5" si="2">D4/C4-1</f>
        <v>0.13800191869895584</v>
      </c>
      <c r="E5" s="1446">
        <f t="shared" si="2"/>
        <v>0.11091428881239707</v>
      </c>
      <c r="F5" s="1446">
        <f t="shared" si="2"/>
        <v>5.8691293453406734E-2</v>
      </c>
      <c r="G5" s="1446">
        <f t="shared" si="2"/>
        <v>5.4670198682377213E-2</v>
      </c>
      <c r="H5" s="1428"/>
    </row>
    <row r="6" spans="1:8">
      <c r="A6" s="1428" t="s">
        <v>2022</v>
      </c>
      <c r="B6" s="1444">
        <f>INDEX('Cashflow Statement'!71:71, MATCH('DCF Feed'!B1,'Cashflow Statement'!2:2,0))</f>
        <v>4768.3913100490927</v>
      </c>
      <c r="C6" s="1444">
        <f>INDEX('Cashflow Statement'!71:71, MATCH('DCF Feed'!C1,'Cashflow Statement'!2:2,0))</f>
        <v>5744.8087260210887</v>
      </c>
      <c r="D6" s="1444">
        <f>INDEX('Cashflow Statement'!71:71, MATCH('DCF Feed'!D1,'Cashflow Statement'!2:2,0))</f>
        <v>6678.8456901633162</v>
      </c>
      <c r="E6" s="1444">
        <f>INDEX('Cashflow Statement'!71:71, MATCH('DCF Feed'!E1,'Cashflow Statement'!2:2,0))</f>
        <v>7224.426777781784</v>
      </c>
      <c r="F6" s="1444">
        <f>INDEX('Cashflow Statement'!71:71, MATCH('DCF Feed'!F1,'Cashflow Statement'!2:2,0))</f>
        <v>7972.1038330150459</v>
      </c>
      <c r="G6" s="1444">
        <f>INDEX('Cashflow Statement'!71:71, MATCH('DCF Feed'!G1,'Cashflow Statement'!2:2,0))</f>
        <v>8523.9781829530912</v>
      </c>
      <c r="H6" s="1430">
        <f>(G6/B6)^(1/5)-1</f>
        <v>0.12319222452784362</v>
      </c>
    </row>
    <row r="7" spans="1:8">
      <c r="A7" s="1428" t="s">
        <v>1878</v>
      </c>
      <c r="B7" s="1430">
        <f>B6/B4</f>
        <v>0.92070562371094655</v>
      </c>
      <c r="C7" s="1430">
        <f>C6/C4</f>
        <v>0.95509425608774368</v>
      </c>
      <c r="D7" s="1430">
        <f t="shared" ref="D7:G7" si="3">D6/D4</f>
        <v>0.97572869012741581</v>
      </c>
      <c r="E7" s="1430">
        <f t="shared" si="3"/>
        <v>0.95005884695294285</v>
      </c>
      <c r="F7" s="1430">
        <f t="shared" si="3"/>
        <v>0.99026337703510636</v>
      </c>
      <c r="G7" s="1430">
        <f t="shared" si="3"/>
        <v>1.0039299859931916</v>
      </c>
      <c r="H7" s="1430">
        <f>AVERAGE(B7:G7)</f>
        <v>0.96596346331789107</v>
      </c>
    </row>
    <row r="8" spans="1:8">
      <c r="A8" s="1428" t="s">
        <v>1931</v>
      </c>
      <c r="B8" s="1444">
        <f>INDEX('Balance Sheet'!$93:$93,MATCH('DCF Feed'!B1,'Balance Sheet'!$88:$88,0))</f>
        <v>2168.7677021781838</v>
      </c>
      <c r="C8" s="1444">
        <f>INDEX('Balance Sheet'!93:93,MATCH('DCF Feed'!C1,'Balance Sheet'!88:88,0))</f>
        <v>3382.4906324987242</v>
      </c>
      <c r="D8" s="1444">
        <f>INDEX('Balance Sheet'!93:93,MATCH('DCF Feed'!D1,'Balance Sheet'!88:88,0))</f>
        <v>4867.261274494409</v>
      </c>
      <c r="E8" s="1444">
        <f>INDEX('Balance Sheet'!93:93,MATCH('DCF Feed'!E1,'Balance Sheet'!88:88,0))</f>
        <v>6676.913080364604</v>
      </c>
      <c r="F8" s="1444">
        <f>INDEX('Balance Sheet'!93:93,MATCH('DCF Feed'!F1,'Balance Sheet'!88:88,0))</f>
        <v>10162.360331352229</v>
      </c>
      <c r="G8" s="1444">
        <f>INDEX('Balance Sheet'!93:93,MATCH('DCF Feed'!G1,'Balance Sheet'!88:88,0))</f>
        <v>13985.147557994624</v>
      </c>
      <c r="H8" s="1444"/>
    </row>
    <row r="9" spans="1:8">
      <c r="A9" s="1428" t="s">
        <v>1879</v>
      </c>
      <c r="B9" s="1444">
        <f>INDEX('Balance Sheet'!$140:$140,MATCH('DCF Feed'!B1,'Balance Sheet'!$88:$88,0))</f>
        <v>-23</v>
      </c>
      <c r="C9" s="1444">
        <f>INDEX('Balance Sheet'!$140:$140,MATCH('DCF Feed'!C1,'Balance Sheet'!$88:$88,0))</f>
        <v>-23</v>
      </c>
      <c r="D9" s="1444">
        <f>INDEX('Balance Sheet'!$140:$140,MATCH('DCF Feed'!D1,'Balance Sheet'!$88:$88,0))</f>
        <v>-23</v>
      </c>
      <c r="E9" s="1444">
        <f>INDEX('Balance Sheet'!$140:$140,MATCH('DCF Feed'!E1,'Balance Sheet'!$88:$88,0))</f>
        <v>-23</v>
      </c>
      <c r="F9" s="1444">
        <f>INDEX('Balance Sheet'!$140:$140,MATCH('DCF Feed'!F1,'Balance Sheet'!$88:$88,0))</f>
        <v>-23</v>
      </c>
      <c r="G9" s="1444">
        <f>INDEX('Balance Sheet'!$140:$140,MATCH('DCF Feed'!G1,'Balance Sheet'!$88:$88,0))</f>
        <v>-23</v>
      </c>
      <c r="H9" s="1428"/>
    </row>
    <row r="10" spans="1:8">
      <c r="A10" s="1428" t="s">
        <v>1880</v>
      </c>
      <c r="B10" s="1446">
        <f>INDEX('Income Statement'!91:91,MATCH(B1,'Income Statement'!$38:$38,0))</f>
        <v>-0.32</v>
      </c>
      <c r="C10" s="1446">
        <f>INDEX('Income Statement'!91:91,MATCH(C1,'Income Statement'!$38:$38,0))</f>
        <v>-0.25</v>
      </c>
      <c r="D10" s="1446">
        <f>INDEX('Income Statement'!91:91,MATCH(D1,'Income Statement'!$38:$38,0))</f>
        <v>-0.25</v>
      </c>
      <c r="E10" s="1446">
        <f>INDEX('Income Statement'!91:91,MATCH(E1,'Income Statement'!$38:$38,0))</f>
        <v>-0.25</v>
      </c>
      <c r="F10" s="1446">
        <f>INDEX('Income Statement'!91:91,MATCH(F1,'Income Statement'!$38:$38,0))</f>
        <v>-0.25</v>
      </c>
      <c r="G10" s="1446">
        <f>INDEX('Income Statement'!91:91,MATCH(G1,'Income Statement'!$38:$38,0))</f>
        <v>-0.25</v>
      </c>
      <c r="H10" s="1428"/>
    </row>
    <row r="11" spans="1:8">
      <c r="A11" s="1428" t="s">
        <v>776</v>
      </c>
      <c r="B11" s="1428"/>
      <c r="C11" s="1428"/>
      <c r="D11" s="1428"/>
      <c r="E11" s="1428"/>
      <c r="F11" s="1428"/>
      <c r="G11" s="1428"/>
      <c r="H11" s="1428"/>
    </row>
    <row r="12" spans="1:8">
      <c r="A12" s="1428" t="s">
        <v>1881</v>
      </c>
      <c r="B12" s="1444">
        <f>INDEX('Income Statement'!117:117,MATCH(B1,'Income Statement'!$38:$38,0))/1000</f>
        <v>416.23563368916012</v>
      </c>
      <c r="C12" s="1444">
        <f>INDEX('Income Statement'!117:117,MATCH(C1,'Income Statement'!$38:$38,0))/1000</f>
        <v>411.74891437832019</v>
      </c>
      <c r="D12" s="1444">
        <f>INDEX('Income Statement'!117:117,MATCH(D1,'Income Statement'!$38:$38,0))/1000</f>
        <v>407.26219506748032</v>
      </c>
      <c r="E12" s="1444">
        <f>INDEX('Income Statement'!117:117,MATCH(E1,'Income Statement'!$38:$38,0))/1000</f>
        <v>402.77547575664045</v>
      </c>
      <c r="F12" s="1444">
        <f>INDEX('Income Statement'!117:117,MATCH(F1,'Income Statement'!$38:$38,0))/1000</f>
        <v>402.77547575664045</v>
      </c>
      <c r="G12" s="1444">
        <f>INDEX('Income Statement'!117:117,MATCH(G1,'Income Statement'!$38:$38,0))/1000</f>
        <v>402.77547575664045</v>
      </c>
      <c r="H12" s="1428"/>
    </row>
  </sheetData>
  <pageMargins left="0.7" right="0.7" top="0.75" bottom="0.75" header="0.3" footer="0.3"/>
  <customProperties>
    <customPr name="Qube.Worksheet.Visibility" r:id="rId1"/>
  </customProperties>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349D13-51FE-4B7A-8342-667015593D28}">
  <sheetPr codeName="Sheet4">
    <tabColor rgb="FF002060"/>
  </sheetPr>
  <dimension ref="A1:AN196"/>
  <sheetViews>
    <sheetView showGridLines="0" zoomScaleNormal="100" workbookViewId="0">
      <pane xSplit="1" ySplit="3" topLeftCell="B4" activePane="bottomRight" state="frozen"/>
      <selection pane="topRight" activeCell="B1" sqref="B1"/>
      <selection pane="bottomLeft" activeCell="A4" sqref="A4"/>
      <selection pane="bottomRight" activeCell="W4" sqref="W4"/>
    </sheetView>
  </sheetViews>
  <sheetFormatPr defaultRowHeight="14.25" outlineLevelRow="1" outlineLevelCol="1"/>
  <cols>
    <col min="1" max="1" width="40.5" bestFit="1" customWidth="1"/>
    <col min="2" max="6" width="8.75" hidden="1" customWidth="1" outlineLevel="1"/>
    <col min="7" max="7" width="9" hidden="1" customWidth="1" outlineLevel="1"/>
    <col min="8" max="17" width="8.75" hidden="1" customWidth="1" outlineLevel="1"/>
    <col min="18" max="22" width="9" hidden="1" customWidth="1" outlineLevel="1"/>
    <col min="23" max="23" width="9" collapsed="1"/>
    <col min="33" max="33" width="14" style="1622" bestFit="1" customWidth="1"/>
    <col min="34" max="40" width="9" style="1622"/>
  </cols>
  <sheetData>
    <row r="1" spans="1:39" ht="15">
      <c r="A1" s="1285">
        <f>'DCF Valuation'!D45</f>
        <v>340</v>
      </c>
    </row>
    <row r="2" spans="1:39">
      <c r="A2" s="305" t="s">
        <v>1867</v>
      </c>
    </row>
    <row r="3" spans="1:39">
      <c r="A3" s="305" t="s">
        <v>1295</v>
      </c>
      <c r="B3" s="305">
        <f>B38</f>
        <v>2000</v>
      </c>
      <c r="C3" s="305">
        <f t="shared" ref="C3:Z3" si="0">C38</f>
        <v>2001</v>
      </c>
      <c r="D3" s="305">
        <f t="shared" si="0"/>
        <v>2002</v>
      </c>
      <c r="E3" s="305">
        <f t="shared" si="0"/>
        <v>2003</v>
      </c>
      <c r="F3" s="305">
        <f t="shared" si="0"/>
        <v>2004</v>
      </c>
      <c r="G3" s="305">
        <f t="shared" si="0"/>
        <v>2005</v>
      </c>
      <c r="H3" s="305">
        <f t="shared" si="0"/>
        <v>2006</v>
      </c>
      <c r="I3" s="305">
        <f t="shared" si="0"/>
        <v>2007</v>
      </c>
      <c r="J3" s="305">
        <f t="shared" si="0"/>
        <v>2008</v>
      </c>
      <c r="K3" s="305">
        <f t="shared" si="0"/>
        <v>2009</v>
      </c>
      <c r="L3" s="305">
        <f t="shared" si="0"/>
        <v>2010</v>
      </c>
      <c r="M3" s="305">
        <f t="shared" si="0"/>
        <v>2011</v>
      </c>
      <c r="N3" s="305">
        <f t="shared" si="0"/>
        <v>2012</v>
      </c>
      <c r="O3" s="305">
        <f t="shared" si="0"/>
        <v>2013</v>
      </c>
      <c r="P3" s="305">
        <f t="shared" si="0"/>
        <v>2014</v>
      </c>
      <c r="Q3" s="305">
        <f t="shared" si="0"/>
        <v>2015</v>
      </c>
      <c r="R3" s="305">
        <f t="shared" si="0"/>
        <v>2016</v>
      </c>
      <c r="S3" s="305">
        <f t="shared" si="0"/>
        <v>2017</v>
      </c>
      <c r="T3" s="305">
        <f t="shared" si="0"/>
        <v>2018</v>
      </c>
      <c r="U3" s="305">
        <f t="shared" si="0"/>
        <v>2019</v>
      </c>
      <c r="V3" s="305">
        <f t="shared" si="0"/>
        <v>2020</v>
      </c>
      <c r="W3" s="305">
        <f t="shared" si="0"/>
        <v>2021</v>
      </c>
      <c r="X3" s="305">
        <f t="shared" si="0"/>
        <v>2022</v>
      </c>
      <c r="Y3" s="305">
        <f t="shared" si="0"/>
        <v>2023</v>
      </c>
      <c r="Z3" s="305">
        <f t="shared" si="0"/>
        <v>2024</v>
      </c>
      <c r="AA3" s="1307">
        <f>Z3+1</f>
        <v>2025</v>
      </c>
      <c r="AB3" s="1307">
        <f t="shared" ref="AB3:AF3" si="1">AA3+1</f>
        <v>2026</v>
      </c>
      <c r="AC3" s="1307">
        <f t="shared" si="1"/>
        <v>2027</v>
      </c>
      <c r="AD3" s="1307">
        <f t="shared" si="1"/>
        <v>2028</v>
      </c>
      <c r="AE3" s="1307">
        <f t="shared" si="1"/>
        <v>2029</v>
      </c>
      <c r="AF3" s="1307">
        <f t="shared" si="1"/>
        <v>2030</v>
      </c>
      <c r="AG3" s="1624"/>
      <c r="AH3" s="1624"/>
      <c r="AI3" s="1624"/>
      <c r="AJ3" s="1624"/>
      <c r="AK3" s="1624"/>
      <c r="AL3" s="1624"/>
      <c r="AM3" s="1624"/>
    </row>
    <row r="4" spans="1:39">
      <c r="A4" s="306" t="s">
        <v>789</v>
      </c>
      <c r="B4" s="307"/>
      <c r="C4" s="307"/>
      <c r="D4" s="307"/>
      <c r="E4" s="307"/>
      <c r="F4" s="307"/>
      <c r="G4" s="307"/>
      <c r="H4" s="307"/>
      <c r="I4" s="307"/>
      <c r="J4" s="307"/>
      <c r="K4" s="307"/>
      <c r="L4" s="307"/>
      <c r="M4" s="308"/>
      <c r="N4" s="308"/>
      <c r="O4" s="308"/>
      <c r="P4" s="308"/>
      <c r="Q4" s="308"/>
      <c r="R4" s="308"/>
      <c r="S4" s="308"/>
      <c r="T4" s="308"/>
      <c r="U4" s="308"/>
      <c r="V4" s="308"/>
      <c r="W4" s="308"/>
      <c r="X4" s="308"/>
      <c r="Y4" s="308"/>
      <c r="Z4" s="308"/>
      <c r="AA4" s="308"/>
      <c r="AB4" s="308"/>
      <c r="AC4" s="308"/>
      <c r="AD4" s="308"/>
      <c r="AE4" s="308"/>
      <c r="AF4" s="308"/>
      <c r="AG4" s="1624"/>
      <c r="AH4" s="1624"/>
      <c r="AI4" s="1624"/>
      <c r="AJ4" s="1624"/>
      <c r="AK4" s="1624"/>
      <c r="AL4" s="1624"/>
      <c r="AM4" s="1624"/>
    </row>
    <row r="5" spans="1:39">
      <c r="A5" s="19" t="s">
        <v>978</v>
      </c>
      <c r="B5" s="200"/>
      <c r="C5" s="200"/>
      <c r="D5" s="200"/>
      <c r="E5" s="200"/>
      <c r="F5" s="200"/>
      <c r="G5" s="200"/>
      <c r="H5" s="211">
        <v>5073</v>
      </c>
      <c r="I5" s="211">
        <v>5917</v>
      </c>
      <c r="J5" s="211">
        <v>5803</v>
      </c>
      <c r="K5" s="211">
        <v>5673</v>
      </c>
      <c r="L5" s="211">
        <v>5604</v>
      </c>
      <c r="M5" s="211">
        <v>6110</v>
      </c>
      <c r="N5" s="211">
        <v>7005</v>
      </c>
      <c r="O5" s="200">
        <f>'Aerospace Propulsion Division'!O6</f>
        <v>7589</v>
      </c>
      <c r="P5" s="200">
        <f>'Aerospace Propulsion Division'!P6</f>
        <v>8153</v>
      </c>
      <c r="Q5" s="200">
        <f>'Aerospace Propulsion Division'!Q6</f>
        <v>9319</v>
      </c>
      <c r="R5" s="200">
        <f>'Aerospace Propulsion Division'!R6</f>
        <v>9391</v>
      </c>
      <c r="S5" s="200">
        <f>'Aerospace Propulsion Division'!S6</f>
        <v>9357</v>
      </c>
      <c r="T5" s="200">
        <f>'Aerospace Propulsion Division'!T6</f>
        <v>10579</v>
      </c>
      <c r="U5" s="200">
        <f>'Aerospace Propulsion Division'!U6</f>
        <v>12045</v>
      </c>
      <c r="V5" s="200">
        <f>'Aerospace Propulsion Division'!V6</f>
        <v>7663</v>
      </c>
      <c r="W5" s="200">
        <f>'Aerospace Propulsion Division'!W6</f>
        <v>7439</v>
      </c>
      <c r="X5" s="200">
        <f>'Aerospace Propulsion Division'!X6</f>
        <v>9506</v>
      </c>
      <c r="Y5" s="200">
        <f>'Aerospace Propulsion Division'!Y6</f>
        <v>11876</v>
      </c>
      <c r="Z5" s="200">
        <f>'Aerospace Propulsion Division'!Z6</f>
        <v>13652</v>
      </c>
      <c r="AA5" s="200">
        <f>Z5*(1+AA12)</f>
        <v>15370.630147753953</v>
      </c>
      <c r="AB5" s="200">
        <f t="shared" ref="AB5:AF5" si="2">AA5*(1+AB12)</f>
        <v>17237.134137577486</v>
      </c>
      <c r="AC5" s="200">
        <f t="shared" si="2"/>
        <v>19144.030748250396</v>
      </c>
      <c r="AD5" s="200">
        <f t="shared" si="2"/>
        <v>20696.68079515608</v>
      </c>
      <c r="AE5" s="200">
        <f t="shared" si="2"/>
        <v>21724.521775313377</v>
      </c>
      <c r="AF5" s="200">
        <f t="shared" si="2"/>
        <v>22805.290683049712</v>
      </c>
      <c r="AG5" s="1624">
        <f>(AD5/Z5)^(1/4)-1</f>
        <v>0.1096246745149283</v>
      </c>
      <c r="AH5" s="1624"/>
      <c r="AI5" s="1624"/>
      <c r="AJ5" s="1624"/>
      <c r="AK5" s="1624"/>
      <c r="AL5" s="1624"/>
      <c r="AM5" s="1624"/>
    </row>
    <row r="6" spans="1:39">
      <c r="A6" s="19" t="s">
        <v>1930</v>
      </c>
      <c r="B6" s="200"/>
      <c r="C6" s="200"/>
      <c r="D6" s="200"/>
      <c r="E6" s="200"/>
      <c r="F6" s="200"/>
      <c r="G6" s="200"/>
      <c r="H6" s="211"/>
      <c r="I6" s="211"/>
      <c r="J6" s="211"/>
      <c r="K6" s="211"/>
      <c r="L6" s="211"/>
      <c r="M6" s="211"/>
      <c r="N6" s="211"/>
      <c r="O6" s="200"/>
      <c r="P6" s="200"/>
      <c r="Q6" s="200"/>
      <c r="R6" s="200"/>
      <c r="S6" s="200"/>
      <c r="T6" s="200">
        <f>'Equipment and Defense'!T6</f>
        <v>7942</v>
      </c>
      <c r="U6" s="200">
        <f>'Equipment and Defense'!U6</f>
        <v>9256</v>
      </c>
      <c r="V6" s="200">
        <f>'Equipment and Defense'!V6</f>
        <v>6893</v>
      </c>
      <c r="W6" s="200">
        <f>'Equipment and Defense'!W6</f>
        <v>6325</v>
      </c>
      <c r="X6" s="200">
        <f>'Equipment and Defense'!X6</f>
        <v>7535</v>
      </c>
      <c r="Y6" s="200">
        <f>'Equipment and Defense'!Y6</f>
        <v>8835</v>
      </c>
      <c r="Z6" s="200">
        <f>'Equipment and Defense'!Z6</f>
        <v>10618</v>
      </c>
      <c r="AA6" s="200">
        <f>Z6*(1+AA13)</f>
        <v>12191.476774649433</v>
      </c>
      <c r="AB6" s="200">
        <f t="shared" ref="AB6:AF7" si="3">AA6*(1+AB13)</f>
        <v>13490.447545949384</v>
      </c>
      <c r="AC6" s="200">
        <f t="shared" si="3"/>
        <v>14881.971979736896</v>
      </c>
      <c r="AD6" s="200">
        <f t="shared" si="3"/>
        <v>16221.876397768472</v>
      </c>
      <c r="AE6" s="200">
        <f t="shared" si="3"/>
        <v>17082.303200361919</v>
      </c>
      <c r="AF6" s="200">
        <f t="shared" si="3"/>
        <v>17972.921449066049</v>
      </c>
      <c r="AG6" s="1624"/>
      <c r="AH6" s="1624"/>
      <c r="AI6" s="1624"/>
      <c r="AJ6" s="1624"/>
      <c r="AK6" s="1624"/>
      <c r="AL6" s="1624"/>
      <c r="AM6" s="1624"/>
    </row>
    <row r="7" spans="1:39">
      <c r="A7" s="19" t="s">
        <v>1293</v>
      </c>
      <c r="B7" s="200"/>
      <c r="C7" s="200"/>
      <c r="D7" s="200"/>
      <c r="E7" s="200"/>
      <c r="F7" s="200"/>
      <c r="G7" s="200"/>
      <c r="H7" s="211"/>
      <c r="I7" s="211"/>
      <c r="J7" s="211"/>
      <c r="K7" s="211"/>
      <c r="L7" s="211"/>
      <c r="M7" s="211"/>
      <c r="N7" s="211"/>
      <c r="O7" s="200"/>
      <c r="P7" s="200"/>
      <c r="Q7" s="200"/>
      <c r="R7" s="200"/>
      <c r="S7" s="200"/>
      <c r="T7" s="200">
        <f>'Aircraft Interiors Division'!H6</f>
        <v>2511</v>
      </c>
      <c r="U7" s="200">
        <f>'Aircraft Interiors Division'!I6</f>
        <v>3321</v>
      </c>
      <c r="V7" s="200">
        <f>'Aircraft Interiors Division'!J6</f>
        <v>1922</v>
      </c>
      <c r="W7" s="200">
        <f>'Aircraft Interiors Division'!K6</f>
        <v>1475</v>
      </c>
      <c r="X7" s="200">
        <f>'Aircraft Interiors Division'!L6</f>
        <v>1978</v>
      </c>
      <c r="Y7" s="200">
        <f>'Aircraft Interiors Division'!M6</f>
        <v>2477</v>
      </c>
      <c r="Z7" s="200">
        <f>'Aircraft Interiors Division'!N6</f>
        <v>3037</v>
      </c>
      <c r="AA7" s="200">
        <f>Z7*(1+AA14)</f>
        <v>3423.86</v>
      </c>
      <c r="AB7" s="200">
        <f t="shared" si="3"/>
        <v>3783.125</v>
      </c>
      <c r="AC7" s="200">
        <f t="shared" si="3"/>
        <v>4134.5880820000002</v>
      </c>
      <c r="AD7" s="200">
        <f t="shared" si="3"/>
        <v>4471.8616129800002</v>
      </c>
      <c r="AE7" s="200">
        <f t="shared" si="3"/>
        <v>4616.6169190049995</v>
      </c>
      <c r="AF7" s="200">
        <f t="shared" si="3"/>
        <v>4747.6719090208799</v>
      </c>
      <c r="AG7" s="1624"/>
      <c r="AH7" s="1624"/>
      <c r="AI7" s="1624"/>
      <c r="AJ7" s="1624"/>
      <c r="AK7" s="1624"/>
      <c r="AL7" s="1624"/>
      <c r="AM7" s="1624"/>
    </row>
    <row r="8" spans="1:39">
      <c r="A8" s="19" t="s">
        <v>776</v>
      </c>
      <c r="B8" s="200"/>
      <c r="C8" s="200"/>
      <c r="D8" s="200"/>
      <c r="E8" s="200"/>
      <c r="F8" s="200"/>
      <c r="G8" s="200"/>
      <c r="H8" s="211">
        <f t="shared" ref="H8:S8" si="4">H9-H5</f>
        <v>6256</v>
      </c>
      <c r="I8" s="211">
        <f t="shared" si="4"/>
        <v>4305</v>
      </c>
      <c r="J8" s="211">
        <f t="shared" si="4"/>
        <v>4526</v>
      </c>
      <c r="K8" s="211">
        <f t="shared" si="4"/>
        <v>4775</v>
      </c>
      <c r="L8" s="211">
        <f t="shared" si="4"/>
        <v>5156</v>
      </c>
      <c r="M8" s="211">
        <f t="shared" si="4"/>
        <v>5626</v>
      </c>
      <c r="N8" s="211">
        <f t="shared" si="4"/>
        <v>6555</v>
      </c>
      <c r="O8" s="211">
        <f t="shared" si="4"/>
        <v>6774</v>
      </c>
      <c r="P8" s="211">
        <f t="shared" si="4"/>
        <v>7202</v>
      </c>
      <c r="Q8" s="211">
        <f t="shared" si="4"/>
        <v>8095</v>
      </c>
      <c r="R8" s="211">
        <f t="shared" si="4"/>
        <v>6390</v>
      </c>
      <c r="S8" s="211">
        <f t="shared" si="4"/>
        <v>6596</v>
      </c>
      <c r="T8" s="211">
        <v>18</v>
      </c>
      <c r="U8" s="211">
        <v>18</v>
      </c>
      <c r="V8" s="211">
        <v>20</v>
      </c>
      <c r="W8" s="211">
        <v>18</v>
      </c>
      <c r="X8" s="211">
        <v>16</v>
      </c>
      <c r="Y8" s="211">
        <v>11</v>
      </c>
      <c r="Z8" s="211">
        <v>10</v>
      </c>
      <c r="AA8" s="200">
        <f t="shared" ref="AA8:AF8" si="5">Z8</f>
        <v>10</v>
      </c>
      <c r="AB8" s="200">
        <f t="shared" si="5"/>
        <v>10</v>
      </c>
      <c r="AC8" s="200">
        <f t="shared" si="5"/>
        <v>10</v>
      </c>
      <c r="AD8" s="200">
        <f t="shared" si="5"/>
        <v>10</v>
      </c>
      <c r="AE8" s="200">
        <f t="shared" si="5"/>
        <v>10</v>
      </c>
      <c r="AF8" s="200">
        <f t="shared" si="5"/>
        <v>10</v>
      </c>
      <c r="AG8" s="1624"/>
      <c r="AH8" s="1624"/>
      <c r="AI8" s="1624"/>
      <c r="AJ8" s="1624"/>
      <c r="AK8" s="1624"/>
      <c r="AL8" s="1624"/>
      <c r="AM8" s="1624"/>
    </row>
    <row r="9" spans="1:39">
      <c r="A9" s="214" t="s">
        <v>1008</v>
      </c>
      <c r="B9" s="190"/>
      <c r="C9" s="190"/>
      <c r="D9" s="190"/>
      <c r="E9" s="190"/>
      <c r="F9" s="190"/>
      <c r="G9" s="190"/>
      <c r="H9" s="190">
        <v>11329</v>
      </c>
      <c r="I9" s="190">
        <v>10222</v>
      </c>
      <c r="J9" s="190">
        <v>10329</v>
      </c>
      <c r="K9" s="190">
        <v>10448</v>
      </c>
      <c r="L9" s="190">
        <v>10760</v>
      </c>
      <c r="M9" s="190">
        <v>11736</v>
      </c>
      <c r="N9" s="190">
        <v>13560</v>
      </c>
      <c r="O9" s="190">
        <v>14363</v>
      </c>
      <c r="P9" s="190">
        <v>15355</v>
      </c>
      <c r="Q9" s="190">
        <v>17414</v>
      </c>
      <c r="R9" s="190">
        <v>15781</v>
      </c>
      <c r="S9" s="190">
        <v>15953</v>
      </c>
      <c r="T9" s="190">
        <f t="shared" ref="T9:AF9" si="6">SUM(T5,T6,T7,T8)</f>
        <v>21050</v>
      </c>
      <c r="U9" s="190">
        <f t="shared" si="6"/>
        <v>24640</v>
      </c>
      <c r="V9" s="190">
        <f t="shared" si="6"/>
        <v>16498</v>
      </c>
      <c r="W9" s="190">
        <f t="shared" si="6"/>
        <v>15257</v>
      </c>
      <c r="X9" s="190">
        <f t="shared" si="6"/>
        <v>19035</v>
      </c>
      <c r="Y9" s="190">
        <f t="shared" si="6"/>
        <v>23199</v>
      </c>
      <c r="Z9" s="190">
        <f t="shared" si="6"/>
        <v>27317</v>
      </c>
      <c r="AA9" s="190">
        <f t="shared" si="6"/>
        <v>30995.966922403386</v>
      </c>
      <c r="AB9" s="190">
        <f t="shared" si="6"/>
        <v>34520.706683526871</v>
      </c>
      <c r="AC9" s="190">
        <f t="shared" si="6"/>
        <v>38170.59080998729</v>
      </c>
      <c r="AD9" s="190">
        <f t="shared" si="6"/>
        <v>41400.418805904548</v>
      </c>
      <c r="AE9" s="190">
        <f t="shared" si="6"/>
        <v>43433.441894680291</v>
      </c>
      <c r="AF9" s="190">
        <f t="shared" si="6"/>
        <v>45535.88404113664</v>
      </c>
      <c r="AG9" s="1624" t="s">
        <v>2034</v>
      </c>
      <c r="AH9" s="1624"/>
      <c r="AI9" s="1624"/>
      <c r="AJ9" s="1624"/>
      <c r="AK9" s="1624"/>
      <c r="AL9" s="1624"/>
      <c r="AM9" s="1624"/>
    </row>
    <row r="10" spans="1:39">
      <c r="A10" s="213"/>
      <c r="B10" s="213"/>
      <c r="C10" s="213"/>
      <c r="D10" s="213"/>
      <c r="E10" s="213"/>
      <c r="F10" s="213"/>
      <c r="G10" s="213"/>
      <c r="H10" s="213"/>
      <c r="I10" s="213"/>
      <c r="J10" s="213"/>
      <c r="K10" s="213"/>
      <c r="L10" s="213"/>
      <c r="M10" s="213"/>
      <c r="N10" s="213"/>
      <c r="O10" s="213"/>
      <c r="P10" s="213"/>
      <c r="Q10" s="213"/>
      <c r="R10" s="213"/>
      <c r="S10" s="213"/>
      <c r="T10" s="213"/>
      <c r="U10" s="213"/>
      <c r="V10" s="213"/>
      <c r="W10" s="213"/>
      <c r="X10" s="213"/>
      <c r="Y10" s="213"/>
      <c r="Z10" s="213"/>
      <c r="AA10" s="1021"/>
      <c r="AB10" s="213"/>
      <c r="AC10" s="213"/>
      <c r="AD10" s="213"/>
      <c r="AE10" s="213"/>
      <c r="AF10" s="213"/>
      <c r="AG10" s="1624"/>
      <c r="AH10" s="1624"/>
      <c r="AI10" s="1624"/>
      <c r="AJ10" s="1624"/>
      <c r="AK10" s="1624"/>
      <c r="AL10" s="1624"/>
      <c r="AM10" s="1624"/>
    </row>
    <row r="11" spans="1:39">
      <c r="A11" s="306" t="s">
        <v>1468</v>
      </c>
      <c r="B11" s="307"/>
      <c r="C11" s="307"/>
      <c r="D11" s="307"/>
      <c r="E11" s="307"/>
      <c r="F11" s="307"/>
      <c r="G11" s="307"/>
      <c r="H11" s="307"/>
      <c r="I11" s="307"/>
      <c r="J11" s="307"/>
      <c r="K11" s="307"/>
      <c r="L11" s="307"/>
      <c r="M11" s="308"/>
      <c r="N11" s="308"/>
      <c r="O11" s="308"/>
      <c r="P11" s="308"/>
      <c r="Q11" s="308"/>
      <c r="R11" s="308"/>
      <c r="S11" s="308"/>
      <c r="T11" s="308"/>
      <c r="U11" s="308"/>
      <c r="V11" s="308"/>
      <c r="W11" s="308"/>
      <c r="X11" s="308"/>
      <c r="Y11" s="308"/>
      <c r="Z11" s="308"/>
      <c r="AA11" s="308"/>
      <c r="AB11" s="308"/>
      <c r="AC11" s="308"/>
      <c r="AD11" s="308"/>
      <c r="AE11" s="308"/>
      <c r="AF11" s="308"/>
      <c r="AG11" s="1624"/>
      <c r="AH11" s="1624"/>
      <c r="AI11" s="1624"/>
      <c r="AJ11" s="1624"/>
      <c r="AK11" s="1624"/>
      <c r="AL11" s="1624"/>
      <c r="AM11" s="1624"/>
    </row>
    <row r="12" spans="1:39">
      <c r="A12" s="19" t="s">
        <v>978</v>
      </c>
      <c r="B12" s="213"/>
      <c r="C12" s="213"/>
      <c r="D12" s="213"/>
      <c r="E12" s="213"/>
      <c r="F12" s="213"/>
      <c r="G12" s="213"/>
      <c r="H12" s="213"/>
      <c r="I12" s="340">
        <f t="shared" ref="I12:Z12" si="7">I5/H5-1</f>
        <v>0.16637098363887248</v>
      </c>
      <c r="J12" s="340">
        <f t="shared" si="7"/>
        <v>-1.9266520196045245E-2</v>
      </c>
      <c r="K12" s="340">
        <f t="shared" si="7"/>
        <v>-2.2402205755643667E-2</v>
      </c>
      <c r="L12" s="340">
        <f t="shared" si="7"/>
        <v>-1.2162876784770016E-2</v>
      </c>
      <c r="M12" s="340">
        <f t="shared" si="7"/>
        <v>9.0292648108494022E-2</v>
      </c>
      <c r="N12" s="340">
        <f t="shared" si="7"/>
        <v>0.146481178396072</v>
      </c>
      <c r="O12" s="340">
        <f t="shared" si="7"/>
        <v>8.3369022127051995E-2</v>
      </c>
      <c r="P12" s="340">
        <f t="shared" si="7"/>
        <v>7.4318091975227318E-2</v>
      </c>
      <c r="Q12" s="340">
        <f t="shared" si="7"/>
        <v>0.14301484116276209</v>
      </c>
      <c r="R12" s="340">
        <f t="shared" si="7"/>
        <v>7.7261508745574137E-3</v>
      </c>
      <c r="S12" s="340">
        <f t="shared" si="7"/>
        <v>-3.6204877009903269E-3</v>
      </c>
      <c r="T12" s="340">
        <f t="shared" si="7"/>
        <v>0.13059741370097244</v>
      </c>
      <c r="U12" s="340">
        <f t="shared" si="7"/>
        <v>0.13857642499291045</v>
      </c>
      <c r="V12" s="340">
        <f t="shared" si="7"/>
        <v>-0.36380240763802407</v>
      </c>
      <c r="W12" s="340">
        <f t="shared" si="7"/>
        <v>-2.9231371525512251E-2</v>
      </c>
      <c r="X12" s="340">
        <f t="shared" si="7"/>
        <v>0.27785992740959808</v>
      </c>
      <c r="Y12" s="340">
        <f t="shared" si="7"/>
        <v>0.24931622133389442</v>
      </c>
      <c r="Z12" s="340">
        <f t="shared" si="7"/>
        <v>0.14954530144829903</v>
      </c>
      <c r="AA12" s="1447">
        <f>'Aerospace Propulsion Division'!AA7</f>
        <v>0.12588852532624917</v>
      </c>
      <c r="AB12" s="1447">
        <f>'Aerospace Propulsion Division'!AB7</f>
        <v>0.12143314697454222</v>
      </c>
      <c r="AC12" s="1447">
        <f>'Aerospace Propulsion Division'!AC7</f>
        <v>0.11062724206083741</v>
      </c>
      <c r="AD12" s="1447">
        <f>'Aerospace Propulsion Division'!AD7</f>
        <v>8.1103612260316815E-2</v>
      </c>
      <c r="AE12" s="1447">
        <f>'Aerospace Propulsion Division'!AE7</f>
        <v>4.9662116854884975E-2</v>
      </c>
      <c r="AF12" s="1447">
        <f>'Aerospace Propulsion Division'!AF7</f>
        <v>4.974880086725153E-2</v>
      </c>
      <c r="AG12" s="1624"/>
      <c r="AH12" s="1624"/>
      <c r="AI12" s="1624"/>
      <c r="AJ12" s="1624"/>
      <c r="AK12" s="1624"/>
      <c r="AL12" s="1624"/>
      <c r="AM12" s="1624"/>
    </row>
    <row r="13" spans="1:39">
      <c r="A13" s="19" t="s">
        <v>1930</v>
      </c>
      <c r="B13" s="213"/>
      <c r="C13" s="213"/>
      <c r="D13" s="213"/>
      <c r="E13" s="213"/>
      <c r="F13" s="213"/>
      <c r="G13" s="213"/>
      <c r="H13" s="213"/>
      <c r="I13" s="340"/>
      <c r="J13" s="340"/>
      <c r="K13" s="340"/>
      <c r="L13" s="340"/>
      <c r="M13" s="340"/>
      <c r="N13" s="340"/>
      <c r="O13" s="340"/>
      <c r="P13" s="340"/>
      <c r="Q13" s="340"/>
      <c r="R13" s="340"/>
      <c r="S13" s="340"/>
      <c r="T13" s="340"/>
      <c r="U13" s="340">
        <f t="shared" ref="U13:Z13" si="8">U6/T6-1</f>
        <v>0.16544950893981358</v>
      </c>
      <c r="V13" s="340">
        <f t="shared" si="8"/>
        <v>-0.25529386343993088</v>
      </c>
      <c r="W13" s="340">
        <f t="shared" si="8"/>
        <v>-8.2402437255186367E-2</v>
      </c>
      <c r="X13" s="340">
        <f t="shared" si="8"/>
        <v>0.19130434782608696</v>
      </c>
      <c r="Y13" s="340">
        <f t="shared" si="8"/>
        <v>0.17252820172528205</v>
      </c>
      <c r="Z13" s="340">
        <f t="shared" si="8"/>
        <v>0.20181097906055467</v>
      </c>
      <c r="AA13" s="1447">
        <f>'Equipment and Defense'!AA7</f>
        <v>0.14818956250230109</v>
      </c>
      <c r="AB13" s="1447">
        <f>'Equipment and Defense'!AB7</f>
        <v>0.10654745075682626</v>
      </c>
      <c r="AC13" s="1447">
        <f>'Equipment and Defense'!AC7</f>
        <v>0.10314887101023773</v>
      </c>
      <c r="AD13" s="1447">
        <f>'Equipment and Defense'!AD7</f>
        <v>9.003540793222653E-2</v>
      </c>
      <c r="AE13" s="1447">
        <f>'Equipment and Defense'!AE7</f>
        <v>5.3041139107175672E-2</v>
      </c>
      <c r="AF13" s="1447">
        <f>'Equipment and Defense'!AF7</f>
        <v>5.2136895022754315E-2</v>
      </c>
      <c r="AG13" s="1624"/>
      <c r="AH13" s="1624"/>
      <c r="AI13" s="1624"/>
      <c r="AJ13" s="1624"/>
      <c r="AK13" s="1624"/>
      <c r="AL13" s="1624"/>
      <c r="AM13" s="1624"/>
    </row>
    <row r="14" spans="1:39">
      <c r="A14" s="19" t="s">
        <v>1293</v>
      </c>
      <c r="B14" s="213"/>
      <c r="C14" s="213"/>
      <c r="D14" s="213"/>
      <c r="E14" s="213"/>
      <c r="F14" s="213"/>
      <c r="G14" s="213"/>
      <c r="H14" s="213"/>
      <c r="I14" s="340"/>
      <c r="J14" s="340"/>
      <c r="K14" s="340"/>
      <c r="L14" s="340"/>
      <c r="M14" s="340"/>
      <c r="N14" s="340"/>
      <c r="O14" s="340"/>
      <c r="P14" s="340"/>
      <c r="Q14" s="340"/>
      <c r="R14" s="340"/>
      <c r="S14" s="340"/>
      <c r="T14" s="340"/>
      <c r="U14" s="340">
        <f t="shared" ref="U14:Z14" si="9">U7/T7-1</f>
        <v>0.32258064516129026</v>
      </c>
      <c r="V14" s="340">
        <f t="shared" si="9"/>
        <v>-0.42125865703101473</v>
      </c>
      <c r="W14" s="340">
        <f t="shared" si="9"/>
        <v>-0.2325702393340271</v>
      </c>
      <c r="X14" s="340">
        <f t="shared" si="9"/>
        <v>0.34101694915254233</v>
      </c>
      <c r="Y14" s="340">
        <f t="shared" si="9"/>
        <v>0.25227502527805856</v>
      </c>
      <c r="Z14" s="340">
        <f t="shared" si="9"/>
        <v>0.22607993540573279</v>
      </c>
      <c r="AA14" s="1447">
        <f>'Aircraft Interiors Division'!O7</f>
        <v>0.12738228514981897</v>
      </c>
      <c r="AB14" s="1447">
        <f>'Aircraft Interiors Division'!P7</f>
        <v>0.10492981605556295</v>
      </c>
      <c r="AC14" s="1447">
        <f>'Aircraft Interiors Division'!Q7</f>
        <v>9.2902846720634535E-2</v>
      </c>
      <c r="AD14" s="1447">
        <f>'Aircraft Interiors Division'!R7</f>
        <v>8.1573671739713527E-2</v>
      </c>
      <c r="AE14" s="1447">
        <f>'Aircraft Interiors Division'!S7</f>
        <v>3.2370256182533419E-2</v>
      </c>
      <c r="AF14" s="1447">
        <f>'Aircraft Interiors Division'!T7</f>
        <v>2.8387668354368456E-2</v>
      </c>
      <c r="AG14" s="1624"/>
      <c r="AH14" s="1624"/>
      <c r="AI14" s="1624"/>
      <c r="AJ14" s="1624"/>
      <c r="AK14" s="1624"/>
      <c r="AL14" s="1624"/>
      <c r="AM14" s="1624"/>
    </row>
    <row r="15" spans="1:39">
      <c r="A15" s="19" t="s">
        <v>776</v>
      </c>
      <c r="B15" s="213"/>
      <c r="C15" s="213"/>
      <c r="D15" s="213"/>
      <c r="E15" s="213"/>
      <c r="F15" s="213"/>
      <c r="G15" s="213"/>
      <c r="H15" s="213"/>
      <c r="I15" s="340"/>
      <c r="J15" s="340"/>
      <c r="K15" s="340">
        <f t="shared" ref="K15:T15" si="10">K8/J8-1</f>
        <v>5.5015466195315943E-2</v>
      </c>
      <c r="L15" s="340">
        <f t="shared" si="10"/>
        <v>7.9790575916230289E-2</v>
      </c>
      <c r="M15" s="340">
        <f t="shared" si="10"/>
        <v>9.1155934833204055E-2</v>
      </c>
      <c r="N15" s="340">
        <f t="shared" si="10"/>
        <v>0.16512619978670462</v>
      </c>
      <c r="O15" s="340">
        <f t="shared" si="10"/>
        <v>3.3409610983981652E-2</v>
      </c>
      <c r="P15" s="340">
        <f t="shared" si="10"/>
        <v>6.3182757602598061E-2</v>
      </c>
      <c r="Q15" s="340">
        <f t="shared" si="10"/>
        <v>0.12399333518467093</v>
      </c>
      <c r="R15" s="340">
        <f t="shared" si="10"/>
        <v>-0.21062384187770233</v>
      </c>
      <c r="S15" s="340">
        <f t="shared" si="10"/>
        <v>3.2237871674491325E-2</v>
      </c>
      <c r="T15" s="340">
        <f t="shared" si="10"/>
        <v>-0.99727107337780474</v>
      </c>
      <c r="U15" s="340">
        <f t="shared" ref="U15:Z15" si="11">U8/T8-1</f>
        <v>0</v>
      </c>
      <c r="V15" s="340">
        <f t="shared" si="11"/>
        <v>0.11111111111111116</v>
      </c>
      <c r="W15" s="340">
        <f t="shared" si="11"/>
        <v>-9.9999999999999978E-2</v>
      </c>
      <c r="X15" s="340">
        <f t="shared" si="11"/>
        <v>-0.11111111111111116</v>
      </c>
      <c r="Y15" s="340">
        <f t="shared" si="11"/>
        <v>-0.3125</v>
      </c>
      <c r="Z15" s="340">
        <f t="shared" si="11"/>
        <v>-9.0909090909090939E-2</v>
      </c>
      <c r="AA15" s="340">
        <f t="shared" ref="AA15" si="12">AA8/Z8-1</f>
        <v>0</v>
      </c>
      <c r="AB15" s="340">
        <f t="shared" ref="AB15" si="13">AB8/AA8-1</f>
        <v>0</v>
      </c>
      <c r="AC15" s="340">
        <f t="shared" ref="AC15" si="14">AC8/AB8-1</f>
        <v>0</v>
      </c>
      <c r="AD15" s="340">
        <f t="shared" ref="AD15" si="15">AD8/AC8-1</f>
        <v>0</v>
      </c>
      <c r="AE15" s="340">
        <f t="shared" ref="AE15" si="16">AE8/AD8-1</f>
        <v>0</v>
      </c>
      <c r="AF15" s="340">
        <f t="shared" ref="AF15" si="17">AF8/AE8-1</f>
        <v>0</v>
      </c>
      <c r="AG15" s="1624"/>
      <c r="AH15" s="1624"/>
      <c r="AI15" s="1624"/>
      <c r="AJ15" s="1624"/>
      <c r="AK15" s="1624"/>
      <c r="AL15" s="1624"/>
      <c r="AM15" s="1624"/>
    </row>
    <row r="16" spans="1:39">
      <c r="A16" s="214" t="s">
        <v>1008</v>
      </c>
      <c r="B16" s="213"/>
      <c r="C16" s="213"/>
      <c r="D16" s="213"/>
      <c r="E16" s="213"/>
      <c r="F16" s="213"/>
      <c r="G16" s="213"/>
      <c r="H16" s="213"/>
      <c r="I16" s="341">
        <f>I9/H9-1</f>
        <v>-9.7713831759202008E-2</v>
      </c>
      <c r="J16" s="341">
        <f>J9/I9-1</f>
        <v>1.046761886127956E-2</v>
      </c>
      <c r="K16" s="341">
        <f t="shared" ref="K16:T16" si="18">K9/J9-1</f>
        <v>1.1520960402749525E-2</v>
      </c>
      <c r="L16" s="341">
        <f t="shared" si="18"/>
        <v>2.9862174578866751E-2</v>
      </c>
      <c r="M16" s="341">
        <f t="shared" si="18"/>
        <v>9.0706319702602123E-2</v>
      </c>
      <c r="N16" s="341">
        <f t="shared" si="18"/>
        <v>0.15541922290388555</v>
      </c>
      <c r="O16" s="341">
        <f t="shared" si="18"/>
        <v>5.9218289085545717E-2</v>
      </c>
      <c r="P16" s="341">
        <f t="shared" si="18"/>
        <v>6.906635104086889E-2</v>
      </c>
      <c r="Q16" s="341">
        <f t="shared" si="18"/>
        <v>0.13409312927385209</v>
      </c>
      <c r="R16" s="341">
        <f t="shared" si="18"/>
        <v>-9.3775123463879617E-2</v>
      </c>
      <c r="S16" s="341">
        <f t="shared" si="18"/>
        <v>1.0899182561307841E-2</v>
      </c>
      <c r="T16" s="341">
        <f t="shared" si="18"/>
        <v>0.31950103428822163</v>
      </c>
      <c r="U16" s="341">
        <f t="shared" ref="U16:AF16" si="19">U9/T9-1</f>
        <v>0.17054631828978617</v>
      </c>
      <c r="V16" s="341">
        <f t="shared" si="19"/>
        <v>-0.33043831168831173</v>
      </c>
      <c r="W16" s="341">
        <f t="shared" si="19"/>
        <v>-7.5221238938053103E-2</v>
      </c>
      <c r="X16" s="341">
        <f t="shared" si="19"/>
        <v>0.24762404142360883</v>
      </c>
      <c r="Y16" s="341">
        <f t="shared" si="19"/>
        <v>0.21875492513790395</v>
      </c>
      <c r="Z16" s="341">
        <f t="shared" si="19"/>
        <v>0.17750765119186163</v>
      </c>
      <c r="AA16" s="341">
        <f t="shared" si="19"/>
        <v>0.13467682843662865</v>
      </c>
      <c r="AB16" s="341">
        <f t="shared" si="19"/>
        <v>0.11371607699632236</v>
      </c>
      <c r="AC16" s="341">
        <f t="shared" si="19"/>
        <v>0.10573028414282515</v>
      </c>
      <c r="AD16" s="341">
        <f t="shared" si="19"/>
        <v>8.461561446599819E-2</v>
      </c>
      <c r="AE16" s="341">
        <f t="shared" si="19"/>
        <v>4.9106341129230069E-2</v>
      </c>
      <c r="AF16" s="341">
        <f t="shared" si="19"/>
        <v>4.8406068106563227E-2</v>
      </c>
      <c r="AG16" s="1624"/>
      <c r="AH16" s="1624"/>
      <c r="AI16" s="1624"/>
      <c r="AJ16" s="1624"/>
      <c r="AK16" s="1624"/>
      <c r="AL16" s="1624"/>
      <c r="AM16" s="1624"/>
    </row>
    <row r="17" spans="1:39">
      <c r="A17" s="214"/>
      <c r="B17" s="213"/>
      <c r="C17" s="213"/>
      <c r="D17" s="213"/>
      <c r="E17" s="213"/>
      <c r="F17" s="213"/>
      <c r="G17" s="213"/>
      <c r="H17" s="213"/>
      <c r="I17" s="213"/>
      <c r="J17" s="213"/>
      <c r="K17" s="213"/>
      <c r="L17" s="213"/>
      <c r="M17" s="213"/>
      <c r="N17" s="213"/>
      <c r="O17" s="519"/>
      <c r="P17" s="519"/>
      <c r="Q17" s="519"/>
      <c r="R17" s="519"/>
      <c r="S17" s="519"/>
      <c r="T17" s="519"/>
      <c r="U17" s="519"/>
      <c r="V17" s="519"/>
      <c r="W17" s="519"/>
      <c r="X17" s="519"/>
      <c r="Y17" s="519"/>
      <c r="Z17" s="519"/>
      <c r="AA17" s="341"/>
      <c r="AB17" s="341"/>
      <c r="AC17" s="341"/>
      <c r="AD17" s="341"/>
      <c r="AE17" s="341"/>
      <c r="AF17" s="341"/>
      <c r="AG17" s="1624"/>
      <c r="AH17" s="1624"/>
      <c r="AI17" s="1624"/>
      <c r="AJ17" s="1624"/>
      <c r="AK17" s="1624"/>
      <c r="AL17" s="1624"/>
      <c r="AM17" s="1624"/>
    </row>
    <row r="18" spans="1:39">
      <c r="A18" s="306" t="s">
        <v>1741</v>
      </c>
      <c r="B18" s="307"/>
      <c r="C18" s="307"/>
      <c r="D18" s="307"/>
      <c r="E18" s="307"/>
      <c r="F18" s="307"/>
      <c r="G18" s="307"/>
      <c r="H18" s="307"/>
      <c r="I18" s="307"/>
      <c r="J18" s="307"/>
      <c r="K18" s="307"/>
      <c r="L18" s="307"/>
      <c r="M18" s="308"/>
      <c r="N18" s="308"/>
      <c r="O18" s="308"/>
      <c r="P18" s="308"/>
      <c r="Q18" s="308"/>
      <c r="R18" s="308"/>
      <c r="S18" s="308"/>
      <c r="T18" s="308"/>
      <c r="U18" s="308"/>
      <c r="V18" s="308"/>
      <c r="W18" s="308"/>
      <c r="X18" s="308"/>
      <c r="Y18" s="308"/>
      <c r="Z18" s="308"/>
      <c r="AA18" s="308"/>
      <c r="AB18" s="308"/>
      <c r="AC18" s="308"/>
      <c r="AD18" s="308"/>
      <c r="AE18" s="308"/>
      <c r="AF18" s="308"/>
    </row>
    <row r="19" spans="1:39">
      <c r="A19" s="19" t="s">
        <v>978</v>
      </c>
      <c r="B19" s="213"/>
      <c r="C19" s="213"/>
      <c r="D19" s="213"/>
      <c r="E19" s="213"/>
      <c r="F19" s="213"/>
      <c r="G19" s="213"/>
      <c r="H19" s="342">
        <v>561</v>
      </c>
      <c r="I19" s="342">
        <v>636</v>
      </c>
      <c r="J19" s="342">
        <v>584</v>
      </c>
      <c r="K19" s="342">
        <v>628</v>
      </c>
      <c r="L19" s="342">
        <v>663</v>
      </c>
      <c r="M19" s="342">
        <v>909</v>
      </c>
      <c r="N19" s="342">
        <v>1076</v>
      </c>
      <c r="O19" s="343">
        <f>'Aerospace Propulsion Division'!O19</f>
        <v>0</v>
      </c>
      <c r="P19" s="343">
        <f>'Aerospace Propulsion Division'!P19</f>
        <v>0</v>
      </c>
      <c r="Q19" s="343">
        <f>'Aerospace Propulsion Division'!Q19</f>
        <v>0</v>
      </c>
      <c r="R19" s="343">
        <f>'Aerospace Propulsion Division'!R19</f>
        <v>0</v>
      </c>
      <c r="S19" s="343">
        <v>1516</v>
      </c>
      <c r="T19" s="343">
        <f>'Aerospace Propulsion Division'!T19</f>
        <v>2030</v>
      </c>
      <c r="U19" s="343">
        <f>'Aerospace Propulsion Division'!U19</f>
        <v>2485</v>
      </c>
      <c r="V19" s="343">
        <f>'Aerospace Propulsion Division'!V19</f>
        <v>1192</v>
      </c>
      <c r="W19" s="343">
        <f>'Aerospace Propulsion Division'!W19</f>
        <v>1342</v>
      </c>
      <c r="X19" s="343">
        <f>'Aerospace Propulsion Division'!X19</f>
        <v>1710</v>
      </c>
      <c r="Y19" s="343">
        <f>'Aerospace Propulsion Division'!Y19</f>
        <v>2390</v>
      </c>
      <c r="Z19" s="343">
        <f>'Aerospace Propulsion Division'!Z19</f>
        <v>2819</v>
      </c>
      <c r="AA19" s="343">
        <f>AA5*AA26</f>
        <v>3498.7921191512232</v>
      </c>
      <c r="AB19" s="343">
        <f t="shared" ref="AB19:AF21" si="20">AB5*AB26</f>
        <v>3987.5038763717052</v>
      </c>
      <c r="AC19" s="343">
        <f t="shared" si="20"/>
        <v>4435.8248269170235</v>
      </c>
      <c r="AD19" s="343">
        <f t="shared" si="20"/>
        <v>4851.267807475032</v>
      </c>
      <c r="AE19" s="343">
        <f t="shared" si="20"/>
        <v>5134.0821959492878</v>
      </c>
      <c r="AF19" s="343">
        <f t="shared" si="20"/>
        <v>5445.7704358674346</v>
      </c>
      <c r="AG19" s="1624">
        <f>(AF19/AA19)^(1/5)-1</f>
        <v>9.251708694513705E-2</v>
      </c>
      <c r="AH19" s="1624"/>
      <c r="AI19" s="1624"/>
      <c r="AJ19" s="1624"/>
      <c r="AK19" s="1624"/>
      <c r="AL19" s="1624"/>
      <c r="AM19" s="1624"/>
    </row>
    <row r="20" spans="1:39">
      <c r="A20" s="19" t="s">
        <v>1930</v>
      </c>
      <c r="B20" s="213"/>
      <c r="C20" s="213"/>
      <c r="D20" s="213"/>
      <c r="E20" s="213"/>
      <c r="F20" s="213"/>
      <c r="G20" s="213"/>
      <c r="H20" s="342"/>
      <c r="I20" s="342"/>
      <c r="J20" s="342"/>
      <c r="K20" s="342"/>
      <c r="L20" s="342"/>
      <c r="M20" s="342"/>
      <c r="N20" s="342"/>
      <c r="O20" s="342"/>
      <c r="P20" s="342"/>
      <c r="Q20" s="342"/>
      <c r="R20" s="342"/>
      <c r="S20" s="342">
        <v>619</v>
      </c>
      <c r="T20" s="314">
        <f>'Equipment and Defense'!T14</f>
        <v>992</v>
      </c>
      <c r="U20" s="314">
        <f>'Equipment and Defense'!U14</f>
        <v>1209</v>
      </c>
      <c r="V20" s="314">
        <f>'Equipment and Defense'!V14</f>
        <v>687</v>
      </c>
      <c r="W20" s="314">
        <f>'Equipment and Defense'!W14</f>
        <v>650</v>
      </c>
      <c r="X20" s="314">
        <f>'Equipment and Defense'!X14</f>
        <v>874</v>
      </c>
      <c r="Y20" s="314">
        <f>'Equipment and Defense'!Y14</f>
        <v>992</v>
      </c>
      <c r="Z20" s="314">
        <f>'Equipment and Defense'!Z14</f>
        <v>1298</v>
      </c>
      <c r="AA20" s="343">
        <f>AA6*AA27</f>
        <v>1601.943770022559</v>
      </c>
      <c r="AB20" s="343">
        <f t="shared" si="20"/>
        <v>1858.4702757019843</v>
      </c>
      <c r="AC20" s="343">
        <f t="shared" si="20"/>
        <v>2134.7102122690167</v>
      </c>
      <c r="AD20" s="343">
        <f t="shared" si="20"/>
        <v>2389.6484999709569</v>
      </c>
      <c r="AE20" s="343">
        <f t="shared" si="20"/>
        <v>2524.2429106702771</v>
      </c>
      <c r="AF20" s="343">
        <f t="shared" si="20"/>
        <v>2640.3034115715386</v>
      </c>
      <c r="AG20" s="1624"/>
      <c r="AH20" s="1624"/>
      <c r="AI20" s="1624"/>
      <c r="AJ20" s="1624"/>
      <c r="AK20" s="1624"/>
      <c r="AL20" s="1624"/>
      <c r="AM20" s="1624"/>
    </row>
    <row r="21" spans="1:39">
      <c r="A21" s="19" t="s">
        <v>1293</v>
      </c>
      <c r="B21" s="213"/>
      <c r="C21" s="213"/>
      <c r="D21" s="213"/>
      <c r="E21" s="213"/>
      <c r="F21" s="213"/>
      <c r="G21" s="213"/>
      <c r="H21" s="342"/>
      <c r="I21" s="342"/>
      <c r="J21" s="342"/>
      <c r="K21" s="342"/>
      <c r="L21" s="342"/>
      <c r="M21" s="342"/>
      <c r="N21" s="342"/>
      <c r="O21" s="342"/>
      <c r="P21" s="342"/>
      <c r="Q21" s="342"/>
      <c r="R21" s="342"/>
      <c r="S21" s="342">
        <v>93</v>
      </c>
      <c r="T21" s="314">
        <f>'Aircraft Interiors Division'!H19</f>
        <v>81</v>
      </c>
      <c r="U21" s="314">
        <f>'Aircraft Interiors Division'!I19</f>
        <v>188</v>
      </c>
      <c r="V21" s="314">
        <f>'Aircraft Interiors Division'!J19</f>
        <v>-174</v>
      </c>
      <c r="W21" s="314">
        <f>'Aircraft Interiors Division'!K19</f>
        <v>-167</v>
      </c>
      <c r="X21" s="314">
        <f>'Aircraft Interiors Division'!L19</f>
        <v>-140</v>
      </c>
      <c r="Y21" s="314">
        <f>'Aircraft Interiors Division'!M19</f>
        <v>-116</v>
      </c>
      <c r="Z21" s="314">
        <f>'Aircraft Interiors Division'!N19</f>
        <v>27</v>
      </c>
      <c r="AA21" s="343">
        <f>AA7*AA28</f>
        <v>106.69281550872572</v>
      </c>
      <c r="AB21" s="343">
        <f t="shared" si="20"/>
        <v>200.53140626440566</v>
      </c>
      <c r="AC21" s="343">
        <f t="shared" si="20"/>
        <v>309.38033969793548</v>
      </c>
      <c r="AD21" s="343">
        <f t="shared" si="20"/>
        <v>401.1613011765312</v>
      </c>
      <c r="AE21" s="343">
        <f t="shared" si="20"/>
        <v>431.91275843864668</v>
      </c>
      <c r="AF21" s="343">
        <f t="shared" si="20"/>
        <v>446.20993327077412</v>
      </c>
      <c r="AG21" s="1624"/>
      <c r="AH21" s="1624"/>
      <c r="AI21" s="1624"/>
      <c r="AJ21" s="1624"/>
      <c r="AK21" s="1624"/>
      <c r="AL21" s="1624"/>
      <c r="AM21" s="1624"/>
    </row>
    <row r="22" spans="1:39">
      <c r="A22" s="19" t="s">
        <v>776</v>
      </c>
      <c r="B22" s="213"/>
      <c r="C22" s="213"/>
      <c r="D22" s="213"/>
      <c r="E22" s="213"/>
      <c r="F22" s="213"/>
      <c r="G22" s="213"/>
      <c r="H22" s="342">
        <v>-16</v>
      </c>
      <c r="I22" s="342">
        <v>-23</v>
      </c>
      <c r="J22" s="342">
        <v>82</v>
      </c>
      <c r="K22" s="342">
        <v>-67</v>
      </c>
      <c r="L22" s="342">
        <v>-95</v>
      </c>
      <c r="M22" s="342">
        <v>-119</v>
      </c>
      <c r="N22" s="342">
        <v>-142</v>
      </c>
      <c r="O22" s="342">
        <v>-158</v>
      </c>
      <c r="P22" s="342">
        <v>-175</v>
      </c>
      <c r="Q22" s="342">
        <v>-82</v>
      </c>
      <c r="R22" s="342">
        <v>-25</v>
      </c>
      <c r="S22" s="342">
        <v>-36</v>
      </c>
      <c r="T22" s="342">
        <v>-80</v>
      </c>
      <c r="U22" s="302">
        <v>-62</v>
      </c>
      <c r="V22" s="302">
        <v>-19</v>
      </c>
      <c r="W22" s="302">
        <v>-20</v>
      </c>
      <c r="X22" s="302">
        <v>-36</v>
      </c>
      <c r="Y22" s="302">
        <v>-100</v>
      </c>
      <c r="Z22" s="302">
        <v>-25</v>
      </c>
      <c r="AA22" s="371">
        <f t="shared" ref="AA22:AF22" si="21">Z22*(AA9/Z9)</f>
        <v>-28.366920710915718</v>
      </c>
      <c r="AB22" s="371">
        <f t="shared" si="21"/>
        <v>-31.59269565062678</v>
      </c>
      <c r="AC22" s="371">
        <f t="shared" si="21"/>
        <v>-34.933000338605346</v>
      </c>
      <c r="AD22" s="371">
        <f t="shared" si="21"/>
        <v>-37.888877627397363</v>
      </c>
      <c r="AE22" s="371">
        <f t="shared" si="21"/>
        <v>-39.749461777171994</v>
      </c>
      <c r="AF22" s="371">
        <f t="shared" si="21"/>
        <v>-41.673576931157015</v>
      </c>
      <c r="AG22" s="1624"/>
      <c r="AH22" s="1624"/>
      <c r="AI22" s="1624"/>
      <c r="AJ22" s="1624"/>
      <c r="AK22" s="1624"/>
      <c r="AL22" s="1624"/>
      <c r="AM22" s="1624"/>
    </row>
    <row r="23" spans="1:39">
      <c r="A23" s="214" t="s">
        <v>1008</v>
      </c>
      <c r="B23" s="213"/>
      <c r="C23" s="213"/>
      <c r="D23" s="213"/>
      <c r="E23" s="213"/>
      <c r="F23" s="213"/>
      <c r="G23" s="213"/>
      <c r="H23" s="344">
        <f t="shared" ref="H23:S23" si="22">SUM(H19:H22)</f>
        <v>545</v>
      </c>
      <c r="I23" s="344">
        <f t="shared" si="22"/>
        <v>613</v>
      </c>
      <c r="J23" s="344">
        <f t="shared" si="22"/>
        <v>666</v>
      </c>
      <c r="K23" s="344">
        <f t="shared" si="22"/>
        <v>561</v>
      </c>
      <c r="L23" s="344">
        <f t="shared" si="22"/>
        <v>568</v>
      </c>
      <c r="M23" s="344">
        <f t="shared" si="22"/>
        <v>790</v>
      </c>
      <c r="N23" s="344">
        <f t="shared" si="22"/>
        <v>934</v>
      </c>
      <c r="O23" s="344">
        <f t="shared" si="22"/>
        <v>-158</v>
      </c>
      <c r="P23" s="344">
        <f t="shared" si="22"/>
        <v>-175</v>
      </c>
      <c r="Q23" s="344">
        <f t="shared" si="22"/>
        <v>-82</v>
      </c>
      <c r="R23" s="344">
        <f t="shared" si="22"/>
        <v>-25</v>
      </c>
      <c r="S23" s="344">
        <f t="shared" si="22"/>
        <v>2192</v>
      </c>
      <c r="T23" s="344">
        <f t="shared" ref="T23:AF23" si="23">SUM(T19,T20,T21,T22)</f>
        <v>3023</v>
      </c>
      <c r="U23" s="344">
        <f t="shared" si="23"/>
        <v>3820</v>
      </c>
      <c r="V23" s="344">
        <f t="shared" si="23"/>
        <v>1686</v>
      </c>
      <c r="W23" s="344">
        <f t="shared" si="23"/>
        <v>1805</v>
      </c>
      <c r="X23" s="344">
        <f t="shared" si="23"/>
        <v>2408</v>
      </c>
      <c r="Y23" s="344">
        <f t="shared" si="23"/>
        <v>3166</v>
      </c>
      <c r="Z23" s="344">
        <f t="shared" si="23"/>
        <v>4119</v>
      </c>
      <c r="AA23" s="344">
        <f t="shared" si="23"/>
        <v>5179.0617839715915</v>
      </c>
      <c r="AB23" s="344">
        <f t="shared" si="23"/>
        <v>6014.912862687469</v>
      </c>
      <c r="AC23" s="344">
        <f t="shared" si="23"/>
        <v>6844.98237854537</v>
      </c>
      <c r="AD23" s="344">
        <f t="shared" si="23"/>
        <v>7604.1887309951226</v>
      </c>
      <c r="AE23" s="344">
        <f t="shared" si="23"/>
        <v>8050.4884032810396</v>
      </c>
      <c r="AF23" s="344">
        <f t="shared" si="23"/>
        <v>8490.6102037785913</v>
      </c>
      <c r="AG23" s="1624" t="s">
        <v>2033</v>
      </c>
      <c r="AH23" s="1624"/>
      <c r="AI23" s="1624"/>
      <c r="AJ23" s="1624"/>
      <c r="AK23" s="1624"/>
      <c r="AL23" s="1624"/>
      <c r="AM23" s="1624"/>
    </row>
    <row r="24" spans="1:39">
      <c r="A24" s="213"/>
      <c r="B24" s="213"/>
      <c r="C24" s="213"/>
      <c r="D24" s="213"/>
      <c r="E24" s="213"/>
      <c r="F24" s="213"/>
      <c r="G24" s="213"/>
      <c r="H24" s="259"/>
      <c r="I24" s="259"/>
      <c r="J24" s="259"/>
      <c r="K24" s="259"/>
      <c r="L24" s="259"/>
      <c r="M24" s="259"/>
      <c r="N24" s="259"/>
      <c r="O24" s="259"/>
      <c r="P24" s="259"/>
      <c r="Q24" s="259"/>
      <c r="R24" s="259"/>
      <c r="S24" s="259"/>
      <c r="T24" s="259"/>
      <c r="U24" s="259"/>
      <c r="V24" s="259"/>
      <c r="W24" s="259"/>
      <c r="X24" s="259"/>
      <c r="Y24" s="259"/>
      <c r="Z24" s="259"/>
      <c r="AA24" s="1021"/>
      <c r="AB24" s="213"/>
      <c r="AC24" s="213"/>
      <c r="AD24" s="213"/>
      <c r="AE24" s="213"/>
      <c r="AF24" s="213"/>
      <c r="AG24" s="1624" t="s">
        <v>2035</v>
      </c>
      <c r="AH24" s="1624"/>
      <c r="AI24" s="1624"/>
      <c r="AJ24" s="1624"/>
      <c r="AK24" s="1624"/>
      <c r="AL24" s="1624"/>
      <c r="AM24" s="1624"/>
    </row>
    <row r="25" spans="1:39">
      <c r="A25" s="306" t="s">
        <v>1924</v>
      </c>
      <c r="B25" s="307"/>
      <c r="C25" s="307"/>
      <c r="D25" s="307"/>
      <c r="E25" s="307"/>
      <c r="F25" s="307"/>
      <c r="G25" s="307"/>
      <c r="H25" s="307"/>
      <c r="I25" s="307"/>
      <c r="J25" s="307"/>
      <c r="K25" s="307"/>
      <c r="L25" s="307"/>
      <c r="M25" s="307"/>
      <c r="N25" s="307"/>
      <c r="O25" s="307"/>
      <c r="P25" s="307"/>
      <c r="Q25" s="307"/>
      <c r="R25" s="307"/>
      <c r="S25" s="307"/>
      <c r="T25" s="307"/>
      <c r="U25" s="307"/>
      <c r="V25" s="307"/>
      <c r="W25" s="307"/>
      <c r="X25" s="307"/>
      <c r="Y25" s="307"/>
      <c r="Z25" s="307"/>
      <c r="AA25" s="307"/>
      <c r="AB25" s="307"/>
      <c r="AC25" s="307"/>
      <c r="AD25" s="307"/>
      <c r="AE25" s="307"/>
      <c r="AF25" s="307"/>
      <c r="AG25" s="1624"/>
      <c r="AH25" s="1624"/>
      <c r="AI25" s="1624"/>
      <c r="AJ25" s="1624"/>
      <c r="AK25" s="1624"/>
      <c r="AL25" s="1624"/>
      <c r="AM25" s="1624"/>
    </row>
    <row r="26" spans="1:39">
      <c r="A26" s="19" t="s">
        <v>978</v>
      </c>
      <c r="B26" s="213"/>
      <c r="C26" s="213"/>
      <c r="D26" s="213"/>
      <c r="E26" s="213"/>
      <c r="F26" s="213"/>
      <c r="G26" s="213"/>
      <c r="H26" s="345">
        <f t="shared" ref="H26:Z26" si="24">H19/H5</f>
        <v>0.11058545239503252</v>
      </c>
      <c r="I26" s="345">
        <f t="shared" si="24"/>
        <v>0.10748690214635795</v>
      </c>
      <c r="J26" s="345">
        <f t="shared" si="24"/>
        <v>0.10063760124073755</v>
      </c>
      <c r="K26" s="345">
        <f t="shared" si="24"/>
        <v>0.11069980609906575</v>
      </c>
      <c r="L26" s="345">
        <f t="shared" si="24"/>
        <v>0.1183083511777302</v>
      </c>
      <c r="M26" s="345">
        <f t="shared" si="24"/>
        <v>0.14877250409165302</v>
      </c>
      <c r="N26" s="345">
        <f t="shared" si="24"/>
        <v>0.15360456816559601</v>
      </c>
      <c r="O26" s="345">
        <f t="shared" si="24"/>
        <v>0</v>
      </c>
      <c r="P26" s="345">
        <f t="shared" si="24"/>
        <v>0</v>
      </c>
      <c r="Q26" s="345">
        <f t="shared" si="24"/>
        <v>0</v>
      </c>
      <c r="R26" s="345">
        <f t="shared" si="24"/>
        <v>0</v>
      </c>
      <c r="S26" s="345">
        <f t="shared" si="24"/>
        <v>0.1620177407288661</v>
      </c>
      <c r="T26" s="345">
        <f t="shared" si="24"/>
        <v>0.19188959258909161</v>
      </c>
      <c r="U26" s="345">
        <f t="shared" si="24"/>
        <v>0.20630967206309672</v>
      </c>
      <c r="V26" s="345">
        <f t="shared" si="24"/>
        <v>0.15555265561790421</v>
      </c>
      <c r="W26" s="345">
        <f t="shared" si="24"/>
        <v>0.1804005914773491</v>
      </c>
      <c r="X26" s="345">
        <f t="shared" si="24"/>
        <v>0.17988638754470859</v>
      </c>
      <c r="Y26" s="345">
        <f t="shared" si="24"/>
        <v>0.20124621084540248</v>
      </c>
      <c r="Z26" s="345">
        <f t="shared" si="24"/>
        <v>0.20648989159097569</v>
      </c>
      <c r="AA26" s="324">
        <f>'Aerospace Propulsion Division'!AA20</f>
        <v>0.227628411165855</v>
      </c>
      <c r="AB26" s="324">
        <f>'Aerospace Propulsion Division'!AB20</f>
        <v>0.23133218344451026</v>
      </c>
      <c r="AC26" s="324">
        <f>'Aerospace Propulsion Division'!AC20</f>
        <v>0.23170798695684403</v>
      </c>
      <c r="AD26" s="324">
        <f>'Aerospace Propulsion Division'!AD20</f>
        <v>0.23439834896668255</v>
      </c>
      <c r="AE26" s="324">
        <f>'Aerospace Propulsion Division'!AE20</f>
        <v>0.23632659209020626</v>
      </c>
      <c r="AF26" s="324">
        <f>'Aerospace Propulsion Division'!AF20</f>
        <v>0.23879416893006605</v>
      </c>
      <c r="AG26" s="1624"/>
      <c r="AH26" s="1624"/>
      <c r="AI26" s="1624"/>
      <c r="AJ26" s="1624"/>
      <c r="AK26" s="1624"/>
      <c r="AL26" s="1624"/>
      <c r="AM26" s="1624"/>
    </row>
    <row r="27" spans="1:39">
      <c r="A27" s="19" t="s">
        <v>1930</v>
      </c>
      <c r="B27" s="213"/>
      <c r="C27" s="213"/>
      <c r="D27" s="213"/>
      <c r="E27" s="213"/>
      <c r="F27" s="213"/>
      <c r="G27" s="213"/>
      <c r="H27" s="345"/>
      <c r="I27" s="345"/>
      <c r="J27" s="345"/>
      <c r="K27" s="345"/>
      <c r="L27" s="345"/>
      <c r="M27" s="345"/>
      <c r="N27" s="345"/>
      <c r="O27" s="345"/>
      <c r="P27" s="345"/>
      <c r="Q27" s="345"/>
      <c r="R27" s="345"/>
      <c r="S27" s="345"/>
      <c r="T27" s="345">
        <f t="shared" ref="T27:Z27" si="25">T20/T6</f>
        <v>0.12490556534877864</v>
      </c>
      <c r="U27" s="345">
        <f t="shared" si="25"/>
        <v>0.1306179775280899</v>
      </c>
      <c r="V27" s="345">
        <f t="shared" si="25"/>
        <v>9.966632815900188E-2</v>
      </c>
      <c r="W27" s="345">
        <f t="shared" si="25"/>
        <v>0.10276679841897234</v>
      </c>
      <c r="X27" s="345">
        <f t="shared" si="25"/>
        <v>0.11599203715992037</v>
      </c>
      <c r="Y27" s="345">
        <f t="shared" si="25"/>
        <v>0.11228070175438597</v>
      </c>
      <c r="Z27" s="345">
        <f t="shared" si="25"/>
        <v>0.12224524392540968</v>
      </c>
      <c r="AA27" s="324">
        <f>'Equipment and Defense'!AA15</f>
        <v>0.13139866479125725</v>
      </c>
      <c r="AB27" s="324">
        <f>'Equipment and Defense'!AB15</f>
        <v>0.13776194372884279</v>
      </c>
      <c r="AC27" s="324">
        <f>'Equipment and Defense'!AC15</f>
        <v>0.14344269799564272</v>
      </c>
      <c r="AD27" s="324">
        <f>'Equipment and Defense'!AD15</f>
        <v>0.14731023966498005</v>
      </c>
      <c r="AE27" s="324">
        <f>'Equipment and Defense'!AE15</f>
        <v>0.14776947119266659</v>
      </c>
      <c r="AF27" s="324">
        <f>'Equipment and Defense'!AF15</f>
        <v>0.14690452072880675</v>
      </c>
      <c r="AG27" s="1624"/>
      <c r="AH27" s="1624"/>
      <c r="AI27" s="1624"/>
      <c r="AJ27" s="1624"/>
      <c r="AK27" s="1624"/>
      <c r="AL27" s="1624"/>
      <c r="AM27" s="1624"/>
    </row>
    <row r="28" spans="1:39">
      <c r="A28" s="19" t="s">
        <v>1293</v>
      </c>
      <c r="B28" s="213"/>
      <c r="C28" s="213"/>
      <c r="D28" s="213"/>
      <c r="E28" s="213"/>
      <c r="F28" s="213"/>
      <c r="G28" s="213"/>
      <c r="H28" s="345"/>
      <c r="I28" s="345"/>
      <c r="J28" s="345"/>
      <c r="K28" s="345"/>
      <c r="L28" s="345"/>
      <c r="M28" s="345"/>
      <c r="N28" s="345"/>
      <c r="O28" s="345"/>
      <c r="P28" s="345"/>
      <c r="Q28" s="345"/>
      <c r="R28" s="345"/>
      <c r="S28" s="345"/>
      <c r="T28" s="345">
        <f t="shared" ref="T28:Z28" si="26">T21/T7</f>
        <v>3.2258064516129031E-2</v>
      </c>
      <c r="U28" s="345">
        <f t="shared" si="26"/>
        <v>5.6609454983438723E-2</v>
      </c>
      <c r="V28" s="345">
        <f t="shared" si="26"/>
        <v>-9.053069719042664E-2</v>
      </c>
      <c r="W28" s="345">
        <f t="shared" si="26"/>
        <v>-0.11322033898305085</v>
      </c>
      <c r="X28" s="345">
        <f t="shared" si="26"/>
        <v>-7.0778564206268962E-2</v>
      </c>
      <c r="Y28" s="345">
        <f t="shared" si="26"/>
        <v>-4.6830843762616065E-2</v>
      </c>
      <c r="Z28" s="345">
        <f t="shared" si="26"/>
        <v>8.8903523213697735E-3</v>
      </c>
      <c r="AA28" s="324">
        <f>'Aircraft Interiors Division'!O20</f>
        <v>3.1161559032415378E-2</v>
      </c>
      <c r="AB28" s="324">
        <f>'Aircraft Interiors Division'!P20</f>
        <v>5.3006814806385111E-2</v>
      </c>
      <c r="AC28" s="324">
        <f>'Aircraft Interiors Division'!Q20</f>
        <v>7.4827366973950343E-2</v>
      </c>
      <c r="AD28" s="324">
        <f>'Aircraft Interiors Division'!R20</f>
        <v>8.9707897044962806E-2</v>
      </c>
      <c r="AE28" s="324">
        <f>'Aircraft Interiors Division'!S20</f>
        <v>9.3556118260671076E-2</v>
      </c>
      <c r="AF28" s="324">
        <f>'Aircraft Interiors Division'!T20</f>
        <v>9.3984997662316716E-2</v>
      </c>
      <c r="AG28" s="1624"/>
      <c r="AH28" s="1624"/>
      <c r="AI28" s="1624"/>
      <c r="AJ28" s="1624"/>
      <c r="AK28" s="1624"/>
      <c r="AL28" s="1624"/>
      <c r="AM28" s="1624"/>
    </row>
    <row r="29" spans="1:39">
      <c r="A29" s="214" t="s">
        <v>1008</v>
      </c>
      <c r="B29" s="213"/>
      <c r="C29" s="213"/>
      <c r="D29" s="213"/>
      <c r="E29" s="213"/>
      <c r="F29" s="213"/>
      <c r="G29" s="213"/>
      <c r="H29" s="346">
        <f t="shared" ref="H29:AF29" si="27">H23/H9</f>
        <v>4.8106629005207874E-2</v>
      </c>
      <c r="I29" s="346">
        <f t="shared" si="27"/>
        <v>5.9968694971629821E-2</v>
      </c>
      <c r="J29" s="346">
        <f t="shared" si="27"/>
        <v>6.4478652338077258E-2</v>
      </c>
      <c r="K29" s="346">
        <f t="shared" si="27"/>
        <v>5.3694486983154668E-2</v>
      </c>
      <c r="L29" s="346">
        <f t="shared" si="27"/>
        <v>5.2788104089219329E-2</v>
      </c>
      <c r="M29" s="346">
        <f t="shared" si="27"/>
        <v>6.7314246762099517E-2</v>
      </c>
      <c r="N29" s="346">
        <f t="shared" si="27"/>
        <v>6.8879056047197643E-2</v>
      </c>
      <c r="O29" s="346">
        <f t="shared" si="27"/>
        <v>-1.10004873633642E-2</v>
      </c>
      <c r="P29" s="346">
        <f t="shared" si="27"/>
        <v>-1.1396939107782481E-2</v>
      </c>
      <c r="Q29" s="346">
        <f t="shared" si="27"/>
        <v>-4.7088549442976914E-3</v>
      </c>
      <c r="R29" s="346">
        <f t="shared" si="27"/>
        <v>-1.5841835118180091E-3</v>
      </c>
      <c r="S29" s="346">
        <f t="shared" si="27"/>
        <v>0.13740362314298252</v>
      </c>
      <c r="T29" s="346">
        <f t="shared" si="27"/>
        <v>0.14361045130641331</v>
      </c>
      <c r="U29" s="346">
        <f t="shared" si="27"/>
        <v>0.15503246753246752</v>
      </c>
      <c r="V29" s="346">
        <f t="shared" si="27"/>
        <v>0.10219420535822524</v>
      </c>
      <c r="W29" s="346">
        <f t="shared" si="27"/>
        <v>0.11830635118306351</v>
      </c>
      <c r="X29" s="346">
        <f t="shared" si="27"/>
        <v>0.12650380877331233</v>
      </c>
      <c r="Y29" s="346">
        <f t="shared" si="27"/>
        <v>0.13647139962929436</v>
      </c>
      <c r="Z29" s="346">
        <f t="shared" si="27"/>
        <v>0.15078522531756783</v>
      </c>
      <c r="AA29" s="346">
        <f t="shared" si="27"/>
        <v>0.16708824722058432</v>
      </c>
      <c r="AB29" s="346">
        <f t="shared" si="27"/>
        <v>0.1742407221795885</v>
      </c>
      <c r="AC29" s="346">
        <f t="shared" si="27"/>
        <v>0.1793260788815034</v>
      </c>
      <c r="AD29" s="346">
        <f t="shared" si="27"/>
        <v>0.18367419824049241</v>
      </c>
      <c r="AE29" s="346">
        <f t="shared" si="27"/>
        <v>0.1853523011784857</v>
      </c>
      <c r="AF29" s="346">
        <f t="shared" si="27"/>
        <v>0.18645976426214242</v>
      </c>
      <c r="AG29" s="1624"/>
      <c r="AH29" s="1624"/>
      <c r="AI29" s="1624"/>
      <c r="AJ29" s="1624"/>
      <c r="AK29" s="1624"/>
      <c r="AL29" s="1624"/>
      <c r="AM29" s="1624"/>
    </row>
    <row r="30" spans="1:39">
      <c r="A30" s="214"/>
      <c r="B30" s="213"/>
      <c r="C30" s="213"/>
      <c r="D30" s="213"/>
      <c r="E30" s="213"/>
      <c r="F30" s="213"/>
      <c r="G30" s="213"/>
      <c r="H30" s="213"/>
      <c r="I30" s="213"/>
      <c r="J30" s="213"/>
      <c r="K30" s="213"/>
      <c r="L30" s="213"/>
      <c r="M30" s="213"/>
      <c r="N30" s="213"/>
      <c r="O30" s="213"/>
      <c r="P30" s="213"/>
      <c r="Q30" s="213"/>
      <c r="R30" s="213"/>
      <c r="S30" s="213"/>
      <c r="T30" s="213"/>
      <c r="U30" s="340"/>
      <c r="V30" s="340"/>
      <c r="W30" s="340"/>
      <c r="X30" s="340"/>
      <c r="Y30" s="340"/>
      <c r="Z30" s="340"/>
      <c r="AA30" s="340"/>
      <c r="AB30" s="340"/>
      <c r="AC30" s="340"/>
      <c r="AD30" s="340"/>
      <c r="AE30" s="340"/>
      <c r="AF30" s="340"/>
      <c r="AG30" s="1624"/>
      <c r="AH30" s="1624"/>
      <c r="AI30" s="1624"/>
      <c r="AJ30" s="1624"/>
      <c r="AK30" s="1624"/>
      <c r="AL30" s="1624"/>
      <c r="AM30" s="1624"/>
    </row>
    <row r="31" spans="1:39">
      <c r="A31" s="306" t="s">
        <v>1929</v>
      </c>
      <c r="B31" s="307"/>
      <c r="C31" s="307"/>
      <c r="D31" s="307"/>
      <c r="E31" s="307"/>
      <c r="F31" s="307"/>
      <c r="G31" s="307"/>
      <c r="H31" s="307"/>
      <c r="I31" s="307"/>
      <c r="J31" s="307"/>
      <c r="K31" s="307"/>
      <c r="L31" s="307"/>
      <c r="M31" s="308"/>
      <c r="N31" s="308"/>
      <c r="O31" s="308"/>
      <c r="P31" s="308"/>
      <c r="Q31" s="308"/>
      <c r="R31" s="308"/>
      <c r="S31" s="308"/>
      <c r="T31" s="308"/>
      <c r="U31" s="308"/>
      <c r="V31" s="308"/>
      <c r="W31" s="308"/>
      <c r="X31" s="308"/>
      <c r="Y31" s="308"/>
      <c r="Z31" s="308"/>
      <c r="AA31" s="536"/>
      <c r="AB31" s="308"/>
      <c r="AC31" s="308"/>
      <c r="AD31" s="308"/>
      <c r="AE31" s="308"/>
      <c r="AF31" s="308"/>
      <c r="AG31" s="1624"/>
      <c r="AH31" s="1624"/>
      <c r="AI31" s="1624"/>
      <c r="AJ31" s="1624"/>
      <c r="AK31" s="1624"/>
      <c r="AL31" s="1624"/>
      <c r="AM31" s="1624"/>
    </row>
    <row r="32" spans="1:39">
      <c r="A32" s="19" t="s">
        <v>978</v>
      </c>
      <c r="B32" s="213"/>
      <c r="C32" s="213"/>
      <c r="D32" s="213"/>
      <c r="E32" s="213"/>
      <c r="F32" s="213"/>
      <c r="G32" s="213"/>
      <c r="H32" s="213"/>
      <c r="I32" s="340">
        <f t="shared" ref="I32:AF32" si="28">I19/H19-1</f>
        <v>0.1336898395721926</v>
      </c>
      <c r="J32" s="340">
        <f t="shared" si="28"/>
        <v>-8.1761006289308158E-2</v>
      </c>
      <c r="K32" s="340">
        <f t="shared" si="28"/>
        <v>7.5342465753424737E-2</v>
      </c>
      <c r="L32" s="340">
        <f t="shared" si="28"/>
        <v>5.5732484076433053E-2</v>
      </c>
      <c r="M32" s="340">
        <f t="shared" si="28"/>
        <v>0.37104072398190047</v>
      </c>
      <c r="N32" s="340">
        <f t="shared" si="28"/>
        <v>0.18371837183718376</v>
      </c>
      <c r="O32" s="340">
        <f t="shared" si="28"/>
        <v>-1</v>
      </c>
      <c r="P32" s="340" t="e">
        <f t="shared" si="28"/>
        <v>#DIV/0!</v>
      </c>
      <c r="Q32" s="340" t="e">
        <f t="shared" si="28"/>
        <v>#DIV/0!</v>
      </c>
      <c r="R32" s="340" t="e">
        <f t="shared" si="28"/>
        <v>#DIV/0!</v>
      </c>
      <c r="S32" s="340" t="e">
        <f t="shared" si="28"/>
        <v>#DIV/0!</v>
      </c>
      <c r="T32" s="340">
        <f t="shared" si="28"/>
        <v>0.33905013192612143</v>
      </c>
      <c r="U32" s="340">
        <f t="shared" si="28"/>
        <v>0.22413793103448265</v>
      </c>
      <c r="V32" s="340">
        <f t="shared" si="28"/>
        <v>-0.52032193158953721</v>
      </c>
      <c r="W32" s="340">
        <f t="shared" si="28"/>
        <v>0.12583892617449655</v>
      </c>
      <c r="X32" s="340">
        <f t="shared" si="28"/>
        <v>0.27421758569299559</v>
      </c>
      <c r="Y32" s="340">
        <f t="shared" si="28"/>
        <v>0.39766081871345027</v>
      </c>
      <c r="Z32" s="340">
        <f t="shared" si="28"/>
        <v>0.1794979079497907</v>
      </c>
      <c r="AA32" s="340">
        <f t="shared" si="28"/>
        <v>0.24114654812033454</v>
      </c>
      <c r="AB32" s="340">
        <f t="shared" si="28"/>
        <v>0.13968013548030944</v>
      </c>
      <c r="AC32" s="340">
        <f t="shared" si="28"/>
        <v>0.1124314770455479</v>
      </c>
      <c r="AD32" s="340">
        <f t="shared" si="28"/>
        <v>9.365630897709476E-2</v>
      </c>
      <c r="AE32" s="340">
        <f t="shared" si="28"/>
        <v>5.8297005998820373E-2</v>
      </c>
      <c r="AF32" s="340">
        <f t="shared" si="28"/>
        <v>6.0709631833332223E-2</v>
      </c>
      <c r="AG32" s="1624"/>
      <c r="AH32" s="1624"/>
      <c r="AI32" s="1624"/>
      <c r="AJ32" s="1624"/>
      <c r="AK32" s="1624"/>
      <c r="AL32" s="1624"/>
      <c r="AM32" s="1624"/>
    </row>
    <row r="33" spans="1:40">
      <c r="A33" s="19" t="s">
        <v>1930</v>
      </c>
      <c r="B33" s="213"/>
      <c r="C33" s="213"/>
      <c r="D33" s="213"/>
      <c r="E33" s="213"/>
      <c r="F33" s="213"/>
      <c r="G33" s="213"/>
      <c r="H33" s="213"/>
      <c r="I33" s="340"/>
      <c r="J33" s="340"/>
      <c r="K33" s="340"/>
      <c r="L33" s="340"/>
      <c r="M33" s="340"/>
      <c r="N33" s="340"/>
      <c r="O33" s="340"/>
      <c r="P33" s="340"/>
      <c r="Q33" s="340"/>
      <c r="R33" s="340"/>
      <c r="S33" s="340"/>
      <c r="T33" s="340"/>
      <c r="U33" s="340">
        <f t="shared" ref="U33:AF33" si="29">U20/T20-1</f>
        <v>0.21875</v>
      </c>
      <c r="V33" s="340">
        <f t="shared" si="29"/>
        <v>-0.43176178660049624</v>
      </c>
      <c r="W33" s="340">
        <f t="shared" si="29"/>
        <v>-5.3857350800582293E-2</v>
      </c>
      <c r="X33" s="340">
        <f t="shared" si="29"/>
        <v>0.34461538461538455</v>
      </c>
      <c r="Y33" s="340">
        <f t="shared" si="29"/>
        <v>0.13501144164759715</v>
      </c>
      <c r="Z33" s="340">
        <f t="shared" si="29"/>
        <v>0.30846774193548376</v>
      </c>
      <c r="AA33" s="340">
        <f t="shared" si="29"/>
        <v>0.2341631510189206</v>
      </c>
      <c r="AB33" s="340">
        <f t="shared" si="29"/>
        <v>0.16013452561809505</v>
      </c>
      <c r="AC33" s="340">
        <f t="shared" si="29"/>
        <v>0.14863833991786102</v>
      </c>
      <c r="AD33" s="340">
        <f t="shared" si="29"/>
        <v>0.11942524387465325</v>
      </c>
      <c r="AE33" s="340">
        <f t="shared" si="29"/>
        <v>5.6323936637943106E-2</v>
      </c>
      <c r="AF33" s="340">
        <f t="shared" si="29"/>
        <v>4.5978340836636544E-2</v>
      </c>
      <c r="AG33" s="1624"/>
      <c r="AH33" s="1624"/>
      <c r="AI33" s="1624"/>
      <c r="AJ33" s="1624"/>
      <c r="AK33" s="1624"/>
      <c r="AL33" s="1624"/>
      <c r="AM33" s="1624"/>
    </row>
    <row r="34" spans="1:40">
      <c r="A34" s="19" t="s">
        <v>1293</v>
      </c>
      <c r="B34" s="213"/>
      <c r="C34" s="213"/>
      <c r="D34" s="213"/>
      <c r="E34" s="213"/>
      <c r="F34" s="213"/>
      <c r="G34" s="213"/>
      <c r="H34" s="213"/>
      <c r="I34" s="340"/>
      <c r="J34" s="340"/>
      <c r="K34" s="340"/>
      <c r="L34" s="340"/>
      <c r="M34" s="340"/>
      <c r="N34" s="340"/>
      <c r="O34" s="340"/>
      <c r="P34" s="340"/>
      <c r="Q34" s="340"/>
      <c r="R34" s="340"/>
      <c r="S34" s="340"/>
      <c r="T34" s="340"/>
      <c r="U34" s="340">
        <f>U21/T21-1</f>
        <v>1.3209876543209877</v>
      </c>
      <c r="V34" s="340">
        <f>V21/U21-1</f>
        <v>-1.925531914893617</v>
      </c>
      <c r="W34" s="340">
        <f>W21/V21-1</f>
        <v>-4.0229885057471271E-2</v>
      </c>
      <c r="X34" s="340">
        <f>-(X21/W21-1)</f>
        <v>0.16167664670658688</v>
      </c>
      <c r="Y34" s="340">
        <f>-(Y21/X21-1)</f>
        <v>0.17142857142857137</v>
      </c>
      <c r="Z34" s="340">
        <f>-(Z21/Y21-1)</f>
        <v>1.2327586206896552</v>
      </c>
      <c r="AA34" s="340">
        <f>(AA21/Z21-1)</f>
        <v>2.951585759582434</v>
      </c>
      <c r="AB34" s="340">
        <f>AB21/AA21-1</f>
        <v>0.87952117776857697</v>
      </c>
      <c r="AC34" s="340">
        <f>AC21/AB21-1</f>
        <v>0.54280242412507596</v>
      </c>
      <c r="AD34" s="340">
        <f>AD21/AC21-1</f>
        <v>0.2966606138198904</v>
      </c>
      <c r="AE34" s="340">
        <f>AE21/AD21-1</f>
        <v>7.665609113323546E-2</v>
      </c>
      <c r="AF34" s="340">
        <f>AF21/AE21-1</f>
        <v>3.3101996995438032E-2</v>
      </c>
      <c r="AG34" s="1624"/>
      <c r="AH34" s="1624"/>
      <c r="AI34" s="1624"/>
      <c r="AJ34" s="1624"/>
      <c r="AK34" s="1624"/>
      <c r="AL34" s="1624"/>
      <c r="AM34" s="1624"/>
    </row>
    <row r="35" spans="1:40">
      <c r="A35" s="214" t="s">
        <v>1008</v>
      </c>
      <c r="B35" s="213"/>
      <c r="C35" s="213"/>
      <c r="D35" s="213"/>
      <c r="E35" s="213"/>
      <c r="F35" s="213"/>
      <c r="G35" s="213"/>
      <c r="H35" s="213"/>
      <c r="I35" s="341">
        <f t="shared" ref="I35:AF35" si="30">I23/H23-1</f>
        <v>0.12477064220183487</v>
      </c>
      <c r="J35" s="341">
        <f t="shared" si="30"/>
        <v>8.6460032626427319E-2</v>
      </c>
      <c r="K35" s="341">
        <f t="shared" si="30"/>
        <v>-0.15765765765765771</v>
      </c>
      <c r="L35" s="341">
        <f t="shared" si="30"/>
        <v>1.2477718360071277E-2</v>
      </c>
      <c r="M35" s="341">
        <f t="shared" si="30"/>
        <v>0.39084507042253525</v>
      </c>
      <c r="N35" s="341">
        <f t="shared" si="30"/>
        <v>0.18227848101265831</v>
      </c>
      <c r="O35" s="341">
        <f t="shared" si="30"/>
        <v>-1.1691648822269807</v>
      </c>
      <c r="P35" s="341">
        <f t="shared" si="30"/>
        <v>0.10759493670886067</v>
      </c>
      <c r="Q35" s="341">
        <f t="shared" si="30"/>
        <v>-0.53142857142857136</v>
      </c>
      <c r="R35" s="341">
        <f t="shared" si="30"/>
        <v>-0.69512195121951215</v>
      </c>
      <c r="S35" s="341">
        <f t="shared" si="30"/>
        <v>-88.68</v>
      </c>
      <c r="T35" s="341">
        <f t="shared" si="30"/>
        <v>0.37910583941605847</v>
      </c>
      <c r="U35" s="341">
        <f t="shared" si="30"/>
        <v>0.26364538537876281</v>
      </c>
      <c r="V35" s="341">
        <f t="shared" si="30"/>
        <v>-0.55863874345549736</v>
      </c>
      <c r="W35" s="341">
        <f t="shared" si="30"/>
        <v>7.0581257413997678E-2</v>
      </c>
      <c r="X35" s="341">
        <f t="shared" si="30"/>
        <v>0.33407202216066478</v>
      </c>
      <c r="Y35" s="341">
        <f t="shared" si="30"/>
        <v>0.3147840531561461</v>
      </c>
      <c r="Z35" s="341">
        <f t="shared" si="30"/>
        <v>0.30101073910296905</v>
      </c>
      <c r="AA35" s="341">
        <f t="shared" si="30"/>
        <v>0.25735901528807759</v>
      </c>
      <c r="AB35" s="341">
        <f t="shared" si="30"/>
        <v>0.16139044359399413</v>
      </c>
      <c r="AC35" s="341">
        <f t="shared" si="30"/>
        <v>0.13800191869895606</v>
      </c>
      <c r="AD35" s="341">
        <f t="shared" si="30"/>
        <v>0.11091428881239751</v>
      </c>
      <c r="AE35" s="341">
        <f t="shared" si="30"/>
        <v>5.8691293453405846E-2</v>
      </c>
      <c r="AF35" s="341">
        <f t="shared" si="30"/>
        <v>5.4670198682377658E-2</v>
      </c>
      <c r="AG35" s="1624"/>
      <c r="AH35" s="1624"/>
      <c r="AI35" s="1624"/>
      <c r="AJ35" s="1624"/>
      <c r="AK35" s="1624"/>
      <c r="AL35" s="1624"/>
      <c r="AM35" s="1624"/>
    </row>
    <row r="36" spans="1:40">
      <c r="A36" s="19"/>
      <c r="B36" s="213"/>
      <c r="C36" s="213"/>
      <c r="D36" s="213"/>
      <c r="E36" s="213"/>
      <c r="F36" s="213"/>
      <c r="G36" s="213"/>
      <c r="H36" s="213"/>
      <c r="I36" s="213"/>
      <c r="J36" s="213"/>
      <c r="K36" s="213"/>
      <c r="L36" s="213"/>
      <c r="M36" s="213"/>
      <c r="N36" s="213"/>
      <c r="O36" s="213"/>
      <c r="P36" s="213"/>
      <c r="Q36" s="213"/>
      <c r="R36" s="213"/>
      <c r="S36" s="213"/>
      <c r="T36" s="213"/>
      <c r="U36" s="213"/>
      <c r="V36" s="213"/>
      <c r="W36" s="213"/>
      <c r="X36" s="213"/>
      <c r="Y36" s="213"/>
      <c r="Z36" s="213"/>
      <c r="AA36" s="213"/>
      <c r="AB36" s="213"/>
      <c r="AC36" s="213"/>
      <c r="AD36" s="213"/>
      <c r="AE36" s="213"/>
      <c r="AF36" s="213"/>
      <c r="AG36" s="1624"/>
      <c r="AH36" s="1624"/>
      <c r="AI36" s="1624"/>
      <c r="AJ36" s="1624"/>
      <c r="AK36" s="1624"/>
      <c r="AL36" s="1624"/>
      <c r="AM36" s="1624"/>
    </row>
    <row r="37" spans="1:40">
      <c r="AG37" s="1624"/>
      <c r="AH37" s="1624"/>
      <c r="AI37" s="1624"/>
      <c r="AJ37" s="1624"/>
      <c r="AK37" s="1624"/>
      <c r="AL37" s="1624"/>
      <c r="AM37" s="1624"/>
    </row>
    <row r="38" spans="1:40">
      <c r="A38" s="305" t="s">
        <v>1312</v>
      </c>
      <c r="B38" s="305">
        <v>2000</v>
      </c>
      <c r="C38" s="305">
        <v>2001</v>
      </c>
      <c r="D38" s="305">
        <v>2002</v>
      </c>
      <c r="E38" s="305">
        <v>2003</v>
      </c>
      <c r="F38" s="305">
        <v>2004</v>
      </c>
      <c r="G38" s="305">
        <v>2005</v>
      </c>
      <c r="H38" s="305">
        <v>2006</v>
      </c>
      <c r="I38" s="305">
        <v>2007</v>
      </c>
      <c r="J38" s="305">
        <v>2008</v>
      </c>
      <c r="K38" s="305">
        <v>2009</v>
      </c>
      <c r="L38" s="305">
        <v>2010</v>
      </c>
      <c r="M38" s="305">
        <v>2011</v>
      </c>
      <c r="N38" s="305">
        <v>2012</v>
      </c>
      <c r="O38" s="305">
        <v>2013</v>
      </c>
      <c r="P38" s="305">
        <v>2014</v>
      </c>
      <c r="Q38" s="305">
        <v>2015</v>
      </c>
      <c r="R38" s="305">
        <v>2016</v>
      </c>
      <c r="S38" s="305">
        <v>2017</v>
      </c>
      <c r="T38" s="305">
        <v>2018</v>
      </c>
      <c r="U38" s="305">
        <v>2019</v>
      </c>
      <c r="V38" s="305">
        <v>2020</v>
      </c>
      <c r="W38" s="305">
        <v>2021</v>
      </c>
      <c r="X38" s="305">
        <v>2022</v>
      </c>
      <c r="Y38" s="305">
        <v>2023</v>
      </c>
      <c r="Z38" s="305">
        <v>2024</v>
      </c>
      <c r="AA38" s="1307">
        <f>Z38+1</f>
        <v>2025</v>
      </c>
      <c r="AB38" s="1307">
        <f t="shared" ref="AB38:AF38" si="31">AA38+1</f>
        <v>2026</v>
      </c>
      <c r="AC38" s="1307">
        <f t="shared" si="31"/>
        <v>2027</v>
      </c>
      <c r="AD38" s="1307">
        <f t="shared" si="31"/>
        <v>2028</v>
      </c>
      <c r="AE38" s="1307">
        <f t="shared" si="31"/>
        <v>2029</v>
      </c>
      <c r="AF38" s="1307">
        <f t="shared" si="31"/>
        <v>2030</v>
      </c>
      <c r="AG38" s="1624"/>
      <c r="AH38" s="1624"/>
      <c r="AI38" s="1624"/>
      <c r="AJ38" s="1624"/>
      <c r="AK38" s="1624"/>
      <c r="AL38" s="1624"/>
      <c r="AM38" s="1624"/>
    </row>
    <row r="39" spans="1:40">
      <c r="A39" s="214" t="s">
        <v>1912</v>
      </c>
      <c r="B39" s="57"/>
      <c r="C39" s="57"/>
      <c r="D39" s="57"/>
      <c r="E39" s="57"/>
      <c r="F39" s="57"/>
      <c r="G39" s="57"/>
      <c r="H39" s="382">
        <f t="shared" ref="H39:AF39" si="32">H9</f>
        <v>11329</v>
      </c>
      <c r="I39" s="382">
        <f t="shared" si="32"/>
        <v>10222</v>
      </c>
      <c r="J39" s="382">
        <f t="shared" si="32"/>
        <v>10329</v>
      </c>
      <c r="K39" s="382">
        <f t="shared" si="32"/>
        <v>10448</v>
      </c>
      <c r="L39" s="382">
        <f t="shared" si="32"/>
        <v>10760</v>
      </c>
      <c r="M39" s="382">
        <f t="shared" si="32"/>
        <v>11736</v>
      </c>
      <c r="N39" s="382">
        <f t="shared" si="32"/>
        <v>13560</v>
      </c>
      <c r="O39" s="382">
        <f t="shared" si="32"/>
        <v>14363</v>
      </c>
      <c r="P39" s="382">
        <f t="shared" si="32"/>
        <v>15355</v>
      </c>
      <c r="Q39" s="382">
        <f t="shared" si="32"/>
        <v>17414</v>
      </c>
      <c r="R39" s="382">
        <f t="shared" si="32"/>
        <v>15781</v>
      </c>
      <c r="S39" s="382">
        <f t="shared" si="32"/>
        <v>15953</v>
      </c>
      <c r="T39" s="382">
        <f t="shared" si="32"/>
        <v>21050</v>
      </c>
      <c r="U39" s="382">
        <f t="shared" si="32"/>
        <v>24640</v>
      </c>
      <c r="V39" s="382">
        <f t="shared" si="32"/>
        <v>16498</v>
      </c>
      <c r="W39" s="382">
        <f t="shared" si="32"/>
        <v>15257</v>
      </c>
      <c r="X39" s="382">
        <f t="shared" si="32"/>
        <v>19035</v>
      </c>
      <c r="Y39" s="382">
        <f t="shared" si="32"/>
        <v>23199</v>
      </c>
      <c r="Z39" s="382">
        <f t="shared" si="32"/>
        <v>27317</v>
      </c>
      <c r="AA39" s="382">
        <f t="shared" si="32"/>
        <v>30995.966922403386</v>
      </c>
      <c r="AB39" s="382">
        <f t="shared" si="32"/>
        <v>34520.706683526871</v>
      </c>
      <c r="AC39" s="382">
        <f t="shared" si="32"/>
        <v>38170.59080998729</v>
      </c>
      <c r="AD39" s="382">
        <f t="shared" si="32"/>
        <v>41400.418805904548</v>
      </c>
      <c r="AE39" s="382">
        <f t="shared" si="32"/>
        <v>43433.441894680291</v>
      </c>
      <c r="AF39" s="382">
        <f t="shared" si="32"/>
        <v>45535.88404113664</v>
      </c>
      <c r="AG39" s="1624"/>
      <c r="AH39" s="1624"/>
      <c r="AI39" s="1624"/>
      <c r="AJ39" s="1624"/>
      <c r="AK39" s="1624"/>
      <c r="AL39" s="1624"/>
      <c r="AM39" s="1624"/>
    </row>
    <row r="40" spans="1:40">
      <c r="A40" s="1355" t="s">
        <v>1913</v>
      </c>
      <c r="B40" s="213"/>
      <c r="C40" s="213"/>
      <c r="D40" s="213"/>
      <c r="E40" s="213"/>
      <c r="F40" s="213"/>
      <c r="G40" s="213"/>
      <c r="H40" s="343"/>
      <c r="I40" s="343"/>
      <c r="J40" s="343"/>
      <c r="K40" s="343"/>
      <c r="L40" s="343">
        <v>268</v>
      </c>
      <c r="M40" s="343">
        <v>-78</v>
      </c>
      <c r="N40" s="343">
        <v>55</v>
      </c>
      <c r="O40" s="343">
        <v>127</v>
      </c>
      <c r="P40" s="343">
        <v>-311</v>
      </c>
      <c r="Q40" s="343">
        <v>-1192</v>
      </c>
      <c r="R40" s="343">
        <v>701</v>
      </c>
      <c r="S40" s="343">
        <v>423</v>
      </c>
      <c r="T40" s="343">
        <v>-25</v>
      </c>
      <c r="U40" s="343">
        <v>458</v>
      </c>
      <c r="V40" s="343">
        <v>133</v>
      </c>
      <c r="W40" s="260">
        <v>-124</v>
      </c>
      <c r="X40" s="260">
        <v>488</v>
      </c>
      <c r="Y40" s="260">
        <v>452</v>
      </c>
      <c r="Z40" s="260">
        <v>399</v>
      </c>
      <c r="AA40" s="260">
        <v>0</v>
      </c>
      <c r="AB40" s="260">
        <f>AA40</f>
        <v>0</v>
      </c>
      <c r="AC40" s="260">
        <f t="shared" ref="AC40:AF40" si="33">AB40</f>
        <v>0</v>
      </c>
      <c r="AD40" s="260">
        <f t="shared" si="33"/>
        <v>0</v>
      </c>
      <c r="AE40" s="260">
        <f t="shared" si="33"/>
        <v>0</v>
      </c>
      <c r="AF40" s="260">
        <f t="shared" si="33"/>
        <v>0</v>
      </c>
    </row>
    <row r="41" spans="1:40">
      <c r="A41" s="214" t="s">
        <v>1553</v>
      </c>
      <c r="B41" s="213"/>
      <c r="C41" s="213"/>
      <c r="D41" s="213"/>
      <c r="E41" s="213"/>
      <c r="F41" s="213"/>
      <c r="G41" s="213"/>
      <c r="H41" s="260">
        <v>10841</v>
      </c>
      <c r="I41" s="260">
        <v>9714</v>
      </c>
      <c r="J41" s="260">
        <v>10281</v>
      </c>
      <c r="K41" s="260">
        <v>10559</v>
      </c>
      <c r="L41" s="260">
        <v>11028</v>
      </c>
      <c r="M41" s="260">
        <v>11658</v>
      </c>
      <c r="N41" s="260">
        <v>13615</v>
      </c>
      <c r="O41" s="260">
        <v>14490</v>
      </c>
      <c r="P41" s="260">
        <v>15044</v>
      </c>
      <c r="Q41" s="260">
        <v>16222</v>
      </c>
      <c r="R41" s="260">
        <v>16482</v>
      </c>
      <c r="S41" s="260">
        <v>16376</v>
      </c>
      <c r="T41" s="260">
        <v>21025</v>
      </c>
      <c r="U41" s="260">
        <v>25098</v>
      </c>
      <c r="V41" s="260">
        <v>16631</v>
      </c>
      <c r="W41" s="260">
        <v>15133</v>
      </c>
      <c r="X41" s="260">
        <v>19523</v>
      </c>
      <c r="Y41" s="260">
        <v>23651</v>
      </c>
      <c r="Z41" s="260">
        <v>27716</v>
      </c>
      <c r="AA41" s="259">
        <f>'Income Statement'!AA9</f>
        <v>30995.966922403386</v>
      </c>
      <c r="AB41" s="259">
        <f>'Income Statement'!AB9</f>
        <v>34520.706683526871</v>
      </c>
      <c r="AC41" s="259">
        <f>'Income Statement'!AC9</f>
        <v>38170.59080998729</v>
      </c>
      <c r="AD41" s="259">
        <f>'Income Statement'!AD9</f>
        <v>41400.418805904548</v>
      </c>
      <c r="AE41" s="259">
        <f>'Income Statement'!AE9</f>
        <v>43433.441894680291</v>
      </c>
      <c r="AF41" s="259">
        <f>'Income Statement'!AF9</f>
        <v>45535.88404113664</v>
      </c>
      <c r="AG41" s="1625"/>
      <c r="AH41" s="1626"/>
      <c r="AI41" s="1626"/>
      <c r="AJ41" s="1626"/>
      <c r="AK41" s="1626"/>
      <c r="AL41" s="1626"/>
      <c r="AM41" s="1626"/>
    </row>
    <row r="42" spans="1:40" s="1354" customFormat="1" ht="15">
      <c r="A42" s="19" t="s">
        <v>953</v>
      </c>
      <c r="B42" s="213"/>
      <c r="C42" s="213"/>
      <c r="D42" s="213"/>
      <c r="E42" s="213"/>
      <c r="F42" s="213"/>
      <c r="G42" s="213"/>
      <c r="H42" s="213"/>
      <c r="I42" s="345">
        <f t="shared" ref="I42:AF42" si="34">I41/H41-1</f>
        <v>-0.10395719952033944</v>
      </c>
      <c r="J42" s="345">
        <f t="shared" si="34"/>
        <v>5.836936380481772E-2</v>
      </c>
      <c r="K42" s="345">
        <f t="shared" si="34"/>
        <v>2.7040171189572915E-2</v>
      </c>
      <c r="L42" s="345">
        <f t="shared" si="34"/>
        <v>4.4417084951226427E-2</v>
      </c>
      <c r="M42" s="345">
        <f t="shared" si="34"/>
        <v>5.7127312295973898E-2</v>
      </c>
      <c r="N42" s="345">
        <f t="shared" si="34"/>
        <v>0.16786755875793458</v>
      </c>
      <c r="O42" s="345">
        <f t="shared" si="34"/>
        <v>6.4267352185090054E-2</v>
      </c>
      <c r="P42" s="345">
        <f t="shared" si="34"/>
        <v>3.8233264320220783E-2</v>
      </c>
      <c r="Q42" s="345">
        <f t="shared" si="34"/>
        <v>7.8303642648231753E-2</v>
      </c>
      <c r="R42" s="345">
        <f t="shared" si="34"/>
        <v>1.6027616816668644E-2</v>
      </c>
      <c r="S42" s="345">
        <f t="shared" si="34"/>
        <v>-6.4312583424341874E-3</v>
      </c>
      <c r="T42" s="345">
        <f t="shared" si="34"/>
        <v>0.28389106008793363</v>
      </c>
      <c r="U42" s="345">
        <f t="shared" si="34"/>
        <v>0.19372175980975026</v>
      </c>
      <c r="V42" s="345">
        <f t="shared" si="34"/>
        <v>-0.33735755837118497</v>
      </c>
      <c r="W42" s="345">
        <f t="shared" si="34"/>
        <v>-9.0072755697191975E-2</v>
      </c>
      <c r="X42" s="345">
        <f t="shared" si="34"/>
        <v>0.29009449547346855</v>
      </c>
      <c r="Y42" s="345">
        <f t="shared" si="34"/>
        <v>0.21144291348665667</v>
      </c>
      <c r="Z42" s="345">
        <f t="shared" si="34"/>
        <v>0.17187433935140173</v>
      </c>
      <c r="AA42" s="345">
        <f t="shared" si="34"/>
        <v>0.11834200181856636</v>
      </c>
      <c r="AB42" s="345">
        <f t="shared" si="34"/>
        <v>0.11371607699632236</v>
      </c>
      <c r="AC42" s="345">
        <f t="shared" si="34"/>
        <v>0.10573028414282515</v>
      </c>
      <c r="AD42" s="345">
        <f t="shared" si="34"/>
        <v>8.461561446599819E-2</v>
      </c>
      <c r="AE42" s="345">
        <f t="shared" si="34"/>
        <v>4.9106341129230069E-2</v>
      </c>
      <c r="AF42" s="345">
        <f t="shared" si="34"/>
        <v>4.8406068106563227E-2</v>
      </c>
      <c r="AG42" s="1628"/>
      <c r="AH42" s="1628"/>
      <c r="AI42" s="1628"/>
      <c r="AJ42" s="1628"/>
      <c r="AK42" s="1628"/>
      <c r="AL42" s="1628"/>
      <c r="AM42" s="1628"/>
      <c r="AN42" s="1651"/>
    </row>
    <row r="43" spans="1:40">
      <c r="A43" s="19" t="s">
        <v>952</v>
      </c>
      <c r="B43" s="213"/>
      <c r="C43" s="213"/>
      <c r="D43" s="213"/>
      <c r="E43" s="213"/>
      <c r="F43" s="213"/>
      <c r="G43" s="213"/>
      <c r="H43" s="260">
        <v>74</v>
      </c>
      <c r="I43" s="260">
        <v>66</v>
      </c>
      <c r="J43" s="260">
        <v>127</v>
      </c>
      <c r="K43" s="260">
        <v>156</v>
      </c>
      <c r="L43" s="260">
        <v>200</v>
      </c>
      <c r="M43" s="260">
        <v>216</v>
      </c>
      <c r="N43" s="260">
        <v>209</v>
      </c>
      <c r="O43" s="260">
        <v>264</v>
      </c>
      <c r="P43" s="260">
        <v>291</v>
      </c>
      <c r="Q43" s="260">
        <v>285</v>
      </c>
      <c r="R43" s="260">
        <v>277</v>
      </c>
      <c r="S43" s="260">
        <v>280</v>
      </c>
      <c r="T43" s="260">
        <v>321</v>
      </c>
      <c r="U43" s="260">
        <v>297</v>
      </c>
      <c r="V43" s="260">
        <v>267</v>
      </c>
      <c r="W43" s="260">
        <v>373</v>
      </c>
      <c r="X43" s="260">
        <v>440</v>
      </c>
      <c r="Y43" s="260">
        <v>474</v>
      </c>
      <c r="Z43" s="260">
        <v>438</v>
      </c>
      <c r="AA43" s="300">
        <f t="shared" ref="AA43:AF43" si="35">AA44*AA41</f>
        <v>489.83379679653211</v>
      </c>
      <c r="AB43" s="300">
        <f t="shared" si="35"/>
        <v>545.53577454844742</v>
      </c>
      <c r="AC43" s="300">
        <f t="shared" si="35"/>
        <v>603.215427001531</v>
      </c>
      <c r="AD43" s="300">
        <f t="shared" si="35"/>
        <v>654.25687101263509</v>
      </c>
      <c r="AE43" s="300">
        <f t="shared" si="35"/>
        <v>686.38503210672422</v>
      </c>
      <c r="AF43" s="300">
        <f t="shared" si="35"/>
        <v>719.61023271820784</v>
      </c>
      <c r="AG43" s="1638"/>
      <c r="AH43" s="1624"/>
      <c r="AI43" s="1624"/>
      <c r="AJ43" s="1624"/>
      <c r="AK43" s="1624"/>
      <c r="AL43" s="1624"/>
      <c r="AM43" s="1624"/>
    </row>
    <row r="44" spans="1:40">
      <c r="A44" s="349" t="s">
        <v>781</v>
      </c>
      <c r="B44" s="383"/>
      <c r="C44" s="383"/>
      <c r="D44" s="383"/>
      <c r="E44" s="383"/>
      <c r="F44" s="383"/>
      <c r="G44" s="383"/>
      <c r="H44" s="1356">
        <f t="shared" ref="H44:Z44" si="36">H43/H$41</f>
        <v>6.8259385665529011E-3</v>
      </c>
      <c r="I44" s="1356">
        <f t="shared" si="36"/>
        <v>6.7943174799258805E-3</v>
      </c>
      <c r="J44" s="1356">
        <f t="shared" si="36"/>
        <v>1.2352883960704211E-2</v>
      </c>
      <c r="K44" s="1356">
        <f t="shared" si="36"/>
        <v>1.4774126337721375E-2</v>
      </c>
      <c r="L44" s="1356">
        <f t="shared" si="36"/>
        <v>1.8135654697134566E-2</v>
      </c>
      <c r="M44" s="1356">
        <f t="shared" si="36"/>
        <v>1.8528049408131755E-2</v>
      </c>
      <c r="N44" s="1356">
        <f t="shared" si="36"/>
        <v>1.5350716121924348E-2</v>
      </c>
      <c r="O44" s="1356">
        <f t="shared" si="36"/>
        <v>1.8219461697722567E-2</v>
      </c>
      <c r="P44" s="1356">
        <f t="shared" si="36"/>
        <v>1.9343259771337409E-2</v>
      </c>
      <c r="Q44" s="1356">
        <f t="shared" si="36"/>
        <v>1.7568733818271485E-2</v>
      </c>
      <c r="R44" s="1356">
        <f t="shared" si="36"/>
        <v>1.6806212838247785E-2</v>
      </c>
      <c r="S44" s="1356">
        <f t="shared" si="36"/>
        <v>1.709819247679531E-2</v>
      </c>
      <c r="T44" s="1356">
        <f t="shared" si="36"/>
        <v>1.5267538644470868E-2</v>
      </c>
      <c r="U44" s="1356">
        <f t="shared" si="36"/>
        <v>1.1833612240019125E-2</v>
      </c>
      <c r="V44" s="1356">
        <f t="shared" si="36"/>
        <v>1.6054356322530213E-2</v>
      </c>
      <c r="W44" s="1356">
        <f t="shared" si="36"/>
        <v>2.4648120002643228E-2</v>
      </c>
      <c r="X44" s="1356">
        <f t="shared" si="36"/>
        <v>2.2537519848383956E-2</v>
      </c>
      <c r="Y44" s="1356">
        <f t="shared" si="36"/>
        <v>2.0041435880089636E-2</v>
      </c>
      <c r="Z44" s="1356">
        <f t="shared" si="36"/>
        <v>1.5803146197142445E-2</v>
      </c>
      <c r="AA44" s="1357">
        <f t="shared" ref="AA44:AF44" si="37">Z44</f>
        <v>1.5803146197142445E-2</v>
      </c>
      <c r="AB44" s="1357">
        <f t="shared" si="37"/>
        <v>1.5803146197142445E-2</v>
      </c>
      <c r="AC44" s="1357">
        <f t="shared" si="37"/>
        <v>1.5803146197142445E-2</v>
      </c>
      <c r="AD44" s="1357">
        <f t="shared" si="37"/>
        <v>1.5803146197142445E-2</v>
      </c>
      <c r="AE44" s="1357">
        <f t="shared" si="37"/>
        <v>1.5803146197142445E-2</v>
      </c>
      <c r="AF44" s="1357">
        <f t="shared" si="37"/>
        <v>1.5803146197142445E-2</v>
      </c>
      <c r="AG44" s="1624"/>
      <c r="AH44" s="1624"/>
      <c r="AI44" s="1624"/>
      <c r="AJ44" s="1624"/>
      <c r="AK44" s="1624"/>
      <c r="AL44" s="1624"/>
      <c r="AM44" s="1624"/>
    </row>
    <row r="45" spans="1:40">
      <c r="A45" s="19" t="s">
        <v>951</v>
      </c>
      <c r="B45" s="213"/>
      <c r="C45" s="213"/>
      <c r="D45" s="213"/>
      <c r="E45" s="213"/>
      <c r="F45" s="213"/>
      <c r="G45" s="213"/>
      <c r="H45" s="260">
        <v>360</v>
      </c>
      <c r="I45" s="260">
        <v>316</v>
      </c>
      <c r="J45" s="260">
        <v>276</v>
      </c>
      <c r="K45" s="260">
        <v>-268</v>
      </c>
      <c r="L45" s="260">
        <v>-43</v>
      </c>
      <c r="M45" s="260">
        <v>125</v>
      </c>
      <c r="N45" s="260">
        <v>340</v>
      </c>
      <c r="O45" s="260">
        <v>-32</v>
      </c>
      <c r="P45" s="260">
        <v>255</v>
      </c>
      <c r="Q45" s="260">
        <v>257</v>
      </c>
      <c r="R45" s="260">
        <v>308</v>
      </c>
      <c r="S45" s="260">
        <v>195</v>
      </c>
      <c r="T45" s="260">
        <v>3</v>
      </c>
      <c r="U45" s="260">
        <v>453</v>
      </c>
      <c r="V45" s="260">
        <v>-865</v>
      </c>
      <c r="W45" s="260">
        <v>-199</v>
      </c>
      <c r="X45" s="260">
        <v>1204</v>
      </c>
      <c r="Y45" s="260">
        <v>1000</v>
      </c>
      <c r="Z45" s="260">
        <v>989</v>
      </c>
      <c r="AA45" s="361">
        <f t="shared" ref="AA45:AF45" si="38">AA46*AA$41</f>
        <v>1106.040239798562</v>
      </c>
      <c r="AB45" s="361">
        <f t="shared" si="38"/>
        <v>1231.8147968685262</v>
      </c>
      <c r="AC45" s="361">
        <f t="shared" si="38"/>
        <v>1362.054925352772</v>
      </c>
      <c r="AD45" s="361">
        <f t="shared" si="38"/>
        <v>1477.3060397979359</v>
      </c>
      <c r="AE45" s="361">
        <f t="shared" si="38"/>
        <v>1549.8511341405256</v>
      </c>
      <c r="AF45" s="361">
        <f t="shared" si="38"/>
        <v>1624.873333694766</v>
      </c>
      <c r="AG45" s="1624"/>
      <c r="AH45" s="1624"/>
      <c r="AI45" s="1624"/>
      <c r="AJ45" s="1624"/>
      <c r="AK45" s="1624"/>
      <c r="AL45" s="1624"/>
      <c r="AM45" s="1624"/>
    </row>
    <row r="46" spans="1:40">
      <c r="A46" s="349" t="s">
        <v>781</v>
      </c>
      <c r="B46" s="383"/>
      <c r="C46" s="383"/>
      <c r="D46" s="383"/>
      <c r="E46" s="383"/>
      <c r="F46" s="383"/>
      <c r="G46" s="383"/>
      <c r="H46" s="1356">
        <f t="shared" ref="H46:Z46" si="39">H45/H$41</f>
        <v>3.3207268702149247E-2</v>
      </c>
      <c r="I46" s="1356">
        <f t="shared" si="39"/>
        <v>3.2530368540251181E-2</v>
      </c>
      <c r="J46" s="1356">
        <f t="shared" si="39"/>
        <v>2.6845637583892617E-2</v>
      </c>
      <c r="K46" s="1356">
        <f t="shared" si="39"/>
        <v>-2.5381191400700824E-2</v>
      </c>
      <c r="L46" s="1356">
        <f t="shared" si="39"/>
        <v>-3.8991657598839318E-3</v>
      </c>
      <c r="M46" s="1356">
        <f t="shared" si="39"/>
        <v>1.0722250814891062E-2</v>
      </c>
      <c r="N46" s="1356">
        <f t="shared" si="39"/>
        <v>2.4972456849063532E-2</v>
      </c>
      <c r="O46" s="1356">
        <f t="shared" si="39"/>
        <v>-2.2084195997239477E-3</v>
      </c>
      <c r="P46" s="1356">
        <f t="shared" si="39"/>
        <v>1.6950279181068863E-2</v>
      </c>
      <c r="Q46" s="1356">
        <f t="shared" si="39"/>
        <v>1.584268277647639E-2</v>
      </c>
      <c r="R46" s="1356">
        <f t="shared" si="39"/>
        <v>1.8687052542167213E-2</v>
      </c>
      <c r="S46" s="1356">
        <f t="shared" si="39"/>
        <v>1.1907669760625305E-2</v>
      </c>
      <c r="T46" s="1356">
        <f t="shared" si="39"/>
        <v>1.4268727705112961E-4</v>
      </c>
      <c r="U46" s="1356">
        <f t="shared" si="39"/>
        <v>1.8049246951948362E-2</v>
      </c>
      <c r="V46" s="1356">
        <f t="shared" si="39"/>
        <v>-5.2011304190968673E-2</v>
      </c>
      <c r="W46" s="1356">
        <f t="shared" si="39"/>
        <v>-1.3150069384788212E-2</v>
      </c>
      <c r="X46" s="1356">
        <f t="shared" si="39"/>
        <v>6.1670849766941559E-2</v>
      </c>
      <c r="Y46" s="1356">
        <f t="shared" si="39"/>
        <v>4.2281510295547754E-2</v>
      </c>
      <c r="Z46" s="1356">
        <f t="shared" si="39"/>
        <v>3.56833597921778E-2</v>
      </c>
      <c r="AA46" s="1357">
        <f t="shared" ref="AA46:AF46" si="40">Z46</f>
        <v>3.56833597921778E-2</v>
      </c>
      <c r="AB46" s="1357">
        <f t="shared" si="40"/>
        <v>3.56833597921778E-2</v>
      </c>
      <c r="AC46" s="1357">
        <f t="shared" si="40"/>
        <v>3.56833597921778E-2</v>
      </c>
      <c r="AD46" s="1357">
        <f t="shared" si="40"/>
        <v>3.56833597921778E-2</v>
      </c>
      <c r="AE46" s="1357">
        <f t="shared" si="40"/>
        <v>3.56833597921778E-2</v>
      </c>
      <c r="AF46" s="1357">
        <f t="shared" si="40"/>
        <v>3.56833597921778E-2</v>
      </c>
      <c r="AG46" s="1624"/>
      <c r="AH46" s="1624"/>
      <c r="AI46" s="1624"/>
      <c r="AJ46" s="1624"/>
      <c r="AK46" s="1624"/>
      <c r="AL46" s="1624"/>
      <c r="AM46" s="1624"/>
    </row>
    <row r="47" spans="1:40">
      <c r="A47" s="19" t="s">
        <v>950</v>
      </c>
      <c r="B47" s="213"/>
      <c r="C47" s="213"/>
      <c r="D47" s="213"/>
      <c r="E47" s="213"/>
      <c r="F47" s="213"/>
      <c r="G47" s="213"/>
      <c r="H47" s="260">
        <v>350</v>
      </c>
      <c r="I47" s="260">
        <v>277</v>
      </c>
      <c r="J47" s="260">
        <v>298</v>
      </c>
      <c r="K47" s="260">
        <v>242</v>
      </c>
      <c r="L47" s="260">
        <v>243</v>
      </c>
      <c r="M47" s="260">
        <v>371</v>
      </c>
      <c r="N47" s="260">
        <v>642</v>
      </c>
      <c r="O47" s="260">
        <v>911</v>
      </c>
      <c r="P47" s="260">
        <v>998</v>
      </c>
      <c r="Q47" s="260">
        <v>946</v>
      </c>
      <c r="R47" s="260">
        <v>624</v>
      </c>
      <c r="S47" s="260">
        <v>522</v>
      </c>
      <c r="T47" s="260">
        <v>447</v>
      </c>
      <c r="U47" s="260">
        <v>438</v>
      </c>
      <c r="V47" s="260">
        <v>329</v>
      </c>
      <c r="W47" s="260">
        <v>372</v>
      </c>
      <c r="X47" s="260">
        <v>382</v>
      </c>
      <c r="Y47" s="260">
        <v>480</v>
      </c>
      <c r="Z47" s="260">
        <v>526</v>
      </c>
      <c r="AA47" s="361">
        <f t="shared" ref="AA47:AF47" si="41">AA48*AA$41</f>
        <v>588.24789295656592</v>
      </c>
      <c r="AB47" s="361">
        <f t="shared" si="41"/>
        <v>655.14113564493914</v>
      </c>
      <c r="AC47" s="361">
        <f t="shared" si="41"/>
        <v>724.4093940703317</v>
      </c>
      <c r="AD47" s="361">
        <f t="shared" si="41"/>
        <v>785.70574007453422</v>
      </c>
      <c r="AE47" s="361">
        <f t="shared" si="41"/>
        <v>824.2888741738285</v>
      </c>
      <c r="AF47" s="361">
        <f t="shared" si="41"/>
        <v>864.18945755656921</v>
      </c>
      <c r="AG47" s="1624"/>
      <c r="AH47" s="1624"/>
      <c r="AI47" s="1624"/>
      <c r="AJ47" s="1624"/>
      <c r="AK47" s="1624"/>
      <c r="AL47" s="1624"/>
      <c r="AM47" s="1624"/>
    </row>
    <row r="48" spans="1:40">
      <c r="A48" s="349" t="s">
        <v>781</v>
      </c>
      <c r="B48" s="383"/>
      <c r="C48" s="383"/>
      <c r="D48" s="383"/>
      <c r="E48" s="383"/>
      <c r="F48" s="383"/>
      <c r="G48" s="383"/>
      <c r="H48" s="1356">
        <f t="shared" ref="H48:Z48" si="42">H47/H$41</f>
        <v>3.2284844571533994E-2</v>
      </c>
      <c r="I48" s="1356">
        <f t="shared" si="42"/>
        <v>2.8515544574840436E-2</v>
      </c>
      <c r="J48" s="1356">
        <f t="shared" si="42"/>
        <v>2.8985507246376812E-2</v>
      </c>
      <c r="K48" s="1356">
        <f t="shared" si="42"/>
        <v>2.2918837011080596E-2</v>
      </c>
      <c r="L48" s="1356">
        <f t="shared" si="42"/>
        <v>2.20348204570185E-2</v>
      </c>
      <c r="M48" s="1356">
        <f t="shared" si="42"/>
        <v>3.1823640418596671E-2</v>
      </c>
      <c r="N48" s="1356">
        <f t="shared" si="42"/>
        <v>4.7153874403231731E-2</v>
      </c>
      <c r="O48" s="1356">
        <f t="shared" si="42"/>
        <v>6.287094547964113E-2</v>
      </c>
      <c r="P48" s="1356">
        <f t="shared" si="42"/>
        <v>6.6338739696889124E-2</v>
      </c>
      <c r="Q48" s="1356">
        <f t="shared" si="42"/>
        <v>5.8315867340648503E-2</v>
      </c>
      <c r="R48" s="1356">
        <f t="shared" si="42"/>
        <v>3.7859483072442662E-2</v>
      </c>
      <c r="S48" s="1356">
        <f t="shared" si="42"/>
        <v>3.187591597459697E-2</v>
      </c>
      <c r="T48" s="1356">
        <f t="shared" si="42"/>
        <v>2.126040428061831E-2</v>
      </c>
      <c r="U48" s="1356">
        <f t="shared" si="42"/>
        <v>1.7451589768109014E-2</v>
      </c>
      <c r="V48" s="1356">
        <f t="shared" si="42"/>
        <v>1.9782334195177682E-2</v>
      </c>
      <c r="W48" s="1356">
        <f t="shared" si="42"/>
        <v>2.4582039251965903E-2</v>
      </c>
      <c r="X48" s="1356">
        <f t="shared" si="42"/>
        <v>1.95666649592788E-2</v>
      </c>
      <c r="Y48" s="1356">
        <f t="shared" si="42"/>
        <v>2.0295124941862922E-2</v>
      </c>
      <c r="Z48" s="1356">
        <f t="shared" si="42"/>
        <v>1.8978207533554625E-2</v>
      </c>
      <c r="AA48" s="1357">
        <f t="shared" ref="AA48:AF48" si="43">Z48</f>
        <v>1.8978207533554625E-2</v>
      </c>
      <c r="AB48" s="1357">
        <f t="shared" si="43"/>
        <v>1.8978207533554625E-2</v>
      </c>
      <c r="AC48" s="1357">
        <f t="shared" si="43"/>
        <v>1.8978207533554625E-2</v>
      </c>
      <c r="AD48" s="1357">
        <f t="shared" si="43"/>
        <v>1.8978207533554625E-2</v>
      </c>
      <c r="AE48" s="1357">
        <f t="shared" si="43"/>
        <v>1.8978207533554625E-2</v>
      </c>
      <c r="AF48" s="1357">
        <f t="shared" si="43"/>
        <v>1.8978207533554625E-2</v>
      </c>
      <c r="AG48" s="1624"/>
      <c r="AH48" s="1624"/>
      <c r="AI48" s="1624"/>
      <c r="AJ48" s="1624"/>
      <c r="AK48" s="1624"/>
      <c r="AL48" s="1624"/>
      <c r="AM48" s="1624"/>
    </row>
    <row r="49" spans="1:39">
      <c r="A49" s="19" t="s">
        <v>949</v>
      </c>
      <c r="B49" s="213"/>
      <c r="C49" s="213"/>
      <c r="D49" s="213"/>
      <c r="E49" s="213"/>
      <c r="F49" s="213"/>
      <c r="G49" s="213"/>
      <c r="H49" s="260">
        <v>-7341</v>
      </c>
      <c r="I49" s="260">
        <v>-6098</v>
      </c>
      <c r="J49" s="260">
        <v>-6475</v>
      </c>
      <c r="K49" s="260">
        <v>-5948</v>
      </c>
      <c r="L49" s="260">
        <v>-6254</v>
      </c>
      <c r="M49" s="260">
        <v>-6834</v>
      </c>
      <c r="N49" s="260">
        <v>-8160</v>
      </c>
      <c r="O49" s="260">
        <v>-8648</v>
      </c>
      <c r="P49" s="260">
        <v>-9048</v>
      </c>
      <c r="Q49" s="260">
        <v>-9275</v>
      </c>
      <c r="R49" s="260">
        <v>-9340</v>
      </c>
      <c r="S49" s="260">
        <v>-9449</v>
      </c>
      <c r="T49" s="260">
        <v>-12440</v>
      </c>
      <c r="U49" s="260">
        <v>-14448</v>
      </c>
      <c r="V49" s="260">
        <v>-8450</v>
      </c>
      <c r="W49" s="260">
        <v>-7999</v>
      </c>
      <c r="X49" s="260">
        <v>-11724</v>
      </c>
      <c r="Y49" s="260">
        <v>-14072</v>
      </c>
      <c r="Z49" s="260">
        <v>-15960</v>
      </c>
      <c r="AA49" s="361">
        <f t="shared" ref="AA49:AF49" si="44">AA50*AA$41</f>
        <v>-17848.738349024319</v>
      </c>
      <c r="AB49" s="361">
        <f t="shared" si="44"/>
        <v>-19878.426853409179</v>
      </c>
      <c r="AC49" s="361">
        <f t="shared" si="44"/>
        <v>-21980.178572932498</v>
      </c>
      <c r="AD49" s="361">
        <f t="shared" si="44"/>
        <v>-23840.044888953551</v>
      </c>
      <c r="AE49" s="361">
        <f t="shared" si="44"/>
        <v>-25010.742265806661</v>
      </c>
      <c r="AF49" s="361">
        <f t="shared" si="44"/>
        <v>-26221.413959320998</v>
      </c>
      <c r="AG49" s="1624"/>
      <c r="AH49" s="1624"/>
      <c r="AI49" s="1624"/>
      <c r="AJ49" s="1624"/>
      <c r="AK49" s="1624"/>
      <c r="AL49" s="1624"/>
      <c r="AM49" s="1624"/>
    </row>
    <row r="50" spans="1:39">
      <c r="A50" s="349" t="s">
        <v>781</v>
      </c>
      <c r="B50" s="383"/>
      <c r="C50" s="383"/>
      <c r="D50" s="383"/>
      <c r="E50" s="383"/>
      <c r="F50" s="383"/>
      <c r="G50" s="383"/>
      <c r="H50" s="1356">
        <f t="shared" ref="H50:Z50" si="45">H49/H$41</f>
        <v>-0.67715155428466012</v>
      </c>
      <c r="I50" s="1356">
        <f t="shared" si="45"/>
        <v>-0.62775375746345485</v>
      </c>
      <c r="J50" s="1356">
        <f t="shared" si="45"/>
        <v>-0.62980254839023442</v>
      </c>
      <c r="K50" s="1356">
        <f t="shared" si="45"/>
        <v>-0.56331091959465862</v>
      </c>
      <c r="L50" s="1356">
        <f t="shared" si="45"/>
        <v>-0.56710192237939794</v>
      </c>
      <c r="M50" s="1356">
        <f t="shared" si="45"/>
        <v>-0.58620689655172409</v>
      </c>
      <c r="N50" s="1356">
        <f t="shared" si="45"/>
        <v>-0.59933896437752476</v>
      </c>
      <c r="O50" s="1356">
        <f t="shared" si="45"/>
        <v>-0.59682539682539681</v>
      </c>
      <c r="P50" s="1356">
        <f t="shared" si="45"/>
        <v>-0.60143578835416112</v>
      </c>
      <c r="Q50" s="1356">
        <f t="shared" si="45"/>
        <v>-0.57175440759462459</v>
      </c>
      <c r="R50" s="1356">
        <f t="shared" si="45"/>
        <v>-0.56667880111636937</v>
      </c>
      <c r="S50" s="1356">
        <f t="shared" si="45"/>
        <v>-0.57700293111871026</v>
      </c>
      <c r="T50" s="1356">
        <f t="shared" si="45"/>
        <v>-0.5916765755053508</v>
      </c>
      <c r="U50" s="1356">
        <f t="shared" si="45"/>
        <v>-0.57566339947406164</v>
      </c>
      <c r="V50" s="1356">
        <f t="shared" si="45"/>
        <v>-0.50808730683663039</v>
      </c>
      <c r="W50" s="1356">
        <f t="shared" si="45"/>
        <v>-0.52857992466794423</v>
      </c>
      <c r="X50" s="1356">
        <f t="shared" si="45"/>
        <v>-0.60052246068739434</v>
      </c>
      <c r="Y50" s="1356">
        <f t="shared" si="45"/>
        <v>-0.59498541287894802</v>
      </c>
      <c r="Z50" s="1356">
        <f t="shared" si="45"/>
        <v>-0.57584066964930003</v>
      </c>
      <c r="AA50" s="1357">
        <f t="shared" ref="AA50:AF50" si="46">Z50</f>
        <v>-0.57584066964930003</v>
      </c>
      <c r="AB50" s="1357">
        <f t="shared" si="46"/>
        <v>-0.57584066964930003</v>
      </c>
      <c r="AC50" s="1357">
        <f t="shared" si="46"/>
        <v>-0.57584066964930003</v>
      </c>
      <c r="AD50" s="1357">
        <f t="shared" si="46"/>
        <v>-0.57584066964930003</v>
      </c>
      <c r="AE50" s="1357">
        <f t="shared" si="46"/>
        <v>-0.57584066964930003</v>
      </c>
      <c r="AF50" s="1357">
        <f t="shared" si="46"/>
        <v>-0.57584066964930003</v>
      </c>
      <c r="AG50" s="1624"/>
      <c r="AH50" s="1624"/>
      <c r="AI50" s="1624"/>
      <c r="AJ50" s="1624"/>
      <c r="AK50" s="1624"/>
      <c r="AL50" s="1624"/>
      <c r="AM50" s="1624"/>
    </row>
    <row r="51" spans="1:39">
      <c r="A51" s="19" t="s">
        <v>948</v>
      </c>
      <c r="B51" s="213"/>
      <c r="C51" s="213"/>
      <c r="D51" s="213"/>
      <c r="E51" s="213"/>
      <c r="F51" s="213"/>
      <c r="G51" s="213"/>
      <c r="H51" s="260">
        <v>-3170</v>
      </c>
      <c r="I51" s="260">
        <v>-3032</v>
      </c>
      <c r="J51" s="260">
        <v>-3133</v>
      </c>
      <c r="K51" s="260">
        <v>-3276</v>
      </c>
      <c r="L51" s="260">
        <v>-3459</v>
      </c>
      <c r="M51" s="260">
        <v>-3808</v>
      </c>
      <c r="N51" s="260">
        <v>-4205</v>
      </c>
      <c r="O51" s="260">
        <v>-4506</v>
      </c>
      <c r="P51" s="260">
        <v>-4744</v>
      </c>
      <c r="Q51" s="260">
        <v>-4524</v>
      </c>
      <c r="R51" s="260">
        <v>-4406</v>
      </c>
      <c r="S51" s="260">
        <v>-4353</v>
      </c>
      <c r="T51" s="260">
        <v>-5665</v>
      </c>
      <c r="U51" s="260">
        <v>-6349</v>
      </c>
      <c r="V51" s="260">
        <v>-5028</v>
      </c>
      <c r="W51" s="260">
        <v>-4919</v>
      </c>
      <c r="X51" s="260">
        <v>-5792</v>
      </c>
      <c r="Y51" s="260">
        <v>-6767</v>
      </c>
      <c r="Z51" s="260">
        <v>-7801</v>
      </c>
      <c r="AA51" s="361">
        <f t="shared" ref="AA51:AF51" si="47">AA23-SUM(AA41+AA43+AA45+AA47+AA49+AA53+AA55+AA58+AA60+AA62)</f>
        <v>-8226.5037918275666</v>
      </c>
      <c r="AB51" s="361">
        <f t="shared" si="47"/>
        <v>-8915.0810403085197</v>
      </c>
      <c r="AC51" s="361">
        <f t="shared" si="47"/>
        <v>-9663.5640220650239</v>
      </c>
      <c r="AD51" s="361">
        <f t="shared" si="47"/>
        <v>-10301.238467243362</v>
      </c>
      <c r="AE51" s="361">
        <f t="shared" si="47"/>
        <v>-10734.208811018732</v>
      </c>
      <c r="AF51" s="361">
        <f t="shared" si="47"/>
        <v>-11203.380343237744</v>
      </c>
      <c r="AG51" s="1624"/>
      <c r="AH51" s="1624"/>
      <c r="AI51" s="1624"/>
      <c r="AJ51" s="1624"/>
      <c r="AK51" s="1624"/>
      <c r="AL51" s="1624"/>
      <c r="AM51" s="1624"/>
    </row>
    <row r="52" spans="1:39">
      <c r="A52" s="349" t="s">
        <v>781</v>
      </c>
      <c r="B52" s="383"/>
      <c r="C52" s="383"/>
      <c r="D52" s="383"/>
      <c r="E52" s="383"/>
      <c r="F52" s="383"/>
      <c r="G52" s="383"/>
      <c r="H52" s="1356">
        <f t="shared" ref="H52:O52" si="48">H51/H$41</f>
        <v>-0.29240844940503641</v>
      </c>
      <c r="I52" s="1356">
        <f t="shared" si="48"/>
        <v>-0.31212682725962526</v>
      </c>
      <c r="J52" s="1356">
        <f t="shared" si="48"/>
        <v>-0.30473689329831727</v>
      </c>
      <c r="K52" s="1356">
        <f t="shared" si="48"/>
        <v>-0.31025665309214889</v>
      </c>
      <c r="L52" s="1356">
        <f t="shared" si="48"/>
        <v>-0.3136561479869423</v>
      </c>
      <c r="M52" s="1356">
        <f t="shared" si="48"/>
        <v>-0.32664264882484129</v>
      </c>
      <c r="N52" s="1356">
        <f t="shared" si="48"/>
        <v>-0.3088505325009181</v>
      </c>
      <c r="O52" s="1356">
        <f t="shared" si="48"/>
        <v>-0.31097308488612835</v>
      </c>
      <c r="P52" s="1356">
        <f t="shared" ref="P52:AF52" si="49">P51/P41</f>
        <v>-0.31534166445094391</v>
      </c>
      <c r="Q52" s="1356">
        <f t="shared" si="49"/>
        <v>-0.27888053261003576</v>
      </c>
      <c r="R52" s="1356">
        <f t="shared" si="49"/>
        <v>-0.2673219269506128</v>
      </c>
      <c r="S52" s="1356">
        <f t="shared" si="49"/>
        <v>-0.26581582804103565</v>
      </c>
      <c r="T52" s="1356">
        <f t="shared" si="49"/>
        <v>-0.26944114149821641</v>
      </c>
      <c r="U52" s="1356">
        <f t="shared" si="49"/>
        <v>-0.25296836401306877</v>
      </c>
      <c r="V52" s="1356">
        <f t="shared" si="49"/>
        <v>-0.30232697973663641</v>
      </c>
      <c r="W52" s="1356">
        <f t="shared" si="49"/>
        <v>-0.32505121258177494</v>
      </c>
      <c r="X52" s="1356">
        <f t="shared" si="49"/>
        <v>-0.29667571582236335</v>
      </c>
      <c r="Y52" s="1356">
        <f t="shared" si="49"/>
        <v>-0.28611898016997167</v>
      </c>
      <c r="Z52" s="1356">
        <f t="shared" si="49"/>
        <v>-0.28146197142444795</v>
      </c>
      <c r="AA52" s="1357">
        <f t="shared" si="49"/>
        <v>-0.26540561913819771</v>
      </c>
      <c r="AB52" s="1357">
        <f t="shared" si="49"/>
        <v>-0.25825314417919365</v>
      </c>
      <c r="AC52" s="1357">
        <f t="shared" si="49"/>
        <v>-0.25316778747727853</v>
      </c>
      <c r="AD52" s="1357">
        <f t="shared" si="49"/>
        <v>-0.24881966811828951</v>
      </c>
      <c r="AE52" s="1357">
        <f t="shared" si="49"/>
        <v>-0.24714156518029609</v>
      </c>
      <c r="AF52" s="1357">
        <f t="shared" si="49"/>
        <v>-0.2460341020966394</v>
      </c>
      <c r="AG52" s="1624"/>
      <c r="AH52" s="1624"/>
      <c r="AI52" s="1624"/>
      <c r="AJ52" s="1624"/>
      <c r="AK52" s="1624"/>
      <c r="AL52" s="1624"/>
      <c r="AM52" s="1624"/>
    </row>
    <row r="53" spans="1:39">
      <c r="A53" s="19" t="s">
        <v>947</v>
      </c>
      <c r="B53" s="213"/>
      <c r="C53" s="213"/>
      <c r="D53" s="213"/>
      <c r="E53" s="213"/>
      <c r="F53" s="213"/>
      <c r="G53" s="213"/>
      <c r="H53" s="260">
        <v>-229</v>
      </c>
      <c r="I53" s="260">
        <v>-207</v>
      </c>
      <c r="J53" s="260">
        <v>-221</v>
      </c>
      <c r="K53" s="260">
        <v>-238</v>
      </c>
      <c r="L53" s="260">
        <v>-217</v>
      </c>
      <c r="M53" s="260">
        <v>-235</v>
      </c>
      <c r="N53" s="260">
        <v>-270</v>
      </c>
      <c r="O53" s="260">
        <v>-276</v>
      </c>
      <c r="P53" s="260">
        <v>-275</v>
      </c>
      <c r="Q53" s="260">
        <v>-277</v>
      </c>
      <c r="R53" s="260">
        <v>-286</v>
      </c>
      <c r="S53" s="260">
        <v>-284</v>
      </c>
      <c r="T53" s="260">
        <v>-295</v>
      </c>
      <c r="U53" s="260">
        <v>-388</v>
      </c>
      <c r="V53" s="260">
        <v>-326</v>
      </c>
      <c r="W53" s="260">
        <v>-257</v>
      </c>
      <c r="X53" s="260">
        <v>-290</v>
      </c>
      <c r="Y53" s="260">
        <v>-308</v>
      </c>
      <c r="Z53" s="260">
        <v>-337</v>
      </c>
      <c r="AA53" s="479">
        <f t="shared" ref="AA53:AF53" si="50">AA54*AA$41</f>
        <v>-376.88125461285682</v>
      </c>
      <c r="AB53" s="479">
        <f t="shared" si="50"/>
        <v>-419.73871238088304</v>
      </c>
      <c r="AC53" s="479">
        <f t="shared" si="50"/>
        <v>-464.11780570665741</v>
      </c>
      <c r="AD53" s="479">
        <f t="shared" si="50"/>
        <v>-503.38941902113697</v>
      </c>
      <c r="AE53" s="479">
        <f t="shared" si="50"/>
        <v>-528.10903155243386</v>
      </c>
      <c r="AF53" s="479">
        <f t="shared" si="50"/>
        <v>-553.67271330145206</v>
      </c>
      <c r="AG53" s="1624"/>
      <c r="AH53" s="1624"/>
      <c r="AI53" s="1624"/>
      <c r="AJ53" s="1624"/>
      <c r="AK53" s="1624"/>
      <c r="AL53" s="1624"/>
      <c r="AM53" s="1624"/>
    </row>
    <row r="54" spans="1:39">
      <c r="A54" s="349" t="s">
        <v>781</v>
      </c>
      <c r="B54" s="383"/>
      <c r="C54" s="383"/>
      <c r="D54" s="383"/>
      <c r="E54" s="383"/>
      <c r="F54" s="383"/>
      <c r="G54" s="383"/>
      <c r="H54" s="1356">
        <f t="shared" ref="H54:Z54" si="51">H53/H$41</f>
        <v>-2.1123512591089383E-2</v>
      </c>
      <c r="I54" s="1356">
        <f t="shared" si="51"/>
        <v>-2.1309450277949352E-2</v>
      </c>
      <c r="J54" s="1356">
        <f t="shared" si="51"/>
        <v>-2.1495963427682133E-2</v>
      </c>
      <c r="K54" s="1356">
        <f t="shared" si="51"/>
        <v>-2.2540013258831329E-2</v>
      </c>
      <c r="L54" s="1356">
        <f t="shared" si="51"/>
        <v>-1.9677185346391006E-2</v>
      </c>
      <c r="M54" s="1356">
        <f t="shared" si="51"/>
        <v>-2.0157831531995195E-2</v>
      </c>
      <c r="N54" s="1356">
        <f t="shared" si="51"/>
        <v>-1.9831068674256335E-2</v>
      </c>
      <c r="O54" s="1356">
        <f t="shared" si="51"/>
        <v>-1.9047619047619049E-2</v>
      </c>
      <c r="P54" s="1356">
        <f t="shared" si="51"/>
        <v>-1.8279712842329168E-2</v>
      </c>
      <c r="Q54" s="1356">
        <f t="shared" si="51"/>
        <v>-1.7075576377758601E-2</v>
      </c>
      <c r="R54" s="1356">
        <f t="shared" si="51"/>
        <v>-1.7352263074869555E-2</v>
      </c>
      <c r="S54" s="1356">
        <f t="shared" si="51"/>
        <v>-1.7342452369320957E-2</v>
      </c>
      <c r="T54" s="1356">
        <f t="shared" si="51"/>
        <v>-1.4030915576694411E-2</v>
      </c>
      <c r="U54" s="1356">
        <f t="shared" si="51"/>
        <v>-1.5459399155311181E-2</v>
      </c>
      <c r="V54" s="1356">
        <f t="shared" si="51"/>
        <v>-1.9601948169081836E-2</v>
      </c>
      <c r="W54" s="1356">
        <f t="shared" si="51"/>
        <v>-1.6982752924073218E-2</v>
      </c>
      <c r="X54" s="1356">
        <f t="shared" si="51"/>
        <v>-1.4854274445525791E-2</v>
      </c>
      <c r="Y54" s="1356">
        <f t="shared" si="51"/>
        <v>-1.3022705171028709E-2</v>
      </c>
      <c r="Z54" s="1356">
        <f t="shared" si="51"/>
        <v>-1.2159041708760282E-2</v>
      </c>
      <c r="AA54" s="1357">
        <f t="shared" ref="AA54:AF54" si="52">Z54</f>
        <v>-1.2159041708760282E-2</v>
      </c>
      <c r="AB54" s="1357">
        <f t="shared" si="52"/>
        <v>-1.2159041708760282E-2</v>
      </c>
      <c r="AC54" s="1357">
        <f t="shared" si="52"/>
        <v>-1.2159041708760282E-2</v>
      </c>
      <c r="AD54" s="1357">
        <f t="shared" si="52"/>
        <v>-1.2159041708760282E-2</v>
      </c>
      <c r="AE54" s="1357">
        <f t="shared" si="52"/>
        <v>-1.2159041708760282E-2</v>
      </c>
      <c r="AF54" s="1357">
        <f t="shared" si="52"/>
        <v>-1.2159041708760282E-2</v>
      </c>
      <c r="AG54" s="1624"/>
      <c r="AH54" s="1624"/>
      <c r="AI54" s="1624"/>
      <c r="AJ54" s="1624"/>
      <c r="AK54" s="1624"/>
      <c r="AL54" s="1624"/>
      <c r="AM54" s="1624"/>
    </row>
    <row r="55" spans="1:39">
      <c r="A55" s="19" t="s">
        <v>1170</v>
      </c>
      <c r="B55" s="213"/>
      <c r="C55" s="213"/>
      <c r="D55" s="213"/>
      <c r="E55" s="213"/>
      <c r="F55" s="213"/>
      <c r="G55" s="213"/>
      <c r="H55" s="260">
        <f>-583-284</f>
        <v>-867</v>
      </c>
      <c r="I55" s="260">
        <v>-718</v>
      </c>
      <c r="J55" s="260">
        <v>-595</v>
      </c>
      <c r="K55" s="260">
        <v>-606</v>
      </c>
      <c r="L55" s="260">
        <v>-575</v>
      </c>
      <c r="M55" s="260">
        <v>-579</v>
      </c>
      <c r="N55" s="260">
        <v>-854</v>
      </c>
      <c r="O55" s="260">
        <v>-790</v>
      </c>
      <c r="P55" s="260">
        <v>-894</v>
      </c>
      <c r="Q55" s="260">
        <v>-763</v>
      </c>
      <c r="R55" s="260">
        <v>-634</v>
      </c>
      <c r="S55" s="260">
        <v>-1012</v>
      </c>
      <c r="T55" s="260">
        <v>-1176</v>
      </c>
      <c r="U55" s="260">
        <v>-1600</v>
      </c>
      <c r="V55" s="260">
        <v>-1212</v>
      </c>
      <c r="W55" s="260">
        <v>-1509</v>
      </c>
      <c r="X55" s="260">
        <v>-1174</v>
      </c>
      <c r="Y55" s="260">
        <v>-1282</v>
      </c>
      <c r="Z55" s="260">
        <v>-1578</v>
      </c>
      <c r="AA55" s="361">
        <f t="shared" ref="AA55:AF55" si="53">AA56*AA$41</f>
        <v>-1764.7436788696978</v>
      </c>
      <c r="AB55" s="361">
        <f t="shared" si="53"/>
        <v>-1965.4234069348174</v>
      </c>
      <c r="AC55" s="361">
        <f t="shared" si="53"/>
        <v>-2173.2281822109953</v>
      </c>
      <c r="AD55" s="361">
        <f t="shared" si="53"/>
        <v>-2357.117220223603</v>
      </c>
      <c r="AE55" s="361">
        <f t="shared" si="53"/>
        <v>-2472.8666225214856</v>
      </c>
      <c r="AF55" s="361">
        <f t="shared" si="53"/>
        <v>-2592.5683726697075</v>
      </c>
      <c r="AG55" s="1624"/>
      <c r="AH55" s="1624"/>
      <c r="AI55" s="1624"/>
      <c r="AJ55" s="1624"/>
      <c r="AK55" s="1624"/>
      <c r="AL55" s="1624"/>
      <c r="AM55" s="1624"/>
    </row>
    <row r="56" spans="1:39">
      <c r="A56" s="349" t="s">
        <v>781</v>
      </c>
      <c r="B56" s="383"/>
      <c r="C56" s="383"/>
      <c r="D56" s="383"/>
      <c r="E56" s="383"/>
      <c r="F56" s="383"/>
      <c r="G56" s="383"/>
      <c r="H56" s="1356">
        <f t="shared" ref="H56:Z56" si="54">H55/H$41</f>
        <v>-7.9974172124342768E-2</v>
      </c>
      <c r="I56" s="1356">
        <f t="shared" si="54"/>
        <v>-7.3913938645254279E-2</v>
      </c>
      <c r="J56" s="1356">
        <f t="shared" si="54"/>
        <v>-5.7873747689913435E-2</v>
      </c>
      <c r="K56" s="1356">
        <f t="shared" si="54"/>
        <v>-5.7391798465763803E-2</v>
      </c>
      <c r="L56" s="1356">
        <f t="shared" si="54"/>
        <v>-5.2140007254261878E-2</v>
      </c>
      <c r="M56" s="1356">
        <f t="shared" si="54"/>
        <v>-4.9665465774575396E-2</v>
      </c>
      <c r="N56" s="1356">
        <f t="shared" si="54"/>
        <v>-6.2724935732647813E-2</v>
      </c>
      <c r="O56" s="1356">
        <f t="shared" si="54"/>
        <v>-5.4520358868184952E-2</v>
      </c>
      <c r="P56" s="1356">
        <f t="shared" si="54"/>
        <v>-5.9425684658335552E-2</v>
      </c>
      <c r="Q56" s="1356">
        <f t="shared" si="54"/>
        <v>-4.7034890888916284E-2</v>
      </c>
      <c r="R56" s="1356">
        <f t="shared" si="54"/>
        <v>-3.8466205557577966E-2</v>
      </c>
      <c r="S56" s="1356">
        <f t="shared" si="54"/>
        <v>-6.1797752808988762E-2</v>
      </c>
      <c r="T56" s="1356">
        <f t="shared" si="54"/>
        <v>-5.5933412604042804E-2</v>
      </c>
      <c r="U56" s="1356">
        <f t="shared" si="54"/>
        <v>-6.3750099609530639E-2</v>
      </c>
      <c r="V56" s="1356">
        <f t="shared" si="54"/>
        <v>-7.287595454272143E-2</v>
      </c>
      <c r="W56" s="1356">
        <f t="shared" si="54"/>
        <v>-9.9715852772087485E-2</v>
      </c>
      <c r="X56" s="1356">
        <f t="shared" si="54"/>
        <v>-6.0134200686369925E-2</v>
      </c>
      <c r="Y56" s="1356">
        <f t="shared" si="54"/>
        <v>-5.4204896198892225E-2</v>
      </c>
      <c r="Z56" s="1356">
        <f t="shared" si="54"/>
        <v>-5.6934622600663877E-2</v>
      </c>
      <c r="AA56" s="1357">
        <f t="shared" ref="AA56:AF56" si="55">Z56</f>
        <v>-5.6934622600663877E-2</v>
      </c>
      <c r="AB56" s="1357">
        <f t="shared" si="55"/>
        <v>-5.6934622600663877E-2</v>
      </c>
      <c r="AC56" s="1357">
        <f t="shared" si="55"/>
        <v>-5.6934622600663877E-2</v>
      </c>
      <c r="AD56" s="1357">
        <f t="shared" si="55"/>
        <v>-5.6934622600663877E-2</v>
      </c>
      <c r="AE56" s="1357">
        <f t="shared" si="55"/>
        <v>-5.6934622600663877E-2</v>
      </c>
      <c r="AF56" s="1357">
        <f t="shared" si="55"/>
        <v>-5.6934622600663877E-2</v>
      </c>
      <c r="AG56" s="1624"/>
      <c r="AH56" s="1624"/>
      <c r="AI56" s="1624"/>
      <c r="AJ56" s="1624"/>
      <c r="AK56" s="1624"/>
      <c r="AL56" s="1624"/>
      <c r="AM56" s="1624"/>
    </row>
    <row r="57" spans="1:39">
      <c r="A57" s="349" t="s">
        <v>2045</v>
      </c>
      <c r="B57" s="383"/>
      <c r="C57" s="383"/>
      <c r="D57" s="383"/>
      <c r="E57" s="383"/>
      <c r="F57" s="383"/>
      <c r="G57" s="383"/>
      <c r="H57" s="1356"/>
      <c r="I57" s="1356"/>
      <c r="J57" s="1356"/>
      <c r="K57" s="1356"/>
      <c r="L57" s="1356"/>
      <c r="M57" s="1356"/>
      <c r="N57" s="1356"/>
      <c r="O57" s="1356"/>
      <c r="P57" s="1356"/>
      <c r="Q57" s="1356"/>
      <c r="R57" s="1355">
        <v>-92</v>
      </c>
      <c r="S57" s="1355">
        <v>224</v>
      </c>
      <c r="T57" s="1355">
        <v>-33</v>
      </c>
      <c r="U57" s="1355">
        <v>137</v>
      </c>
      <c r="V57" s="1355">
        <v>-235</v>
      </c>
      <c r="W57" s="1355">
        <v>129</v>
      </c>
      <c r="X57" s="1355">
        <v>-199</v>
      </c>
      <c r="Y57" s="1355">
        <v>-54</v>
      </c>
      <c r="Z57" s="1355">
        <v>172</v>
      </c>
      <c r="AA57" s="1540">
        <f>AA55+'Cashflow Statement'!AA5+'Cashflow Statement'!AA7</f>
        <v>-192.35482431279343</v>
      </c>
      <c r="AB57" s="1540">
        <f>AB55+'Cashflow Statement'!AB5+'Cashflow Statement'!AB7</f>
        <v>-146.26030268914928</v>
      </c>
      <c r="AC57" s="1540">
        <f>AC55+'Cashflow Statement'!AC5+'Cashflow Statement'!AC7</f>
        <v>-238.06562767126343</v>
      </c>
      <c r="AD57" s="1540">
        <f>AD55+'Cashflow Statement'!AD5+'Cashflow Statement'!AD7</f>
        <v>-258.20969703990068</v>
      </c>
      <c r="AE57" s="1540">
        <f>AE55+'Cashflow Statement'!AE5+'Cashflow Statement'!AE7</f>
        <v>-270.88943050561716</v>
      </c>
      <c r="AF57" s="1540">
        <f>AF55+'Cashflow Statement'!AF5+'Cashflow Statement'!AF7</f>
        <v>-284.00212272801991</v>
      </c>
      <c r="AG57" s="1624"/>
      <c r="AH57" s="1624"/>
      <c r="AI57" s="1624"/>
      <c r="AJ57" s="1624"/>
      <c r="AK57" s="1624"/>
      <c r="AL57" s="1624"/>
      <c r="AM57" s="1624"/>
    </row>
    <row r="58" spans="1:39">
      <c r="A58" s="19" t="s">
        <v>946</v>
      </c>
      <c r="B58" s="213"/>
      <c r="C58" s="213"/>
      <c r="D58" s="213"/>
      <c r="E58" s="213"/>
      <c r="F58" s="213"/>
      <c r="G58" s="213"/>
      <c r="H58" s="260">
        <v>-157</v>
      </c>
      <c r="I58" s="260">
        <v>-178</v>
      </c>
      <c r="J58" s="260">
        <v>-40</v>
      </c>
      <c r="K58" s="260">
        <v>-34</v>
      </c>
      <c r="L58" s="260">
        <v>7</v>
      </c>
      <c r="M58" s="260">
        <v>-65</v>
      </c>
      <c r="N58" s="260">
        <v>-29</v>
      </c>
      <c r="O58" s="260">
        <v>-82</v>
      </c>
      <c r="P58" s="260">
        <v>-59</v>
      </c>
      <c r="Q58" s="260">
        <v>-179</v>
      </c>
      <c r="R58" s="260">
        <v>-237</v>
      </c>
      <c r="S58" s="260">
        <v>-60</v>
      </c>
      <c r="T58" s="260">
        <v>62</v>
      </c>
      <c r="U58" s="260">
        <v>57</v>
      </c>
      <c r="V58" s="260">
        <v>-149</v>
      </c>
      <c r="W58" s="260">
        <v>78</v>
      </c>
      <c r="X58" s="260">
        <v>-252</v>
      </c>
      <c r="Y58" s="260">
        <v>-50</v>
      </c>
      <c r="Z58" s="260">
        <v>18</v>
      </c>
      <c r="AA58" s="361">
        <f t="shared" ref="AA58:AF58" si="56">AA59*AA$41</f>
        <v>20.130156032734195</v>
      </c>
      <c r="AB58" s="361">
        <f t="shared" si="56"/>
        <v>22.419278406100581</v>
      </c>
      <c r="AC58" s="361">
        <f t="shared" si="56"/>
        <v>24.7896750822547</v>
      </c>
      <c r="AD58" s="361">
        <f t="shared" si="56"/>
        <v>26.887268671752125</v>
      </c>
      <c r="AE58" s="361">
        <f t="shared" si="56"/>
        <v>28.207604059180447</v>
      </c>
      <c r="AF58" s="361">
        <f t="shared" si="56"/>
        <v>29.573023262392105</v>
      </c>
      <c r="AG58" s="1624"/>
      <c r="AH58" s="1624"/>
      <c r="AI58" s="1624"/>
      <c r="AJ58" s="1624"/>
      <c r="AK58" s="1624"/>
      <c r="AL58" s="1624"/>
      <c r="AM58" s="1624"/>
    </row>
    <row r="59" spans="1:39">
      <c r="A59" s="349" t="s">
        <v>781</v>
      </c>
      <c r="B59" s="383"/>
      <c r="C59" s="383"/>
      <c r="D59" s="383"/>
      <c r="E59" s="383"/>
      <c r="F59" s="383"/>
      <c r="G59" s="383"/>
      <c r="H59" s="1356">
        <f t="shared" ref="H59:Z59" si="57">H58/H$41</f>
        <v>-1.4482058850659533E-2</v>
      </c>
      <c r="I59" s="1356">
        <f t="shared" si="57"/>
        <v>-1.8324068354951616E-2</v>
      </c>
      <c r="J59" s="1356">
        <f t="shared" si="57"/>
        <v>-3.8906721136076259E-3</v>
      </c>
      <c r="K59" s="1356">
        <f t="shared" si="57"/>
        <v>-3.2200018941187613E-3</v>
      </c>
      <c r="L59" s="1356">
        <f t="shared" si="57"/>
        <v>6.3474791439970988E-4</v>
      </c>
      <c r="M59" s="1356">
        <f t="shared" si="57"/>
        <v>-5.5755704237433522E-3</v>
      </c>
      <c r="N59" s="1356">
        <f t="shared" si="57"/>
        <v>-2.1300036724201249E-3</v>
      </c>
      <c r="O59" s="1356">
        <f t="shared" si="57"/>
        <v>-5.6590752242926153E-3</v>
      </c>
      <c r="P59" s="1356">
        <f t="shared" si="57"/>
        <v>-3.9218293007178941E-3</v>
      </c>
      <c r="Q59" s="1356">
        <f t="shared" si="57"/>
        <v>-1.1034397731475774E-2</v>
      </c>
      <c r="R59" s="1356">
        <f t="shared" si="57"/>
        <v>-1.437932289770659E-2</v>
      </c>
      <c r="S59" s="1356">
        <f t="shared" si="57"/>
        <v>-3.6638983878847092E-3</v>
      </c>
      <c r="T59" s="1356">
        <f t="shared" si="57"/>
        <v>2.9488703923900117E-3</v>
      </c>
      <c r="U59" s="1356">
        <f t="shared" si="57"/>
        <v>2.2710972985895291E-3</v>
      </c>
      <c r="V59" s="1356">
        <f t="shared" si="57"/>
        <v>-8.9591726294269737E-3</v>
      </c>
      <c r="W59" s="1356">
        <f t="shared" si="57"/>
        <v>5.1542985528315599E-3</v>
      </c>
      <c r="X59" s="1356">
        <f t="shared" si="57"/>
        <v>-1.2907852276801721E-2</v>
      </c>
      <c r="Y59" s="1356">
        <f t="shared" si="57"/>
        <v>-2.1140755147773878E-3</v>
      </c>
      <c r="Z59" s="1356">
        <f t="shared" si="57"/>
        <v>6.4944436426612789E-4</v>
      </c>
      <c r="AA59" s="1357">
        <f t="shared" ref="AA59:AF59" si="58">Z59</f>
        <v>6.4944436426612789E-4</v>
      </c>
      <c r="AB59" s="1357">
        <f t="shared" si="58"/>
        <v>6.4944436426612789E-4</v>
      </c>
      <c r="AC59" s="1357">
        <f t="shared" si="58"/>
        <v>6.4944436426612789E-4</v>
      </c>
      <c r="AD59" s="1357">
        <f t="shared" si="58"/>
        <v>6.4944436426612789E-4</v>
      </c>
      <c r="AE59" s="1357">
        <f t="shared" si="58"/>
        <v>6.4944436426612789E-4</v>
      </c>
      <c r="AF59" s="1357">
        <f t="shared" si="58"/>
        <v>6.4944436426612789E-4</v>
      </c>
      <c r="AG59" s="1624"/>
      <c r="AH59" s="1624"/>
      <c r="AI59" s="1624"/>
      <c r="AJ59" s="1624"/>
      <c r="AK59" s="1624"/>
      <c r="AL59" s="1624"/>
      <c r="AM59" s="1624"/>
    </row>
    <row r="60" spans="1:39">
      <c r="A60" s="19" t="s">
        <v>945</v>
      </c>
      <c r="B60" s="213"/>
      <c r="C60" s="213"/>
      <c r="D60" s="213"/>
      <c r="E60" s="213"/>
      <c r="F60" s="213"/>
      <c r="G60" s="213"/>
      <c r="H60" s="260">
        <v>-47</v>
      </c>
      <c r="I60" s="260">
        <v>-11</v>
      </c>
      <c r="J60" s="260">
        <v>85</v>
      </c>
      <c r="K60" s="260">
        <v>42</v>
      </c>
      <c r="L60" s="260">
        <v>21</v>
      </c>
      <c r="M60" s="260">
        <v>15</v>
      </c>
      <c r="N60" s="260">
        <v>-45</v>
      </c>
      <c r="O60" s="260">
        <v>-36</v>
      </c>
      <c r="P60" s="260">
        <v>-113</v>
      </c>
      <c r="Q60" s="260">
        <v>118</v>
      </c>
      <c r="R60" s="260">
        <v>115</v>
      </c>
      <c r="S60" s="260">
        <v>159</v>
      </c>
      <c r="T60" s="260">
        <v>-191</v>
      </c>
      <c r="U60" s="260">
        <v>102</v>
      </c>
      <c r="V60" s="260">
        <v>148</v>
      </c>
      <c r="W60" s="260">
        <v>156</v>
      </c>
      <c r="X60" s="260">
        <v>103</v>
      </c>
      <c r="Y60" s="260">
        <v>84</v>
      </c>
      <c r="Z60" s="260">
        <v>39</v>
      </c>
      <c r="AA60" s="361">
        <f t="shared" ref="AA60:AF60" si="59">AA61*AA$41</f>
        <v>43.615338070924089</v>
      </c>
      <c r="AB60" s="361">
        <f t="shared" si="59"/>
        <v>48.575103213217922</v>
      </c>
      <c r="AC60" s="361">
        <f t="shared" si="59"/>
        <v>53.710962678218515</v>
      </c>
      <c r="AD60" s="361">
        <f t="shared" si="59"/>
        <v>58.255748788796268</v>
      </c>
      <c r="AE60" s="361">
        <f t="shared" si="59"/>
        <v>61.116475461557634</v>
      </c>
      <c r="AF60" s="361">
        <f t="shared" si="59"/>
        <v>64.074883735182894</v>
      </c>
      <c r="AG60" s="1624"/>
      <c r="AH60" s="1624"/>
      <c r="AI60" s="1624"/>
      <c r="AJ60" s="1624"/>
      <c r="AK60" s="1624"/>
      <c r="AL60" s="1624"/>
      <c r="AM60" s="1624"/>
    </row>
    <row r="61" spans="1:39">
      <c r="A61" s="349" t="s">
        <v>781</v>
      </c>
      <c r="B61" s="383"/>
      <c r="C61" s="383"/>
      <c r="D61" s="383"/>
      <c r="E61" s="383"/>
      <c r="F61" s="383"/>
      <c r="G61" s="383"/>
      <c r="H61" s="1356">
        <f t="shared" ref="H61:Z61" si="60">H60/H$41</f>
        <v>-4.3353934138917073E-3</v>
      </c>
      <c r="I61" s="1356">
        <f t="shared" si="60"/>
        <v>-1.1323862466543133E-3</v>
      </c>
      <c r="J61" s="1356">
        <f t="shared" si="60"/>
        <v>8.2676782414162053E-3</v>
      </c>
      <c r="K61" s="1356">
        <f t="shared" si="60"/>
        <v>3.9776493986172935E-3</v>
      </c>
      <c r="L61" s="1356">
        <f t="shared" si="60"/>
        <v>1.9042437431991295E-3</v>
      </c>
      <c r="M61" s="1356">
        <f t="shared" si="60"/>
        <v>1.2866700977869274E-3</v>
      </c>
      <c r="N61" s="1356">
        <f t="shared" si="60"/>
        <v>-3.3051781123760557E-3</v>
      </c>
      <c r="O61" s="1356">
        <f t="shared" si="60"/>
        <v>-2.4844720496894411E-3</v>
      </c>
      <c r="P61" s="1356">
        <f t="shared" si="60"/>
        <v>-7.5113001861207129E-3</v>
      </c>
      <c r="Q61" s="1356">
        <f t="shared" si="60"/>
        <v>7.2740722475650348E-3</v>
      </c>
      <c r="R61" s="1356">
        <f t="shared" si="60"/>
        <v>6.9773085790559401E-3</v>
      </c>
      <c r="S61" s="1356">
        <f t="shared" si="60"/>
        <v>9.7093307278944795E-3</v>
      </c>
      <c r="T61" s="1356">
        <f t="shared" si="60"/>
        <v>-9.0844233055885851E-3</v>
      </c>
      <c r="U61" s="1356">
        <f t="shared" si="60"/>
        <v>4.0640688501075786E-3</v>
      </c>
      <c r="V61" s="1356">
        <f t="shared" si="60"/>
        <v>8.8990439540616913E-3</v>
      </c>
      <c r="W61" s="1356">
        <f t="shared" si="60"/>
        <v>1.030859710566312E-2</v>
      </c>
      <c r="X61" s="1356">
        <f t="shared" si="60"/>
        <v>5.2758285099626084E-3</v>
      </c>
      <c r="Y61" s="1356">
        <f t="shared" si="60"/>
        <v>3.5516468648260115E-3</v>
      </c>
      <c r="Z61" s="1356">
        <f t="shared" si="60"/>
        <v>1.4071294559099437E-3</v>
      </c>
      <c r="AA61" s="1357">
        <f t="shared" ref="AA61:AF61" si="61">Z61</f>
        <v>1.4071294559099437E-3</v>
      </c>
      <c r="AB61" s="1357">
        <f t="shared" si="61"/>
        <v>1.4071294559099437E-3</v>
      </c>
      <c r="AC61" s="1357">
        <f t="shared" si="61"/>
        <v>1.4071294559099437E-3</v>
      </c>
      <c r="AD61" s="1357">
        <f t="shared" si="61"/>
        <v>1.4071294559099437E-3</v>
      </c>
      <c r="AE61" s="1357">
        <f t="shared" si="61"/>
        <v>1.4071294559099437E-3</v>
      </c>
      <c r="AF61" s="1357">
        <f t="shared" si="61"/>
        <v>1.4071294559099437E-3</v>
      </c>
      <c r="AG61" s="1624"/>
      <c r="AH61" s="1624"/>
      <c r="AI61" s="1624"/>
      <c r="AJ61" s="1624"/>
      <c r="AK61" s="1624"/>
      <c r="AL61" s="1624"/>
      <c r="AM61" s="1624"/>
    </row>
    <row r="62" spans="1:39">
      <c r="A62" s="19" t="s">
        <v>1157</v>
      </c>
      <c r="B62" s="213"/>
      <c r="C62" s="213"/>
      <c r="D62" s="213"/>
      <c r="E62" s="213"/>
      <c r="F62" s="213"/>
      <c r="G62" s="213"/>
      <c r="H62" s="19"/>
      <c r="I62" s="19"/>
      <c r="J62" s="19"/>
      <c r="K62" s="19"/>
      <c r="L62" s="19"/>
      <c r="M62" s="19"/>
      <c r="N62" s="19"/>
      <c r="O62" s="19"/>
      <c r="P62" s="260">
        <v>45</v>
      </c>
      <c r="Q62" s="260">
        <v>44</v>
      </c>
      <c r="R62" s="260">
        <v>87</v>
      </c>
      <c r="S62" s="260">
        <v>144</v>
      </c>
      <c r="T62" s="260">
        <v>189</v>
      </c>
      <c r="U62" s="260">
        <v>164</v>
      </c>
      <c r="V62" s="260">
        <v>48</v>
      </c>
      <c r="W62" s="260">
        <v>40</v>
      </c>
      <c r="X62" s="260">
        <v>73</v>
      </c>
      <c r="Y62" s="260">
        <v>99</v>
      </c>
      <c r="Z62" s="260">
        <v>136</v>
      </c>
      <c r="AA62" s="361">
        <f t="shared" ref="AA62:AF62" si="62">AA63*AA$41</f>
        <v>152.09451224732504</v>
      </c>
      <c r="AB62" s="361">
        <f t="shared" si="62"/>
        <v>169.39010351275994</v>
      </c>
      <c r="AC62" s="361">
        <f t="shared" si="62"/>
        <v>187.29976728814663</v>
      </c>
      <c r="AD62" s="361">
        <f t="shared" si="62"/>
        <v>203.14825218657163</v>
      </c>
      <c r="AE62" s="361">
        <f t="shared" si="62"/>
        <v>213.12411955825226</v>
      </c>
      <c r="AF62" s="361">
        <f t="shared" si="62"/>
        <v>223.44062020474036</v>
      </c>
      <c r="AG62" s="1624"/>
      <c r="AH62" s="1624"/>
      <c r="AI62" s="1624"/>
      <c r="AJ62" s="1624"/>
      <c r="AK62" s="1624"/>
      <c r="AL62" s="1624"/>
      <c r="AM62" s="1624"/>
    </row>
    <row r="63" spans="1:39">
      <c r="A63" s="349" t="s">
        <v>781</v>
      </c>
      <c r="B63" s="383"/>
      <c r="C63" s="383"/>
      <c r="D63" s="383"/>
      <c r="E63" s="383"/>
      <c r="F63" s="383"/>
      <c r="G63" s="383"/>
      <c r="H63" s="1355"/>
      <c r="I63" s="1355"/>
      <c r="J63" s="1355"/>
      <c r="K63" s="1355"/>
      <c r="L63" s="1355"/>
      <c r="M63" s="1355"/>
      <c r="N63" s="1355"/>
      <c r="O63" s="1355"/>
      <c r="P63" s="1356">
        <f t="shared" ref="P63:Z63" si="63">P62/P$41</f>
        <v>2.991225737835682E-3</v>
      </c>
      <c r="Q63" s="1356">
        <f t="shared" si="63"/>
        <v>2.7123659228208605E-3</v>
      </c>
      <c r="R63" s="1356">
        <f t="shared" si="63"/>
        <v>5.278485620677102E-3</v>
      </c>
      <c r="S63" s="1356">
        <f t="shared" si="63"/>
        <v>8.7933561309233021E-3</v>
      </c>
      <c r="T63" s="1356">
        <f t="shared" si="63"/>
        <v>8.9892984542211656E-3</v>
      </c>
      <c r="U63" s="1356">
        <f t="shared" si="63"/>
        <v>6.5343852099768902E-3</v>
      </c>
      <c r="V63" s="1356">
        <f t="shared" si="63"/>
        <v>2.8861764175335219E-3</v>
      </c>
      <c r="W63" s="1356">
        <f t="shared" si="63"/>
        <v>2.6432300270931076E-3</v>
      </c>
      <c r="X63" s="1356">
        <f t="shared" si="63"/>
        <v>3.7391794293909746E-3</v>
      </c>
      <c r="Y63" s="1356">
        <f t="shared" si="63"/>
        <v>4.1858695192592277E-3</v>
      </c>
      <c r="Z63" s="1356">
        <f t="shared" si="63"/>
        <v>4.9069129744551887E-3</v>
      </c>
      <c r="AA63" s="1357">
        <f t="shared" ref="AA63:AF63" si="64">Z63</f>
        <v>4.9069129744551887E-3</v>
      </c>
      <c r="AB63" s="1357">
        <f t="shared" si="64"/>
        <v>4.9069129744551887E-3</v>
      </c>
      <c r="AC63" s="1357">
        <f t="shared" si="64"/>
        <v>4.9069129744551887E-3</v>
      </c>
      <c r="AD63" s="1357">
        <f t="shared" si="64"/>
        <v>4.9069129744551887E-3</v>
      </c>
      <c r="AE63" s="1357">
        <f t="shared" si="64"/>
        <v>4.9069129744551887E-3</v>
      </c>
      <c r="AF63" s="1357">
        <f t="shared" si="64"/>
        <v>4.9069129744551887E-3</v>
      </c>
      <c r="AG63" s="1624"/>
      <c r="AH63" s="1624"/>
      <c r="AI63" s="1624"/>
      <c r="AJ63" s="1624"/>
      <c r="AK63" s="1624"/>
      <c r="AL63" s="1624"/>
      <c r="AM63" s="1624"/>
    </row>
    <row r="64" spans="1:39">
      <c r="A64" s="1448" t="s">
        <v>2002</v>
      </c>
      <c r="B64" s="523"/>
      <c r="C64" s="523"/>
      <c r="D64" s="523"/>
      <c r="E64" s="523"/>
      <c r="F64" s="523"/>
      <c r="G64" s="523"/>
      <c r="H64" s="1449">
        <f t="shared" ref="H64:O64" si="65">H41+H43+H45+H47+H49+H51+H53+H55+H58+H60</f>
        <v>-186</v>
      </c>
      <c r="I64" s="1449">
        <f t="shared" si="65"/>
        <v>129</v>
      </c>
      <c r="J64" s="1449">
        <f t="shared" si="65"/>
        <v>603</v>
      </c>
      <c r="K64" s="1449">
        <f t="shared" si="65"/>
        <v>629</v>
      </c>
      <c r="L64" s="1449">
        <f t="shared" si="65"/>
        <v>951</v>
      </c>
      <c r="M64" s="1449">
        <f t="shared" si="65"/>
        <v>864</v>
      </c>
      <c r="N64" s="1449">
        <f t="shared" si="65"/>
        <v>1243</v>
      </c>
      <c r="O64" s="1449">
        <f t="shared" si="65"/>
        <v>1295</v>
      </c>
      <c r="P64" s="1449">
        <f t="shared" ref="P64:AF64" si="66">P41+P43+P45+P47+P49+P51+P53+P55+P58+P60+P62</f>
        <v>1500</v>
      </c>
      <c r="Q64" s="1449">
        <f t="shared" si="66"/>
        <v>2854</v>
      </c>
      <c r="R64" s="1449">
        <f t="shared" si="66"/>
        <v>2990</v>
      </c>
      <c r="S64" s="1449">
        <f t="shared" si="66"/>
        <v>2518</v>
      </c>
      <c r="T64" s="1449">
        <f t="shared" si="66"/>
        <v>2280</v>
      </c>
      <c r="U64" s="1449">
        <f t="shared" si="66"/>
        <v>3824</v>
      </c>
      <c r="V64" s="1449">
        <f t="shared" si="66"/>
        <v>1393</v>
      </c>
      <c r="W64" s="1449">
        <f t="shared" si="66"/>
        <v>1269</v>
      </c>
      <c r="X64" s="1449">
        <f t="shared" si="66"/>
        <v>2493</v>
      </c>
      <c r="Y64" s="1449">
        <f t="shared" si="66"/>
        <v>3309</v>
      </c>
      <c r="Z64" s="1449">
        <f t="shared" si="66"/>
        <v>4186</v>
      </c>
      <c r="AA64" s="1449">
        <f t="shared" si="66"/>
        <v>5179.0617839715924</v>
      </c>
      <c r="AB64" s="1449">
        <f t="shared" si="66"/>
        <v>6014.912862687469</v>
      </c>
      <c r="AC64" s="1449">
        <f t="shared" si="66"/>
        <v>6844.9823785453691</v>
      </c>
      <c r="AD64" s="1449">
        <f t="shared" si="66"/>
        <v>7604.1887309951189</v>
      </c>
      <c r="AE64" s="1449">
        <f t="shared" si="66"/>
        <v>8050.4884032810423</v>
      </c>
      <c r="AF64" s="1449">
        <f t="shared" si="66"/>
        <v>8490.6102037785913</v>
      </c>
      <c r="AG64" s="1624"/>
      <c r="AH64" s="1624"/>
      <c r="AI64" s="1624"/>
      <c r="AJ64" s="1624"/>
      <c r="AK64" s="1624"/>
      <c r="AL64" s="1624"/>
      <c r="AM64" s="1624"/>
    </row>
    <row r="65" spans="1:40">
      <c r="A65" s="1463" t="s">
        <v>2001</v>
      </c>
      <c r="B65" s="213"/>
      <c r="C65" s="213"/>
      <c r="D65" s="213"/>
      <c r="E65" s="213"/>
      <c r="F65" s="213"/>
      <c r="G65" s="213"/>
      <c r="H65" s="259"/>
      <c r="I65" s="259"/>
      <c r="J65" s="259"/>
      <c r="K65" s="259"/>
      <c r="L65" s="259"/>
      <c r="M65" s="259"/>
      <c r="N65" s="259"/>
      <c r="O65" s="259"/>
      <c r="P65" s="259"/>
      <c r="Q65" s="1358">
        <f t="shared" ref="Q65:V65" si="67">Q64/Q$41</f>
        <v>0.17593391690297128</v>
      </c>
      <c r="R65" s="1358">
        <f t="shared" si="67"/>
        <v>0.18141002305545442</v>
      </c>
      <c r="S65" s="1358">
        <f t="shared" si="67"/>
        <v>0.15376160234489497</v>
      </c>
      <c r="T65" s="1358">
        <f t="shared" si="67"/>
        <v>0.1084423305588585</v>
      </c>
      <c r="U65" s="1358">
        <f t="shared" si="67"/>
        <v>0.15236273806677822</v>
      </c>
      <c r="V65" s="1358">
        <f t="shared" si="67"/>
        <v>8.3759244783837408E-2</v>
      </c>
      <c r="W65" s="1358">
        <f t="shared" ref="W65:AF65" si="68">W64/W$41</f>
        <v>8.3856472609528845E-2</v>
      </c>
      <c r="X65" s="1358">
        <f t="shared" si="68"/>
        <v>0.12769553859550273</v>
      </c>
      <c r="Y65" s="1358">
        <f t="shared" si="68"/>
        <v>0.13990951756796752</v>
      </c>
      <c r="Z65" s="1358">
        <f t="shared" si="68"/>
        <v>0.15103189493433397</v>
      </c>
      <c r="AA65" s="1359">
        <f t="shared" si="68"/>
        <v>0.16708824722058435</v>
      </c>
      <c r="AB65" s="1359">
        <f t="shared" si="68"/>
        <v>0.1742407221795885</v>
      </c>
      <c r="AC65" s="1359">
        <f t="shared" si="68"/>
        <v>0.1793260788815034</v>
      </c>
      <c r="AD65" s="1359">
        <f t="shared" si="68"/>
        <v>0.18367419824049233</v>
      </c>
      <c r="AE65" s="1359">
        <f t="shared" si="68"/>
        <v>0.18535230117848575</v>
      </c>
      <c r="AF65" s="1359">
        <f t="shared" si="68"/>
        <v>0.18645976426214242</v>
      </c>
      <c r="AG65" s="1624"/>
      <c r="AH65" s="1624"/>
      <c r="AI65" s="1624"/>
      <c r="AJ65" s="1624"/>
      <c r="AK65" s="1624"/>
      <c r="AL65" s="1624"/>
      <c r="AM65" s="1624"/>
    </row>
    <row r="66" spans="1:40" outlineLevel="1">
      <c r="A66" s="349" t="s">
        <v>1914</v>
      </c>
      <c r="B66" s="213"/>
      <c r="C66" s="213"/>
      <c r="D66" s="213"/>
      <c r="E66" s="213"/>
      <c r="F66" s="213"/>
      <c r="G66" s="213"/>
      <c r="H66" s="213"/>
      <c r="I66" s="213"/>
      <c r="J66" s="213"/>
      <c r="K66" s="213"/>
      <c r="L66" s="213"/>
      <c r="M66" s="213"/>
      <c r="N66" s="213"/>
      <c r="O66" s="213"/>
      <c r="P66" s="213"/>
      <c r="Q66" s="302"/>
      <c r="R66" s="302">
        <v>-722</v>
      </c>
      <c r="S66" s="302">
        <v>-463</v>
      </c>
      <c r="T66" s="302">
        <v>11</v>
      </c>
      <c r="U66" s="302">
        <v>-449</v>
      </c>
      <c r="V66" s="302">
        <v>-134</v>
      </c>
      <c r="W66" s="302">
        <v>136</v>
      </c>
      <c r="X66" s="302">
        <v>-478</v>
      </c>
      <c r="Y66" s="302">
        <v>-455</v>
      </c>
      <c r="Z66" s="302">
        <v>-404</v>
      </c>
      <c r="AA66" s="302"/>
      <c r="AB66" s="302"/>
      <c r="AC66" s="302"/>
      <c r="AD66" s="302"/>
      <c r="AE66" s="302"/>
      <c r="AF66" s="302"/>
      <c r="AG66" s="1652"/>
      <c r="AH66" s="1624"/>
      <c r="AI66" s="1624"/>
      <c r="AJ66" s="1624"/>
      <c r="AK66" s="1624"/>
      <c r="AL66" s="1624"/>
      <c r="AM66" s="1624"/>
    </row>
    <row r="67" spans="1:40" outlineLevel="1">
      <c r="A67" s="349" t="s">
        <v>1915</v>
      </c>
      <c r="B67" s="213"/>
      <c r="C67" s="213"/>
      <c r="D67" s="213"/>
      <c r="E67" s="213"/>
      <c r="F67" s="213"/>
      <c r="G67" s="213"/>
      <c r="H67" s="213"/>
      <c r="I67" s="213"/>
      <c r="J67" s="213"/>
      <c r="K67" s="213"/>
      <c r="L67" s="213"/>
      <c r="M67" s="213"/>
      <c r="N67" s="213"/>
      <c r="O67" s="213"/>
      <c r="P67" s="213"/>
      <c r="Q67" s="302"/>
      <c r="R67" s="302">
        <v>10</v>
      </c>
      <c r="S67" s="302">
        <v>7</v>
      </c>
      <c r="T67" s="302">
        <v>-2</v>
      </c>
      <c r="U67" s="302">
        <v>-1</v>
      </c>
      <c r="V67" s="302">
        <v>5</v>
      </c>
      <c r="W67" s="302">
        <v>5</v>
      </c>
      <c r="X67" s="302">
        <v>3</v>
      </c>
      <c r="Y67" s="302">
        <v>-7</v>
      </c>
      <c r="Z67" s="302">
        <v>10</v>
      </c>
      <c r="AA67" s="302"/>
      <c r="AB67" s="302"/>
      <c r="AC67" s="302"/>
      <c r="AD67" s="302"/>
      <c r="AE67" s="302"/>
      <c r="AF67" s="302"/>
      <c r="AG67" s="1624"/>
      <c r="AH67" s="1624"/>
      <c r="AI67" s="1624"/>
      <c r="AJ67" s="1624"/>
      <c r="AK67" s="1624"/>
      <c r="AL67" s="1624"/>
      <c r="AM67" s="1624"/>
    </row>
    <row r="68" spans="1:40" s="1354" customFormat="1" ht="15" outlineLevel="1">
      <c r="A68" s="349" t="s">
        <v>1916</v>
      </c>
      <c r="B68" s="213"/>
      <c r="C68" s="213"/>
      <c r="D68" s="213"/>
      <c r="E68" s="213"/>
      <c r="F68" s="213"/>
      <c r="G68" s="213"/>
      <c r="H68" s="213"/>
      <c r="I68" s="213"/>
      <c r="J68" s="213"/>
      <c r="K68" s="213"/>
      <c r="L68" s="213"/>
      <c r="M68" s="213"/>
      <c r="N68" s="213"/>
      <c r="O68" s="213"/>
      <c r="P68" s="213"/>
      <c r="Q68" s="302"/>
      <c r="R68" s="302">
        <v>70</v>
      </c>
      <c r="S68" s="302">
        <v>67</v>
      </c>
      <c r="T68" s="302">
        <v>56</v>
      </c>
      <c r="U68" s="302">
        <v>51</v>
      </c>
      <c r="V68" s="302">
        <v>46</v>
      </c>
      <c r="W68" s="302">
        <v>39</v>
      </c>
      <c r="X68" s="302">
        <v>38</v>
      </c>
      <c r="Y68" s="302">
        <v>38</v>
      </c>
      <c r="Z68" s="302">
        <v>41</v>
      </c>
      <c r="AA68" s="302"/>
      <c r="AB68" s="302"/>
      <c r="AC68" s="302"/>
      <c r="AD68" s="302"/>
      <c r="AE68" s="302"/>
      <c r="AF68" s="302"/>
      <c r="AG68" s="1628"/>
      <c r="AH68" s="1628"/>
      <c r="AI68" s="1628"/>
      <c r="AJ68" s="1628"/>
      <c r="AK68" s="1628"/>
      <c r="AL68" s="1628"/>
      <c r="AM68" s="1628"/>
      <c r="AN68" s="1651"/>
    </row>
    <row r="69" spans="1:40" outlineLevel="1">
      <c r="A69" s="349" t="s">
        <v>1917</v>
      </c>
      <c r="B69" s="213"/>
      <c r="C69" s="213"/>
      <c r="D69" s="213"/>
      <c r="E69" s="213"/>
      <c r="F69" s="213"/>
      <c r="G69" s="213"/>
      <c r="H69" s="213"/>
      <c r="I69" s="213"/>
      <c r="J69" s="213"/>
      <c r="K69" s="213"/>
      <c r="L69" s="213"/>
      <c r="M69" s="213"/>
      <c r="N69" s="213"/>
      <c r="O69" s="213"/>
      <c r="P69" s="213"/>
      <c r="Q69" s="302"/>
      <c r="R69" s="302">
        <v>56</v>
      </c>
      <c r="S69" s="302">
        <v>63</v>
      </c>
      <c r="T69" s="302">
        <v>678</v>
      </c>
      <c r="U69" s="302">
        <v>395</v>
      </c>
      <c r="V69" s="302">
        <v>376</v>
      </c>
      <c r="W69" s="302">
        <v>356</v>
      </c>
      <c r="X69" s="302">
        <v>352</v>
      </c>
      <c r="Y69" s="302">
        <v>281</v>
      </c>
      <c r="Z69" s="302">
        <v>286</v>
      </c>
      <c r="AA69" s="302"/>
      <c r="AB69" s="302"/>
      <c r="AC69" s="302"/>
      <c r="AD69" s="302"/>
      <c r="AE69" s="302"/>
      <c r="AF69" s="302"/>
      <c r="AG69" s="1624"/>
      <c r="AH69" s="1624"/>
      <c r="AI69" s="1624"/>
      <c r="AJ69" s="1624"/>
      <c r="AK69" s="1624"/>
      <c r="AL69" s="1624"/>
      <c r="AM69" s="1624"/>
    </row>
    <row r="70" spans="1:40">
      <c r="A70" s="1448" t="s">
        <v>2003</v>
      </c>
      <c r="B70" s="523"/>
      <c r="C70" s="523"/>
      <c r="D70" s="523"/>
      <c r="E70" s="523"/>
      <c r="F70" s="523"/>
      <c r="G70" s="523"/>
      <c r="H70" s="1448"/>
      <c r="I70" s="1448"/>
      <c r="J70" s="1448"/>
      <c r="K70" s="1450"/>
      <c r="L70" s="1450"/>
      <c r="M70" s="1450"/>
      <c r="N70" s="1450"/>
      <c r="O70" s="1451"/>
      <c r="P70" s="1451"/>
      <c r="Q70" s="1451"/>
      <c r="R70" s="1451">
        <f t="shared" ref="R70:AF70" si="69">R64+SUM(R66:R69)</f>
        <v>2404</v>
      </c>
      <c r="S70" s="1451">
        <f t="shared" si="69"/>
        <v>2192</v>
      </c>
      <c r="T70" s="1451">
        <f t="shared" si="69"/>
        <v>3023</v>
      </c>
      <c r="U70" s="1451">
        <f t="shared" si="69"/>
        <v>3820</v>
      </c>
      <c r="V70" s="1451">
        <f t="shared" si="69"/>
        <v>1686</v>
      </c>
      <c r="W70" s="1451">
        <f t="shared" si="69"/>
        <v>1805</v>
      </c>
      <c r="X70" s="1451">
        <f t="shared" si="69"/>
        <v>2408</v>
      </c>
      <c r="Y70" s="1451">
        <f t="shared" si="69"/>
        <v>3166</v>
      </c>
      <c r="Z70" s="1451">
        <f t="shared" si="69"/>
        <v>4119</v>
      </c>
      <c r="AA70" s="1451">
        <f t="shared" si="69"/>
        <v>5179.0617839715924</v>
      </c>
      <c r="AB70" s="1451">
        <f t="shared" si="69"/>
        <v>6014.912862687469</v>
      </c>
      <c r="AC70" s="1451">
        <f t="shared" si="69"/>
        <v>6844.9823785453691</v>
      </c>
      <c r="AD70" s="1451">
        <f t="shared" si="69"/>
        <v>7604.1887309951189</v>
      </c>
      <c r="AE70" s="1451">
        <f t="shared" si="69"/>
        <v>8050.4884032810423</v>
      </c>
      <c r="AF70" s="1451">
        <f t="shared" si="69"/>
        <v>8490.6102037785913</v>
      </c>
      <c r="AG70" s="1624"/>
      <c r="AH70" s="1624"/>
      <c r="AI70" s="1624"/>
      <c r="AJ70" s="1624"/>
      <c r="AK70" s="1624"/>
      <c r="AL70" s="1624"/>
      <c r="AM70" s="1624"/>
    </row>
    <row r="71" spans="1:40" s="1365" customFormat="1">
      <c r="A71" s="1484" t="s">
        <v>2004</v>
      </c>
      <c r="B71" s="383"/>
      <c r="C71" s="383"/>
      <c r="D71" s="383"/>
      <c r="E71" s="383"/>
      <c r="F71" s="383"/>
      <c r="G71" s="383"/>
      <c r="H71" s="383"/>
      <c r="I71" s="383"/>
      <c r="J71" s="383"/>
      <c r="K71" s="383"/>
      <c r="L71" s="383"/>
      <c r="M71" s="383"/>
      <c r="N71" s="383"/>
      <c r="O71" s="383"/>
      <c r="P71" s="383"/>
      <c r="Q71" s="1482">
        <f t="shared" ref="Q71:AF71" si="70">Q70/Q39</f>
        <v>0</v>
      </c>
      <c r="R71" s="1482">
        <f t="shared" si="70"/>
        <v>0.15233508649641975</v>
      </c>
      <c r="S71" s="1482">
        <f t="shared" si="70"/>
        <v>0.13740362314298252</v>
      </c>
      <c r="T71" s="1482">
        <f t="shared" si="70"/>
        <v>0.14361045130641331</v>
      </c>
      <c r="U71" s="1482">
        <f t="shared" si="70"/>
        <v>0.15503246753246752</v>
      </c>
      <c r="V71" s="1482">
        <f t="shared" si="70"/>
        <v>0.10219420535822524</v>
      </c>
      <c r="W71" s="1482">
        <f t="shared" si="70"/>
        <v>0.11830635118306351</v>
      </c>
      <c r="X71" s="1482">
        <f t="shared" si="70"/>
        <v>0.12650380877331233</v>
      </c>
      <c r="Y71" s="1482">
        <f t="shared" si="70"/>
        <v>0.13647139962929436</v>
      </c>
      <c r="Z71" s="1482">
        <f t="shared" si="70"/>
        <v>0.15078522531756783</v>
      </c>
      <c r="AA71" s="1482">
        <f t="shared" si="70"/>
        <v>0.16708824722058435</v>
      </c>
      <c r="AB71" s="1482">
        <f t="shared" si="70"/>
        <v>0.1742407221795885</v>
      </c>
      <c r="AC71" s="1482">
        <f t="shared" si="70"/>
        <v>0.1793260788815034</v>
      </c>
      <c r="AD71" s="1482">
        <f t="shared" si="70"/>
        <v>0.18367419824049233</v>
      </c>
      <c r="AE71" s="1482">
        <f t="shared" si="70"/>
        <v>0.18535230117848575</v>
      </c>
      <c r="AF71" s="1482">
        <f t="shared" si="70"/>
        <v>0.18645976426214242</v>
      </c>
      <c r="AG71" s="1653"/>
      <c r="AH71" s="1653"/>
      <c r="AI71" s="1653"/>
      <c r="AJ71" s="1653"/>
      <c r="AK71" s="1653"/>
      <c r="AL71" s="1653"/>
      <c r="AM71" s="1653"/>
      <c r="AN71" s="1654"/>
    </row>
    <row r="72" spans="1:40">
      <c r="A72" s="19" t="s">
        <v>944</v>
      </c>
      <c r="B72" s="213"/>
      <c r="C72" s="213"/>
      <c r="D72" s="213"/>
      <c r="E72" s="213"/>
      <c r="F72" s="213"/>
      <c r="G72" s="213"/>
      <c r="H72" s="19"/>
      <c r="I72" s="19"/>
      <c r="J72" s="19"/>
      <c r="K72" s="260">
        <v>-35</v>
      </c>
      <c r="L72" s="260">
        <v>-13</v>
      </c>
      <c r="M72" s="260">
        <v>-29</v>
      </c>
      <c r="N72" s="260">
        <v>-56</v>
      </c>
      <c r="O72" s="260">
        <v>185</v>
      </c>
      <c r="P72" s="260">
        <v>-107</v>
      </c>
      <c r="Q72" s="260">
        <v>-778</v>
      </c>
      <c r="R72" s="260">
        <v>349</v>
      </c>
      <c r="S72" s="260">
        <v>-90</v>
      </c>
      <c r="T72" s="260">
        <v>-115</v>
      </c>
      <c r="U72" s="260">
        <v>13</v>
      </c>
      <c r="V72" s="260">
        <v>-466</v>
      </c>
      <c r="W72" s="260">
        <v>-405</v>
      </c>
      <c r="X72" s="260">
        <v>-450</v>
      </c>
      <c r="Y72" s="260">
        <v>-511</v>
      </c>
      <c r="Z72" s="260">
        <v>6</v>
      </c>
      <c r="AA72" s="260">
        <v>0</v>
      </c>
      <c r="AB72" s="260">
        <v>0</v>
      </c>
      <c r="AC72" s="260">
        <v>0</v>
      </c>
      <c r="AD72" s="260">
        <v>0</v>
      </c>
      <c r="AE72" s="260">
        <v>0</v>
      </c>
      <c r="AF72" s="260">
        <v>0</v>
      </c>
      <c r="AG72" s="1624"/>
      <c r="AH72" s="1624"/>
      <c r="AI72" s="1624"/>
      <c r="AJ72" s="1624"/>
      <c r="AK72" s="1624"/>
      <c r="AL72" s="1624"/>
      <c r="AM72" s="1624"/>
    </row>
    <row r="73" spans="1:40">
      <c r="A73" s="1448" t="s">
        <v>2014</v>
      </c>
      <c r="B73" s="449"/>
      <c r="C73" s="449"/>
      <c r="D73" s="449"/>
      <c r="E73" s="449"/>
      <c r="F73" s="449"/>
      <c r="G73" s="449"/>
      <c r="H73" s="449"/>
      <c r="I73" s="449"/>
      <c r="J73" s="449"/>
      <c r="K73" s="449"/>
      <c r="L73" s="449"/>
      <c r="M73" s="449"/>
      <c r="N73" s="449"/>
      <c r="O73" s="449"/>
      <c r="P73" s="1449">
        <f t="shared" ref="P73:Y73" si="71">P64+P72</f>
        <v>1393</v>
      </c>
      <c r="Q73" s="1449">
        <f t="shared" si="71"/>
        <v>2076</v>
      </c>
      <c r="R73" s="1449">
        <f t="shared" si="71"/>
        <v>3339</v>
      </c>
      <c r="S73" s="1449">
        <f t="shared" si="71"/>
        <v>2428</v>
      </c>
      <c r="T73" s="1449">
        <f t="shared" si="71"/>
        <v>2165</v>
      </c>
      <c r="U73" s="1449">
        <f t="shared" si="71"/>
        <v>3837</v>
      </c>
      <c r="V73" s="1449">
        <f t="shared" si="71"/>
        <v>927</v>
      </c>
      <c r="W73" s="1449">
        <f t="shared" si="71"/>
        <v>864</v>
      </c>
      <c r="X73" s="1449">
        <f t="shared" si="71"/>
        <v>2043</v>
      </c>
      <c r="Y73" s="1449">
        <f t="shared" si="71"/>
        <v>2798</v>
      </c>
      <c r="Z73" s="1449">
        <f>Z64+Z72</f>
        <v>4192</v>
      </c>
      <c r="AA73" s="1449">
        <f t="shared" ref="AA73:AF73" si="72">AA64+AA72</f>
        <v>5179.0617839715924</v>
      </c>
      <c r="AB73" s="1449">
        <f t="shared" si="72"/>
        <v>6014.912862687469</v>
      </c>
      <c r="AC73" s="1449">
        <f t="shared" si="72"/>
        <v>6844.9823785453691</v>
      </c>
      <c r="AD73" s="1449">
        <f t="shared" si="72"/>
        <v>7604.1887309951189</v>
      </c>
      <c r="AE73" s="1449">
        <f t="shared" si="72"/>
        <v>8050.4884032810423</v>
      </c>
      <c r="AF73" s="1449">
        <f t="shared" si="72"/>
        <v>8490.6102037785913</v>
      </c>
      <c r="AG73" s="1624"/>
      <c r="AH73" s="1624"/>
      <c r="AI73" s="1624"/>
      <c r="AJ73" s="1624"/>
      <c r="AK73" s="1624"/>
      <c r="AL73" s="1624"/>
      <c r="AM73" s="1624"/>
    </row>
    <row r="74" spans="1:40">
      <c r="A74" s="1448" t="s">
        <v>1741</v>
      </c>
      <c r="B74" s="449"/>
      <c r="C74" s="449"/>
      <c r="D74" s="449"/>
      <c r="E74" s="449"/>
      <c r="F74" s="449"/>
      <c r="G74" s="449"/>
      <c r="H74" s="449"/>
      <c r="I74" s="449"/>
      <c r="J74" s="449"/>
      <c r="K74" s="449"/>
      <c r="L74" s="449"/>
      <c r="M74" s="449"/>
      <c r="N74" s="449"/>
      <c r="O74" s="449"/>
      <c r="P74" s="1449"/>
      <c r="Q74" s="1449"/>
      <c r="R74" s="1449">
        <f t="shared" ref="R74:W74" si="73">R70+R72</f>
        <v>2753</v>
      </c>
      <c r="S74" s="1449">
        <f t="shared" si="73"/>
        <v>2102</v>
      </c>
      <c r="T74" s="1449">
        <f t="shared" si="73"/>
        <v>2908</v>
      </c>
      <c r="U74" s="1449">
        <f t="shared" si="73"/>
        <v>3833</v>
      </c>
      <c r="V74" s="1449">
        <f t="shared" si="73"/>
        <v>1220</v>
      </c>
      <c r="W74" s="1449">
        <f t="shared" si="73"/>
        <v>1400</v>
      </c>
      <c r="X74" s="1449">
        <f t="shared" ref="X74:AF74" si="74">X70+X72</f>
        <v>1958</v>
      </c>
      <c r="Y74" s="1449">
        <f t="shared" si="74"/>
        <v>2655</v>
      </c>
      <c r="Z74" s="1449">
        <f t="shared" si="74"/>
        <v>4125</v>
      </c>
      <c r="AA74" s="1449">
        <f t="shared" si="74"/>
        <v>5179.0617839715924</v>
      </c>
      <c r="AB74" s="1449">
        <f t="shared" si="74"/>
        <v>6014.912862687469</v>
      </c>
      <c r="AC74" s="1449">
        <f t="shared" si="74"/>
        <v>6844.9823785453691</v>
      </c>
      <c r="AD74" s="1449">
        <f t="shared" si="74"/>
        <v>7604.1887309951189</v>
      </c>
      <c r="AE74" s="1449">
        <f t="shared" si="74"/>
        <v>8050.4884032810423</v>
      </c>
      <c r="AF74" s="1449">
        <f t="shared" si="74"/>
        <v>8490.6102037785913</v>
      </c>
      <c r="AG74" s="1624"/>
      <c r="AH74" s="1627"/>
      <c r="AI74" s="1627"/>
      <c r="AJ74" s="1627"/>
      <c r="AK74" s="1627"/>
      <c r="AL74" s="1624"/>
      <c r="AM74" s="1624"/>
    </row>
    <row r="75" spans="1:40" s="1354" customFormat="1" ht="15">
      <c r="A75" s="214" t="s">
        <v>943</v>
      </c>
      <c r="B75" s="57"/>
      <c r="C75" s="57"/>
      <c r="D75" s="57"/>
      <c r="E75" s="57"/>
      <c r="F75" s="57"/>
      <c r="G75" s="57"/>
      <c r="H75" s="273">
        <f t="shared" ref="H75:N75" si="75">H76+H77+H78</f>
        <v>312</v>
      </c>
      <c r="I75" s="273">
        <f t="shared" si="75"/>
        <v>34</v>
      </c>
      <c r="J75" s="273">
        <f t="shared" si="75"/>
        <v>-716</v>
      </c>
      <c r="K75" s="273">
        <f t="shared" si="75"/>
        <v>296</v>
      </c>
      <c r="L75" s="273">
        <f t="shared" si="75"/>
        <v>-703</v>
      </c>
      <c r="M75" s="273">
        <f t="shared" si="75"/>
        <v>-150</v>
      </c>
      <c r="N75" s="273">
        <f t="shared" si="75"/>
        <v>533</v>
      </c>
      <c r="O75" s="273">
        <f t="shared" ref="O75:AF75" si="76">SUM(O76:O78)</f>
        <v>439</v>
      </c>
      <c r="P75" s="273">
        <f t="shared" si="76"/>
        <v>-1771</v>
      </c>
      <c r="Q75" s="273">
        <f t="shared" si="76"/>
        <v>-3408</v>
      </c>
      <c r="R75" s="273">
        <f t="shared" si="76"/>
        <v>-1052</v>
      </c>
      <c r="S75" s="273">
        <f t="shared" si="76"/>
        <v>3012</v>
      </c>
      <c r="T75" s="273">
        <f t="shared" si="76"/>
        <v>-476</v>
      </c>
      <c r="U75" s="273">
        <f t="shared" si="76"/>
        <v>-363</v>
      </c>
      <c r="V75" s="273">
        <f t="shared" si="76"/>
        <v>-357</v>
      </c>
      <c r="W75" s="273">
        <f t="shared" si="76"/>
        <v>-596</v>
      </c>
      <c r="X75" s="273">
        <f t="shared" si="76"/>
        <v>-5163</v>
      </c>
      <c r="Y75" s="273">
        <f t="shared" si="76"/>
        <v>1958</v>
      </c>
      <c r="Z75" s="273">
        <f t="shared" si="76"/>
        <v>-5051</v>
      </c>
      <c r="AA75" s="1360">
        <f t="shared" si="76"/>
        <v>113.98500000000001</v>
      </c>
      <c r="AB75" s="1360">
        <f t="shared" si="76"/>
        <v>126.92821272622497</v>
      </c>
      <c r="AC75" s="1360">
        <f t="shared" si="76"/>
        <v>143.85053320935441</v>
      </c>
      <c r="AD75" s="1360">
        <f t="shared" si="76"/>
        <v>168.32129448281512</v>
      </c>
      <c r="AE75" s="1360">
        <f t="shared" si="76"/>
        <v>195.6653324986309</v>
      </c>
      <c r="AF75" s="1360">
        <f t="shared" si="76"/>
        <v>242.18511461063076</v>
      </c>
      <c r="AG75" s="1628"/>
      <c r="AH75" s="1628"/>
      <c r="AI75" s="1628"/>
      <c r="AJ75" s="1628"/>
      <c r="AK75" s="1628"/>
      <c r="AL75" s="1628"/>
      <c r="AM75" s="1628"/>
      <c r="AN75" s="1651"/>
    </row>
    <row r="76" spans="1:40" s="1354" customFormat="1" ht="15">
      <c r="A76" s="291" t="s">
        <v>1938</v>
      </c>
      <c r="B76" s="213"/>
      <c r="C76" s="213"/>
      <c r="D76" s="213"/>
      <c r="E76" s="213"/>
      <c r="F76" s="213"/>
      <c r="G76" s="213"/>
      <c r="H76" s="260">
        <v>-22</v>
      </c>
      <c r="I76" s="260">
        <v>-10</v>
      </c>
      <c r="J76" s="260">
        <v>-19</v>
      </c>
      <c r="K76" s="260">
        <v>-38</v>
      </c>
      <c r="L76" s="260">
        <v>-36</v>
      </c>
      <c r="M76" s="260">
        <v>-42</v>
      </c>
      <c r="N76" s="260">
        <v>-54</v>
      </c>
      <c r="O76" s="260">
        <v>-42</v>
      </c>
      <c r="P76" s="260">
        <v>-42</v>
      </c>
      <c r="Q76" s="260">
        <v>-29</v>
      </c>
      <c r="R76" s="260">
        <v>-51</v>
      </c>
      <c r="S76" s="260">
        <v>-57</v>
      </c>
      <c r="T76" s="260">
        <v>-67</v>
      </c>
      <c r="U76" s="260">
        <v>-33</v>
      </c>
      <c r="V76" s="260">
        <v>-58</v>
      </c>
      <c r="W76" s="260">
        <v>-85</v>
      </c>
      <c r="X76" s="260">
        <v>-56</v>
      </c>
      <c r="Y76" s="260">
        <v>112</v>
      </c>
      <c r="Z76" s="260">
        <v>157</v>
      </c>
      <c r="AA76" s="1554">
        <f>AA120</f>
        <v>113.98500000000001</v>
      </c>
      <c r="AB76" s="301">
        <f>AB120</f>
        <v>126.92821272622497</v>
      </c>
      <c r="AC76" s="301">
        <f t="shared" ref="AC76:AF76" si="77">AC120</f>
        <v>143.85053320935441</v>
      </c>
      <c r="AD76" s="301">
        <f t="shared" si="77"/>
        <v>168.32129448281512</v>
      </c>
      <c r="AE76" s="301">
        <f t="shared" si="77"/>
        <v>195.6653324986309</v>
      </c>
      <c r="AF76" s="301">
        <f t="shared" si="77"/>
        <v>242.18511461063076</v>
      </c>
      <c r="AG76" s="1628"/>
      <c r="AH76" s="1628"/>
      <c r="AI76" s="1628"/>
      <c r="AJ76" s="1628"/>
      <c r="AK76" s="1628"/>
      <c r="AL76" s="1628"/>
      <c r="AM76" s="1628"/>
      <c r="AN76" s="1651"/>
    </row>
    <row r="77" spans="1:40">
      <c r="A77" s="291" t="s">
        <v>777</v>
      </c>
      <c r="B77" s="213"/>
      <c r="C77" s="213"/>
      <c r="D77" s="213"/>
      <c r="E77" s="213"/>
      <c r="F77" s="213"/>
      <c r="G77" s="213"/>
      <c r="H77" s="260"/>
      <c r="I77" s="260"/>
      <c r="J77" s="260"/>
      <c r="K77" s="260">
        <v>479</v>
      </c>
      <c r="L77" s="260">
        <v>-531</v>
      </c>
      <c r="M77" s="260">
        <v>19</v>
      </c>
      <c r="N77" s="260">
        <v>709</v>
      </c>
      <c r="O77" s="260">
        <v>551</v>
      </c>
      <c r="P77" s="260">
        <v>-1654</v>
      </c>
      <c r="Q77" s="260">
        <v>-3270</v>
      </c>
      <c r="R77" s="260">
        <v>-943</v>
      </c>
      <c r="S77" s="260">
        <v>3071</v>
      </c>
      <c r="T77" s="260">
        <v>-351</v>
      </c>
      <c r="U77" s="260">
        <v>-283</v>
      </c>
      <c r="V77" s="260">
        <v>-257</v>
      </c>
      <c r="W77" s="260">
        <v>-497</v>
      </c>
      <c r="X77" s="260">
        <v>-5072</v>
      </c>
      <c r="Y77" s="260">
        <v>1850</v>
      </c>
      <c r="Z77" s="260">
        <v>-5180</v>
      </c>
      <c r="AA77" s="4"/>
      <c r="AB77" s="4"/>
      <c r="AC77" s="4"/>
      <c r="AD77" s="4"/>
      <c r="AE77" s="4"/>
      <c r="AF77" s="4"/>
      <c r="AG77" s="1624"/>
      <c r="AH77" s="1624"/>
      <c r="AI77" s="1624"/>
      <c r="AJ77" s="1624"/>
      <c r="AK77" s="1624"/>
      <c r="AL77" s="1624"/>
      <c r="AM77" s="1624"/>
    </row>
    <row r="78" spans="1:40">
      <c r="A78" s="291" t="s">
        <v>776</v>
      </c>
      <c r="B78" s="213"/>
      <c r="C78" s="213"/>
      <c r="D78" s="213"/>
      <c r="E78" s="213"/>
      <c r="F78" s="213"/>
      <c r="G78" s="213"/>
      <c r="H78" s="260">
        <v>334</v>
      </c>
      <c r="I78" s="260">
        <v>44</v>
      </c>
      <c r="J78" s="260">
        <v>-697</v>
      </c>
      <c r="K78" s="260">
        <v>-145</v>
      </c>
      <c r="L78" s="260">
        <v>-136</v>
      </c>
      <c r="M78" s="260">
        <v>-127</v>
      </c>
      <c r="N78" s="260">
        <v>-122</v>
      </c>
      <c r="O78" s="260">
        <v>-70</v>
      </c>
      <c r="P78" s="260">
        <v>-75</v>
      </c>
      <c r="Q78" s="260">
        <v>-109</v>
      </c>
      <c r="R78" s="260">
        <v>-58</v>
      </c>
      <c r="S78" s="260">
        <v>-2</v>
      </c>
      <c r="T78" s="260">
        <v>-58</v>
      </c>
      <c r="U78" s="260">
        <v>-47</v>
      </c>
      <c r="V78" s="260">
        <v>-42</v>
      </c>
      <c r="W78" s="260">
        <v>-14</v>
      </c>
      <c r="X78" s="260">
        <v>-35</v>
      </c>
      <c r="Y78" s="260">
        <v>-4</v>
      </c>
      <c r="Z78" s="260">
        <v>-28</v>
      </c>
      <c r="AA78" s="4"/>
      <c r="AB78" s="4"/>
      <c r="AC78" s="4"/>
      <c r="AD78" s="4"/>
      <c r="AE78" s="4"/>
      <c r="AF78" s="4"/>
      <c r="AG78" s="1624"/>
      <c r="AH78" s="1624"/>
      <c r="AI78" s="1624"/>
      <c r="AJ78" s="1624"/>
      <c r="AK78" s="1624"/>
      <c r="AL78" s="1624"/>
      <c r="AM78" s="1624"/>
    </row>
    <row r="79" spans="1:40" s="1354" customFormat="1" ht="15">
      <c r="A79" s="214" t="s">
        <v>1920</v>
      </c>
      <c r="B79" s="391"/>
      <c r="C79" s="391"/>
      <c r="D79" s="391"/>
      <c r="E79" s="391"/>
      <c r="F79" s="391"/>
      <c r="G79" s="391"/>
      <c r="H79" s="1358"/>
      <c r="I79" s="1358"/>
      <c r="J79" s="1358"/>
      <c r="K79" s="1358"/>
      <c r="L79" s="1358"/>
      <c r="M79" s="1358"/>
      <c r="N79" s="1358"/>
      <c r="O79" s="1358"/>
      <c r="P79" s="1358"/>
      <c r="Q79" s="1358"/>
      <c r="R79" s="275">
        <v>-144</v>
      </c>
      <c r="S79" s="275">
        <v>7</v>
      </c>
      <c r="T79" s="275">
        <v>-211</v>
      </c>
      <c r="U79" s="275">
        <v>-89</v>
      </c>
      <c r="V79" s="275">
        <v>-7</v>
      </c>
      <c r="W79" s="273">
        <f>W75+SUM(W80:W81)</f>
        <v>-204</v>
      </c>
      <c r="X79" s="273">
        <f>X75+SUM(X80:X81)</f>
        <v>-186</v>
      </c>
      <c r="Y79" s="273">
        <f>Y75+SUM(Y80:Y81)</f>
        <v>174</v>
      </c>
      <c r="Z79" s="273">
        <f>Z75+SUM(Z80:Z81)</f>
        <v>23</v>
      </c>
      <c r="AA79" s="273">
        <f t="shared" ref="AA79:AF79" si="78">AA75+SUM(AA80:AA81)</f>
        <v>113.98500000000001</v>
      </c>
      <c r="AB79" s="273">
        <f t="shared" si="78"/>
        <v>126.92821272622497</v>
      </c>
      <c r="AC79" s="273">
        <f t="shared" si="78"/>
        <v>143.85053320935441</v>
      </c>
      <c r="AD79" s="273">
        <f t="shared" si="78"/>
        <v>168.32129448281512</v>
      </c>
      <c r="AE79" s="273">
        <f t="shared" si="78"/>
        <v>195.6653324986309</v>
      </c>
      <c r="AF79" s="273">
        <f t="shared" si="78"/>
        <v>242.18511461063076</v>
      </c>
      <c r="AG79" s="1628"/>
      <c r="AH79" s="1628"/>
      <c r="AI79" s="1628"/>
      <c r="AJ79" s="1628"/>
      <c r="AK79" s="1628"/>
      <c r="AL79" s="1628"/>
      <c r="AM79" s="1628"/>
      <c r="AN79" s="1651"/>
    </row>
    <row r="80" spans="1:40" outlineLevel="1">
      <c r="A80" s="349" t="s">
        <v>1914</v>
      </c>
      <c r="B80" s="391"/>
      <c r="C80" s="391"/>
      <c r="D80" s="391"/>
      <c r="E80" s="391"/>
      <c r="F80" s="391"/>
      <c r="G80" s="391"/>
      <c r="H80" s="1358"/>
      <c r="I80" s="1358"/>
      <c r="J80" s="1358"/>
      <c r="K80" s="1358"/>
      <c r="L80" s="1358"/>
      <c r="M80" s="1358"/>
      <c r="N80" s="1358"/>
      <c r="O80" s="1358"/>
      <c r="P80" s="1358"/>
      <c r="Q80" s="1358"/>
      <c r="R80" s="1358"/>
      <c r="S80" s="1358"/>
      <c r="T80" s="1358"/>
      <c r="U80" s="1358"/>
      <c r="V80" s="1358"/>
      <c r="W80" s="260">
        <v>-136</v>
      </c>
      <c r="X80" s="260">
        <v>478</v>
      </c>
      <c r="Y80" s="260">
        <v>455</v>
      </c>
      <c r="Z80" s="260">
        <v>404</v>
      </c>
      <c r="AA80" s="1359"/>
      <c r="AB80" s="1359"/>
      <c r="AC80" s="1359"/>
      <c r="AD80" s="1359"/>
      <c r="AE80" s="1359"/>
      <c r="AF80" s="1359"/>
      <c r="AG80" s="1624"/>
      <c r="AH80" s="1624"/>
      <c r="AI80" s="1624"/>
      <c r="AJ80" s="1624"/>
      <c r="AK80" s="1624"/>
      <c r="AL80" s="1624"/>
      <c r="AM80" s="1624"/>
    </row>
    <row r="81" spans="1:40" outlineLevel="1">
      <c r="A81" s="349" t="s">
        <v>1915</v>
      </c>
      <c r="B81" s="391"/>
      <c r="C81" s="391"/>
      <c r="D81" s="391"/>
      <c r="E81" s="391"/>
      <c r="F81" s="391"/>
      <c r="G81" s="391"/>
      <c r="H81" s="1358"/>
      <c r="I81" s="1358"/>
      <c r="J81" s="1358"/>
      <c r="K81" s="1358"/>
      <c r="L81" s="1358"/>
      <c r="M81" s="1358"/>
      <c r="N81" s="1358"/>
      <c r="O81" s="1358"/>
      <c r="P81" s="1358"/>
      <c r="Q81" s="1358"/>
      <c r="R81" s="1358"/>
      <c r="S81" s="1358"/>
      <c r="T81" s="1358"/>
      <c r="U81" s="1358"/>
      <c r="V81" s="1358"/>
      <c r="W81" s="260">
        <v>528</v>
      </c>
      <c r="X81" s="260">
        <v>4499</v>
      </c>
      <c r="Y81" s="260">
        <v>-2239</v>
      </c>
      <c r="Z81" s="260">
        <v>4670</v>
      </c>
      <c r="AA81" s="1359"/>
      <c r="AB81" s="1359"/>
      <c r="AC81" s="1359"/>
      <c r="AD81" s="1359"/>
      <c r="AE81" s="1359"/>
      <c r="AF81" s="1359"/>
      <c r="AG81" s="1624"/>
      <c r="AH81" s="1624"/>
      <c r="AI81" s="1624"/>
      <c r="AJ81" s="1624"/>
      <c r="AK81" s="1624"/>
      <c r="AL81" s="1624"/>
      <c r="AM81" s="1624"/>
    </row>
    <row r="82" spans="1:40">
      <c r="A82" s="291" t="s">
        <v>942</v>
      </c>
      <c r="B82" s="213"/>
      <c r="C82" s="213"/>
      <c r="D82" s="213"/>
      <c r="E82" s="213"/>
      <c r="F82" s="213"/>
      <c r="G82" s="213"/>
      <c r="H82" s="19"/>
      <c r="I82" s="19"/>
      <c r="J82" s="19"/>
      <c r="K82" s="19"/>
      <c r="L82" s="19"/>
      <c r="M82" s="19"/>
      <c r="N82" s="19"/>
      <c r="O82" s="350"/>
      <c r="P82" s="350"/>
      <c r="Q82" s="350"/>
      <c r="R82" s="350"/>
      <c r="S82" s="350"/>
      <c r="T82" s="350"/>
      <c r="U82" s="350"/>
      <c r="V82" s="350"/>
      <c r="W82" s="300"/>
      <c r="X82" s="300"/>
      <c r="Y82" s="300"/>
      <c r="Z82" s="300"/>
      <c r="AA82" s="478"/>
      <c r="AB82" s="478"/>
      <c r="AC82" s="478"/>
      <c r="AD82" s="478"/>
      <c r="AE82" s="478"/>
      <c r="AF82" s="478"/>
      <c r="AG82" s="1624"/>
      <c r="AH82" s="1624"/>
      <c r="AI82" s="1624"/>
      <c r="AJ82" s="1624"/>
      <c r="AK82" s="1624"/>
      <c r="AL82" s="1624"/>
      <c r="AM82" s="1624"/>
    </row>
    <row r="83" spans="1:40">
      <c r="A83" s="19" t="s">
        <v>941</v>
      </c>
      <c r="B83" s="213"/>
      <c r="C83" s="213"/>
      <c r="D83" s="213"/>
      <c r="E83" s="213"/>
      <c r="F83" s="213"/>
      <c r="G83" s="213"/>
      <c r="H83" s="292">
        <v>4</v>
      </c>
      <c r="I83" s="292">
        <v>4</v>
      </c>
      <c r="J83" s="292">
        <v>10</v>
      </c>
      <c r="K83" s="292">
        <v>3</v>
      </c>
      <c r="L83" s="292">
        <v>9</v>
      </c>
      <c r="M83" s="292">
        <v>10</v>
      </c>
      <c r="N83" s="292">
        <v>19</v>
      </c>
      <c r="O83" s="351">
        <v>15</v>
      </c>
      <c r="P83" s="351">
        <v>18</v>
      </c>
      <c r="Q83" s="351">
        <v>0</v>
      </c>
      <c r="R83" s="351">
        <v>0</v>
      </c>
      <c r="S83" s="351">
        <v>0</v>
      </c>
      <c r="T83" s="351">
        <v>0</v>
      </c>
      <c r="U83" s="351">
        <v>0</v>
      </c>
      <c r="V83" s="351">
        <v>0</v>
      </c>
      <c r="W83" s="351">
        <v>0</v>
      </c>
      <c r="X83" s="351">
        <f>W83*1.05</f>
        <v>0</v>
      </c>
      <c r="Y83" s="351">
        <v>0</v>
      </c>
      <c r="Z83" s="351">
        <v>0</v>
      </c>
      <c r="AA83" s="213">
        <f t="shared" ref="AA83:AF83" si="79">Z83*1.05</f>
        <v>0</v>
      </c>
      <c r="AB83" s="213">
        <f t="shared" si="79"/>
        <v>0</v>
      </c>
      <c r="AC83" s="213">
        <f t="shared" si="79"/>
        <v>0</v>
      </c>
      <c r="AD83" s="213">
        <f t="shared" si="79"/>
        <v>0</v>
      </c>
      <c r="AE83" s="213">
        <f t="shared" si="79"/>
        <v>0</v>
      </c>
      <c r="AF83" s="213">
        <f t="shared" si="79"/>
        <v>0</v>
      </c>
      <c r="AG83" s="1624"/>
      <c r="AH83" s="1624"/>
      <c r="AI83" s="1624"/>
      <c r="AJ83" s="1624"/>
      <c r="AK83" s="1624"/>
      <c r="AL83" s="1624"/>
      <c r="AM83" s="1624"/>
    </row>
    <row r="84" spans="1:40" s="1354" customFormat="1" ht="15">
      <c r="A84" s="1448" t="s">
        <v>940</v>
      </c>
      <c r="B84" s="523"/>
      <c r="C84" s="523"/>
      <c r="D84" s="523"/>
      <c r="E84" s="523"/>
      <c r="F84" s="523"/>
      <c r="G84" s="523"/>
      <c r="H84" s="1449">
        <f t="shared" ref="H84:AF84" si="80">H64+H72+H75</f>
        <v>126</v>
      </c>
      <c r="I84" s="1449">
        <f t="shared" si="80"/>
        <v>163</v>
      </c>
      <c r="J84" s="1449">
        <f t="shared" si="80"/>
        <v>-113</v>
      </c>
      <c r="K84" s="1449">
        <f t="shared" si="80"/>
        <v>890</v>
      </c>
      <c r="L84" s="1449">
        <f t="shared" si="80"/>
        <v>235</v>
      </c>
      <c r="M84" s="1449">
        <f t="shared" si="80"/>
        <v>685</v>
      </c>
      <c r="N84" s="1449">
        <f t="shared" si="80"/>
        <v>1720</v>
      </c>
      <c r="O84" s="1449">
        <f t="shared" si="80"/>
        <v>1919</v>
      </c>
      <c r="P84" s="1449">
        <f t="shared" si="80"/>
        <v>-378</v>
      </c>
      <c r="Q84" s="1449">
        <f t="shared" si="80"/>
        <v>-1332</v>
      </c>
      <c r="R84" s="1449">
        <f t="shared" si="80"/>
        <v>2287</v>
      </c>
      <c r="S84" s="1449">
        <f t="shared" si="80"/>
        <v>5440</v>
      </c>
      <c r="T84" s="1449">
        <f t="shared" si="80"/>
        <v>1689</v>
      </c>
      <c r="U84" s="1449">
        <f t="shared" si="80"/>
        <v>3474</v>
      </c>
      <c r="V84" s="1449">
        <f t="shared" si="80"/>
        <v>570</v>
      </c>
      <c r="W84" s="1449">
        <f t="shared" si="80"/>
        <v>268</v>
      </c>
      <c r="X84" s="1449">
        <f t="shared" si="80"/>
        <v>-3120</v>
      </c>
      <c r="Y84" s="1449">
        <f t="shared" si="80"/>
        <v>4756</v>
      </c>
      <c r="Z84" s="1449">
        <f t="shared" si="80"/>
        <v>-859</v>
      </c>
      <c r="AA84" s="1449">
        <f t="shared" si="80"/>
        <v>5293.046783971592</v>
      </c>
      <c r="AB84" s="1449">
        <f t="shared" si="80"/>
        <v>6141.8410754136939</v>
      </c>
      <c r="AC84" s="1449">
        <f t="shared" si="80"/>
        <v>6988.8329117547237</v>
      </c>
      <c r="AD84" s="1449">
        <f t="shared" si="80"/>
        <v>7772.5100254779336</v>
      </c>
      <c r="AE84" s="1449">
        <f t="shared" si="80"/>
        <v>8246.1537357796733</v>
      </c>
      <c r="AF84" s="1449">
        <f t="shared" si="80"/>
        <v>8732.7953183892223</v>
      </c>
      <c r="AG84" s="1628"/>
      <c r="AH84" s="1628"/>
      <c r="AI84" s="1628"/>
      <c r="AJ84" s="1628"/>
      <c r="AK84" s="1628"/>
      <c r="AL84" s="1628"/>
      <c r="AM84" s="1628"/>
      <c r="AN84" s="1651"/>
    </row>
    <row r="85" spans="1:40" s="1354" customFormat="1" ht="15">
      <c r="A85" s="1448" t="s">
        <v>1919</v>
      </c>
      <c r="B85" s="523"/>
      <c r="C85" s="523"/>
      <c r="D85" s="523"/>
      <c r="E85" s="523"/>
      <c r="F85" s="523"/>
      <c r="G85" s="523"/>
      <c r="H85" s="1449"/>
      <c r="I85" s="1449"/>
      <c r="J85" s="1449"/>
      <c r="K85" s="1449"/>
      <c r="L85" s="1449"/>
      <c r="M85" s="1449"/>
      <c r="N85" s="1449"/>
      <c r="O85" s="1449"/>
      <c r="P85" s="1449"/>
      <c r="Q85" s="1449"/>
      <c r="R85" s="1449">
        <f t="shared" ref="R85:V85" si="81">R70+R72+R79</f>
        <v>2609</v>
      </c>
      <c r="S85" s="1449">
        <f t="shared" si="81"/>
        <v>2109</v>
      </c>
      <c r="T85" s="1449">
        <f t="shared" si="81"/>
        <v>2697</v>
      </c>
      <c r="U85" s="1449">
        <f t="shared" si="81"/>
        <v>3744</v>
      </c>
      <c r="V85" s="1449">
        <f t="shared" si="81"/>
        <v>1213</v>
      </c>
      <c r="W85" s="1449">
        <f t="shared" ref="W85:AF85" si="82">W70+W72+W79</f>
        <v>1196</v>
      </c>
      <c r="X85" s="1449">
        <f t="shared" si="82"/>
        <v>1772</v>
      </c>
      <c r="Y85" s="1449">
        <f t="shared" si="82"/>
        <v>2829</v>
      </c>
      <c r="Z85" s="1449">
        <f t="shared" si="82"/>
        <v>4148</v>
      </c>
      <c r="AA85" s="1449">
        <f t="shared" si="82"/>
        <v>5293.046783971592</v>
      </c>
      <c r="AB85" s="1449">
        <f t="shared" si="82"/>
        <v>6141.8410754136939</v>
      </c>
      <c r="AC85" s="1449">
        <f t="shared" si="82"/>
        <v>6988.8329117547237</v>
      </c>
      <c r="AD85" s="1449">
        <f t="shared" si="82"/>
        <v>7772.5100254779336</v>
      </c>
      <c r="AE85" s="1449">
        <f t="shared" si="82"/>
        <v>8246.1537357796733</v>
      </c>
      <c r="AF85" s="1449">
        <f t="shared" si="82"/>
        <v>8732.7953183892223</v>
      </c>
      <c r="AG85" s="1628"/>
      <c r="AH85" s="1628"/>
      <c r="AI85" s="1628"/>
      <c r="AJ85" s="1628"/>
      <c r="AK85" s="1628"/>
      <c r="AL85" s="1628"/>
      <c r="AM85" s="1628"/>
      <c r="AN85" s="1651"/>
    </row>
    <row r="86" spans="1:40" s="1354" customFormat="1" ht="15">
      <c r="A86" s="214" t="s">
        <v>1922</v>
      </c>
      <c r="B86" s="57"/>
      <c r="C86" s="57"/>
      <c r="D86" s="57"/>
      <c r="E86" s="57"/>
      <c r="F86" s="57"/>
      <c r="G86" s="57"/>
      <c r="H86" s="275">
        <v>-109</v>
      </c>
      <c r="I86" s="275">
        <v>-25</v>
      </c>
      <c r="J86" s="275">
        <v>142</v>
      </c>
      <c r="K86" s="275">
        <v>-235</v>
      </c>
      <c r="L86" s="275">
        <v>-14</v>
      </c>
      <c r="M86" s="275">
        <v>-201</v>
      </c>
      <c r="N86" s="275">
        <v>-433</v>
      </c>
      <c r="O86" s="275">
        <v>-650</v>
      </c>
      <c r="P86" s="275">
        <v>292</v>
      </c>
      <c r="Q86" s="275">
        <v>505</v>
      </c>
      <c r="R86" s="275">
        <v>-398</v>
      </c>
      <c r="S86" s="275">
        <v>-1660</v>
      </c>
      <c r="T86" s="275">
        <v>-348</v>
      </c>
      <c r="U86" s="275">
        <v>-962</v>
      </c>
      <c r="V86" s="275">
        <v>-184</v>
      </c>
      <c r="W86" s="275">
        <v>-200</v>
      </c>
      <c r="X86" s="275">
        <v>694</v>
      </c>
      <c r="Y86" s="275">
        <v>-1236</v>
      </c>
      <c r="Z86" s="275">
        <v>284</v>
      </c>
      <c r="AA86" s="281">
        <f t="shared" ref="AA86:AF86" si="83">AA87*AA84</f>
        <v>-1811.2806094750788</v>
      </c>
      <c r="AB86" s="281">
        <f t="shared" si="83"/>
        <v>-1849.3083478070635</v>
      </c>
      <c r="AC86" s="281">
        <f t="shared" si="83"/>
        <v>-1817.0965570562282</v>
      </c>
      <c r="AD86" s="281">
        <f t="shared" si="83"/>
        <v>-2020.8526066242628</v>
      </c>
      <c r="AE86" s="281">
        <f t="shared" si="83"/>
        <v>-2143.999971302715</v>
      </c>
      <c r="AF86" s="281">
        <f t="shared" si="83"/>
        <v>-2270.5267827811977</v>
      </c>
      <c r="AG86" s="1628"/>
      <c r="AH86" s="1628"/>
      <c r="AI86" s="1628"/>
      <c r="AJ86" s="1628"/>
      <c r="AK86" s="1628"/>
      <c r="AL86" s="1628"/>
      <c r="AM86" s="1628"/>
      <c r="AN86" s="1651"/>
    </row>
    <row r="87" spans="1:40" s="1365" customFormat="1">
      <c r="A87" s="1355" t="s">
        <v>939</v>
      </c>
      <c r="B87" s="383"/>
      <c r="C87" s="383"/>
      <c r="D87" s="383"/>
      <c r="E87" s="383"/>
      <c r="F87" s="383"/>
      <c r="G87" s="383"/>
      <c r="H87" s="1356">
        <f t="shared" ref="H87:O87" si="84">H86/H84</f>
        <v>-0.86507936507936511</v>
      </c>
      <c r="I87" s="1356">
        <f t="shared" si="84"/>
        <v>-0.15337423312883436</v>
      </c>
      <c r="J87" s="1356">
        <f t="shared" si="84"/>
        <v>-1.2566371681415929</v>
      </c>
      <c r="K87" s="1356">
        <f t="shared" si="84"/>
        <v>-0.2640449438202247</v>
      </c>
      <c r="L87" s="1356">
        <f t="shared" si="84"/>
        <v>-5.9574468085106386E-2</v>
      </c>
      <c r="M87" s="1356">
        <f t="shared" si="84"/>
        <v>-0.29343065693430659</v>
      </c>
      <c r="N87" s="1356">
        <f t="shared" si="84"/>
        <v>-0.25174418604651161</v>
      </c>
      <c r="O87" s="1356">
        <f t="shared" si="84"/>
        <v>-0.33871808233454925</v>
      </c>
      <c r="P87" s="1363">
        <v>-0.25</v>
      </c>
      <c r="Q87" s="1356">
        <f>P87</f>
        <v>-0.25</v>
      </c>
      <c r="R87" s="1356">
        <f t="shared" ref="R87:Z87" si="85">R86/R84</f>
        <v>-0.17402710975076519</v>
      </c>
      <c r="S87" s="1356">
        <f t="shared" si="85"/>
        <v>-0.30514705882352944</v>
      </c>
      <c r="T87" s="1356">
        <f t="shared" si="85"/>
        <v>-0.20603907637655416</v>
      </c>
      <c r="U87" s="1356">
        <f t="shared" si="85"/>
        <v>-0.27691421991940124</v>
      </c>
      <c r="V87" s="1356">
        <f t="shared" si="85"/>
        <v>-0.32280701754385965</v>
      </c>
      <c r="W87" s="1356">
        <f t="shared" si="85"/>
        <v>-0.74626865671641796</v>
      </c>
      <c r="X87" s="1356">
        <f t="shared" si="85"/>
        <v>-0.22243589743589742</v>
      </c>
      <c r="Y87" s="1356">
        <f t="shared" si="85"/>
        <v>-0.25988225399495374</v>
      </c>
      <c r="Z87" s="1356">
        <f t="shared" si="85"/>
        <v>-0.33061699650756693</v>
      </c>
      <c r="AA87" s="1364">
        <v>-0.3422</v>
      </c>
      <c r="AB87" s="1364">
        <v>-0.30110000000000003</v>
      </c>
      <c r="AC87" s="1364">
        <v>-0.26</v>
      </c>
      <c r="AD87" s="1364">
        <v>-0.26</v>
      </c>
      <c r="AE87" s="1364">
        <v>-0.26</v>
      </c>
      <c r="AF87" s="1364">
        <v>-0.26</v>
      </c>
      <c r="AG87" s="1653"/>
      <c r="AH87" s="1653"/>
      <c r="AI87" s="1653"/>
      <c r="AJ87" s="1653"/>
      <c r="AK87" s="1653"/>
      <c r="AL87" s="1653"/>
      <c r="AM87" s="1653"/>
      <c r="AN87" s="1654"/>
    </row>
    <row r="88" spans="1:40" s="1354" customFormat="1" ht="15">
      <c r="A88" s="214" t="s">
        <v>1923</v>
      </c>
      <c r="B88" s="57"/>
      <c r="C88" s="57"/>
      <c r="D88" s="57"/>
      <c r="E88" s="57"/>
      <c r="F88" s="57"/>
      <c r="G88" s="57"/>
      <c r="H88" s="1361"/>
      <c r="I88" s="1361"/>
      <c r="J88" s="1361"/>
      <c r="K88" s="1361"/>
      <c r="L88" s="1361"/>
      <c r="M88" s="1361"/>
      <c r="N88" s="1361"/>
      <c r="O88" s="1361"/>
      <c r="P88" s="1362"/>
      <c r="Q88" s="1361"/>
      <c r="R88" s="214">
        <f>-498</f>
        <v>-498</v>
      </c>
      <c r="S88" s="214">
        <v>-485</v>
      </c>
      <c r="T88" s="214">
        <v>-638</v>
      </c>
      <c r="U88" s="214">
        <v>-1012</v>
      </c>
      <c r="V88" s="214">
        <v>-334</v>
      </c>
      <c r="W88" s="281">
        <f t="shared" ref="W88:Y88" si="86">W86+SUM(W89:W90)</f>
        <v>-412</v>
      </c>
      <c r="X88" s="281">
        <f t="shared" si="86"/>
        <v>-557</v>
      </c>
      <c r="Y88" s="281">
        <f t="shared" si="86"/>
        <v>-724</v>
      </c>
      <c r="Z88" s="281">
        <f>Z86+SUM(Z89:Z90)</f>
        <v>-987</v>
      </c>
      <c r="AA88" s="281">
        <f t="shared" ref="AA88:AF88" si="87">AA85*AA91</f>
        <v>-1693.7749708709096</v>
      </c>
      <c r="AB88" s="281">
        <f t="shared" si="87"/>
        <v>-1535.4602688534235</v>
      </c>
      <c r="AC88" s="281">
        <f t="shared" si="87"/>
        <v>-1747.2082279386809</v>
      </c>
      <c r="AD88" s="281">
        <f t="shared" si="87"/>
        <v>-1943.1275063694834</v>
      </c>
      <c r="AE88" s="281">
        <f t="shared" si="87"/>
        <v>-2061.5384339449183</v>
      </c>
      <c r="AF88" s="281">
        <f t="shared" si="87"/>
        <v>-2183.1988295973056</v>
      </c>
      <c r="AG88" s="1628"/>
      <c r="AH88" s="1628"/>
      <c r="AI88" s="1628"/>
      <c r="AJ88" s="1628"/>
      <c r="AK88" s="1628"/>
      <c r="AL88" s="1628"/>
      <c r="AM88" s="1628"/>
      <c r="AN88" s="1651"/>
    </row>
    <row r="89" spans="1:40" s="1354" customFormat="1" ht="15" outlineLevel="1">
      <c r="A89" s="349" t="s">
        <v>1914</v>
      </c>
      <c r="B89" s="57"/>
      <c r="C89" s="57"/>
      <c r="D89" s="57"/>
      <c r="E89" s="57"/>
      <c r="F89" s="57"/>
      <c r="G89" s="57"/>
      <c r="H89" s="1361"/>
      <c r="I89" s="1361"/>
      <c r="J89" s="1361"/>
      <c r="K89" s="1361"/>
      <c r="L89" s="1361"/>
      <c r="M89" s="1361"/>
      <c r="N89" s="1361"/>
      <c r="O89" s="1361"/>
      <c r="P89" s="1362"/>
      <c r="Q89" s="1361"/>
      <c r="R89" s="1361"/>
      <c r="S89" s="1361"/>
      <c r="T89" s="1361"/>
      <c r="U89" s="1361"/>
      <c r="V89" s="1361"/>
      <c r="W89" s="260">
        <v>-138</v>
      </c>
      <c r="X89" s="260">
        <v>-1163</v>
      </c>
      <c r="Y89" s="260">
        <v>581</v>
      </c>
      <c r="Z89" s="260">
        <v>-1209</v>
      </c>
      <c r="AA89" s="1369"/>
      <c r="AB89" s="1369"/>
      <c r="AC89" s="1369"/>
      <c r="AD89" s="1369"/>
      <c r="AE89" s="1369"/>
      <c r="AF89" s="1369"/>
      <c r="AG89" s="1628"/>
      <c r="AH89" s="1628"/>
      <c r="AI89" s="1628"/>
      <c r="AJ89" s="1628"/>
      <c r="AK89" s="1628"/>
      <c r="AL89" s="1628"/>
      <c r="AM89" s="1628"/>
      <c r="AN89" s="1651"/>
    </row>
    <row r="90" spans="1:40" s="1354" customFormat="1" ht="15" outlineLevel="1">
      <c r="A90" s="349" t="s">
        <v>776</v>
      </c>
      <c r="B90" s="57"/>
      <c r="C90" s="57"/>
      <c r="D90" s="57"/>
      <c r="E90" s="57"/>
      <c r="F90" s="57"/>
      <c r="G90" s="57"/>
      <c r="H90" s="1361"/>
      <c r="I90" s="1361"/>
      <c r="J90" s="1361"/>
      <c r="K90" s="1361"/>
      <c r="L90" s="1361"/>
      <c r="M90" s="1361"/>
      <c r="N90" s="1361"/>
      <c r="O90" s="1361"/>
      <c r="P90" s="1362"/>
      <c r="Q90" s="1361"/>
      <c r="R90" s="1361"/>
      <c r="S90" s="1361"/>
      <c r="T90" s="1361"/>
      <c r="U90" s="1361"/>
      <c r="V90" s="1361"/>
      <c r="W90" s="260">
        <f>-11+-63</f>
        <v>-74</v>
      </c>
      <c r="X90" s="260">
        <f>-10+-78</f>
        <v>-88</v>
      </c>
      <c r="Y90" s="260">
        <f>-10+-59</f>
        <v>-69</v>
      </c>
      <c r="Z90" s="260">
        <f>-11+-51</f>
        <v>-62</v>
      </c>
      <c r="AA90" s="1369"/>
      <c r="AB90" s="1369"/>
      <c r="AC90" s="1369"/>
      <c r="AD90" s="1369"/>
      <c r="AE90" s="1369"/>
      <c r="AF90" s="1369"/>
      <c r="AG90" s="1628"/>
      <c r="AH90" s="1628"/>
      <c r="AI90" s="1628"/>
      <c r="AJ90" s="1628"/>
      <c r="AK90" s="1628"/>
      <c r="AL90" s="1628"/>
      <c r="AM90" s="1628"/>
      <c r="AN90" s="1651"/>
    </row>
    <row r="91" spans="1:40" s="1368" customFormat="1">
      <c r="A91" s="1355" t="s">
        <v>1921</v>
      </c>
      <c r="B91" s="391"/>
      <c r="C91" s="391"/>
      <c r="D91" s="391"/>
      <c r="E91" s="391"/>
      <c r="F91" s="391"/>
      <c r="G91" s="391"/>
      <c r="H91" s="1358"/>
      <c r="I91" s="1358"/>
      <c r="J91" s="1358"/>
      <c r="K91" s="1358"/>
      <c r="L91" s="1358"/>
      <c r="M91" s="1358"/>
      <c r="N91" s="1358"/>
      <c r="O91" s="1358"/>
      <c r="P91" s="1366"/>
      <c r="Q91" s="1358"/>
      <c r="R91" s="1356">
        <f t="shared" ref="R91:V91" si="88">R88/R85</f>
        <v>-0.19087773093139135</v>
      </c>
      <c r="S91" s="1356">
        <f t="shared" si="88"/>
        <v>-0.22996680891417734</v>
      </c>
      <c r="T91" s="1356">
        <f t="shared" si="88"/>
        <v>-0.23655913978494625</v>
      </c>
      <c r="U91" s="1356">
        <f t="shared" si="88"/>
        <v>-0.27029914529914528</v>
      </c>
      <c r="V91" s="1356">
        <f t="shared" si="88"/>
        <v>-0.27535037098103876</v>
      </c>
      <c r="W91" s="1356">
        <f>W88/W85</f>
        <v>-0.34448160535117056</v>
      </c>
      <c r="X91" s="1356">
        <f>X88/X85</f>
        <v>-0.31433408577878102</v>
      </c>
      <c r="Y91" s="1356">
        <f>Y88/Y85</f>
        <v>-0.25592082007776601</v>
      </c>
      <c r="Z91" s="1356">
        <f>Z88/Z85</f>
        <v>-0.23794599807135969</v>
      </c>
      <c r="AA91" s="1367">
        <v>-0.32</v>
      </c>
      <c r="AB91" s="1367">
        <v>-0.25</v>
      </c>
      <c r="AC91" s="1367">
        <v>-0.25</v>
      </c>
      <c r="AD91" s="1367">
        <f t="shared" ref="AD91:AF91" si="89">AC91</f>
        <v>-0.25</v>
      </c>
      <c r="AE91" s="1367">
        <f t="shared" si="89"/>
        <v>-0.25</v>
      </c>
      <c r="AF91" s="1367">
        <f t="shared" si="89"/>
        <v>-0.25</v>
      </c>
      <c r="AG91" s="1655"/>
      <c r="AH91" s="1655"/>
      <c r="AI91" s="1655"/>
      <c r="AJ91" s="1655"/>
      <c r="AK91" s="1655"/>
      <c r="AL91" s="1655"/>
      <c r="AM91" s="1655"/>
      <c r="AN91" s="1656"/>
    </row>
    <row r="92" spans="1:40" s="1354" customFormat="1" ht="15">
      <c r="A92" s="1448" t="s">
        <v>1844</v>
      </c>
      <c r="B92" s="523"/>
      <c r="C92" s="523"/>
      <c r="D92" s="523"/>
      <c r="E92" s="523"/>
      <c r="F92" s="523"/>
      <c r="G92" s="523"/>
      <c r="H92" s="1449">
        <f t="shared" ref="H92:P92" si="90">H84+H86+H83</f>
        <v>21</v>
      </c>
      <c r="I92" s="1449">
        <f t="shared" si="90"/>
        <v>142</v>
      </c>
      <c r="J92" s="1449">
        <f t="shared" si="90"/>
        <v>39</v>
      </c>
      <c r="K92" s="1449">
        <f t="shared" si="90"/>
        <v>658</v>
      </c>
      <c r="L92" s="1449">
        <f t="shared" si="90"/>
        <v>230</v>
      </c>
      <c r="M92" s="1449">
        <f t="shared" si="90"/>
        <v>494</v>
      </c>
      <c r="N92" s="1449">
        <f t="shared" si="90"/>
        <v>1306</v>
      </c>
      <c r="O92" s="1449">
        <f t="shared" si="90"/>
        <v>1284</v>
      </c>
      <c r="P92" s="1449">
        <f t="shared" si="90"/>
        <v>-68</v>
      </c>
      <c r="Q92" s="1449">
        <f>Q84+Q86+Q83+421</f>
        <v>-406</v>
      </c>
      <c r="R92" s="1449">
        <f t="shared" ref="R92:AF92" si="91">R84+R86+R83</f>
        <v>1889</v>
      </c>
      <c r="S92" s="1449">
        <f t="shared" si="91"/>
        <v>3780</v>
      </c>
      <c r="T92" s="1449">
        <f t="shared" si="91"/>
        <v>1341</v>
      </c>
      <c r="U92" s="1449">
        <f t="shared" si="91"/>
        <v>2512</v>
      </c>
      <c r="V92" s="1449">
        <f t="shared" si="91"/>
        <v>386</v>
      </c>
      <c r="W92" s="1449">
        <f t="shared" si="91"/>
        <v>68</v>
      </c>
      <c r="X92" s="1452">
        <f t="shared" si="91"/>
        <v>-2426</v>
      </c>
      <c r="Y92" s="1452">
        <f t="shared" si="91"/>
        <v>3520</v>
      </c>
      <c r="Z92" s="1452">
        <f t="shared" si="91"/>
        <v>-575</v>
      </c>
      <c r="AA92" s="1452">
        <f t="shared" si="91"/>
        <v>3481.7661744965135</v>
      </c>
      <c r="AB92" s="1452">
        <f t="shared" si="91"/>
        <v>4292.5327276066309</v>
      </c>
      <c r="AC92" s="1452">
        <f t="shared" si="91"/>
        <v>5171.7363546984952</v>
      </c>
      <c r="AD92" s="1452">
        <f t="shared" si="91"/>
        <v>5751.6574188536706</v>
      </c>
      <c r="AE92" s="1452">
        <f t="shared" si="91"/>
        <v>6102.1537644769578</v>
      </c>
      <c r="AF92" s="1452">
        <f t="shared" si="91"/>
        <v>6462.2685356080246</v>
      </c>
      <c r="AG92" s="1628"/>
      <c r="AH92" s="1628"/>
      <c r="AI92" s="1628"/>
      <c r="AJ92" s="1628"/>
      <c r="AK92" s="1628"/>
      <c r="AL92" s="1628"/>
      <c r="AM92" s="1628"/>
      <c r="AN92" s="1651"/>
    </row>
    <row r="93" spans="1:40" s="1354" customFormat="1" ht="15">
      <c r="A93" s="1448" t="s">
        <v>1918</v>
      </c>
      <c r="B93" s="523"/>
      <c r="C93" s="523"/>
      <c r="D93" s="523"/>
      <c r="E93" s="523"/>
      <c r="F93" s="523"/>
      <c r="G93" s="523"/>
      <c r="H93" s="1449"/>
      <c r="I93" s="1449"/>
      <c r="J93" s="1449"/>
      <c r="K93" s="1449"/>
      <c r="L93" s="1449"/>
      <c r="M93" s="1449"/>
      <c r="N93" s="1449"/>
      <c r="O93" s="1449"/>
      <c r="P93" s="1449"/>
      <c r="Q93" s="1449"/>
      <c r="R93" s="1449">
        <f t="shared" ref="R93:V93" si="92">R85+R88+R83</f>
        <v>2111</v>
      </c>
      <c r="S93" s="1449">
        <f t="shared" si="92"/>
        <v>1624</v>
      </c>
      <c r="T93" s="1449">
        <f t="shared" si="92"/>
        <v>2059</v>
      </c>
      <c r="U93" s="1449">
        <f t="shared" si="92"/>
        <v>2732</v>
      </c>
      <c r="V93" s="1449">
        <f t="shared" si="92"/>
        <v>879</v>
      </c>
      <c r="W93" s="1449">
        <f t="shared" ref="W93:AF93" si="93">W85+W88+W83</f>
        <v>784</v>
      </c>
      <c r="X93" s="1449">
        <f t="shared" si="93"/>
        <v>1215</v>
      </c>
      <c r="Y93" s="1449">
        <f t="shared" si="93"/>
        <v>2105</v>
      </c>
      <c r="Z93" s="1449">
        <f t="shared" si="93"/>
        <v>3161</v>
      </c>
      <c r="AA93" s="1449">
        <f t="shared" si="93"/>
        <v>3599.2718131006823</v>
      </c>
      <c r="AB93" s="1449">
        <f t="shared" si="93"/>
        <v>4606.3808065602707</v>
      </c>
      <c r="AC93" s="1449">
        <f t="shared" si="93"/>
        <v>5241.6246838160423</v>
      </c>
      <c r="AD93" s="1449">
        <f t="shared" si="93"/>
        <v>5829.3825191084507</v>
      </c>
      <c r="AE93" s="1449">
        <f t="shared" si="93"/>
        <v>6184.615301834755</v>
      </c>
      <c r="AF93" s="1449">
        <f t="shared" si="93"/>
        <v>6549.5964887919163</v>
      </c>
      <c r="AG93" s="1628"/>
      <c r="AH93" s="1628"/>
      <c r="AI93" s="1628"/>
      <c r="AJ93" s="1628"/>
      <c r="AK93" s="1628"/>
      <c r="AL93" s="1628"/>
      <c r="AM93" s="1628"/>
      <c r="AN93" s="1651"/>
    </row>
    <row r="94" spans="1:40">
      <c r="A94" s="19" t="s">
        <v>937</v>
      </c>
      <c r="B94" s="213"/>
      <c r="C94" s="213"/>
      <c r="D94" s="213"/>
      <c r="E94" s="213"/>
      <c r="F94" s="213"/>
      <c r="G94" s="213"/>
      <c r="H94" s="292">
        <v>0</v>
      </c>
      <c r="I94" s="292">
        <v>-96</v>
      </c>
      <c r="J94" s="292">
        <v>-233</v>
      </c>
      <c r="K94" s="292">
        <v>-4</v>
      </c>
      <c r="L94" s="292">
        <v>-5</v>
      </c>
      <c r="M94" s="292">
        <v>3</v>
      </c>
      <c r="N94" s="292">
        <v>0</v>
      </c>
      <c r="O94" s="292">
        <v>0</v>
      </c>
      <c r="P94" s="292">
        <v>0</v>
      </c>
      <c r="Q94" s="292">
        <v>29</v>
      </c>
      <c r="R94" s="292">
        <v>74</v>
      </c>
      <c r="S94" s="292">
        <v>831</v>
      </c>
      <c r="T94" s="227">
        <v>0</v>
      </c>
      <c r="U94" s="227">
        <v>0</v>
      </c>
      <c r="V94" s="227">
        <v>0</v>
      </c>
      <c r="W94" s="227">
        <v>0</v>
      </c>
      <c r="X94" s="227">
        <v>0</v>
      </c>
      <c r="Y94" s="227">
        <v>0</v>
      </c>
      <c r="Z94" s="227">
        <v>0</v>
      </c>
      <c r="AA94" s="363">
        <v>0</v>
      </c>
      <c r="AB94" s="363">
        <v>0</v>
      </c>
      <c r="AC94" s="363">
        <v>0</v>
      </c>
      <c r="AD94" s="363">
        <v>0</v>
      </c>
      <c r="AE94" s="363">
        <v>0</v>
      </c>
      <c r="AF94" s="363">
        <v>0</v>
      </c>
      <c r="AG94" s="1624"/>
      <c r="AH94" s="1624"/>
      <c r="AI94" s="1624"/>
      <c r="AJ94" s="1624"/>
      <c r="AK94" s="1624"/>
      <c r="AL94" s="1624"/>
      <c r="AM94" s="1624"/>
    </row>
    <row r="95" spans="1:40">
      <c r="A95" s="19" t="s">
        <v>936</v>
      </c>
      <c r="B95" s="213"/>
      <c r="C95" s="213"/>
      <c r="D95" s="213"/>
      <c r="E95" s="213"/>
      <c r="F95" s="213"/>
      <c r="G95" s="213"/>
      <c r="H95" s="292">
        <v>-12</v>
      </c>
      <c r="I95" s="292">
        <v>-7</v>
      </c>
      <c r="J95" s="292">
        <v>-11</v>
      </c>
      <c r="K95" s="292">
        <v>13</v>
      </c>
      <c r="L95" s="292">
        <v>18</v>
      </c>
      <c r="M95" s="292">
        <v>19</v>
      </c>
      <c r="N95" s="292">
        <v>24</v>
      </c>
      <c r="O95" s="292">
        <v>29</v>
      </c>
      <c r="P95" s="292">
        <v>58</v>
      </c>
      <c r="Q95" s="293">
        <v>47</v>
      </c>
      <c r="R95" s="293">
        <v>55</v>
      </c>
      <c r="S95" s="293">
        <v>61</v>
      </c>
      <c r="T95" s="293">
        <v>58</v>
      </c>
      <c r="U95" s="293">
        <v>65</v>
      </c>
      <c r="V95" s="293">
        <v>34</v>
      </c>
      <c r="W95" s="293">
        <v>25</v>
      </c>
      <c r="X95" s="293">
        <v>33</v>
      </c>
      <c r="Y95" s="293">
        <v>76</v>
      </c>
      <c r="Z95" s="293">
        <v>92</v>
      </c>
      <c r="AA95" s="27">
        <f t="shared" ref="AA95:AF95" si="94">AA39*AA96</f>
        <v>102.88746416730811</v>
      </c>
      <c r="AB95" s="27">
        <f t="shared" si="94"/>
        <v>114.58742296451408</v>
      </c>
      <c r="AC95" s="27">
        <f t="shared" si="94"/>
        <v>126.70278375374625</v>
      </c>
      <c r="AD95" s="27">
        <f t="shared" si="94"/>
        <v>137.42381765562197</v>
      </c>
      <c r="AE95" s="27">
        <f t="shared" si="94"/>
        <v>144.17219852470006</v>
      </c>
      <c r="AF95" s="27">
        <f t="shared" si="94"/>
        <v>151.15100778555964</v>
      </c>
      <c r="AG95" s="1624"/>
      <c r="AH95" s="1624"/>
      <c r="AI95" s="1624"/>
      <c r="AJ95" s="1624"/>
      <c r="AK95" s="1624"/>
      <c r="AL95" s="1624"/>
      <c r="AM95" s="1624"/>
    </row>
    <row r="96" spans="1:40">
      <c r="A96" s="19" t="s">
        <v>781</v>
      </c>
      <c r="B96" s="213"/>
      <c r="C96" s="213"/>
      <c r="D96" s="213"/>
      <c r="E96" s="213"/>
      <c r="F96" s="213"/>
      <c r="G96" s="213"/>
      <c r="H96" s="292"/>
      <c r="I96" s="292"/>
      <c r="J96" s="292"/>
      <c r="K96" s="292"/>
      <c r="L96" s="292"/>
      <c r="M96" s="292"/>
      <c r="N96" s="292"/>
      <c r="O96" s="292"/>
      <c r="P96" s="292"/>
      <c r="Q96" s="293"/>
      <c r="R96" s="293"/>
      <c r="S96" s="293"/>
      <c r="T96" s="293"/>
      <c r="U96" s="293"/>
      <c r="V96" s="293"/>
      <c r="W96" s="1370">
        <f>W95/W41</f>
        <v>1.6520187669331924E-3</v>
      </c>
      <c r="X96" s="1370">
        <f>X95/X41</f>
        <v>1.6903139886287968E-3</v>
      </c>
      <c r="Y96" s="1370">
        <f>Y95/Y41</f>
        <v>3.2133947824616294E-3</v>
      </c>
      <c r="Z96" s="1370">
        <f>Z95/Z41</f>
        <v>3.3193823062490982E-3</v>
      </c>
      <c r="AA96" s="1371">
        <f>Z96</f>
        <v>3.3193823062490982E-3</v>
      </c>
      <c r="AB96" s="1371">
        <f t="shared" ref="AB96:AF96" si="95">AA96</f>
        <v>3.3193823062490982E-3</v>
      </c>
      <c r="AC96" s="1371">
        <f t="shared" si="95"/>
        <v>3.3193823062490982E-3</v>
      </c>
      <c r="AD96" s="1371">
        <f t="shared" si="95"/>
        <v>3.3193823062490982E-3</v>
      </c>
      <c r="AE96" s="1371">
        <f t="shared" si="95"/>
        <v>3.3193823062490982E-3</v>
      </c>
      <c r="AF96" s="1371">
        <f t="shared" si="95"/>
        <v>3.3193823062490982E-3</v>
      </c>
      <c r="AG96" s="1624"/>
      <c r="AH96" s="1624"/>
      <c r="AI96" s="1624"/>
      <c r="AJ96" s="1624"/>
      <c r="AK96" s="1624"/>
      <c r="AL96" s="1624"/>
      <c r="AM96" s="1624"/>
    </row>
    <row r="97" spans="1:39">
      <c r="A97" s="1448" t="s">
        <v>2005</v>
      </c>
      <c r="B97" s="1485"/>
      <c r="C97" s="1485"/>
      <c r="D97" s="1485"/>
      <c r="E97" s="1485"/>
      <c r="F97" s="1485"/>
      <c r="G97" s="1485"/>
      <c r="H97" s="1452">
        <f t="shared" ref="H97:Y97" si="96">H92+H94-H95</f>
        <v>33</v>
      </c>
      <c r="I97" s="1452">
        <f t="shared" si="96"/>
        <v>53</v>
      </c>
      <c r="J97" s="1452">
        <f t="shared" si="96"/>
        <v>-183</v>
      </c>
      <c r="K97" s="1452">
        <f t="shared" si="96"/>
        <v>641</v>
      </c>
      <c r="L97" s="1452">
        <f t="shared" si="96"/>
        <v>207</v>
      </c>
      <c r="M97" s="1452">
        <f t="shared" si="96"/>
        <v>478</v>
      </c>
      <c r="N97" s="1452">
        <f t="shared" si="96"/>
        <v>1282</v>
      </c>
      <c r="O97" s="1452">
        <f t="shared" si="96"/>
        <v>1255</v>
      </c>
      <c r="P97" s="1452">
        <f t="shared" si="96"/>
        <v>-126</v>
      </c>
      <c r="Q97" s="1452">
        <f t="shared" si="96"/>
        <v>-424</v>
      </c>
      <c r="R97" s="1452">
        <f t="shared" si="96"/>
        <v>1908</v>
      </c>
      <c r="S97" s="1452">
        <f t="shared" si="96"/>
        <v>4550</v>
      </c>
      <c r="T97" s="1452">
        <f t="shared" si="96"/>
        <v>1283</v>
      </c>
      <c r="U97" s="1452">
        <f t="shared" si="96"/>
        <v>2447</v>
      </c>
      <c r="V97" s="1452">
        <f t="shared" si="96"/>
        <v>352</v>
      </c>
      <c r="W97" s="1452">
        <f t="shared" si="96"/>
        <v>43</v>
      </c>
      <c r="X97" s="1452">
        <f t="shared" si="96"/>
        <v>-2459</v>
      </c>
      <c r="Y97" s="1452">
        <f t="shared" si="96"/>
        <v>3444</v>
      </c>
      <c r="Z97" s="1452">
        <f>Z92+Z94-Z95</f>
        <v>-667</v>
      </c>
      <c r="AA97" s="1452">
        <f t="shared" ref="AA97:AF97" si="97">AA92+AA94-AA95</f>
        <v>3378.8787103292052</v>
      </c>
      <c r="AB97" s="1452">
        <f t="shared" si="97"/>
        <v>4177.9453046421168</v>
      </c>
      <c r="AC97" s="1452">
        <f t="shared" si="97"/>
        <v>5045.033570944749</v>
      </c>
      <c r="AD97" s="1452">
        <f t="shared" si="97"/>
        <v>5614.2336011980487</v>
      </c>
      <c r="AE97" s="1452">
        <f t="shared" si="97"/>
        <v>5957.9815659522574</v>
      </c>
      <c r="AF97" s="1452">
        <f t="shared" si="97"/>
        <v>6311.1175278224646</v>
      </c>
      <c r="AG97" s="1624"/>
      <c r="AH97" s="1624"/>
      <c r="AI97" s="1624"/>
      <c r="AJ97" s="1624"/>
      <c r="AK97" s="1624"/>
      <c r="AL97" s="1624"/>
      <c r="AM97" s="1624"/>
    </row>
    <row r="98" spans="1:39">
      <c r="A98" s="1448" t="s">
        <v>2006</v>
      </c>
      <c r="B98" s="1485"/>
      <c r="C98" s="1485"/>
      <c r="D98" s="1485"/>
      <c r="E98" s="1485"/>
      <c r="F98" s="1485"/>
      <c r="G98" s="1485"/>
      <c r="H98" s="1449">
        <f t="shared" ref="H98:X98" si="98">H93+H94-H95</f>
        <v>12</v>
      </c>
      <c r="I98" s="1449">
        <f t="shared" si="98"/>
        <v>-89</v>
      </c>
      <c r="J98" s="1449">
        <f t="shared" si="98"/>
        <v>-222</v>
      </c>
      <c r="K98" s="1449">
        <f t="shared" si="98"/>
        <v>-17</v>
      </c>
      <c r="L98" s="1449">
        <f t="shared" si="98"/>
        <v>-23</v>
      </c>
      <c r="M98" s="1449">
        <f t="shared" si="98"/>
        <v>-16</v>
      </c>
      <c r="N98" s="1449">
        <f t="shared" si="98"/>
        <v>-24</v>
      </c>
      <c r="O98" s="1449">
        <f t="shared" si="98"/>
        <v>-29</v>
      </c>
      <c r="P98" s="1449">
        <f t="shared" si="98"/>
        <v>-58</v>
      </c>
      <c r="Q98" s="1449">
        <f t="shared" si="98"/>
        <v>-18</v>
      </c>
      <c r="R98" s="1449">
        <f t="shared" si="98"/>
        <v>2130</v>
      </c>
      <c r="S98" s="1449">
        <f>S93+S94-S95-1</f>
        <v>2393</v>
      </c>
      <c r="T98" s="1449">
        <f t="shared" si="98"/>
        <v>2001</v>
      </c>
      <c r="U98" s="1449">
        <f t="shared" si="98"/>
        <v>2667</v>
      </c>
      <c r="V98" s="1449">
        <f t="shared" si="98"/>
        <v>845</v>
      </c>
      <c r="W98" s="1449">
        <f t="shared" si="98"/>
        <v>759</v>
      </c>
      <c r="X98" s="1449">
        <f t="shared" si="98"/>
        <v>1182</v>
      </c>
      <c r="Y98" s="1449">
        <f>Y93+Y94-Y95-1</f>
        <v>2028</v>
      </c>
      <c r="Z98" s="1449">
        <f>Z93+Z94-Z95</f>
        <v>3069</v>
      </c>
      <c r="AA98" s="1449">
        <f t="shared" ref="AA98:AF98" si="99">AA93+AA94-AA95</f>
        <v>3496.384348933374</v>
      </c>
      <c r="AB98" s="1449">
        <f t="shared" si="99"/>
        <v>4491.7933835957565</v>
      </c>
      <c r="AC98" s="1449">
        <f t="shared" si="99"/>
        <v>5114.9219000622961</v>
      </c>
      <c r="AD98" s="1449">
        <f t="shared" si="99"/>
        <v>5691.9587014528288</v>
      </c>
      <c r="AE98" s="1449">
        <f t="shared" si="99"/>
        <v>6040.4431033100545</v>
      </c>
      <c r="AF98" s="1449">
        <f t="shared" si="99"/>
        <v>6398.4454810063562</v>
      </c>
      <c r="AG98" s="1624"/>
      <c r="AH98" s="1624"/>
      <c r="AI98" s="1624"/>
      <c r="AJ98" s="1624"/>
      <c r="AK98" s="1624"/>
      <c r="AL98" s="1624"/>
      <c r="AM98" s="1624"/>
    </row>
    <row r="99" spans="1:39">
      <c r="A99" s="19"/>
      <c r="B99" s="213"/>
      <c r="C99" s="213"/>
      <c r="D99" s="213"/>
      <c r="E99" s="213"/>
      <c r="F99" s="213"/>
      <c r="G99" s="213"/>
      <c r="H99" s="19"/>
      <c r="I99" s="19"/>
      <c r="J99" s="19"/>
      <c r="K99" s="19"/>
      <c r="L99" s="19"/>
      <c r="M99" s="19"/>
      <c r="N99" s="19"/>
      <c r="O99" s="19"/>
      <c r="P99" s="19"/>
      <c r="Q99" s="287"/>
      <c r="R99" s="19"/>
      <c r="S99" s="19"/>
      <c r="T99" s="19"/>
      <c r="U99" s="19"/>
      <c r="V99" s="19"/>
      <c r="W99" s="19"/>
      <c r="X99" s="213"/>
      <c r="Y99" s="213"/>
      <c r="Z99" s="213"/>
      <c r="AA99" s="213"/>
      <c r="AB99" s="259"/>
      <c r="AC99" s="259"/>
      <c r="AD99" s="259"/>
      <c r="AE99" s="259"/>
      <c r="AF99" s="259"/>
      <c r="AG99" s="1624"/>
      <c r="AH99" s="1624"/>
      <c r="AI99" s="1624"/>
      <c r="AJ99" s="1624"/>
      <c r="AK99" s="1624"/>
      <c r="AL99" s="1624"/>
      <c r="AM99" s="1624"/>
    </row>
    <row r="100" spans="1:39">
      <c r="A100" s="19" t="s">
        <v>935</v>
      </c>
      <c r="B100" s="213"/>
      <c r="C100" s="213"/>
      <c r="D100" s="213"/>
      <c r="E100" s="213"/>
      <c r="F100" s="213"/>
      <c r="G100" s="213"/>
      <c r="H100" s="292">
        <v>0.02</v>
      </c>
      <c r="I100" s="292">
        <v>0.09</v>
      </c>
      <c r="J100" s="292">
        <v>-0.51</v>
      </c>
      <c r="K100" s="292">
        <v>1.61</v>
      </c>
      <c r="L100" s="292">
        <v>0.52</v>
      </c>
      <c r="M100" s="292">
        <v>1.18</v>
      </c>
      <c r="N100" s="292">
        <v>3.09</v>
      </c>
      <c r="O100" s="352">
        <f t="shared" ref="O100:AF100" si="100">((O92-O95)/O116)*1000</f>
        <v>3.0147054980080172</v>
      </c>
      <c r="P100" s="352">
        <f t="shared" si="100"/>
        <v>-0.30258394586410103</v>
      </c>
      <c r="Q100" s="352">
        <f t="shared" si="100"/>
        <v>-1.0848505668994404</v>
      </c>
      <c r="R100" s="352">
        <f t="shared" si="100"/>
        <v>4.4052110254851344</v>
      </c>
      <c r="S100" s="352">
        <f t="shared" si="100"/>
        <v>9.0654020689977628</v>
      </c>
      <c r="T100" s="352">
        <f t="shared" si="100"/>
        <v>2.9774073725201449</v>
      </c>
      <c r="U100" s="352">
        <f t="shared" si="100"/>
        <v>5.6943609760187766</v>
      </c>
      <c r="V100" s="352">
        <f t="shared" si="100"/>
        <v>0.82622177803621399</v>
      </c>
      <c r="W100" s="352">
        <f t="shared" si="100"/>
        <v>0.10078508652604765</v>
      </c>
      <c r="X100" s="352">
        <f t="shared" si="100"/>
        <v>-5.7630922791046508</v>
      </c>
      <c r="Y100" s="352">
        <f t="shared" si="100"/>
        <v>8.2432674979652472</v>
      </c>
      <c r="Z100" s="352">
        <f t="shared" si="100"/>
        <v>-1.6027892666369226</v>
      </c>
      <c r="AA100" s="365">
        <f t="shared" si="100"/>
        <v>8.2078794163423758</v>
      </c>
      <c r="AB100" s="365">
        <f t="shared" si="100"/>
        <v>10.260782479883513</v>
      </c>
      <c r="AC100" s="365">
        <f t="shared" si="100"/>
        <v>12.528350438062548</v>
      </c>
      <c r="AD100" s="365">
        <f t="shared" si="100"/>
        <v>14.098935711081662</v>
      </c>
      <c r="AE100" s="365">
        <f t="shared" si="100"/>
        <v>14.962184517624115</v>
      </c>
      <c r="AF100" s="365">
        <f t="shared" si="100"/>
        <v>15.849009252280077</v>
      </c>
      <c r="AG100" s="1624"/>
      <c r="AH100" s="1624"/>
      <c r="AI100" s="1624"/>
      <c r="AJ100" s="1624"/>
      <c r="AK100" s="1624"/>
      <c r="AL100" s="1624"/>
      <c r="AM100" s="1624"/>
    </row>
    <row r="101" spans="1:39">
      <c r="A101" s="19" t="s">
        <v>934</v>
      </c>
      <c r="B101" s="213"/>
      <c r="C101" s="213"/>
      <c r="D101" s="213"/>
      <c r="E101" s="213"/>
      <c r="F101" s="213"/>
      <c r="G101" s="213"/>
      <c r="H101" s="292">
        <v>0.02</v>
      </c>
      <c r="I101" s="292">
        <v>0.09</v>
      </c>
      <c r="J101" s="292">
        <v>-0.51</v>
      </c>
      <c r="K101" s="292">
        <v>1.6</v>
      </c>
      <c r="L101" s="292">
        <v>0.51</v>
      </c>
      <c r="M101" s="292">
        <v>1.18</v>
      </c>
      <c r="N101" s="292">
        <v>3.08</v>
      </c>
      <c r="O101" s="352">
        <f t="shared" ref="O101:AF101" si="101">((O92-O95)/O117)*1000</f>
        <v>3.0137463165085996</v>
      </c>
      <c r="P101" s="352">
        <f t="shared" si="101"/>
        <v>-0.30258394586410103</v>
      </c>
      <c r="Q101" s="352">
        <f t="shared" si="101"/>
        <v>-1.0848505668994404</v>
      </c>
      <c r="R101" s="352">
        <f t="shared" si="101"/>
        <v>4.3293625288923581</v>
      </c>
      <c r="S101" s="352">
        <f t="shared" si="101"/>
        <v>8.907395108632473</v>
      </c>
      <c r="T101" s="352">
        <f t="shared" si="101"/>
        <v>2.940397044952765</v>
      </c>
      <c r="U101" s="352">
        <f t="shared" si="101"/>
        <v>5.6255882541653097</v>
      </c>
      <c r="V101" s="352">
        <f t="shared" si="101"/>
        <v>0.7991636117105122</v>
      </c>
      <c r="W101" s="352">
        <f t="shared" si="101"/>
        <v>9.7707946761593834E-2</v>
      </c>
      <c r="X101" s="352">
        <f t="shared" si="101"/>
        <v>-5.586605772103348</v>
      </c>
      <c r="Y101" s="352">
        <f>((Y92-Y95+36)/Y117)*1000</f>
        <v>8.0672538018620017</v>
      </c>
      <c r="Z101" s="352">
        <f>(((Z92-Z95)/Z117)*1000)-0.01</f>
        <v>-1.5953685815452741</v>
      </c>
      <c r="AA101" s="365">
        <f t="shared" si="101"/>
        <v>8.1177065028807984</v>
      </c>
      <c r="AB101" s="365">
        <f t="shared" si="101"/>
        <v>10.146827735903551</v>
      </c>
      <c r="AC101" s="365">
        <f t="shared" si="101"/>
        <v>12.38767956379753</v>
      </c>
      <c r="AD101" s="365">
        <f t="shared" si="101"/>
        <v>13.938866537619598</v>
      </c>
      <c r="AE101" s="365">
        <f t="shared" si="101"/>
        <v>14.792314638223178</v>
      </c>
      <c r="AF101" s="365">
        <f t="shared" si="101"/>
        <v>15.669071002812702</v>
      </c>
      <c r="AG101" s="1624"/>
      <c r="AH101" s="1624"/>
      <c r="AI101" s="1624"/>
      <c r="AJ101" s="1624"/>
      <c r="AK101" s="1624"/>
      <c r="AL101" s="1624"/>
      <c r="AM101" s="1624"/>
    </row>
    <row r="102" spans="1:39">
      <c r="A102" s="19" t="s">
        <v>933</v>
      </c>
      <c r="B102" s="213"/>
      <c r="C102" s="213"/>
      <c r="D102" s="213"/>
      <c r="E102" s="213"/>
      <c r="F102" s="213"/>
      <c r="G102" s="213"/>
      <c r="H102" s="292">
        <v>0.02</v>
      </c>
      <c r="I102" s="292">
        <v>-0.24</v>
      </c>
      <c r="J102" s="292">
        <v>-0.57999999999999996</v>
      </c>
      <c r="K102" s="292">
        <v>1.62</v>
      </c>
      <c r="L102" s="292">
        <v>0.53</v>
      </c>
      <c r="M102" s="292">
        <v>1.17</v>
      </c>
      <c r="N102" s="292">
        <v>3.14</v>
      </c>
      <c r="O102" s="352">
        <f t="shared" ref="O102:AF102" si="102">((O92-O94-O95)/O116)*1000</f>
        <v>3.0147054980080172</v>
      </c>
      <c r="P102" s="352">
        <f t="shared" si="102"/>
        <v>-0.30258394586410103</v>
      </c>
      <c r="Q102" s="352">
        <f t="shared" si="102"/>
        <v>-1.1543001616899122</v>
      </c>
      <c r="R102" s="352">
        <f t="shared" si="102"/>
        <v>4.2274653243477855</v>
      </c>
      <c r="S102" s="352">
        <f t="shared" si="102"/>
        <v>7.0397636932684966</v>
      </c>
      <c r="T102" s="352">
        <f t="shared" si="102"/>
        <v>2.9774073725201449</v>
      </c>
      <c r="U102" s="352">
        <f t="shared" si="102"/>
        <v>5.6943609760187766</v>
      </c>
      <c r="V102" s="352">
        <f t="shared" si="102"/>
        <v>0.82622177803621399</v>
      </c>
      <c r="W102" s="352">
        <f t="shared" si="102"/>
        <v>0.10078508652604765</v>
      </c>
      <c r="X102" s="352">
        <f t="shared" si="102"/>
        <v>-5.7630922791046508</v>
      </c>
      <c r="Y102" s="352">
        <f t="shared" si="102"/>
        <v>8.2432674979652472</v>
      </c>
      <c r="Z102" s="352">
        <f t="shared" si="102"/>
        <v>-1.6027892666369226</v>
      </c>
      <c r="AA102" s="365">
        <f t="shared" si="102"/>
        <v>8.2078794163423758</v>
      </c>
      <c r="AB102" s="365">
        <f t="shared" si="102"/>
        <v>10.260782479883513</v>
      </c>
      <c r="AC102" s="365">
        <f t="shared" si="102"/>
        <v>12.528350438062548</v>
      </c>
      <c r="AD102" s="365">
        <f t="shared" si="102"/>
        <v>14.098935711081662</v>
      </c>
      <c r="AE102" s="365">
        <f t="shared" si="102"/>
        <v>14.962184517624115</v>
      </c>
      <c r="AF102" s="365">
        <f t="shared" si="102"/>
        <v>15.849009252280077</v>
      </c>
      <c r="AG102" s="1624"/>
      <c r="AH102" s="1624"/>
      <c r="AI102" s="1624"/>
      <c r="AJ102" s="1624"/>
      <c r="AK102" s="1624"/>
      <c r="AL102" s="1624"/>
      <c r="AM102" s="1624"/>
    </row>
    <row r="103" spans="1:39">
      <c r="A103" s="19" t="s">
        <v>932</v>
      </c>
      <c r="B103" s="213"/>
      <c r="C103" s="213"/>
      <c r="D103" s="213"/>
      <c r="E103" s="213"/>
      <c r="F103" s="213"/>
      <c r="G103" s="213"/>
      <c r="H103" s="292">
        <v>0.02</v>
      </c>
      <c r="I103" s="292">
        <v>-0.24</v>
      </c>
      <c r="J103" s="292">
        <v>-0.57999999999999996</v>
      </c>
      <c r="K103" s="292">
        <v>1.61</v>
      </c>
      <c r="L103" s="292">
        <v>0.52</v>
      </c>
      <c r="M103" s="292">
        <v>1.17</v>
      </c>
      <c r="N103" s="292">
        <v>3.13</v>
      </c>
      <c r="O103" s="352">
        <f t="shared" ref="O103:AF103" si="103">((O92-O94-O95)/O117)*1000</f>
        <v>3.0137463165085996</v>
      </c>
      <c r="P103" s="352">
        <f t="shared" si="103"/>
        <v>-0.30258394586410103</v>
      </c>
      <c r="Q103" s="352">
        <f t="shared" si="103"/>
        <v>-1.1543001616899122</v>
      </c>
      <c r="R103" s="352">
        <f t="shared" si="103"/>
        <v>4.1546772360144759</v>
      </c>
      <c r="S103" s="352">
        <f t="shared" si="103"/>
        <v>6.9170629399652013</v>
      </c>
      <c r="T103" s="352">
        <f t="shared" si="103"/>
        <v>2.940397044952765</v>
      </c>
      <c r="U103" s="352">
        <f t="shared" si="103"/>
        <v>5.6255882541653097</v>
      </c>
      <c r="V103" s="352">
        <f t="shared" si="103"/>
        <v>0.7991636117105122</v>
      </c>
      <c r="W103" s="352">
        <f t="shared" si="103"/>
        <v>9.7707946761593834E-2</v>
      </c>
      <c r="X103" s="352">
        <f t="shared" si="103"/>
        <v>-5.586605772103348</v>
      </c>
      <c r="Y103" s="352">
        <f>((Y92-Y94-Y95+36)/Y117)*1000</f>
        <v>8.0672538018620017</v>
      </c>
      <c r="Z103" s="352">
        <f>(((Z92-Z94-Z95)/Z117)*1000)-0.01</f>
        <v>-1.5953685815452741</v>
      </c>
      <c r="AA103" s="365">
        <f t="shared" si="103"/>
        <v>8.1177065028807984</v>
      </c>
      <c r="AB103" s="365">
        <f t="shared" si="103"/>
        <v>10.146827735903551</v>
      </c>
      <c r="AC103" s="365">
        <f t="shared" si="103"/>
        <v>12.38767956379753</v>
      </c>
      <c r="AD103" s="365">
        <f t="shared" si="103"/>
        <v>13.938866537619598</v>
      </c>
      <c r="AE103" s="365">
        <f t="shared" si="103"/>
        <v>14.792314638223178</v>
      </c>
      <c r="AF103" s="365">
        <f t="shared" si="103"/>
        <v>15.669071002812702</v>
      </c>
      <c r="AG103" s="1624"/>
      <c r="AH103" s="1624"/>
      <c r="AI103" s="1624"/>
      <c r="AJ103" s="1624"/>
      <c r="AK103" s="1624"/>
      <c r="AL103" s="1624"/>
      <c r="AM103" s="1624"/>
    </row>
    <row r="104" spans="1:39">
      <c r="A104" s="19" t="s">
        <v>1927</v>
      </c>
      <c r="B104" s="213"/>
      <c r="C104" s="213"/>
      <c r="D104" s="213"/>
      <c r="E104" s="213"/>
      <c r="F104" s="213"/>
      <c r="G104" s="213"/>
      <c r="H104" s="292"/>
      <c r="I104" s="292"/>
      <c r="J104" s="292"/>
      <c r="K104" s="292"/>
      <c r="L104" s="292"/>
      <c r="M104" s="292"/>
      <c r="N104" s="292"/>
      <c r="O104" s="352"/>
      <c r="P104" s="352"/>
      <c r="Q104" s="352">
        <f t="shared" ref="Q104:V104" si="104">(Q93-Q95)/Q116*1000</f>
        <v>-0.11255623983283376</v>
      </c>
      <c r="R104" s="352">
        <f t="shared" si="104"/>
        <v>4.9384481288971855</v>
      </c>
      <c r="S104" s="352">
        <f>(S93-S95-S94)/S116*1000</f>
        <v>1.7843168363824582</v>
      </c>
      <c r="T104" s="352">
        <f>(T93-T95-20)/T116*1000</f>
        <v>4.5972283748732714</v>
      </c>
      <c r="U104" s="352">
        <f>(U93-U95-2)/U116*1000</f>
        <v>6.2016640789088857</v>
      </c>
      <c r="V104" s="352">
        <f t="shared" si="104"/>
        <v>1.9834017114789799</v>
      </c>
      <c r="W104" s="352">
        <f t="shared" ref="W104:AF104" si="105">(W93-W95)/W116*1000</f>
        <v>1.7789739691458177</v>
      </c>
      <c r="X104" s="352">
        <f>(X93-X95-4)/X116*1000</f>
        <v>2.760846972259162</v>
      </c>
      <c r="Y104" s="352">
        <f t="shared" si="105"/>
        <v>4.8564430178198279</v>
      </c>
      <c r="Z104" s="352">
        <f t="shared" si="105"/>
        <v>7.3747530124568437</v>
      </c>
      <c r="AA104" s="352">
        <f t="shared" si="105"/>
        <v>8.4933208882291691</v>
      </c>
      <c r="AB104" s="352">
        <f t="shared" si="105"/>
        <v>11.031574492477478</v>
      </c>
      <c r="AC104" s="352">
        <f t="shared" si="105"/>
        <v>12.701904383026944</v>
      </c>
      <c r="AD104" s="352">
        <f t="shared" si="105"/>
        <v>14.294125521387324</v>
      </c>
      <c r="AE104" s="352">
        <f t="shared" si="105"/>
        <v>15.169268867230878</v>
      </c>
      <c r="AF104" s="352">
        <f t="shared" si="105"/>
        <v>16.068314554691664</v>
      </c>
      <c r="AG104" s="1624"/>
      <c r="AH104" s="1624"/>
      <c r="AI104" s="1624"/>
      <c r="AJ104" s="1624"/>
      <c r="AK104" s="1624"/>
      <c r="AL104" s="1624"/>
      <c r="AM104" s="1624"/>
    </row>
    <row r="105" spans="1:39">
      <c r="A105" s="19" t="s">
        <v>1928</v>
      </c>
      <c r="B105" s="213"/>
      <c r="C105" s="213"/>
      <c r="D105" s="213"/>
      <c r="E105" s="213"/>
      <c r="F105" s="213"/>
      <c r="G105" s="213"/>
      <c r="H105" s="292"/>
      <c r="I105" s="292"/>
      <c r="J105" s="292"/>
      <c r="K105" s="292"/>
      <c r="L105" s="292"/>
      <c r="M105" s="292"/>
      <c r="N105" s="292"/>
      <c r="O105" s="352"/>
      <c r="P105" s="352"/>
      <c r="Q105" s="352">
        <f t="shared" ref="Q105:V105" si="106">(Q93-Q95)/Q117*1000</f>
        <v>-0.11255623983283376</v>
      </c>
      <c r="R105" s="352">
        <f t="shared" si="106"/>
        <v>4.8534184075260018</v>
      </c>
      <c r="S105" s="352">
        <f>(S93-S95-S94)/S117*1000</f>
        <v>1.7532167839523987</v>
      </c>
      <c r="T105" s="352">
        <f>(T93-T95-20)/T117*1000</f>
        <v>4.5400830444672069</v>
      </c>
      <c r="U105" s="352">
        <f t="shared" si="106"/>
        <v>6.1313624331258199</v>
      </c>
      <c r="V105" s="352">
        <f t="shared" si="106"/>
        <v>1.9184467383391557</v>
      </c>
      <c r="W105" s="352">
        <f>(W93-W95+1)/W117*1000</f>
        <v>1.7269311520653794</v>
      </c>
      <c r="X105" s="352">
        <f>(X93-X95-4)/X117*1000</f>
        <v>2.6762999591450773</v>
      </c>
      <c r="Y105" s="352">
        <f t="shared" ref="Y105:AF105" si="107">(Y93-Y95)/Y117*1000</f>
        <v>4.703579874706322</v>
      </c>
      <c r="Z105" s="352">
        <f t="shared" si="107"/>
        <v>7.2945969666603379</v>
      </c>
      <c r="AA105" s="352">
        <f t="shared" si="107"/>
        <v>8.4000120747577132</v>
      </c>
      <c r="AB105" s="352">
        <f t="shared" si="107"/>
        <v>10.909059445554819</v>
      </c>
      <c r="AC105" s="352">
        <f t="shared" si="107"/>
        <v>12.559284809666146</v>
      </c>
      <c r="AD105" s="352">
        <f t="shared" si="107"/>
        <v>14.131840303236206</v>
      </c>
      <c r="AE105" s="352">
        <f t="shared" si="107"/>
        <v>14.997047901098451</v>
      </c>
      <c r="AF105" s="352">
        <f t="shared" si="107"/>
        <v>15.885886470586255</v>
      </c>
      <c r="AG105" s="1624"/>
      <c r="AH105" s="1624"/>
      <c r="AI105" s="1624"/>
      <c r="AJ105" s="1624"/>
      <c r="AK105" s="1624"/>
      <c r="AL105" s="1624"/>
      <c r="AM105" s="1624"/>
    </row>
    <row r="106" spans="1:39">
      <c r="A106" s="19" t="s">
        <v>1925</v>
      </c>
      <c r="B106" s="213"/>
      <c r="C106" s="213"/>
      <c r="D106" s="213"/>
      <c r="E106" s="213"/>
      <c r="F106" s="213"/>
      <c r="G106" s="213"/>
      <c r="H106" s="292"/>
      <c r="I106" s="292"/>
      <c r="J106" s="292"/>
      <c r="K106" s="292"/>
      <c r="L106" s="292"/>
      <c r="M106" s="292"/>
      <c r="N106" s="292"/>
      <c r="O106" s="352"/>
      <c r="P106" s="352"/>
      <c r="Q106" s="352">
        <f t="shared" ref="Q106:V106" si="108">(Q93-Q94-Q95)/Q116*1000</f>
        <v>-0.18200583462330566</v>
      </c>
      <c r="R106" s="352">
        <f t="shared" si="108"/>
        <v>4.7607024277598358</v>
      </c>
      <c r="S106" s="352">
        <f>(S93-S95)/S116*1000</f>
        <v>3.8099552121117242</v>
      </c>
      <c r="T106" s="352">
        <f>(T93-T94-T95-20)/T116*1000</f>
        <v>4.5972283748732714</v>
      </c>
      <c r="U106" s="352">
        <f>(U93-U94-U95-2)/U116*1000</f>
        <v>6.2016640789088857</v>
      </c>
      <c r="V106" s="352">
        <f t="shared" si="108"/>
        <v>1.9834017114789799</v>
      </c>
      <c r="W106" s="352">
        <f>(W93-W94-W95)/W116*1000</f>
        <v>1.7789739691458177</v>
      </c>
      <c r="X106" s="352">
        <f>(X93-X94-X95-4)/X116*1000</f>
        <v>2.760846972259162</v>
      </c>
      <c r="Y106" s="352">
        <f t="shared" ref="Y106:AF106" si="109">(Y93-Y94-Y95)/Y116*1000</f>
        <v>4.8564430178198279</v>
      </c>
      <c r="Z106" s="352">
        <f t="shared" si="109"/>
        <v>7.3747530124568437</v>
      </c>
      <c r="AA106" s="352">
        <f t="shared" si="109"/>
        <v>8.4933208882291691</v>
      </c>
      <c r="AB106" s="352">
        <f t="shared" si="109"/>
        <v>11.031574492477478</v>
      </c>
      <c r="AC106" s="352">
        <f t="shared" si="109"/>
        <v>12.701904383026944</v>
      </c>
      <c r="AD106" s="352">
        <f t="shared" si="109"/>
        <v>14.294125521387324</v>
      </c>
      <c r="AE106" s="352">
        <f t="shared" si="109"/>
        <v>15.169268867230878</v>
      </c>
      <c r="AF106" s="352">
        <f t="shared" si="109"/>
        <v>16.068314554691664</v>
      </c>
      <c r="AG106" s="1624"/>
      <c r="AH106" s="1624"/>
      <c r="AI106" s="1624"/>
      <c r="AJ106" s="1624"/>
      <c r="AK106" s="1624"/>
      <c r="AL106" s="1624"/>
      <c r="AM106" s="1624"/>
    </row>
    <row r="107" spans="1:39">
      <c r="A107" s="19" t="s">
        <v>1926</v>
      </c>
      <c r="B107" s="213"/>
      <c r="C107" s="213"/>
      <c r="D107" s="213"/>
      <c r="E107" s="213"/>
      <c r="F107" s="213"/>
      <c r="G107" s="213"/>
      <c r="H107" s="292"/>
      <c r="I107" s="292"/>
      <c r="J107" s="292"/>
      <c r="K107" s="292"/>
      <c r="L107" s="292"/>
      <c r="M107" s="292"/>
      <c r="N107" s="292"/>
      <c r="O107" s="352"/>
      <c r="P107" s="352"/>
      <c r="Q107" s="352">
        <f t="shared" ref="Q107:V107" si="110">(Q93-Q94-Q95)/Q117*1000</f>
        <v>-0.18200583462330566</v>
      </c>
      <c r="R107" s="352">
        <f t="shared" si="110"/>
        <v>4.6787331146481197</v>
      </c>
      <c r="S107" s="352">
        <f>(S93-S95)/S117*1000</f>
        <v>3.7435489526196708</v>
      </c>
      <c r="T107" s="352">
        <f>(T93-T94-T95-20)/T117*1000</f>
        <v>4.5400830444672069</v>
      </c>
      <c r="U107" s="352">
        <f t="shared" si="110"/>
        <v>6.1313624331258199</v>
      </c>
      <c r="V107" s="352">
        <f t="shared" si="110"/>
        <v>1.9184467383391557</v>
      </c>
      <c r="W107" s="352">
        <f>(W93-W94-W95+1)/W117*1000</f>
        <v>1.7269311520653794</v>
      </c>
      <c r="X107" s="352">
        <f>(X93-X94-X95-4)/X117*1000</f>
        <v>2.6762999591450773</v>
      </c>
      <c r="Y107" s="352">
        <f t="shared" ref="Y107:AF107" si="111">(Y93-Y94-Y95)/Y117*1000</f>
        <v>4.703579874706322</v>
      </c>
      <c r="Z107" s="352">
        <f t="shared" si="111"/>
        <v>7.2945969666603379</v>
      </c>
      <c r="AA107" s="352">
        <f t="shared" si="111"/>
        <v>8.4000120747577132</v>
      </c>
      <c r="AB107" s="352">
        <f t="shared" si="111"/>
        <v>10.909059445554819</v>
      </c>
      <c r="AC107" s="352">
        <f t="shared" si="111"/>
        <v>12.559284809666146</v>
      </c>
      <c r="AD107" s="352">
        <f t="shared" si="111"/>
        <v>14.131840303236206</v>
      </c>
      <c r="AE107" s="352">
        <f t="shared" si="111"/>
        <v>14.997047901098451</v>
      </c>
      <c r="AF107" s="352">
        <f t="shared" si="111"/>
        <v>15.885886470586255</v>
      </c>
      <c r="AG107" s="1624"/>
      <c r="AH107" s="1624"/>
      <c r="AI107" s="1624"/>
      <c r="AJ107" s="1624"/>
      <c r="AK107" s="1624"/>
      <c r="AL107" s="1624"/>
      <c r="AM107" s="1624"/>
    </row>
    <row r="108" spans="1:39">
      <c r="A108" s="19"/>
      <c r="B108" s="213"/>
      <c r="C108" s="213"/>
      <c r="D108" s="213"/>
      <c r="E108" s="213"/>
      <c r="F108" s="213"/>
      <c r="G108" s="213"/>
      <c r="H108" s="19"/>
      <c r="I108" s="19"/>
      <c r="J108" s="19"/>
      <c r="K108" s="19"/>
      <c r="L108" s="19"/>
      <c r="M108" s="19"/>
      <c r="N108" s="19"/>
      <c r="O108" s="19"/>
      <c r="P108" s="19"/>
      <c r="Q108" s="19"/>
      <c r="R108" s="19"/>
      <c r="S108" s="19"/>
      <c r="T108" s="19"/>
      <c r="U108" s="19"/>
      <c r="V108" s="19"/>
      <c r="W108" s="19"/>
      <c r="X108" s="19"/>
      <c r="Y108" s="19"/>
      <c r="Z108" s="1277"/>
      <c r="AA108" s="4"/>
      <c r="AB108" s="4"/>
      <c r="AC108" s="4"/>
      <c r="AD108" s="4"/>
      <c r="AE108" s="4"/>
      <c r="AF108" s="4"/>
      <c r="AG108" s="1624"/>
      <c r="AH108" s="1624"/>
      <c r="AI108" s="1624"/>
      <c r="AJ108" s="1624"/>
      <c r="AK108" s="1624"/>
      <c r="AL108" s="1624"/>
      <c r="AM108" s="1624"/>
    </row>
    <row r="109" spans="1:39">
      <c r="A109" s="19" t="s">
        <v>267</v>
      </c>
      <c r="B109" s="213"/>
      <c r="C109" s="213"/>
      <c r="D109" s="213"/>
      <c r="E109" s="213"/>
      <c r="F109" s="213"/>
      <c r="G109" s="213"/>
      <c r="H109" s="292">
        <v>0.22</v>
      </c>
      <c r="I109" s="292">
        <v>0.4</v>
      </c>
      <c r="J109" s="19">
        <f>0.08+0.25</f>
        <v>0.33</v>
      </c>
      <c r="K109" s="19">
        <f>'Cashflow Statement'!L44</f>
        <v>0.38</v>
      </c>
      <c r="L109" s="353">
        <f>'Cashflow Statement'!M44</f>
        <v>0.5</v>
      </c>
      <c r="M109" s="292">
        <v>0.62</v>
      </c>
      <c r="N109" s="354">
        <v>0.96</v>
      </c>
      <c r="O109" s="354">
        <v>1.1200000000000001</v>
      </c>
      <c r="P109" s="354">
        <v>1.2</v>
      </c>
      <c r="Q109" s="354">
        <v>1.38</v>
      </c>
      <c r="R109" s="354">
        <v>1.52</v>
      </c>
      <c r="S109" s="354">
        <v>1.6</v>
      </c>
      <c r="T109" s="354">
        <v>1.82</v>
      </c>
      <c r="U109" s="354">
        <v>0</v>
      </c>
      <c r="V109" s="354">
        <v>0.43</v>
      </c>
      <c r="W109" s="354">
        <v>0.5</v>
      </c>
      <c r="X109" s="354">
        <v>1.35</v>
      </c>
      <c r="Y109" s="354">
        <v>2.2000000000000002</v>
      </c>
      <c r="Z109" s="354">
        <v>2.9</v>
      </c>
      <c r="AA109" s="365">
        <f>AA110*AA104</f>
        <v>3.397328355291668</v>
      </c>
      <c r="AB109" s="365">
        <f t="shared" ref="AB109:AF109" si="112">AB110*AB104</f>
        <v>4.4126297969909913</v>
      </c>
      <c r="AC109" s="365">
        <f t="shared" si="112"/>
        <v>5.0807617532107781</v>
      </c>
      <c r="AD109" s="365">
        <f t="shared" si="112"/>
        <v>5.7176502085549297</v>
      </c>
      <c r="AE109" s="365">
        <f t="shared" si="112"/>
        <v>6.0677075468923514</v>
      </c>
      <c r="AF109" s="365">
        <f t="shared" si="112"/>
        <v>6.427325821876666</v>
      </c>
      <c r="AG109" s="1624"/>
      <c r="AH109" s="1624"/>
      <c r="AI109" s="1624"/>
      <c r="AJ109" s="1624"/>
      <c r="AK109" s="1624"/>
      <c r="AL109" s="1624"/>
      <c r="AM109" s="1624"/>
    </row>
    <row r="110" spans="1:39">
      <c r="A110" s="19" t="s">
        <v>1155</v>
      </c>
      <c r="B110" s="213"/>
      <c r="C110" s="213"/>
      <c r="D110" s="213"/>
      <c r="E110" s="213"/>
      <c r="F110" s="213"/>
      <c r="G110" s="213"/>
      <c r="H110" s="355"/>
      <c r="I110" s="355"/>
      <c r="J110" s="355"/>
      <c r="K110" s="355"/>
      <c r="L110" s="355"/>
      <c r="M110" s="355"/>
      <c r="N110" s="355"/>
      <c r="O110" s="355">
        <v>-0.61918707081009305</v>
      </c>
      <c r="P110" s="355">
        <v>-0.49182681259842526</v>
      </c>
      <c r="Q110" s="355">
        <v>-0.55783665322362053</v>
      </c>
      <c r="R110" s="355">
        <v>-0.85515429643243257</v>
      </c>
      <c r="S110" s="355">
        <v>-0.92972474334277622</v>
      </c>
      <c r="T110" s="355">
        <v>0.3958907088339223</v>
      </c>
      <c r="U110" s="355">
        <v>0</v>
      </c>
      <c r="V110" s="355">
        <v>0.21705611938388628</v>
      </c>
      <c r="W110" s="355">
        <v>0.28069106907894736</v>
      </c>
      <c r="X110" s="355">
        <v>0.48898037941426148</v>
      </c>
      <c r="Y110" s="355">
        <v>0.45322982366863912</v>
      </c>
      <c r="Z110" s="355">
        <v>0.39336168089960888</v>
      </c>
      <c r="AA110" s="1288">
        <v>0.4</v>
      </c>
      <c r="AB110" s="1288">
        <v>0.4</v>
      </c>
      <c r="AC110" s="1288">
        <v>0.4</v>
      </c>
      <c r="AD110" s="1288">
        <v>0.4</v>
      </c>
      <c r="AE110" s="1288">
        <v>0.4</v>
      </c>
      <c r="AF110" s="1288">
        <v>0.4</v>
      </c>
      <c r="AG110" s="1624"/>
      <c r="AH110" s="1624"/>
      <c r="AI110" s="1624"/>
      <c r="AJ110" s="1624"/>
      <c r="AK110" s="1624"/>
      <c r="AL110" s="1624"/>
      <c r="AM110" s="1624"/>
    </row>
    <row r="111" spans="1:39">
      <c r="A111" s="19"/>
      <c r="B111" s="213"/>
      <c r="C111" s="213"/>
      <c r="D111" s="213"/>
      <c r="E111" s="213"/>
      <c r="F111" s="213"/>
      <c r="G111" s="213"/>
      <c r="H111" s="19"/>
      <c r="I111" s="30"/>
      <c r="J111" s="30"/>
      <c r="K111" s="30"/>
      <c r="L111" s="30"/>
      <c r="M111" s="30"/>
      <c r="N111" s="30"/>
      <c r="O111" s="30"/>
      <c r="P111" s="30"/>
      <c r="Q111" s="30"/>
      <c r="R111" s="30"/>
      <c r="S111" s="30"/>
      <c r="T111" s="30"/>
      <c r="U111" s="30"/>
      <c r="V111" s="30"/>
      <c r="W111" s="30"/>
      <c r="X111" s="30"/>
      <c r="Y111" s="30"/>
      <c r="Z111" s="30"/>
      <c r="AA111" s="355"/>
      <c r="AB111" s="355"/>
      <c r="AC111" s="355"/>
      <c r="AD111" s="355"/>
      <c r="AE111" s="355"/>
      <c r="AF111" s="355"/>
      <c r="AG111" s="1624"/>
      <c r="AH111" s="1624"/>
      <c r="AI111" s="1624"/>
      <c r="AJ111" s="1624"/>
      <c r="AK111" s="1624"/>
      <c r="AL111" s="1624"/>
      <c r="AM111" s="1624"/>
    </row>
    <row r="112" spans="1:39">
      <c r="A112" s="19" t="s">
        <v>2000</v>
      </c>
      <c r="B112" s="213"/>
      <c r="C112" s="213"/>
      <c r="D112" s="213"/>
      <c r="E112" s="213"/>
      <c r="F112" s="213"/>
      <c r="G112" s="213"/>
      <c r="H112" s="19"/>
      <c r="I112" s="19"/>
      <c r="J112" s="19"/>
      <c r="K112" s="19"/>
      <c r="L112" s="19"/>
      <c r="M112" s="19"/>
      <c r="N112" s="19"/>
      <c r="O112" s="356">
        <v>40.948582375478907</v>
      </c>
      <c r="P112" s="356">
        <v>60.9</v>
      </c>
      <c r="Q112" s="356">
        <v>64.8</v>
      </c>
      <c r="R112" s="356">
        <v>68.42</v>
      </c>
      <c r="S112" s="356">
        <v>85.2</v>
      </c>
      <c r="T112" s="356">
        <v>110.7</v>
      </c>
      <c r="U112" s="356">
        <v>132.15</v>
      </c>
      <c r="V112" s="356">
        <v>90</v>
      </c>
      <c r="W112" s="356">
        <v>107.66</v>
      </c>
      <c r="X112" s="356">
        <v>105.3</v>
      </c>
      <c r="Y112" s="356">
        <v>142.71392307692312</v>
      </c>
      <c r="Z112" s="356">
        <v>201.14664122137407</v>
      </c>
      <c r="AA112" s="1289">
        <v>278.60000000000002</v>
      </c>
      <c r="AB112" s="1289">
        <v>278.60000000000002</v>
      </c>
      <c r="AC112" s="1289">
        <v>278.60000000000002</v>
      </c>
      <c r="AD112" s="1289">
        <v>278.60000000000002</v>
      </c>
      <c r="AE112" s="1289">
        <v>278.60000000000002</v>
      </c>
      <c r="AF112" s="1289">
        <v>278.60000000000002</v>
      </c>
      <c r="AG112" s="1624"/>
      <c r="AH112" s="1624"/>
      <c r="AI112" s="1624"/>
      <c r="AJ112" s="1624"/>
      <c r="AK112" s="1624"/>
      <c r="AL112" s="1624"/>
      <c r="AM112" s="1624"/>
    </row>
    <row r="113" spans="1:39">
      <c r="A113" s="19" t="s">
        <v>931</v>
      </c>
      <c r="B113" s="213"/>
      <c r="C113" s="213"/>
      <c r="D113" s="213"/>
      <c r="E113" s="213"/>
      <c r="F113" s="213"/>
      <c r="G113" s="213"/>
      <c r="H113" s="19"/>
      <c r="I113" s="19"/>
      <c r="J113" s="19"/>
      <c r="K113" s="19"/>
      <c r="L113" s="19"/>
      <c r="M113" s="19"/>
      <c r="N113" s="19"/>
      <c r="O113" s="285">
        <f t="shared" ref="O113:AF113" si="113">O109/O112</f>
        <v>2.7351374211935741E-2</v>
      </c>
      <c r="P113" s="285">
        <f t="shared" si="113"/>
        <v>1.9704433497536946E-2</v>
      </c>
      <c r="Q113" s="285">
        <f t="shared" si="113"/>
        <v>2.1296296296296296E-2</v>
      </c>
      <c r="R113" s="285">
        <f t="shared" si="113"/>
        <v>2.2215726395790704E-2</v>
      </c>
      <c r="S113" s="285">
        <f t="shared" si="113"/>
        <v>1.8779342723004695E-2</v>
      </c>
      <c r="T113" s="285">
        <f t="shared" si="113"/>
        <v>1.6440831074977416E-2</v>
      </c>
      <c r="U113" s="285">
        <f t="shared" si="113"/>
        <v>0</v>
      </c>
      <c r="V113" s="285">
        <f t="shared" si="113"/>
        <v>4.7777777777777775E-3</v>
      </c>
      <c r="W113" s="285">
        <f t="shared" si="113"/>
        <v>4.6442504179825374E-3</v>
      </c>
      <c r="X113" s="285">
        <f t="shared" si="113"/>
        <v>1.2820512820512822E-2</v>
      </c>
      <c r="Y113" s="285">
        <f t="shared" si="113"/>
        <v>1.5415454586124686E-2</v>
      </c>
      <c r="Z113" s="285">
        <f t="shared" si="113"/>
        <v>1.4417342404481785E-2</v>
      </c>
      <c r="AA113" s="285">
        <f t="shared" si="113"/>
        <v>1.2194286989560904E-2</v>
      </c>
      <c r="AB113" s="285">
        <f t="shared" si="113"/>
        <v>1.5838585057397669E-2</v>
      </c>
      <c r="AC113" s="285">
        <f t="shared" si="113"/>
        <v>1.8236761497526122E-2</v>
      </c>
      <c r="AD113" s="285">
        <f t="shared" si="113"/>
        <v>2.0522793282681008E-2</v>
      </c>
      <c r="AE113" s="285">
        <f t="shared" si="113"/>
        <v>2.1779280498536793E-2</v>
      </c>
      <c r="AF113" s="285">
        <f t="shared" si="113"/>
        <v>2.3070085505659244E-2</v>
      </c>
      <c r="AG113" s="1624"/>
      <c r="AH113" s="1624"/>
      <c r="AI113" s="1624"/>
      <c r="AJ113" s="1624"/>
      <c r="AK113" s="1624"/>
      <c r="AL113" s="1624"/>
      <c r="AM113" s="1624"/>
    </row>
    <row r="114" spans="1:39">
      <c r="A114" s="19" t="s">
        <v>979</v>
      </c>
      <c r="B114" s="213"/>
      <c r="C114" s="213"/>
      <c r="D114" s="213"/>
      <c r="E114" s="213"/>
      <c r="F114" s="213"/>
      <c r="G114" s="213"/>
      <c r="H114" s="19"/>
      <c r="I114" s="19"/>
      <c r="J114" s="19"/>
      <c r="K114" s="19"/>
      <c r="L114" s="19"/>
      <c r="M114" s="19"/>
      <c r="N114" s="19"/>
      <c r="O114" s="1483">
        <f>'Cashflow Statement'!O57</f>
        <v>712</v>
      </c>
      <c r="P114" s="1483">
        <f>'Cashflow Statement'!P57</f>
        <v>740</v>
      </c>
      <c r="Q114" s="1483">
        <f>'Cashflow Statement'!Q57</f>
        <v>929</v>
      </c>
      <c r="R114" s="1483">
        <f>'Cashflow Statement'!R57</f>
        <v>1455</v>
      </c>
      <c r="S114" s="1483">
        <f>'Cashflow Statement'!S57</f>
        <v>1438</v>
      </c>
      <c r="T114" s="1483">
        <f>'Cashflow Statement'!T57</f>
        <v>1781</v>
      </c>
      <c r="U114" s="1483">
        <f>'Cashflow Statement'!U57</f>
        <v>1983</v>
      </c>
      <c r="V114" s="1483">
        <f>'Cashflow Statement'!V57</f>
        <v>1073</v>
      </c>
      <c r="W114" s="1483">
        <f>'Cashflow Statement'!W57</f>
        <v>1680</v>
      </c>
      <c r="X114" s="1483">
        <f>'Cashflow Statement'!X57</f>
        <v>2666</v>
      </c>
      <c r="Y114" s="1483">
        <f>'Cashflow Statement'!Y57</f>
        <v>2945</v>
      </c>
      <c r="Z114" s="1483">
        <f>'Cashflow Statement'!Z57</f>
        <v>3189</v>
      </c>
      <c r="AA114" s="1483">
        <f>'Cashflow Statement'!AA57</f>
        <v>3518.6013391781835</v>
      </c>
      <c r="AB114" s="1483">
        <f>'Cashflow Statement'!AB57</f>
        <v>4206.2766698938904</v>
      </c>
      <c r="AC114" s="1483">
        <f>'Cashflow Statement'!AC57</f>
        <v>4875.4879954339885</v>
      </c>
      <c r="AD114" s="1483">
        <f>'Cashflow Statement'!AD57</f>
        <v>5449.6205658951149</v>
      </c>
      <c r="AE114" s="1483">
        <f>'Cashflow Statement'!AE57</f>
        <v>6106.2307315687576</v>
      </c>
      <c r="AF114" s="1483">
        <f>'Cashflow Statement'!AF57</f>
        <v>6582.9644679664161</v>
      </c>
      <c r="AG114" s="1624"/>
      <c r="AH114" s="1624"/>
      <c r="AI114" s="1624"/>
      <c r="AJ114" s="1624"/>
      <c r="AK114" s="1624"/>
      <c r="AL114" s="1624"/>
      <c r="AM114" s="1624"/>
    </row>
    <row r="115" spans="1:39">
      <c r="A115" s="19"/>
      <c r="B115" s="213"/>
      <c r="C115" s="213"/>
      <c r="D115" s="213"/>
      <c r="E115" s="213"/>
      <c r="F115" s="213"/>
      <c r="G115" s="213"/>
      <c r="H115" s="19"/>
      <c r="I115" s="19"/>
      <c r="J115" s="19"/>
      <c r="K115" s="19"/>
      <c r="L115" s="19"/>
      <c r="M115" s="19"/>
      <c r="N115" s="19"/>
      <c r="O115" s="285"/>
      <c r="P115" s="285"/>
      <c r="Q115" s="285"/>
      <c r="R115" s="285"/>
      <c r="S115" s="285"/>
      <c r="T115" s="285"/>
      <c r="U115" s="285"/>
      <c r="V115" s="285"/>
      <c r="W115" s="285"/>
      <c r="X115" s="285"/>
      <c r="Y115" s="285"/>
      <c r="Z115" s="285"/>
      <c r="AA115" s="285"/>
      <c r="AB115" s="285"/>
      <c r="AC115" s="285"/>
      <c r="AD115" s="285"/>
      <c r="AE115" s="285"/>
      <c r="AF115" s="285"/>
      <c r="AG115" s="1624"/>
      <c r="AH115" s="1624"/>
      <c r="AI115" s="1624"/>
      <c r="AJ115" s="1624"/>
      <c r="AK115" s="1624"/>
      <c r="AL115" s="1624"/>
      <c r="AM115" s="1624"/>
    </row>
    <row r="116" spans="1:39">
      <c r="A116" s="19" t="s">
        <v>1080</v>
      </c>
      <c r="B116" s="213"/>
      <c r="C116" s="213"/>
      <c r="D116" s="213"/>
      <c r="E116" s="213"/>
      <c r="F116" s="213"/>
      <c r="G116" s="213"/>
      <c r="H116" s="293">
        <v>410774.00900000002</v>
      </c>
      <c r="I116" s="293">
        <v>410774.00900000002</v>
      </c>
      <c r="J116" s="293">
        <v>405354.402</v>
      </c>
      <c r="K116" s="293">
        <v>399266.788</v>
      </c>
      <c r="L116" s="293">
        <v>399552.92</v>
      </c>
      <c r="M116" s="293">
        <v>404735.46100000001</v>
      </c>
      <c r="N116" s="293">
        <v>415280.826</v>
      </c>
      <c r="O116" s="293">
        <v>416292.73599999998</v>
      </c>
      <c r="P116" s="293">
        <v>416413.36800000002</v>
      </c>
      <c r="Q116" s="293">
        <v>417569.03100000002</v>
      </c>
      <c r="R116" s="293">
        <v>416325.11800000002</v>
      </c>
      <c r="S116" s="293">
        <v>410241.04300000001</v>
      </c>
      <c r="T116" s="293">
        <v>430911.81</v>
      </c>
      <c r="U116" s="293">
        <v>429723.37199999997</v>
      </c>
      <c r="V116" s="293">
        <v>426035.73200000002</v>
      </c>
      <c r="W116" s="293">
        <v>426650.42499999999</v>
      </c>
      <c r="X116" s="293">
        <v>426680.65700000001</v>
      </c>
      <c r="Y116" s="293">
        <v>417795.49200000003</v>
      </c>
      <c r="Z116" s="293">
        <v>416149.53</v>
      </c>
      <c r="AA116" s="327">
        <f>Z116+'Cashflow Statement'!AA47/AA112*1000</f>
        <v>411662.81068916013</v>
      </c>
      <c r="AB116" s="327">
        <f>AA116+'Cashflow Statement'!AB47/AB112*1000</f>
        <v>407176.09137832024</v>
      </c>
      <c r="AC116" s="327">
        <f>AB116+'Cashflow Statement'!AC47/AC112*1000</f>
        <v>402689.37206748035</v>
      </c>
      <c r="AD116" s="327">
        <f>AC116+'Cashflow Statement'!AD47/AD112*1000</f>
        <v>398202.65275664045</v>
      </c>
      <c r="AE116" s="327">
        <f>AD116+'Cashflow Statement'!AE47/AE112*1000</f>
        <v>398202.65275664045</v>
      </c>
      <c r="AF116" s="327">
        <f>AE116+'Cashflow Statement'!AF47/AF112*1000</f>
        <v>398202.65275664045</v>
      </c>
      <c r="AG116" s="1624"/>
      <c r="AH116" s="1624"/>
      <c r="AI116" s="1624"/>
      <c r="AJ116" s="1624"/>
      <c r="AK116" s="1624"/>
      <c r="AL116" s="1624"/>
      <c r="AM116" s="1624"/>
    </row>
    <row r="117" spans="1:39">
      <c r="A117" s="19" t="s">
        <v>1081</v>
      </c>
      <c r="B117" s="213"/>
      <c r="C117" s="213"/>
      <c r="D117" s="213"/>
      <c r="E117" s="213"/>
      <c r="F117" s="213"/>
      <c r="G117" s="213"/>
      <c r="H117" s="293">
        <v>411011.89600000001</v>
      </c>
      <c r="I117" s="293">
        <v>411011.89600000001</v>
      </c>
      <c r="J117" s="293">
        <v>405354.402</v>
      </c>
      <c r="K117" s="293">
        <v>401081.33899999998</v>
      </c>
      <c r="L117" s="293">
        <v>403532.56199999998</v>
      </c>
      <c r="M117" s="293">
        <v>406339.61800000002</v>
      </c>
      <c r="N117" s="293">
        <v>415919.88500000001</v>
      </c>
      <c r="O117" s="293">
        <v>416425.22899999999</v>
      </c>
      <c r="P117" s="293">
        <v>416413.36800000002</v>
      </c>
      <c r="Q117" s="293">
        <v>417569.03100000002</v>
      </c>
      <c r="R117" s="293">
        <v>423618.94799999997</v>
      </c>
      <c r="S117" s="293">
        <v>417518.24800000002</v>
      </c>
      <c r="T117" s="293">
        <v>436335.63099999999</v>
      </c>
      <c r="U117" s="293">
        <v>434976.73300000001</v>
      </c>
      <c r="V117" s="293">
        <v>440460.495</v>
      </c>
      <c r="W117" s="293">
        <v>440087.02899999998</v>
      </c>
      <c r="X117" s="293">
        <v>440159.929</v>
      </c>
      <c r="Y117" s="293">
        <v>431373.56099999999</v>
      </c>
      <c r="Z117" s="293">
        <v>420722.353</v>
      </c>
      <c r="AA117" s="327">
        <f t="shared" ref="AA117:AF117" si="114">Z117+(AA116-Z116)</f>
        <v>416235.63368916011</v>
      </c>
      <c r="AB117" s="327">
        <f t="shared" si="114"/>
        <v>411748.91437832022</v>
      </c>
      <c r="AC117" s="327">
        <f t="shared" si="114"/>
        <v>407262.19506748032</v>
      </c>
      <c r="AD117" s="327">
        <f t="shared" si="114"/>
        <v>402775.47575664043</v>
      </c>
      <c r="AE117" s="327">
        <f t="shared" si="114"/>
        <v>402775.47575664043</v>
      </c>
      <c r="AF117" s="327">
        <f t="shared" si="114"/>
        <v>402775.47575664043</v>
      </c>
      <c r="AG117" s="1624"/>
      <c r="AH117" s="1624"/>
      <c r="AI117" s="1624"/>
      <c r="AJ117" s="1624"/>
      <c r="AK117" s="1624"/>
      <c r="AL117" s="1624"/>
      <c r="AM117" s="1624"/>
    </row>
    <row r="118" spans="1:39">
      <c r="AG118" s="1624"/>
      <c r="AH118" s="1624"/>
      <c r="AI118" s="1624"/>
      <c r="AJ118" s="1624"/>
      <c r="AK118" s="1624"/>
      <c r="AL118" s="1624"/>
      <c r="AM118" s="1624"/>
    </row>
    <row r="119" spans="1:39">
      <c r="A119" s="305" t="s">
        <v>867</v>
      </c>
      <c r="B119" s="305"/>
      <c r="C119" s="305"/>
      <c r="D119" s="305"/>
      <c r="E119" s="305"/>
      <c r="F119" s="305"/>
      <c r="G119" s="305"/>
      <c r="H119" s="305"/>
      <c r="I119" s="305"/>
      <c r="J119" s="305"/>
      <c r="K119" s="305"/>
      <c r="L119" s="305"/>
      <c r="M119" s="305"/>
      <c r="N119" s="305"/>
      <c r="O119" s="305"/>
      <c r="P119" s="305"/>
      <c r="Q119" s="305"/>
      <c r="R119" s="305"/>
      <c r="S119" s="305"/>
      <c r="T119" s="305"/>
      <c r="U119" s="305"/>
      <c r="V119" s="305"/>
      <c r="W119" s="215"/>
      <c r="X119" s="215"/>
      <c r="Y119" s="215"/>
      <c r="Z119" s="215"/>
      <c r="AA119" s="195"/>
      <c r="AB119" s="195"/>
      <c r="AC119" s="195"/>
      <c r="AD119" s="195"/>
      <c r="AE119" s="195"/>
      <c r="AF119" s="195"/>
      <c r="AG119" s="1624"/>
      <c r="AH119" s="1624"/>
      <c r="AI119" s="1624"/>
      <c r="AJ119" s="1624"/>
      <c r="AK119" s="1624"/>
      <c r="AL119" s="1624"/>
      <c r="AM119" s="1624"/>
    </row>
    <row r="120" spans="1:39">
      <c r="A120" s="19" t="s">
        <v>778</v>
      </c>
      <c r="B120" s="19"/>
      <c r="C120" s="19"/>
      <c r="D120" s="19"/>
      <c r="E120" s="19"/>
      <c r="F120" s="19"/>
      <c r="G120" s="19"/>
      <c r="H120" s="287">
        <f t="shared" ref="H120:S120" si="115">H121+H122</f>
        <v>-22</v>
      </c>
      <c r="I120" s="287">
        <f t="shared" si="115"/>
        <v>-10</v>
      </c>
      <c r="J120" s="287">
        <f t="shared" si="115"/>
        <v>-19</v>
      </c>
      <c r="K120" s="287">
        <f t="shared" si="115"/>
        <v>-38</v>
      </c>
      <c r="L120" s="287">
        <f t="shared" si="115"/>
        <v>-36</v>
      </c>
      <c r="M120" s="287">
        <f t="shared" si="115"/>
        <v>-42</v>
      </c>
      <c r="N120" s="287">
        <f t="shared" si="115"/>
        <v>-54</v>
      </c>
      <c r="O120" s="287">
        <f t="shared" si="115"/>
        <v>-42</v>
      </c>
      <c r="P120" s="287">
        <f t="shared" si="115"/>
        <v>-42</v>
      </c>
      <c r="Q120" s="287">
        <f t="shared" si="115"/>
        <v>-28</v>
      </c>
      <c r="R120" s="287">
        <f t="shared" si="115"/>
        <v>-51</v>
      </c>
      <c r="S120" s="287">
        <f t="shared" si="115"/>
        <v>-48</v>
      </c>
      <c r="T120" s="227">
        <v>-67</v>
      </c>
      <c r="U120" s="227">
        <v>-33</v>
      </c>
      <c r="V120" s="27">
        <f t="shared" ref="V120:AF120" si="116">V121+V122</f>
        <v>-58</v>
      </c>
      <c r="W120" s="27">
        <f t="shared" si="116"/>
        <v>-85</v>
      </c>
      <c r="X120" s="27">
        <f t="shared" si="116"/>
        <v>-56</v>
      </c>
      <c r="Y120" s="27">
        <f t="shared" si="116"/>
        <v>112</v>
      </c>
      <c r="Z120" s="27">
        <f t="shared" si="116"/>
        <v>157</v>
      </c>
      <c r="AA120" s="27">
        <f t="shared" si="116"/>
        <v>113.98500000000001</v>
      </c>
      <c r="AB120" s="27">
        <f t="shared" si="116"/>
        <v>126.92821272622497</v>
      </c>
      <c r="AC120" s="27">
        <f t="shared" si="116"/>
        <v>143.85053320935441</v>
      </c>
      <c r="AD120" s="27">
        <f t="shared" si="116"/>
        <v>168.32129448281512</v>
      </c>
      <c r="AE120" s="27">
        <f t="shared" si="116"/>
        <v>195.6653324986309</v>
      </c>
      <c r="AF120" s="27">
        <f t="shared" si="116"/>
        <v>242.18511461063076</v>
      </c>
      <c r="AG120" s="1624"/>
      <c r="AH120" s="1624"/>
      <c r="AI120" s="1624"/>
      <c r="AJ120" s="1624"/>
      <c r="AK120" s="1624"/>
      <c r="AL120" s="1624"/>
      <c r="AM120" s="1624"/>
    </row>
    <row r="121" spans="1:39">
      <c r="A121" s="291" t="s">
        <v>866</v>
      </c>
      <c r="B121" s="292"/>
      <c r="C121" s="292"/>
      <c r="D121" s="292"/>
      <c r="E121" s="292"/>
      <c r="F121" s="292"/>
      <c r="G121" s="292"/>
      <c r="H121" s="293">
        <v>-58</v>
      </c>
      <c r="I121" s="293">
        <v>-56</v>
      </c>
      <c r="J121" s="293">
        <v>-54</v>
      </c>
      <c r="K121" s="293">
        <v>-56</v>
      </c>
      <c r="L121" s="293">
        <v>-60</v>
      </c>
      <c r="M121" s="293">
        <v>-71</v>
      </c>
      <c r="N121" s="293">
        <v>-97</v>
      </c>
      <c r="O121" s="293">
        <v>-85</v>
      </c>
      <c r="P121" s="293">
        <v>-80</v>
      </c>
      <c r="Q121" s="293">
        <v>-61</v>
      </c>
      <c r="R121" s="293">
        <v>-71</v>
      </c>
      <c r="S121" s="293">
        <v>-72</v>
      </c>
      <c r="T121" s="293">
        <v>-95</v>
      </c>
      <c r="U121" s="293">
        <v>-81</v>
      </c>
      <c r="V121" s="293">
        <v>-80</v>
      </c>
      <c r="W121" s="293">
        <v>-100</v>
      </c>
      <c r="X121" s="293">
        <v>-94</v>
      </c>
      <c r="Y121" s="293">
        <v>-118</v>
      </c>
      <c r="Z121" s="293">
        <v>-92</v>
      </c>
      <c r="AA121" s="287">
        <f>Z141*AA144</f>
        <v>-121.82499999999999</v>
      </c>
      <c r="AB121" s="287">
        <f t="shared" ref="AB121:AF121" si="117">AA141*AB144</f>
        <v>-105.07199999999999</v>
      </c>
      <c r="AC121" s="287">
        <f t="shared" si="117"/>
        <v>-105.07199999999999</v>
      </c>
      <c r="AD121" s="287">
        <f t="shared" si="117"/>
        <v>-105.07199999999999</v>
      </c>
      <c r="AE121" s="287">
        <f t="shared" si="117"/>
        <v>-105.07199999999999</v>
      </c>
      <c r="AF121" s="287">
        <f t="shared" si="117"/>
        <v>-105.07199999999999</v>
      </c>
    </row>
    <row r="122" spans="1:39">
      <c r="A122" s="291" t="s">
        <v>865</v>
      </c>
      <c r="B122" s="292"/>
      <c r="C122" s="292"/>
      <c r="D122" s="292"/>
      <c r="E122" s="292"/>
      <c r="F122" s="292"/>
      <c r="G122" s="292"/>
      <c r="H122" s="293">
        <v>36</v>
      </c>
      <c r="I122" s="293">
        <v>46</v>
      </c>
      <c r="J122" s="293">
        <v>35</v>
      </c>
      <c r="K122" s="293">
        <v>18</v>
      </c>
      <c r="L122" s="293">
        <v>24</v>
      </c>
      <c r="M122" s="293">
        <v>29</v>
      </c>
      <c r="N122" s="293">
        <v>43</v>
      </c>
      <c r="O122" s="293">
        <v>43</v>
      </c>
      <c r="P122" s="293">
        <v>38</v>
      </c>
      <c r="Q122" s="293">
        <v>33</v>
      </c>
      <c r="R122" s="293">
        <v>20</v>
      </c>
      <c r="S122" s="293">
        <v>24</v>
      </c>
      <c r="T122" s="293">
        <v>28</v>
      </c>
      <c r="U122" s="293">
        <v>48</v>
      </c>
      <c r="V122" s="293">
        <v>22</v>
      </c>
      <c r="W122" s="293">
        <v>15</v>
      </c>
      <c r="X122" s="293">
        <v>38</v>
      </c>
      <c r="Y122" s="293">
        <v>230</v>
      </c>
      <c r="Z122" s="293">
        <v>249</v>
      </c>
      <c r="AA122" s="287">
        <f>Z142*AA145</f>
        <v>235.81</v>
      </c>
      <c r="AB122" s="287">
        <f t="shared" ref="AB122:AF122" si="118">AA142*AB145</f>
        <v>232.00021272622496</v>
      </c>
      <c r="AC122" s="287">
        <f t="shared" si="118"/>
        <v>248.92253320935438</v>
      </c>
      <c r="AD122" s="287">
        <f t="shared" si="118"/>
        <v>273.39329448281512</v>
      </c>
      <c r="AE122" s="287">
        <f t="shared" si="118"/>
        <v>300.73733249863091</v>
      </c>
      <c r="AF122" s="287">
        <f t="shared" si="118"/>
        <v>347.25711461063077</v>
      </c>
      <c r="AG122" s="1624"/>
      <c r="AH122" s="1624"/>
      <c r="AI122" s="1624"/>
      <c r="AJ122" s="1624"/>
      <c r="AK122" s="1624"/>
      <c r="AL122" s="1624"/>
      <c r="AM122" s="1624"/>
    </row>
    <row r="123" spans="1:39">
      <c r="A123" s="19"/>
      <c r="B123" s="19"/>
      <c r="C123" s="19"/>
      <c r="D123" s="19"/>
      <c r="E123" s="19"/>
      <c r="F123" s="19"/>
      <c r="G123" s="19"/>
      <c r="H123" s="287"/>
      <c r="I123" s="287"/>
      <c r="J123" s="287"/>
      <c r="K123" s="287"/>
      <c r="L123" s="287"/>
      <c r="M123" s="287"/>
      <c r="N123" s="287"/>
      <c r="O123" s="287"/>
      <c r="P123" s="287"/>
      <c r="Q123" s="287"/>
      <c r="R123" s="287"/>
      <c r="S123" s="287"/>
      <c r="T123" s="287"/>
      <c r="U123" s="287"/>
      <c r="V123" s="287"/>
      <c r="W123" s="287"/>
      <c r="X123" s="19"/>
      <c r="Y123" s="19"/>
      <c r="Z123" s="19"/>
      <c r="AA123" s="19"/>
      <c r="AB123" s="19"/>
      <c r="AC123" s="19"/>
      <c r="AD123" s="19"/>
      <c r="AE123" s="19"/>
      <c r="AF123" s="19"/>
      <c r="AG123" s="1624"/>
      <c r="AH123" s="1624"/>
      <c r="AI123" s="1624"/>
      <c r="AJ123" s="1624"/>
      <c r="AK123" s="1624"/>
      <c r="AL123" s="1624"/>
      <c r="AM123" s="1624"/>
    </row>
    <row r="124" spans="1:39">
      <c r="A124" s="19" t="s">
        <v>777</v>
      </c>
      <c r="B124" s="19"/>
      <c r="C124" s="19"/>
      <c r="D124" s="19"/>
      <c r="E124" s="19"/>
      <c r="F124" s="19"/>
      <c r="G124" s="19"/>
      <c r="H124" s="287">
        <f t="shared" ref="H124:R124" si="119">H125+H126+H127</f>
        <v>373</v>
      </c>
      <c r="I124" s="287">
        <f t="shared" si="119"/>
        <v>94</v>
      </c>
      <c r="J124" s="287">
        <f t="shared" si="119"/>
        <v>-635</v>
      </c>
      <c r="K124" s="287">
        <f t="shared" si="119"/>
        <v>479</v>
      </c>
      <c r="L124" s="287">
        <f t="shared" si="119"/>
        <v>-531</v>
      </c>
      <c r="M124" s="287">
        <f t="shared" si="119"/>
        <v>19</v>
      </c>
      <c r="N124" s="287">
        <f t="shared" si="119"/>
        <v>709</v>
      </c>
      <c r="O124" s="287">
        <f t="shared" si="119"/>
        <v>551</v>
      </c>
      <c r="P124" s="287">
        <f t="shared" si="119"/>
        <v>-1654</v>
      </c>
      <c r="Q124" s="287">
        <f t="shared" si="119"/>
        <v>-3248</v>
      </c>
      <c r="R124" s="287">
        <f t="shared" si="119"/>
        <v>-943</v>
      </c>
      <c r="S124" s="293">
        <v>3143</v>
      </c>
      <c r="T124" s="287">
        <f t="shared" ref="T124:Z124" si="120">SUM(T125:T127)</f>
        <v>-351</v>
      </c>
      <c r="U124" s="287">
        <f t="shared" si="120"/>
        <v>-283</v>
      </c>
      <c r="V124" s="287">
        <f t="shared" si="120"/>
        <v>-257</v>
      </c>
      <c r="W124" s="287">
        <f t="shared" si="120"/>
        <v>-497</v>
      </c>
      <c r="X124" s="287">
        <f t="shared" si="120"/>
        <v>-5072</v>
      </c>
      <c r="Y124" s="287">
        <f t="shared" si="120"/>
        <v>1850</v>
      </c>
      <c r="Z124" s="287">
        <f t="shared" si="120"/>
        <v>-5180</v>
      </c>
      <c r="AA124" s="19">
        <f t="shared" ref="AA124:AF124" si="121">AA125+AA126+AA127</f>
        <v>0</v>
      </c>
      <c r="AB124" s="19">
        <f t="shared" si="121"/>
        <v>0</v>
      </c>
      <c r="AC124" s="19">
        <f t="shared" si="121"/>
        <v>0</v>
      </c>
      <c r="AD124" s="19">
        <f t="shared" si="121"/>
        <v>0</v>
      </c>
      <c r="AE124" s="19">
        <f t="shared" si="121"/>
        <v>0</v>
      </c>
      <c r="AF124" s="19">
        <f t="shared" si="121"/>
        <v>0</v>
      </c>
      <c r="AG124" s="1624"/>
      <c r="AH124" s="1624"/>
      <c r="AI124" s="1624"/>
      <c r="AJ124" s="1624"/>
      <c r="AK124" s="1624"/>
      <c r="AL124" s="1624"/>
      <c r="AM124" s="1624"/>
    </row>
    <row r="125" spans="1:39">
      <c r="A125" s="291" t="s">
        <v>864</v>
      </c>
      <c r="B125" s="292"/>
      <c r="C125" s="292"/>
      <c r="D125" s="292"/>
      <c r="E125" s="292"/>
      <c r="F125" s="292"/>
      <c r="G125" s="292"/>
      <c r="H125" s="293">
        <v>-45</v>
      </c>
      <c r="I125" s="293">
        <v>-287</v>
      </c>
      <c r="J125" s="293">
        <v>-626</v>
      </c>
      <c r="K125" s="293">
        <v>576</v>
      </c>
      <c r="L125" s="293">
        <v>-275</v>
      </c>
      <c r="M125" s="293">
        <v>-11</v>
      </c>
      <c r="N125" s="293">
        <v>742</v>
      </c>
      <c r="O125" s="293">
        <v>374</v>
      </c>
      <c r="P125" s="293">
        <v>-1922</v>
      </c>
      <c r="Q125" s="293">
        <v>-2485</v>
      </c>
      <c r="R125" s="293">
        <v>-186</v>
      </c>
      <c r="S125" s="293">
        <v>3476</v>
      </c>
      <c r="T125" s="293">
        <v>-232</v>
      </c>
      <c r="U125" s="293">
        <v>175</v>
      </c>
      <c r="V125" s="293">
        <v>-216</v>
      </c>
      <c r="W125" s="293">
        <v>-528</v>
      </c>
      <c r="X125" s="293">
        <v>-4499</v>
      </c>
      <c r="Y125" s="293">
        <v>2239</v>
      </c>
      <c r="Z125" s="293">
        <v>-4670</v>
      </c>
      <c r="AA125" s="19"/>
      <c r="AB125" s="19"/>
      <c r="AC125" s="19"/>
      <c r="AD125" s="19"/>
      <c r="AE125" s="19"/>
      <c r="AF125" s="19"/>
      <c r="AG125" s="1624"/>
      <c r="AH125" s="1624"/>
      <c r="AI125" s="1624"/>
      <c r="AJ125" s="1624"/>
      <c r="AK125" s="1624"/>
      <c r="AL125" s="1624"/>
      <c r="AM125" s="1624"/>
    </row>
    <row r="126" spans="1:39">
      <c r="A126" s="291" t="s">
        <v>863</v>
      </c>
      <c r="B126" s="19"/>
      <c r="C126" s="19"/>
      <c r="D126" s="19"/>
      <c r="E126" s="19"/>
      <c r="F126" s="19"/>
      <c r="G126" s="19"/>
      <c r="H126" s="287">
        <f>1618-1245</f>
        <v>373</v>
      </c>
      <c r="I126" s="293">
        <v>342</v>
      </c>
      <c r="J126" s="293">
        <v>10</v>
      </c>
      <c r="K126" s="293">
        <v>-112</v>
      </c>
      <c r="L126" s="293">
        <v>-220</v>
      </c>
      <c r="M126" s="293">
        <v>45</v>
      </c>
      <c r="N126" s="293">
        <v>-42</v>
      </c>
      <c r="O126" s="293">
        <v>155</v>
      </c>
      <c r="P126" s="293">
        <v>343</v>
      </c>
      <c r="Q126" s="293">
        <v>-679</v>
      </c>
      <c r="R126" s="293">
        <v>-730</v>
      </c>
      <c r="S126" s="293">
        <v>-248</v>
      </c>
      <c r="T126" s="293">
        <v>-89</v>
      </c>
      <c r="U126" s="293">
        <v>-445</v>
      </c>
      <c r="V126" s="293">
        <v>-125</v>
      </c>
      <c r="W126" s="293">
        <v>106</v>
      </c>
      <c r="X126" s="293">
        <v>-518</v>
      </c>
      <c r="Y126" s="293">
        <v>-417</v>
      </c>
      <c r="Z126" s="293">
        <v>-463</v>
      </c>
      <c r="AA126" s="19"/>
      <c r="AB126" s="19"/>
      <c r="AC126" s="19"/>
      <c r="AD126" s="19"/>
      <c r="AE126" s="19"/>
      <c r="AF126" s="19"/>
      <c r="AG126" s="1624"/>
      <c r="AH126" s="1624"/>
      <c r="AI126" s="1624"/>
      <c r="AJ126" s="1624"/>
      <c r="AK126" s="1624"/>
      <c r="AL126" s="1624"/>
      <c r="AM126" s="1624"/>
    </row>
    <row r="127" spans="1:39">
      <c r="A127" s="291" t="s">
        <v>862</v>
      </c>
      <c r="B127" s="292"/>
      <c r="C127" s="292"/>
      <c r="D127" s="292"/>
      <c r="E127" s="292"/>
      <c r="F127" s="292"/>
      <c r="G127" s="292"/>
      <c r="H127" s="293">
        <v>45</v>
      </c>
      <c r="I127" s="293">
        <v>39</v>
      </c>
      <c r="J127" s="293">
        <v>-19</v>
      </c>
      <c r="K127" s="293">
        <v>15</v>
      </c>
      <c r="L127" s="293">
        <v>-36</v>
      </c>
      <c r="M127" s="293">
        <v>-15</v>
      </c>
      <c r="N127" s="293">
        <v>9</v>
      </c>
      <c r="O127" s="293">
        <v>22</v>
      </c>
      <c r="P127" s="293">
        <v>-75</v>
      </c>
      <c r="Q127" s="293">
        <v>-84</v>
      </c>
      <c r="R127" s="293">
        <v>-27</v>
      </c>
      <c r="S127" s="293">
        <v>95</v>
      </c>
      <c r="T127" s="293">
        <v>-30</v>
      </c>
      <c r="U127" s="293">
        <v>-13</v>
      </c>
      <c r="V127" s="293">
        <v>84</v>
      </c>
      <c r="W127" s="293">
        <v>-75</v>
      </c>
      <c r="X127" s="293">
        <v>-55</v>
      </c>
      <c r="Y127" s="293">
        <v>28</v>
      </c>
      <c r="Z127" s="293">
        <v>-47</v>
      </c>
      <c r="AA127" s="19"/>
      <c r="AB127" s="19"/>
      <c r="AC127" s="19"/>
      <c r="AD127" s="19"/>
      <c r="AE127" s="19"/>
      <c r="AF127" s="19"/>
      <c r="AG127" s="1624"/>
      <c r="AH127" s="1624"/>
      <c r="AI127" s="1624"/>
      <c r="AJ127" s="1624"/>
      <c r="AK127" s="1624"/>
      <c r="AL127" s="1624"/>
      <c r="AM127" s="1624"/>
    </row>
    <row r="128" spans="1:39">
      <c r="A128" s="19"/>
      <c r="B128" s="19"/>
      <c r="C128" s="19"/>
      <c r="D128" s="19"/>
      <c r="E128" s="19"/>
      <c r="F128" s="19"/>
      <c r="G128" s="19"/>
      <c r="H128" s="287"/>
      <c r="I128" s="287"/>
      <c r="J128" s="287"/>
      <c r="K128" s="287"/>
      <c r="L128" s="287"/>
      <c r="M128" s="287"/>
      <c r="N128" s="287"/>
      <c r="O128" s="287"/>
      <c r="P128" s="287"/>
      <c r="Q128" s="287"/>
      <c r="R128" s="287"/>
      <c r="S128" s="287"/>
      <c r="T128" s="287"/>
      <c r="U128" s="287"/>
      <c r="V128" s="287"/>
      <c r="W128" s="287"/>
      <c r="X128" s="19"/>
      <c r="Y128" s="19"/>
      <c r="Z128" s="19"/>
      <c r="AA128" s="19"/>
      <c r="AB128" s="19"/>
      <c r="AC128" s="19"/>
      <c r="AD128" s="19"/>
      <c r="AE128" s="19"/>
      <c r="AF128" s="19"/>
      <c r="AG128" s="1624"/>
      <c r="AH128" s="1624"/>
      <c r="AI128" s="1624"/>
      <c r="AJ128" s="1624"/>
      <c r="AK128" s="1624"/>
      <c r="AL128" s="1624"/>
      <c r="AM128" s="1624"/>
    </row>
    <row r="129" spans="1:39">
      <c r="A129" s="19" t="s">
        <v>776</v>
      </c>
      <c r="B129" s="19"/>
      <c r="C129" s="19"/>
      <c r="D129" s="19"/>
      <c r="E129" s="19"/>
      <c r="F129" s="19"/>
      <c r="G129" s="19"/>
      <c r="H129" s="287">
        <f t="shared" ref="H129:R129" si="122">SUM(H130:H136)</f>
        <v>-39</v>
      </c>
      <c r="I129" s="287">
        <f t="shared" si="122"/>
        <v>-50</v>
      </c>
      <c r="J129" s="287">
        <f t="shared" si="122"/>
        <v>-62</v>
      </c>
      <c r="K129" s="287">
        <f t="shared" si="122"/>
        <v>-145</v>
      </c>
      <c r="L129" s="287">
        <f t="shared" si="122"/>
        <v>-136</v>
      </c>
      <c r="M129" s="287">
        <f t="shared" si="122"/>
        <v>-127</v>
      </c>
      <c r="N129" s="287">
        <f t="shared" si="122"/>
        <v>-122</v>
      </c>
      <c r="O129" s="287">
        <f t="shared" si="122"/>
        <v>-70</v>
      </c>
      <c r="P129" s="287">
        <f t="shared" si="122"/>
        <v>-75</v>
      </c>
      <c r="Q129" s="287">
        <f t="shared" si="122"/>
        <v>-111</v>
      </c>
      <c r="R129" s="287">
        <f t="shared" si="122"/>
        <v>-58</v>
      </c>
      <c r="S129" s="293">
        <v>-22</v>
      </c>
      <c r="T129" s="293">
        <v>-58</v>
      </c>
      <c r="U129" s="293">
        <v>-47</v>
      </c>
      <c r="V129" s="293">
        <v>-42</v>
      </c>
      <c r="W129" s="293">
        <v>-14</v>
      </c>
      <c r="X129" s="4">
        <f>SUM(X131:X136)</f>
        <v>-35</v>
      </c>
      <c r="Y129" s="4">
        <f>SUM(Y131:Y136)</f>
        <v>-4</v>
      </c>
      <c r="Z129" s="4">
        <f>SUM(Z131:Z136)</f>
        <v>-28</v>
      </c>
      <c r="AA129" s="19">
        <f t="shared" ref="AA129:AF129" si="123">Z129</f>
        <v>-28</v>
      </c>
      <c r="AB129" s="19">
        <f t="shared" si="123"/>
        <v>-28</v>
      </c>
      <c r="AC129" s="19">
        <f t="shared" si="123"/>
        <v>-28</v>
      </c>
      <c r="AD129" s="19">
        <f t="shared" si="123"/>
        <v>-28</v>
      </c>
      <c r="AE129" s="19">
        <f t="shared" si="123"/>
        <v>-28</v>
      </c>
      <c r="AF129" s="19">
        <f t="shared" si="123"/>
        <v>-28</v>
      </c>
      <c r="AG129" s="1624"/>
      <c r="AH129" s="1624"/>
      <c r="AI129" s="1624"/>
      <c r="AJ129" s="1624"/>
      <c r="AK129" s="1624"/>
      <c r="AL129" s="1624"/>
      <c r="AM129" s="1624"/>
    </row>
    <row r="130" spans="1:39">
      <c r="A130" s="291" t="s">
        <v>861</v>
      </c>
      <c r="B130" s="19"/>
      <c r="C130" s="19"/>
      <c r="D130" s="19"/>
      <c r="E130" s="19"/>
      <c r="F130" s="19"/>
      <c r="G130" s="19"/>
      <c r="H130" s="287"/>
      <c r="I130" s="287"/>
      <c r="J130" s="287"/>
      <c r="K130" s="293">
        <v>0</v>
      </c>
      <c r="L130" s="293">
        <v>-19</v>
      </c>
      <c r="M130" s="293">
        <v>-9</v>
      </c>
      <c r="N130" s="293">
        <v>-1</v>
      </c>
      <c r="O130" s="293">
        <v>-6</v>
      </c>
      <c r="P130" s="293">
        <v>-11</v>
      </c>
      <c r="Q130" s="293">
        <v>-40</v>
      </c>
      <c r="R130" s="293">
        <v>15</v>
      </c>
      <c r="S130" s="293">
        <v>4</v>
      </c>
      <c r="T130" s="293">
        <v>4</v>
      </c>
      <c r="U130" s="287">
        <f>2+6-1</f>
        <v>7</v>
      </c>
      <c r="V130" s="293">
        <v>-13</v>
      </c>
      <c r="W130" s="293">
        <v>-1</v>
      </c>
      <c r="X130" s="293"/>
      <c r="Y130" s="293"/>
      <c r="Z130" s="293"/>
      <c r="AA130" s="19"/>
      <c r="AB130" s="19"/>
      <c r="AC130" s="19"/>
      <c r="AD130" s="19"/>
      <c r="AE130" s="19"/>
      <c r="AF130" s="19"/>
      <c r="AG130" s="1624"/>
      <c r="AH130" s="1624"/>
      <c r="AI130" s="1624"/>
      <c r="AJ130" s="1624"/>
      <c r="AK130" s="1624"/>
      <c r="AL130" s="1624"/>
      <c r="AM130" s="1624"/>
    </row>
    <row r="131" spans="1:39">
      <c r="A131" s="291" t="s">
        <v>860</v>
      </c>
      <c r="B131" s="19"/>
      <c r="C131" s="19"/>
      <c r="D131" s="19"/>
      <c r="E131" s="19"/>
      <c r="F131" s="19"/>
      <c r="G131" s="19"/>
      <c r="H131" s="287"/>
      <c r="I131" s="287"/>
      <c r="J131" s="287"/>
      <c r="K131" s="293">
        <v>-17</v>
      </c>
      <c r="L131" s="293">
        <v>-6</v>
      </c>
      <c r="M131" s="293">
        <v>-9</v>
      </c>
      <c r="N131" s="293">
        <v>-3</v>
      </c>
      <c r="O131" s="293">
        <v>-8</v>
      </c>
      <c r="P131" s="293">
        <v>-1</v>
      </c>
      <c r="Q131" s="293">
        <v>-3</v>
      </c>
      <c r="R131" s="293">
        <v>-3</v>
      </c>
      <c r="S131" s="293">
        <v>-2</v>
      </c>
      <c r="T131" s="293">
        <v>1</v>
      </c>
      <c r="U131" s="293">
        <v>-5</v>
      </c>
      <c r="V131" s="287"/>
      <c r="W131" s="287"/>
      <c r="X131" s="287"/>
      <c r="Y131" s="287"/>
      <c r="Z131" s="287"/>
      <c r="AA131" s="19"/>
      <c r="AB131" s="19"/>
      <c r="AC131" s="19"/>
      <c r="AD131" s="19"/>
      <c r="AE131" s="19"/>
      <c r="AF131" s="19"/>
      <c r="AG131" s="1624"/>
      <c r="AH131" s="1624"/>
      <c r="AI131" s="1624"/>
      <c r="AJ131" s="1624"/>
      <c r="AK131" s="1624"/>
      <c r="AL131" s="1624"/>
      <c r="AM131" s="1624"/>
    </row>
    <row r="132" spans="1:39">
      <c r="A132" s="291" t="s">
        <v>859</v>
      </c>
      <c r="B132" s="19"/>
      <c r="C132" s="19"/>
      <c r="D132" s="19"/>
      <c r="E132" s="19"/>
      <c r="F132" s="19"/>
      <c r="G132" s="19"/>
      <c r="H132" s="287"/>
      <c r="I132" s="287"/>
      <c r="J132" s="287"/>
      <c r="K132" s="293">
        <v>6</v>
      </c>
      <c r="L132" s="293">
        <v>3</v>
      </c>
      <c r="M132" s="293">
        <v>3</v>
      </c>
      <c r="N132" s="293">
        <v>2</v>
      </c>
      <c r="O132" s="293">
        <v>3</v>
      </c>
      <c r="P132" s="293">
        <v>3</v>
      </c>
      <c r="Q132" s="293">
        <v>6</v>
      </c>
      <c r="R132" s="293">
        <v>2</v>
      </c>
      <c r="S132" s="293">
        <v>3</v>
      </c>
      <c r="T132" s="293">
        <v>1</v>
      </c>
      <c r="U132" s="293">
        <v>3</v>
      </c>
      <c r="V132" s="293">
        <v>2</v>
      </c>
      <c r="W132" s="293">
        <v>4</v>
      </c>
      <c r="X132" s="293">
        <v>7</v>
      </c>
      <c r="Y132" s="293">
        <v>7</v>
      </c>
      <c r="Z132" s="293">
        <v>8</v>
      </c>
      <c r="AA132" s="19"/>
      <c r="AB132" s="19"/>
      <c r="AC132" s="19"/>
      <c r="AD132" s="19"/>
      <c r="AE132" s="19"/>
      <c r="AF132" s="19"/>
      <c r="AG132" s="1624"/>
      <c r="AH132" s="1624"/>
      <c r="AI132" s="1624"/>
      <c r="AJ132" s="1624"/>
      <c r="AK132" s="1624"/>
      <c r="AL132" s="1624"/>
      <c r="AM132" s="1624"/>
    </row>
    <row r="133" spans="1:39">
      <c r="A133" s="291" t="s">
        <v>858</v>
      </c>
      <c r="B133" s="19"/>
      <c r="C133" s="19"/>
      <c r="D133" s="19"/>
      <c r="E133" s="19"/>
      <c r="F133" s="19"/>
      <c r="G133" s="19"/>
      <c r="H133" s="287">
        <f>29-2</f>
        <v>27</v>
      </c>
      <c r="I133" s="293">
        <v>-4</v>
      </c>
      <c r="J133" s="287">
        <f>-122+91</f>
        <v>-31</v>
      </c>
      <c r="K133" s="293">
        <v>-4</v>
      </c>
      <c r="L133" s="293">
        <v>-1</v>
      </c>
      <c r="M133" s="293">
        <v>-7</v>
      </c>
      <c r="N133" s="287"/>
      <c r="O133" s="293">
        <v>2</v>
      </c>
      <c r="P133" s="293">
        <v>-3</v>
      </c>
      <c r="Q133" s="293">
        <v>-4</v>
      </c>
      <c r="R133" s="293">
        <v>4</v>
      </c>
      <c r="S133" s="293">
        <v>0</v>
      </c>
      <c r="T133" s="293">
        <v>-1</v>
      </c>
      <c r="U133" s="293">
        <v>1</v>
      </c>
      <c r="V133" s="287"/>
      <c r="W133" s="287">
        <v>1</v>
      </c>
      <c r="X133" s="287">
        <v>-1</v>
      </c>
      <c r="Y133" s="287">
        <v>-2</v>
      </c>
      <c r="Z133" s="287">
        <v>-3</v>
      </c>
      <c r="AA133" s="19"/>
      <c r="AB133" s="19"/>
      <c r="AC133" s="19"/>
      <c r="AD133" s="19"/>
      <c r="AE133" s="19"/>
      <c r="AF133" s="19"/>
      <c r="AG133" s="1624"/>
      <c r="AH133" s="1624"/>
      <c r="AI133" s="1624"/>
      <c r="AJ133" s="1624"/>
      <c r="AK133" s="1624"/>
      <c r="AL133" s="1624"/>
      <c r="AM133" s="1624"/>
    </row>
    <row r="134" spans="1:39">
      <c r="A134" s="291" t="s">
        <v>857</v>
      </c>
      <c r="B134" s="19"/>
      <c r="C134" s="19"/>
      <c r="D134" s="19"/>
      <c r="E134" s="19"/>
      <c r="F134" s="19"/>
      <c r="G134" s="19"/>
      <c r="H134" s="287"/>
      <c r="I134" s="287"/>
      <c r="J134" s="287"/>
      <c r="K134" s="293">
        <v>-20</v>
      </c>
      <c r="L134" s="293">
        <v>-20</v>
      </c>
      <c r="M134" s="293">
        <v>-17</v>
      </c>
      <c r="N134" s="293">
        <v>-23</v>
      </c>
      <c r="O134" s="293">
        <v>-24</v>
      </c>
      <c r="P134" s="293">
        <v>-25</v>
      </c>
      <c r="Q134" s="293">
        <v>-19</v>
      </c>
      <c r="R134" s="293">
        <v>-16</v>
      </c>
      <c r="S134" s="293">
        <v>-12</v>
      </c>
      <c r="T134" s="293">
        <v>-14</v>
      </c>
      <c r="U134" s="293">
        <v>-13</v>
      </c>
      <c r="V134" s="293">
        <v>-7</v>
      </c>
      <c r="W134" s="293">
        <v>-5</v>
      </c>
      <c r="X134" s="293">
        <v>-6</v>
      </c>
      <c r="Y134" s="293">
        <v>-18</v>
      </c>
      <c r="Z134" s="293">
        <v>-19</v>
      </c>
      <c r="AA134" s="19"/>
      <c r="AB134" s="19"/>
      <c r="AC134" s="19"/>
      <c r="AD134" s="19"/>
      <c r="AE134" s="19"/>
      <c r="AF134" s="19"/>
      <c r="AG134" s="1624"/>
      <c r="AH134" s="1624"/>
      <c r="AI134" s="1624"/>
      <c r="AJ134" s="1624"/>
      <c r="AK134" s="1624"/>
      <c r="AL134" s="1624"/>
      <c r="AM134" s="1624"/>
    </row>
    <row r="135" spans="1:39">
      <c r="A135" s="291" t="s">
        <v>856</v>
      </c>
      <c r="B135" s="292"/>
      <c r="C135" s="292"/>
      <c r="D135" s="292"/>
      <c r="E135" s="292"/>
      <c r="F135" s="292"/>
      <c r="G135" s="292"/>
      <c r="H135" s="293">
        <v>-35</v>
      </c>
      <c r="I135" s="293">
        <v>-30</v>
      </c>
      <c r="J135" s="293">
        <v>-35</v>
      </c>
      <c r="K135" s="293">
        <v>-118</v>
      </c>
      <c r="L135" s="293">
        <v>-74</v>
      </c>
      <c r="M135" s="293">
        <v>-69</v>
      </c>
      <c r="N135" s="293">
        <v>-90</v>
      </c>
      <c r="O135" s="293">
        <v>-50</v>
      </c>
      <c r="P135" s="293">
        <v>-55</v>
      </c>
      <c r="Q135" s="293">
        <v>-60</v>
      </c>
      <c r="R135" s="293">
        <v>-71</v>
      </c>
      <c r="S135" s="293">
        <v>-35</v>
      </c>
      <c r="T135" s="293">
        <v>-26</v>
      </c>
      <c r="U135" s="293">
        <v>-39</v>
      </c>
      <c r="V135" s="293">
        <v>-28</v>
      </c>
      <c r="W135" s="293">
        <v>-9</v>
      </c>
      <c r="X135" s="293">
        <v>29</v>
      </c>
      <c r="Y135" s="293">
        <v>-16</v>
      </c>
      <c r="Z135" s="293">
        <v>-18</v>
      </c>
      <c r="AA135" s="19"/>
      <c r="AB135" s="19"/>
      <c r="AC135" s="19"/>
      <c r="AD135" s="19"/>
      <c r="AE135" s="19"/>
      <c r="AF135" s="19"/>
      <c r="AG135" s="1624"/>
      <c r="AH135" s="1624"/>
      <c r="AI135" s="1624"/>
      <c r="AJ135" s="1624"/>
      <c r="AK135" s="1624"/>
      <c r="AL135" s="1624"/>
      <c r="AM135" s="1624"/>
    </row>
    <row r="136" spans="1:39">
      <c r="A136" s="291" t="s">
        <v>776</v>
      </c>
      <c r="B136" s="19"/>
      <c r="C136" s="19"/>
      <c r="D136" s="19"/>
      <c r="E136" s="19"/>
      <c r="F136" s="19"/>
      <c r="G136" s="19"/>
      <c r="H136" s="287">
        <f>-29-2</f>
        <v>-31</v>
      </c>
      <c r="I136" s="287">
        <f>-1-15</f>
        <v>-16</v>
      </c>
      <c r="J136" s="293">
        <v>4</v>
      </c>
      <c r="K136" s="287">
        <f>-6-2+16</f>
        <v>8</v>
      </c>
      <c r="L136" s="287">
        <f>-6-1-12</f>
        <v>-19</v>
      </c>
      <c r="M136" s="293">
        <v>-19</v>
      </c>
      <c r="N136" s="293">
        <v>-7</v>
      </c>
      <c r="O136" s="287">
        <f>12+1</f>
        <v>13</v>
      </c>
      <c r="P136" s="287">
        <f>19-5+3</f>
        <v>17</v>
      </c>
      <c r="Q136" s="287">
        <f>5+4</f>
        <v>9</v>
      </c>
      <c r="R136" s="293">
        <v>11</v>
      </c>
      <c r="S136" s="287">
        <f>3+17</f>
        <v>20</v>
      </c>
      <c r="T136" s="293">
        <v>-23</v>
      </c>
      <c r="U136" s="293">
        <v>-1</v>
      </c>
      <c r="V136" s="293">
        <v>4</v>
      </c>
      <c r="W136" s="293">
        <v>-4</v>
      </c>
      <c r="X136" s="293">
        <f>-6-52-13+6+1</f>
        <v>-64</v>
      </c>
      <c r="Y136" s="293">
        <f>12+15-1-1</f>
        <v>25</v>
      </c>
      <c r="Z136" s="293">
        <f>-21+7+18</f>
        <v>4</v>
      </c>
      <c r="AA136" s="19"/>
      <c r="AB136" s="19"/>
      <c r="AC136" s="19"/>
      <c r="AD136" s="19"/>
      <c r="AE136" s="19"/>
      <c r="AF136" s="19"/>
      <c r="AG136" s="1624"/>
      <c r="AH136" s="1624"/>
      <c r="AI136" s="1624"/>
      <c r="AJ136" s="1624"/>
      <c r="AK136" s="1624"/>
      <c r="AL136" s="1624"/>
      <c r="AM136" s="1624"/>
    </row>
    <row r="137" spans="1:39">
      <c r="A137" s="19"/>
      <c r="B137" s="19"/>
      <c r="C137" s="19"/>
      <c r="D137" s="19"/>
      <c r="E137" s="19"/>
      <c r="F137" s="19"/>
      <c r="G137" s="19"/>
      <c r="H137" s="287"/>
      <c r="I137" s="287"/>
      <c r="J137" s="287"/>
      <c r="K137" s="287"/>
      <c r="L137" s="287"/>
      <c r="M137" s="287"/>
      <c r="N137" s="287"/>
      <c r="O137" s="287"/>
      <c r="P137" s="287"/>
      <c r="Q137" s="287"/>
      <c r="R137" s="287"/>
      <c r="S137" s="287"/>
      <c r="T137" s="287"/>
      <c r="U137" s="287"/>
      <c r="V137" s="287"/>
      <c r="W137" s="287"/>
      <c r="X137" s="19"/>
      <c r="Y137" s="19"/>
      <c r="Z137" s="19"/>
      <c r="AA137" s="19"/>
      <c r="AB137" s="19"/>
      <c r="AC137" s="19"/>
      <c r="AD137" s="19"/>
      <c r="AE137" s="19"/>
      <c r="AF137" s="19"/>
      <c r="AG137" s="1624"/>
      <c r="AH137" s="1624"/>
      <c r="AI137" s="1624"/>
      <c r="AJ137" s="1624"/>
      <c r="AK137" s="1624"/>
      <c r="AL137" s="1624"/>
      <c r="AM137" s="1624"/>
    </row>
    <row r="138" spans="1:39">
      <c r="A138" s="19" t="s">
        <v>855</v>
      </c>
      <c r="B138" s="284"/>
      <c r="C138" s="284"/>
      <c r="D138" s="284"/>
      <c r="E138" s="284"/>
      <c r="F138" s="284"/>
      <c r="G138" s="284"/>
      <c r="H138" s="287">
        <f>'Balance Sheet'!H39+'Balance Sheet'!H31+'Balance Sheet'!H30</f>
        <v>-1735</v>
      </c>
      <c r="I138" s="287">
        <f>'Balance Sheet'!I39+'Balance Sheet'!I31+'Balance Sheet'!I30</f>
        <v>-1489</v>
      </c>
      <c r="J138" s="287">
        <f>'Balance Sheet'!J39+'Balance Sheet'!J31+'Balance Sheet'!J30</f>
        <v>-2252</v>
      </c>
      <c r="K138" s="287">
        <f>'Balance Sheet'!K39+'Balance Sheet'!K31+'Balance Sheet'!K30</f>
        <v>-3271</v>
      </c>
      <c r="L138" s="287">
        <f>'Balance Sheet'!L39+'Balance Sheet'!L31+'Balance Sheet'!L30</f>
        <v>-2752</v>
      </c>
      <c r="M138" s="287">
        <f>'Balance Sheet'!M39+'Balance Sheet'!M31+'Balance Sheet'!M30</f>
        <v>-3127</v>
      </c>
      <c r="N138" s="287">
        <f>'Balance Sheet'!N39+'Balance Sheet'!N31+'Balance Sheet'!N30</f>
        <v>-3845</v>
      </c>
      <c r="O138" s="287">
        <f>'Balance Sheet'!O39+'Balance Sheet'!O31+'Balance Sheet'!O30</f>
        <v>-3406</v>
      </c>
      <c r="P138" s="287">
        <f>'Balance Sheet'!P39+'Balance Sheet'!P31+'Balance Sheet'!P30</f>
        <v>-3878</v>
      </c>
      <c r="Q138" s="287">
        <f>'Balance Sheet'!Q39+'Balance Sheet'!Q31+'Balance Sheet'!Q30</f>
        <v>-3336</v>
      </c>
      <c r="R138" s="287">
        <f>'Balance Sheet'!R39+'Balance Sheet'!R31+'Balance Sheet'!R30</f>
        <v>-4036</v>
      </c>
      <c r="S138" s="287">
        <f>'Balance Sheet'!S39+'Balance Sheet'!S31+16</f>
        <v>-4620</v>
      </c>
      <c r="T138" s="287">
        <f>'Balance Sheet'!T39+'Balance Sheet'!T31</f>
        <v>-5605</v>
      </c>
      <c r="U138" s="287">
        <f>'Balance Sheet'!U39+'Balance Sheet'!U31</f>
        <v>-6779</v>
      </c>
      <c r="V138" s="287">
        <f>'Balance Sheet'!V39+'Balance Sheet'!V31</f>
        <v>-6591</v>
      </c>
      <c r="W138" s="287">
        <f>'Balance Sheet'!W39+'Balance Sheet'!W31</f>
        <v>-6814</v>
      </c>
      <c r="X138" s="284">
        <f>'Balance Sheet'!X39+'Balance Sheet'!X31</f>
        <v>-6655</v>
      </c>
      <c r="Y138" s="284">
        <f>'Balance Sheet'!Y39+'Balance Sheet'!Y31</f>
        <v>-6299</v>
      </c>
      <c r="Z138" s="284">
        <f>'Balance Sheet'!Z39+'Balance Sheet'!Z31</f>
        <v>-4776</v>
      </c>
      <c r="AA138" s="328">
        <f>'Balance Sheet'!AA39+'Balance Sheet'!AA31</f>
        <v>-4776</v>
      </c>
      <c r="AB138" s="328">
        <f>'Balance Sheet'!AB39+'Balance Sheet'!AB31</f>
        <v>-4776</v>
      </c>
      <c r="AC138" s="328">
        <f>'Balance Sheet'!AC39+'Balance Sheet'!AC31</f>
        <v>-4776</v>
      </c>
      <c r="AD138" s="328">
        <f>'Balance Sheet'!AD39+'Balance Sheet'!AD31</f>
        <v>-4776</v>
      </c>
      <c r="AE138" s="328">
        <f>'Balance Sheet'!AE39+'Balance Sheet'!AE31</f>
        <v>-4776</v>
      </c>
      <c r="AF138" s="328">
        <f>'Balance Sheet'!AF39+'Balance Sheet'!AF31</f>
        <v>-4776</v>
      </c>
      <c r="AG138" s="1624"/>
      <c r="AH138" s="1624"/>
      <c r="AI138" s="1624"/>
      <c r="AJ138" s="1624"/>
      <c r="AK138" s="1624"/>
      <c r="AL138" s="1624"/>
      <c r="AM138" s="1624"/>
    </row>
    <row r="139" spans="1:39">
      <c r="A139" s="19" t="s">
        <v>760</v>
      </c>
      <c r="B139" s="284"/>
      <c r="C139" s="284"/>
      <c r="D139" s="284"/>
      <c r="E139" s="284"/>
      <c r="F139" s="284"/>
      <c r="G139" s="284"/>
      <c r="H139" s="287">
        <f>'Balance Sheet'!H23</f>
        <v>743</v>
      </c>
      <c r="I139" s="287">
        <f>'Balance Sheet'!I23</f>
        <v>730</v>
      </c>
      <c r="J139" s="287">
        <f>'Balance Sheet'!J23</f>
        <v>919</v>
      </c>
      <c r="K139" s="287">
        <f>'Balance Sheet'!K23</f>
        <v>2080</v>
      </c>
      <c r="L139" s="287">
        <f>'Balance Sheet'!L23</f>
        <v>2062</v>
      </c>
      <c r="M139" s="287">
        <f>'Balance Sheet'!M23</f>
        <v>1431</v>
      </c>
      <c r="N139" s="287">
        <f>'Balance Sheet'!N23</f>
        <v>2193</v>
      </c>
      <c r="O139" s="287">
        <f>'Balance Sheet'!O23</f>
        <v>1547</v>
      </c>
      <c r="P139" s="287">
        <f>'Balance Sheet'!P23</f>
        <v>1633</v>
      </c>
      <c r="Q139" s="287">
        <f>'Balance Sheet'!Q23</f>
        <v>1845</v>
      </c>
      <c r="R139" s="287">
        <f>'Balance Sheet'!R23</f>
        <v>1926</v>
      </c>
      <c r="S139" s="287">
        <f>'Balance Sheet'!S23</f>
        <v>4914</v>
      </c>
      <c r="T139" s="287">
        <f>'Balance Sheet'!T23</f>
        <v>2330</v>
      </c>
      <c r="U139" s="287">
        <f>'Balance Sheet'!U23</f>
        <v>2632</v>
      </c>
      <c r="V139" s="287">
        <f>'Balance Sheet'!V23</f>
        <v>3747</v>
      </c>
      <c r="W139" s="287">
        <f>'Balance Sheet'!W23</f>
        <v>5247</v>
      </c>
      <c r="X139" s="284">
        <f>'Balance Sheet'!X23</f>
        <v>6687</v>
      </c>
      <c r="Y139" s="284">
        <f>'Balance Sheet'!Y23</f>
        <v>6676</v>
      </c>
      <c r="Z139" s="284">
        <f>'Balance Sheet'!Z23</f>
        <v>6514</v>
      </c>
      <c r="AA139" s="328">
        <f>'Balance Sheet'!AA23</f>
        <v>7231.7677021781838</v>
      </c>
      <c r="AB139" s="328">
        <f>'Balance Sheet'!AB23</f>
        <v>8445.4906324987242</v>
      </c>
      <c r="AC139" s="328">
        <f>'Balance Sheet'!AC23</f>
        <v>9930.261274494409</v>
      </c>
      <c r="AD139" s="328">
        <f>'Balance Sheet'!AD23</f>
        <v>11739.913080364604</v>
      </c>
      <c r="AE139" s="328">
        <f>'Balance Sheet'!AE23</f>
        <v>15225.360331352229</v>
      </c>
      <c r="AF139" s="328">
        <f>'Balance Sheet'!AF23</f>
        <v>19048.147557994624</v>
      </c>
      <c r="AG139" s="1624"/>
      <c r="AH139" s="1624"/>
      <c r="AI139" s="1624"/>
      <c r="AJ139" s="1624"/>
      <c r="AK139" s="1624"/>
      <c r="AL139" s="1624"/>
      <c r="AM139" s="1624"/>
    </row>
    <row r="140" spans="1:39">
      <c r="A140" s="19"/>
      <c r="B140" s="284"/>
      <c r="C140" s="284"/>
      <c r="D140" s="284"/>
      <c r="E140" s="284"/>
      <c r="F140" s="284"/>
      <c r="G140" s="284"/>
      <c r="H140" s="287"/>
      <c r="I140" s="287"/>
      <c r="J140" s="287"/>
      <c r="K140" s="287"/>
      <c r="L140" s="287"/>
      <c r="M140" s="287"/>
      <c r="N140" s="287"/>
      <c r="O140" s="287"/>
      <c r="P140" s="287"/>
      <c r="Q140" s="287"/>
      <c r="R140" s="287"/>
      <c r="S140" s="287"/>
      <c r="T140" s="287"/>
      <c r="U140" s="287"/>
      <c r="V140" s="287"/>
      <c r="W140" s="287"/>
      <c r="X140" s="284"/>
      <c r="Y140" s="284"/>
      <c r="Z140" s="284"/>
      <c r="AA140" s="284"/>
      <c r="AB140" s="284"/>
      <c r="AC140" s="284"/>
      <c r="AD140" s="284"/>
      <c r="AE140" s="284"/>
      <c r="AF140" s="284"/>
      <c r="AG140" s="1624"/>
      <c r="AH140" s="1624"/>
      <c r="AI140" s="1624"/>
      <c r="AJ140" s="1624"/>
      <c r="AK140" s="1624"/>
      <c r="AL140" s="1624"/>
      <c r="AM140" s="1624"/>
    </row>
    <row r="141" spans="1:39">
      <c r="A141" s="19" t="s">
        <v>854</v>
      </c>
      <c r="B141" s="284"/>
      <c r="C141" s="284"/>
      <c r="D141" s="284"/>
      <c r="E141" s="284"/>
      <c r="F141" s="284"/>
      <c r="G141" s="284"/>
      <c r="H141" s="287">
        <f>AVERAGE(H138)</f>
        <v>-1735</v>
      </c>
      <c r="I141" s="287">
        <f t="shared" ref="I141:Z141" si="124">AVERAGE(H138:I138)</f>
        <v>-1612</v>
      </c>
      <c r="J141" s="287">
        <f t="shared" si="124"/>
        <v>-1870.5</v>
      </c>
      <c r="K141" s="287">
        <f t="shared" si="124"/>
        <v>-2761.5</v>
      </c>
      <c r="L141" s="287">
        <f t="shared" si="124"/>
        <v>-3011.5</v>
      </c>
      <c r="M141" s="287">
        <f t="shared" si="124"/>
        <v>-2939.5</v>
      </c>
      <c r="N141" s="287">
        <f t="shared" si="124"/>
        <v>-3486</v>
      </c>
      <c r="O141" s="287">
        <f t="shared" si="124"/>
        <v>-3625.5</v>
      </c>
      <c r="P141" s="287">
        <f t="shared" si="124"/>
        <v>-3642</v>
      </c>
      <c r="Q141" s="287">
        <f t="shared" si="124"/>
        <v>-3607</v>
      </c>
      <c r="R141" s="287">
        <f t="shared" si="124"/>
        <v>-3686</v>
      </c>
      <c r="S141" s="287">
        <f t="shared" si="124"/>
        <v>-4328</v>
      </c>
      <c r="T141" s="287">
        <f t="shared" si="124"/>
        <v>-5112.5</v>
      </c>
      <c r="U141" s="287">
        <f t="shared" si="124"/>
        <v>-6192</v>
      </c>
      <c r="V141" s="287">
        <f t="shared" si="124"/>
        <v>-6685</v>
      </c>
      <c r="W141" s="287">
        <f t="shared" si="124"/>
        <v>-6702.5</v>
      </c>
      <c r="X141" s="284">
        <f t="shared" si="124"/>
        <v>-6734.5</v>
      </c>
      <c r="Y141" s="284">
        <f t="shared" si="124"/>
        <v>-6477</v>
      </c>
      <c r="Z141" s="284">
        <f t="shared" si="124"/>
        <v>-5537.5</v>
      </c>
      <c r="AA141" s="284">
        <f t="shared" ref="AA141:AA142" si="125">AVERAGE(Z138:AA138)</f>
        <v>-4776</v>
      </c>
      <c r="AB141" s="284">
        <f t="shared" ref="AB141:AB142" si="126">AVERAGE(AA138:AB138)</f>
        <v>-4776</v>
      </c>
      <c r="AC141" s="284">
        <f t="shared" ref="AC141:AC142" si="127">AVERAGE(AB138:AC138)</f>
        <v>-4776</v>
      </c>
      <c r="AD141" s="284">
        <f t="shared" ref="AD141:AD142" si="128">AVERAGE(AC138:AD138)</f>
        <v>-4776</v>
      </c>
      <c r="AE141" s="284">
        <f t="shared" ref="AE141:AE142" si="129">AVERAGE(AD138:AE138)</f>
        <v>-4776</v>
      </c>
      <c r="AF141" s="284">
        <f t="shared" ref="AF141:AF142" si="130">AVERAGE(AE138:AF138)</f>
        <v>-4776</v>
      </c>
      <c r="AG141" s="1624"/>
      <c r="AH141" s="1624"/>
      <c r="AI141" s="1624"/>
      <c r="AJ141" s="1624"/>
      <c r="AK141" s="1624"/>
      <c r="AL141" s="1624"/>
      <c r="AM141" s="1624"/>
    </row>
    <row r="142" spans="1:39">
      <c r="A142" s="19" t="s">
        <v>853</v>
      </c>
      <c r="B142" s="284"/>
      <c r="C142" s="284"/>
      <c r="D142" s="284"/>
      <c r="E142" s="284"/>
      <c r="F142" s="284"/>
      <c r="G142" s="284"/>
      <c r="H142" s="287"/>
      <c r="I142" s="287">
        <f t="shared" ref="I142:Z142" si="131">AVERAGE(H139:I139)</f>
        <v>736.5</v>
      </c>
      <c r="J142" s="287">
        <f t="shared" si="131"/>
        <v>824.5</v>
      </c>
      <c r="K142" s="287">
        <f t="shared" si="131"/>
        <v>1499.5</v>
      </c>
      <c r="L142" s="287">
        <f t="shared" si="131"/>
        <v>2071</v>
      </c>
      <c r="M142" s="287">
        <f t="shared" si="131"/>
        <v>1746.5</v>
      </c>
      <c r="N142" s="287">
        <f t="shared" si="131"/>
        <v>1812</v>
      </c>
      <c r="O142" s="287">
        <f t="shared" si="131"/>
        <v>1870</v>
      </c>
      <c r="P142" s="287">
        <f t="shared" si="131"/>
        <v>1590</v>
      </c>
      <c r="Q142" s="287">
        <f t="shared" si="131"/>
        <v>1739</v>
      </c>
      <c r="R142" s="287">
        <f t="shared" si="131"/>
        <v>1885.5</v>
      </c>
      <c r="S142" s="287">
        <f t="shared" si="131"/>
        <v>3420</v>
      </c>
      <c r="T142" s="287">
        <f t="shared" si="131"/>
        <v>3622</v>
      </c>
      <c r="U142" s="287">
        <f t="shared" si="131"/>
        <v>2481</v>
      </c>
      <c r="V142" s="287">
        <f t="shared" si="131"/>
        <v>3189.5</v>
      </c>
      <c r="W142" s="287">
        <f t="shared" si="131"/>
        <v>4497</v>
      </c>
      <c r="X142" s="284">
        <f t="shared" si="131"/>
        <v>5967</v>
      </c>
      <c r="Y142" s="284">
        <f t="shared" si="131"/>
        <v>6681.5</v>
      </c>
      <c r="Z142" s="284">
        <f t="shared" si="131"/>
        <v>6595</v>
      </c>
      <c r="AA142" s="284">
        <f t="shared" si="125"/>
        <v>6872.8838510890919</v>
      </c>
      <c r="AB142" s="284">
        <f t="shared" si="126"/>
        <v>7838.629167338454</v>
      </c>
      <c r="AC142" s="284">
        <f t="shared" si="127"/>
        <v>9187.8759534965666</v>
      </c>
      <c r="AD142" s="284">
        <f t="shared" si="128"/>
        <v>10835.087177429506</v>
      </c>
      <c r="AE142" s="284">
        <f t="shared" si="129"/>
        <v>13482.636705858416</v>
      </c>
      <c r="AF142" s="284">
        <f t="shared" si="130"/>
        <v>17136.753944673426</v>
      </c>
      <c r="AG142" s="1624"/>
      <c r="AH142" s="1624"/>
      <c r="AI142" s="1624"/>
      <c r="AJ142" s="1624"/>
      <c r="AK142" s="1624"/>
      <c r="AL142" s="1624"/>
      <c r="AM142" s="1624"/>
    </row>
    <row r="143" spans="1:39">
      <c r="A143" s="19"/>
      <c r="B143" s="19"/>
      <c r="C143" s="19"/>
      <c r="D143" s="19"/>
      <c r="E143" s="19"/>
      <c r="F143" s="19"/>
      <c r="G143" s="19"/>
      <c r="H143" s="19"/>
      <c r="I143" s="19"/>
      <c r="J143" s="19"/>
      <c r="K143" s="19"/>
      <c r="L143" s="19"/>
      <c r="M143" s="19"/>
      <c r="N143" s="19"/>
      <c r="O143" s="19"/>
      <c r="P143" s="19"/>
      <c r="Q143" s="19"/>
      <c r="R143" s="19"/>
      <c r="S143" s="19"/>
      <c r="T143" s="19"/>
      <c r="U143" s="19"/>
      <c r="V143" s="19"/>
      <c r="W143" s="19"/>
      <c r="X143" s="19"/>
      <c r="Y143" s="19"/>
      <c r="Z143" s="19"/>
      <c r="AA143" s="19"/>
      <c r="AB143" s="19"/>
      <c r="AC143" s="19"/>
      <c r="AD143" s="19"/>
      <c r="AE143" s="19"/>
      <c r="AF143" s="19"/>
      <c r="AG143" s="1624"/>
      <c r="AH143" s="1624"/>
      <c r="AI143" s="1624"/>
      <c r="AJ143" s="1624"/>
      <c r="AK143" s="1624"/>
      <c r="AL143" s="1624"/>
      <c r="AM143" s="1624"/>
    </row>
    <row r="144" spans="1:39">
      <c r="A144" s="19" t="s">
        <v>852</v>
      </c>
      <c r="B144" s="285"/>
      <c r="C144" s="285"/>
      <c r="D144" s="285"/>
      <c r="E144" s="285"/>
      <c r="F144" s="285"/>
      <c r="G144" s="285"/>
      <c r="H144" s="285">
        <f t="shared" ref="H144:Z144" si="132">H121/H141</f>
        <v>3.3429394812680112E-2</v>
      </c>
      <c r="I144" s="285">
        <f t="shared" si="132"/>
        <v>3.4739454094292806E-2</v>
      </c>
      <c r="J144" s="285">
        <f t="shared" si="132"/>
        <v>2.8869286287089013E-2</v>
      </c>
      <c r="K144" s="285">
        <f t="shared" si="132"/>
        <v>2.0278833967046894E-2</v>
      </c>
      <c r="L144" s="285">
        <f t="shared" si="132"/>
        <v>1.992362609995019E-2</v>
      </c>
      <c r="M144" s="285">
        <f t="shared" si="132"/>
        <v>2.415376764755911E-2</v>
      </c>
      <c r="N144" s="285">
        <f t="shared" si="132"/>
        <v>2.7825588066551922E-2</v>
      </c>
      <c r="O144" s="285">
        <f t="shared" si="132"/>
        <v>2.3445042063163703E-2</v>
      </c>
      <c r="P144" s="285">
        <f t="shared" si="132"/>
        <v>2.1965952773201538E-2</v>
      </c>
      <c r="Q144" s="285">
        <f t="shared" si="132"/>
        <v>1.6911560853895204E-2</v>
      </c>
      <c r="R144" s="285">
        <f t="shared" si="132"/>
        <v>1.9262072707542051E-2</v>
      </c>
      <c r="S144" s="285">
        <f t="shared" si="132"/>
        <v>1.6635859519408502E-2</v>
      </c>
      <c r="T144" s="285">
        <f t="shared" si="132"/>
        <v>1.8581907090464547E-2</v>
      </c>
      <c r="U144" s="285">
        <f t="shared" si="132"/>
        <v>1.308139534883721E-2</v>
      </c>
      <c r="V144" s="285">
        <f t="shared" si="132"/>
        <v>1.1967090501121914E-2</v>
      </c>
      <c r="W144" s="285">
        <f t="shared" si="132"/>
        <v>1.4919806042521447E-2</v>
      </c>
      <c r="X144" s="285">
        <f t="shared" si="132"/>
        <v>1.3957977578142402E-2</v>
      </c>
      <c r="Y144" s="285">
        <f t="shared" si="132"/>
        <v>1.8218310946425814E-2</v>
      </c>
      <c r="Z144" s="285">
        <f t="shared" si="132"/>
        <v>1.6613995485327313E-2</v>
      </c>
      <c r="AA144" s="1287">
        <v>2.1999999999999999E-2</v>
      </c>
      <c r="AB144" s="1287">
        <f t="shared" ref="AB144:AF144" si="133">AA144</f>
        <v>2.1999999999999999E-2</v>
      </c>
      <c r="AC144" s="1287">
        <f t="shared" si="133"/>
        <v>2.1999999999999999E-2</v>
      </c>
      <c r="AD144" s="1287">
        <f t="shared" si="133"/>
        <v>2.1999999999999999E-2</v>
      </c>
      <c r="AE144" s="1287">
        <f t="shared" si="133"/>
        <v>2.1999999999999999E-2</v>
      </c>
      <c r="AF144" s="1287">
        <f t="shared" si="133"/>
        <v>2.1999999999999999E-2</v>
      </c>
      <c r="AG144" s="1624"/>
      <c r="AH144" s="1624"/>
      <c r="AI144" s="1624"/>
      <c r="AJ144" s="1624"/>
      <c r="AK144" s="1624"/>
      <c r="AL144" s="1624"/>
      <c r="AM144" s="1624"/>
    </row>
    <row r="145" spans="1:39">
      <c r="A145" s="19" t="s">
        <v>851</v>
      </c>
      <c r="B145" s="19"/>
      <c r="C145" s="19"/>
      <c r="D145" s="19"/>
      <c r="E145" s="19"/>
      <c r="F145" s="19"/>
      <c r="G145" s="19"/>
      <c r="H145" s="19"/>
      <c r="I145" s="285">
        <f t="shared" ref="I145:Z145" si="134">I122/I142</f>
        <v>6.2457569585879155E-2</v>
      </c>
      <c r="J145" s="285">
        <f t="shared" si="134"/>
        <v>4.2449969678593089E-2</v>
      </c>
      <c r="K145" s="285">
        <f t="shared" si="134"/>
        <v>1.2004001333777926E-2</v>
      </c>
      <c r="L145" s="285">
        <f t="shared" si="134"/>
        <v>1.1588604538870111E-2</v>
      </c>
      <c r="M145" s="285">
        <f t="shared" si="134"/>
        <v>1.6604637847122818E-2</v>
      </c>
      <c r="N145" s="285">
        <f t="shared" si="134"/>
        <v>2.3730684326710817E-2</v>
      </c>
      <c r="O145" s="285">
        <f t="shared" si="134"/>
        <v>2.2994652406417113E-2</v>
      </c>
      <c r="P145" s="285">
        <f t="shared" si="134"/>
        <v>2.3899371069182392E-2</v>
      </c>
      <c r="Q145" s="285">
        <f t="shared" si="134"/>
        <v>1.8976423231742381E-2</v>
      </c>
      <c r="R145" s="285">
        <f t="shared" si="134"/>
        <v>1.0607265977194379E-2</v>
      </c>
      <c r="S145" s="285">
        <f t="shared" si="134"/>
        <v>7.0175438596491229E-3</v>
      </c>
      <c r="T145" s="285">
        <f t="shared" si="134"/>
        <v>7.730535615681944E-3</v>
      </c>
      <c r="U145" s="285">
        <f t="shared" si="134"/>
        <v>1.9347037484885126E-2</v>
      </c>
      <c r="V145" s="285">
        <f t="shared" si="134"/>
        <v>6.8976328578147046E-3</v>
      </c>
      <c r="W145" s="285">
        <f t="shared" si="134"/>
        <v>3.3355570380253501E-3</v>
      </c>
      <c r="X145" s="285">
        <f t="shared" si="134"/>
        <v>6.3683593095357803E-3</v>
      </c>
      <c r="Y145" s="285">
        <f t="shared" si="134"/>
        <v>3.4423407917383818E-2</v>
      </c>
      <c r="Z145" s="285">
        <f t="shared" si="134"/>
        <v>3.7755875663381351E-2</v>
      </c>
      <c r="AA145" s="1287">
        <f t="shared" ref="AA145:AF145" si="135">Z145-0.002</f>
        <v>3.5755875663381349E-2</v>
      </c>
      <c r="AB145" s="1287">
        <f t="shared" si="135"/>
        <v>3.3755875663381348E-2</v>
      </c>
      <c r="AC145" s="1287">
        <f t="shared" si="135"/>
        <v>3.1755875663381346E-2</v>
      </c>
      <c r="AD145" s="1287">
        <f t="shared" si="135"/>
        <v>2.9755875663381344E-2</v>
      </c>
      <c r="AE145" s="1287">
        <f t="shared" si="135"/>
        <v>2.7755875663381342E-2</v>
      </c>
      <c r="AF145" s="1287">
        <f t="shared" si="135"/>
        <v>2.575587566338134E-2</v>
      </c>
      <c r="AG145" s="1624"/>
      <c r="AH145" s="1624"/>
      <c r="AI145" s="1624"/>
      <c r="AJ145" s="1624"/>
      <c r="AK145" s="1624"/>
      <c r="AL145" s="1624"/>
      <c r="AM145" s="1624"/>
    </row>
    <row r="146" spans="1:39">
      <c r="AG146" s="1624"/>
      <c r="AH146" s="1624"/>
      <c r="AI146" s="1624"/>
      <c r="AJ146" s="1624"/>
      <c r="AK146" s="1624"/>
      <c r="AL146" s="1624"/>
      <c r="AM146" s="1624"/>
    </row>
    <row r="147" spans="1:39">
      <c r="A147" s="305" t="s">
        <v>777</v>
      </c>
      <c r="B147" s="305"/>
      <c r="C147" s="305"/>
      <c r="D147" s="305"/>
      <c r="E147" s="305"/>
      <c r="F147" s="305"/>
      <c r="G147" s="305"/>
      <c r="H147" s="305"/>
      <c r="I147" s="305"/>
      <c r="J147" s="305"/>
      <c r="K147" s="305"/>
      <c r="L147" s="305"/>
      <c r="M147" s="305"/>
      <c r="N147" s="305"/>
      <c r="O147" s="305"/>
      <c r="P147" s="305"/>
      <c r="Q147" s="305"/>
      <c r="R147" s="305"/>
      <c r="S147" s="305"/>
      <c r="T147" s="305"/>
      <c r="U147" s="305"/>
      <c r="V147" s="305"/>
      <c r="W147" s="215"/>
      <c r="X147" s="215"/>
      <c r="Y147" s="215"/>
      <c r="Z147" s="215"/>
      <c r="AA147" s="195"/>
      <c r="AB147" s="195"/>
      <c r="AC147" s="195"/>
      <c r="AD147" s="195"/>
      <c r="AE147" s="195"/>
      <c r="AF147" s="195"/>
    </row>
    <row r="148" spans="1:39">
      <c r="A148" s="306" t="s">
        <v>1463</v>
      </c>
      <c r="B148" s="307"/>
      <c r="C148" s="307"/>
      <c r="D148" s="307"/>
      <c r="E148" s="307"/>
      <c r="F148" s="307"/>
      <c r="G148" s="307"/>
      <c r="H148" s="307"/>
      <c r="I148" s="307"/>
      <c r="J148" s="307"/>
      <c r="K148" s="307"/>
      <c r="L148" s="307"/>
      <c r="M148" s="308"/>
      <c r="N148" s="308"/>
      <c r="O148" s="308"/>
      <c r="P148" s="308"/>
      <c r="Q148" s="308"/>
      <c r="R148" s="308"/>
      <c r="S148" s="308"/>
      <c r="T148" s="308"/>
      <c r="U148" s="308"/>
      <c r="V148" s="308"/>
      <c r="W148" s="308"/>
      <c r="X148" s="308"/>
      <c r="Y148" s="308"/>
      <c r="Z148" s="308"/>
      <c r="AA148" s="308"/>
      <c r="AB148" s="308"/>
      <c r="AC148" s="308"/>
      <c r="AD148" s="308"/>
      <c r="AE148" s="308"/>
      <c r="AF148" s="308"/>
    </row>
    <row r="149" spans="1:39">
      <c r="A149" s="213" t="s">
        <v>1139</v>
      </c>
      <c r="B149" s="192"/>
      <c r="C149" s="192"/>
      <c r="D149" s="192"/>
      <c r="E149" s="192"/>
      <c r="F149" s="192"/>
      <c r="G149" s="192"/>
      <c r="H149" s="517">
        <v>1.2561</v>
      </c>
      <c r="I149" s="517">
        <v>1.3706</v>
      </c>
      <c r="J149" s="517">
        <v>1.4705999999999999</v>
      </c>
      <c r="K149" s="517">
        <v>1.3942000000000001</v>
      </c>
      <c r="L149" s="517">
        <v>1.3267</v>
      </c>
      <c r="M149" s="517">
        <v>1.3924000000000001</v>
      </c>
      <c r="N149" s="310">
        <v>1.2855785440613019</v>
      </c>
      <c r="O149" s="310">
        <v>1.3283</v>
      </c>
      <c r="P149" s="310">
        <v>1.3284</v>
      </c>
      <c r="Q149" s="310">
        <v>1.1095999999999999</v>
      </c>
      <c r="R149" s="518">
        <v>1.1067</v>
      </c>
      <c r="S149" s="518">
        <v>1.1296999999999999</v>
      </c>
      <c r="T149" s="518">
        <v>1.1808000000000001</v>
      </c>
      <c r="U149" s="518">
        <v>1.1202219216417912</v>
      </c>
      <c r="V149" s="518">
        <v>1.1417730410447762</v>
      </c>
      <c r="W149" s="518">
        <v>1.1826485576923091</v>
      </c>
      <c r="X149" s="518">
        <v>1.0535101224253887</v>
      </c>
      <c r="Y149" s="518">
        <v>1.0813423257273662</v>
      </c>
      <c r="Z149" s="518">
        <v>1.0866374605926854</v>
      </c>
      <c r="AA149" s="1460">
        <v>1.1220845624527969</v>
      </c>
      <c r="AB149" s="1460">
        <v>1.18469</v>
      </c>
      <c r="AC149" s="1460">
        <v>1.18469</v>
      </c>
      <c r="AD149" s="1460">
        <v>1.18469</v>
      </c>
      <c r="AE149" s="1460">
        <v>1.18469</v>
      </c>
      <c r="AF149" s="1460">
        <v>1.18469</v>
      </c>
    </row>
    <row r="150" spans="1:39">
      <c r="A150" s="213"/>
      <c r="B150" s="213"/>
      <c r="C150" s="213"/>
      <c r="D150" s="213"/>
      <c r="E150" s="213"/>
      <c r="F150" s="213"/>
      <c r="G150" s="213"/>
      <c r="H150" s="213"/>
      <c r="I150" s="213"/>
      <c r="J150" s="213"/>
      <c r="K150" s="213"/>
      <c r="L150" s="213"/>
      <c r="M150" s="213"/>
      <c r="N150" s="213"/>
      <c r="O150" s="213"/>
      <c r="P150" s="213"/>
      <c r="Q150" s="213"/>
      <c r="R150" s="213"/>
      <c r="S150" s="213"/>
      <c r="T150" s="213"/>
      <c r="U150" s="213"/>
      <c r="V150" s="213"/>
      <c r="W150" s="213"/>
      <c r="X150" s="213"/>
      <c r="Y150" s="213"/>
      <c r="Z150" s="213"/>
      <c r="AA150" s="213"/>
      <c r="AB150" s="213"/>
      <c r="AC150" s="213"/>
      <c r="AD150" s="213"/>
      <c r="AE150" s="213"/>
      <c r="AF150" s="213"/>
    </row>
    <row r="151" spans="1:39">
      <c r="A151" s="306" t="s">
        <v>1577</v>
      </c>
      <c r="B151" s="307"/>
      <c r="C151" s="307"/>
      <c r="D151" s="307"/>
      <c r="E151" s="307"/>
      <c r="F151" s="307"/>
      <c r="G151" s="307"/>
      <c r="H151" s="307"/>
      <c r="I151" s="307"/>
      <c r="J151" s="307"/>
      <c r="K151" s="307"/>
      <c r="L151" s="307"/>
      <c r="M151" s="308"/>
      <c r="N151" s="308"/>
      <c r="O151" s="308"/>
      <c r="P151" s="308"/>
      <c r="Q151" s="308"/>
      <c r="R151" s="308"/>
      <c r="S151" s="308"/>
      <c r="T151" s="308"/>
      <c r="U151" s="308"/>
      <c r="V151" s="308"/>
      <c r="W151" s="308"/>
      <c r="X151" s="308"/>
      <c r="Y151" s="308"/>
      <c r="Z151" s="308"/>
      <c r="AA151" s="308"/>
      <c r="AB151" s="308"/>
      <c r="AC151" s="308"/>
      <c r="AD151" s="308"/>
      <c r="AE151" s="308"/>
      <c r="AF151" s="308"/>
    </row>
    <row r="152" spans="1:39">
      <c r="A152" s="213" t="s">
        <v>1161</v>
      </c>
      <c r="B152" s="309"/>
      <c r="C152" s="309"/>
      <c r="D152" s="309"/>
      <c r="E152" s="309"/>
      <c r="F152" s="309"/>
      <c r="G152" s="309"/>
      <c r="H152" s="309"/>
      <c r="I152" s="309"/>
      <c r="J152" s="309"/>
      <c r="K152" s="309"/>
      <c r="L152" s="309"/>
      <c r="M152" s="309"/>
      <c r="N152" s="309"/>
      <c r="O152" s="309"/>
      <c r="P152" s="310">
        <v>1.26</v>
      </c>
      <c r="Q152" s="310">
        <v>1.25</v>
      </c>
      <c r="R152" s="310">
        <v>1.24</v>
      </c>
      <c r="S152" s="310">
        <v>1.21</v>
      </c>
      <c r="T152" s="310">
        <v>1.18</v>
      </c>
      <c r="U152" s="310">
        <v>1.18</v>
      </c>
      <c r="V152" s="310">
        <v>1.1599999999999999</v>
      </c>
      <c r="W152" s="310">
        <v>1.1599999999999999</v>
      </c>
      <c r="X152" s="310">
        <v>1.1499999999999999</v>
      </c>
      <c r="Y152" s="310">
        <v>1.1299999999999999</v>
      </c>
      <c r="Z152" s="310">
        <v>1.1200000000000001</v>
      </c>
      <c r="AA152" s="1461">
        <v>1.1200000000000001</v>
      </c>
      <c r="AB152" s="1461">
        <v>1.1200000000000001</v>
      </c>
      <c r="AC152" s="1461">
        <v>1.1200000000000001</v>
      </c>
      <c r="AD152" s="1461">
        <v>1.1200000000000001</v>
      </c>
      <c r="AE152" s="1461">
        <v>1.1200000000000001</v>
      </c>
      <c r="AF152" s="1461">
        <v>1.1200000000000001</v>
      </c>
    </row>
    <row r="153" spans="1:39">
      <c r="A153" s="213" t="s">
        <v>1162</v>
      </c>
      <c r="B153" s="309"/>
      <c r="C153" s="309"/>
      <c r="D153" s="309"/>
      <c r="E153" s="309"/>
      <c r="F153" s="309"/>
      <c r="G153" s="309"/>
      <c r="H153" s="309"/>
      <c r="I153" s="309"/>
      <c r="J153" s="309"/>
      <c r="K153" s="309"/>
      <c r="L153" s="309"/>
      <c r="M153" s="309"/>
      <c r="N153" s="309"/>
      <c r="O153" s="309"/>
      <c r="P153" s="312">
        <v>0.65</v>
      </c>
      <c r="Q153" s="312">
        <v>0.65</v>
      </c>
      <c r="R153" s="312">
        <v>0.65</v>
      </c>
      <c r="S153" s="312">
        <v>0.65</v>
      </c>
      <c r="T153" s="312">
        <v>0.65</v>
      </c>
      <c r="U153" s="312">
        <v>0.65</v>
      </c>
      <c r="V153" s="312">
        <v>0.4</v>
      </c>
      <c r="W153" s="312">
        <v>0.5</v>
      </c>
      <c r="X153" s="312">
        <v>0.55000000000000004</v>
      </c>
      <c r="Y153" s="312">
        <v>0.60000000000000009</v>
      </c>
      <c r="Z153" s="312">
        <v>0.65000000000000013</v>
      </c>
      <c r="AA153" s="1299">
        <v>0.65</v>
      </c>
      <c r="AB153" s="1299">
        <v>0.65</v>
      </c>
      <c r="AC153" s="1299">
        <v>0.65</v>
      </c>
      <c r="AD153" s="1299">
        <v>0.65</v>
      </c>
      <c r="AE153" s="1299">
        <v>0.65</v>
      </c>
      <c r="AF153" s="1299">
        <v>0.65</v>
      </c>
    </row>
    <row r="154" spans="1:39">
      <c r="A154" s="213" t="s">
        <v>1163</v>
      </c>
      <c r="B154" s="309"/>
      <c r="C154" s="309"/>
      <c r="D154" s="309"/>
      <c r="E154" s="309"/>
      <c r="F154" s="309"/>
      <c r="G154" s="309"/>
      <c r="H154" s="309"/>
      <c r="I154" s="309"/>
      <c r="J154" s="309"/>
      <c r="K154" s="309"/>
      <c r="L154" s="309"/>
      <c r="M154" s="309"/>
      <c r="N154" s="309"/>
      <c r="O154" s="309"/>
      <c r="P154" s="207">
        <f t="shared" ref="P154:AF154" si="136">1-P153</f>
        <v>0.35</v>
      </c>
      <c r="Q154" s="207">
        <f t="shared" si="136"/>
        <v>0.35</v>
      </c>
      <c r="R154" s="207">
        <f t="shared" si="136"/>
        <v>0.35</v>
      </c>
      <c r="S154" s="207">
        <f t="shared" si="136"/>
        <v>0.35</v>
      </c>
      <c r="T154" s="207">
        <f t="shared" si="136"/>
        <v>0.35</v>
      </c>
      <c r="U154" s="207">
        <f t="shared" si="136"/>
        <v>0.35</v>
      </c>
      <c r="V154" s="207">
        <f t="shared" si="136"/>
        <v>0.6</v>
      </c>
      <c r="W154" s="207">
        <f t="shared" si="136"/>
        <v>0.5</v>
      </c>
      <c r="X154" s="207">
        <f t="shared" si="136"/>
        <v>0.44999999999999996</v>
      </c>
      <c r="Y154" s="207">
        <f t="shared" si="136"/>
        <v>0.39999999999999991</v>
      </c>
      <c r="Z154" s="207">
        <f t="shared" si="136"/>
        <v>0.34999999999999987</v>
      </c>
      <c r="AA154" s="1293">
        <f t="shared" si="136"/>
        <v>0.35</v>
      </c>
      <c r="AB154" s="1293">
        <f t="shared" si="136"/>
        <v>0.35</v>
      </c>
      <c r="AC154" s="1293">
        <f t="shared" si="136"/>
        <v>0.35</v>
      </c>
      <c r="AD154" s="1293">
        <f t="shared" si="136"/>
        <v>0.35</v>
      </c>
      <c r="AE154" s="1293">
        <f t="shared" si="136"/>
        <v>0.35</v>
      </c>
      <c r="AF154" s="1293">
        <f t="shared" si="136"/>
        <v>0.35</v>
      </c>
    </row>
    <row r="155" spans="1:39">
      <c r="A155" s="57" t="s">
        <v>1464</v>
      </c>
      <c r="B155" s="313"/>
      <c r="C155" s="313"/>
      <c r="D155" s="313"/>
      <c r="E155" s="313"/>
      <c r="F155" s="313"/>
      <c r="G155" s="313"/>
      <c r="H155" s="313">
        <f t="shared" ref="H155:O155" si="137">H149</f>
        <v>1.2561</v>
      </c>
      <c r="I155" s="313">
        <f t="shared" si="137"/>
        <v>1.3706</v>
      </c>
      <c r="J155" s="313">
        <f t="shared" si="137"/>
        <v>1.4705999999999999</v>
      </c>
      <c r="K155" s="313">
        <f t="shared" si="137"/>
        <v>1.3942000000000001</v>
      </c>
      <c r="L155" s="313">
        <f t="shared" si="137"/>
        <v>1.3267</v>
      </c>
      <c r="M155" s="313">
        <f t="shared" si="137"/>
        <v>1.3924000000000001</v>
      </c>
      <c r="N155" s="313">
        <f t="shared" si="137"/>
        <v>1.2855785440613019</v>
      </c>
      <c r="O155" s="313">
        <f t="shared" si="137"/>
        <v>1.3283</v>
      </c>
      <c r="P155" s="313">
        <f t="shared" ref="P155:AF155" si="138">P152*P153+P154*P149</f>
        <v>1.2839400000000001</v>
      </c>
      <c r="Q155" s="313">
        <f t="shared" si="138"/>
        <v>1.20086</v>
      </c>
      <c r="R155" s="313">
        <f t="shared" si="138"/>
        <v>1.1933450000000001</v>
      </c>
      <c r="S155" s="313">
        <f t="shared" si="138"/>
        <v>1.1818949999999999</v>
      </c>
      <c r="T155" s="313">
        <f t="shared" si="138"/>
        <v>1.18028</v>
      </c>
      <c r="U155" s="313">
        <f t="shared" si="138"/>
        <v>1.159077672574627</v>
      </c>
      <c r="V155" s="313">
        <f t="shared" si="138"/>
        <v>1.1490638246268656</v>
      </c>
      <c r="W155" s="313">
        <f t="shared" si="138"/>
        <v>1.1713242788461544</v>
      </c>
      <c r="X155" s="313">
        <f t="shared" si="138"/>
        <v>1.1065795550914248</v>
      </c>
      <c r="Y155" s="313">
        <f t="shared" si="138"/>
        <v>1.1105369302909465</v>
      </c>
      <c r="Z155" s="313">
        <f t="shared" si="138"/>
        <v>1.1083231112074399</v>
      </c>
      <c r="AA155" s="313">
        <f t="shared" si="138"/>
        <v>1.1207295968584789</v>
      </c>
      <c r="AB155" s="313">
        <f t="shared" si="138"/>
        <v>1.1426415000000001</v>
      </c>
      <c r="AC155" s="313">
        <f t="shared" si="138"/>
        <v>1.1426415000000001</v>
      </c>
      <c r="AD155" s="313">
        <f t="shared" si="138"/>
        <v>1.1426415000000001</v>
      </c>
      <c r="AE155" s="313">
        <f t="shared" si="138"/>
        <v>1.1426415000000001</v>
      </c>
      <c r="AF155" s="313">
        <f t="shared" si="138"/>
        <v>1.1426415000000001</v>
      </c>
    </row>
    <row r="156" spans="1:39">
      <c r="A156" s="213" t="s">
        <v>1245</v>
      </c>
      <c r="B156" s="309"/>
      <c r="C156" s="309"/>
      <c r="D156" s="309"/>
      <c r="E156" s="309"/>
      <c r="F156" s="309"/>
      <c r="G156" s="309"/>
      <c r="H156" s="309"/>
      <c r="I156" s="309"/>
      <c r="J156" s="309"/>
      <c r="K156" s="309"/>
      <c r="L156" s="309"/>
      <c r="M156" s="309"/>
      <c r="N156" s="309"/>
      <c r="O156" s="309"/>
      <c r="P156" s="309"/>
      <c r="Q156" s="309"/>
      <c r="R156" s="200"/>
      <c r="S156" s="200"/>
      <c r="T156" s="211">
        <v>7700</v>
      </c>
      <c r="U156" s="211">
        <v>11000</v>
      </c>
      <c r="V156" s="211">
        <v>8000</v>
      </c>
      <c r="W156" s="211">
        <v>7500</v>
      </c>
      <c r="X156" s="211">
        <v>9000</v>
      </c>
      <c r="Y156" s="211">
        <v>10400</v>
      </c>
      <c r="Z156" s="211">
        <v>12400</v>
      </c>
      <c r="AA156" s="211">
        <v>13000</v>
      </c>
      <c r="AB156" s="211">
        <v>13000</v>
      </c>
      <c r="AC156" s="211">
        <v>13000</v>
      </c>
      <c r="AD156" s="211">
        <v>13000</v>
      </c>
      <c r="AE156" s="211">
        <v>13000</v>
      </c>
      <c r="AF156" s="211">
        <v>13000</v>
      </c>
    </row>
    <row r="157" spans="1:39">
      <c r="A157" s="213" t="s">
        <v>1234</v>
      </c>
      <c r="B157" s="309"/>
      <c r="C157" s="309"/>
      <c r="D157" s="309"/>
      <c r="E157" s="309"/>
      <c r="F157" s="309"/>
      <c r="G157" s="309"/>
      <c r="H157" s="309"/>
      <c r="I157" s="309"/>
      <c r="J157" s="309"/>
      <c r="K157" s="309"/>
      <c r="L157" s="309"/>
      <c r="M157" s="309"/>
      <c r="N157" s="309"/>
      <c r="O157" s="309"/>
      <c r="P157" s="309"/>
      <c r="Q157" s="309"/>
      <c r="R157" s="200">
        <v>7500</v>
      </c>
      <c r="S157" s="211">
        <v>7300</v>
      </c>
      <c r="T157" s="211">
        <v>7700</v>
      </c>
      <c r="U157" s="211">
        <v>11000</v>
      </c>
      <c r="V157" s="211">
        <v>8000</v>
      </c>
      <c r="W157" s="211">
        <v>7500</v>
      </c>
      <c r="X157" s="211">
        <v>9000</v>
      </c>
      <c r="Y157" s="211">
        <v>10400</v>
      </c>
      <c r="Z157" s="211">
        <v>12400</v>
      </c>
      <c r="AA157" s="211">
        <v>13000</v>
      </c>
      <c r="AB157" s="211">
        <v>13000</v>
      </c>
      <c r="AC157" s="211">
        <v>13000</v>
      </c>
      <c r="AD157" s="211">
        <v>11500</v>
      </c>
      <c r="AE157" s="211">
        <v>11500</v>
      </c>
      <c r="AF157" s="211">
        <v>11500</v>
      </c>
    </row>
    <row r="158" spans="1:39">
      <c r="A158" s="213" t="s">
        <v>1235</v>
      </c>
      <c r="B158" s="309"/>
      <c r="C158" s="309"/>
      <c r="D158" s="309"/>
      <c r="E158" s="309"/>
      <c r="F158" s="309"/>
      <c r="G158" s="309"/>
      <c r="H158" s="309"/>
      <c r="I158" s="309"/>
      <c r="J158" s="309"/>
      <c r="K158" s="309"/>
      <c r="L158" s="309"/>
      <c r="M158" s="309"/>
      <c r="N158" s="309"/>
      <c r="O158" s="309"/>
      <c r="P158" s="309"/>
      <c r="Q158" s="309"/>
      <c r="R158" s="312">
        <v>1</v>
      </c>
      <c r="S158" s="312">
        <v>1</v>
      </c>
      <c r="T158" s="312">
        <v>1</v>
      </c>
      <c r="U158" s="312">
        <v>1</v>
      </c>
      <c r="V158" s="312">
        <v>1</v>
      </c>
      <c r="W158" s="312">
        <v>1</v>
      </c>
      <c r="X158" s="312">
        <f t="shared" ref="X158:AF158" si="139">X157/X156</f>
        <v>1</v>
      </c>
      <c r="Y158" s="312">
        <f t="shared" si="139"/>
        <v>1</v>
      </c>
      <c r="Z158" s="312">
        <f t="shared" si="139"/>
        <v>1</v>
      </c>
      <c r="AA158" s="220">
        <f t="shared" si="139"/>
        <v>1</v>
      </c>
      <c r="AB158" s="220">
        <f t="shared" si="139"/>
        <v>1</v>
      </c>
      <c r="AC158" s="220">
        <f t="shared" si="139"/>
        <v>1</v>
      </c>
      <c r="AD158" s="220">
        <f t="shared" si="139"/>
        <v>0.88461538461538458</v>
      </c>
      <c r="AE158" s="220">
        <f t="shared" si="139"/>
        <v>0.88461538461538458</v>
      </c>
      <c r="AF158" s="220">
        <f t="shared" si="139"/>
        <v>0.88461538461538458</v>
      </c>
    </row>
    <row r="159" spans="1:39">
      <c r="A159" s="213" t="s">
        <v>1575</v>
      </c>
      <c r="B159" s="309"/>
      <c r="C159" s="309"/>
      <c r="D159" s="309"/>
      <c r="E159" s="309"/>
      <c r="F159" s="309"/>
      <c r="G159" s="309"/>
      <c r="H159" s="309">
        <f t="shared" ref="H159:R159" si="140">H149</f>
        <v>1.2561</v>
      </c>
      <c r="I159" s="309">
        <f t="shared" si="140"/>
        <v>1.3706</v>
      </c>
      <c r="J159" s="309">
        <f t="shared" si="140"/>
        <v>1.4705999999999999</v>
      </c>
      <c r="K159" s="309">
        <f t="shared" si="140"/>
        <v>1.3942000000000001</v>
      </c>
      <c r="L159" s="309">
        <f t="shared" si="140"/>
        <v>1.3267</v>
      </c>
      <c r="M159" s="309">
        <f t="shared" si="140"/>
        <v>1.3924000000000001</v>
      </c>
      <c r="N159" s="309">
        <f t="shared" si="140"/>
        <v>1.2855785440613019</v>
      </c>
      <c r="O159" s="309">
        <f t="shared" si="140"/>
        <v>1.3283</v>
      </c>
      <c r="P159" s="309">
        <f t="shared" si="140"/>
        <v>1.3284</v>
      </c>
      <c r="Q159" s="309">
        <f t="shared" si="140"/>
        <v>1.1095999999999999</v>
      </c>
      <c r="R159" s="309">
        <f t="shared" si="140"/>
        <v>1.1067</v>
      </c>
      <c r="S159" s="518">
        <v>1.1296999999999999</v>
      </c>
      <c r="T159" s="518">
        <v>1.1808000000000001</v>
      </c>
      <c r="U159" s="518">
        <v>1.1202219216417912</v>
      </c>
      <c r="V159" s="518">
        <v>1.1417730410447762</v>
      </c>
      <c r="W159" s="518">
        <v>1.1826485576923091</v>
      </c>
      <c r="X159" s="518">
        <v>1.0535101224253887</v>
      </c>
      <c r="Y159" s="518">
        <v>1.0813423257273662</v>
      </c>
      <c r="Z159" s="518">
        <v>1.0664389999999999</v>
      </c>
      <c r="AA159" s="1460">
        <v>1.1124499999999999</v>
      </c>
      <c r="AB159" s="1460">
        <v>1.1295360000000001</v>
      </c>
      <c r="AC159" s="1460">
        <v>1.1439509999999999</v>
      </c>
      <c r="AD159" s="1460">
        <v>1.1439509999999999</v>
      </c>
      <c r="AE159" s="1460">
        <v>1.1439509999999999</v>
      </c>
      <c r="AF159" s="1460">
        <v>1.1439509999999999</v>
      </c>
    </row>
    <row r="160" spans="1:39">
      <c r="A160" s="57" t="s">
        <v>1465</v>
      </c>
      <c r="B160" s="313"/>
      <c r="C160" s="313"/>
      <c r="D160" s="313"/>
      <c r="E160" s="313"/>
      <c r="F160" s="313"/>
      <c r="G160" s="313"/>
      <c r="H160" s="313"/>
      <c r="I160" s="313"/>
      <c r="J160" s="313"/>
      <c r="K160" s="313"/>
      <c r="L160" s="313"/>
      <c r="M160" s="313"/>
      <c r="N160" s="313"/>
      <c r="O160" s="313"/>
      <c r="P160" s="313"/>
      <c r="Q160" s="313"/>
      <c r="R160" s="313">
        <f t="shared" ref="R160:AF160" si="141">R158*R152+(1-R158)*R159</f>
        <v>1.24</v>
      </c>
      <c r="S160" s="313">
        <f t="shared" si="141"/>
        <v>1.21</v>
      </c>
      <c r="T160" s="313">
        <f t="shared" si="141"/>
        <v>1.18</v>
      </c>
      <c r="U160" s="313">
        <f t="shared" si="141"/>
        <v>1.18</v>
      </c>
      <c r="V160" s="313">
        <f t="shared" si="141"/>
        <v>1.1599999999999999</v>
      </c>
      <c r="W160" s="313">
        <f t="shared" si="141"/>
        <v>1.1599999999999999</v>
      </c>
      <c r="X160" s="313">
        <f t="shared" si="141"/>
        <v>1.1499999999999999</v>
      </c>
      <c r="Y160" s="313">
        <f t="shared" si="141"/>
        <v>1.1299999999999999</v>
      </c>
      <c r="Z160" s="313">
        <f t="shared" si="141"/>
        <v>1.1200000000000001</v>
      </c>
      <c r="AA160" s="313">
        <f t="shared" si="141"/>
        <v>1.1200000000000001</v>
      </c>
      <c r="AB160" s="313">
        <f t="shared" si="141"/>
        <v>1.1200000000000001</v>
      </c>
      <c r="AC160" s="313">
        <f t="shared" si="141"/>
        <v>1.1200000000000001</v>
      </c>
      <c r="AD160" s="313">
        <f t="shared" si="141"/>
        <v>1.122763576923077</v>
      </c>
      <c r="AE160" s="313">
        <f t="shared" si="141"/>
        <v>1.122763576923077</v>
      </c>
      <c r="AF160" s="313">
        <f t="shared" si="141"/>
        <v>1.122763576923077</v>
      </c>
    </row>
    <row r="161" spans="1:32">
      <c r="A161" s="213" t="s">
        <v>1236</v>
      </c>
      <c r="B161" s="309"/>
      <c r="C161" s="309"/>
      <c r="D161" s="309"/>
      <c r="E161" s="309"/>
      <c r="F161" s="309"/>
      <c r="G161" s="309"/>
      <c r="H161" s="309"/>
      <c r="I161" s="309"/>
      <c r="J161" s="309"/>
      <c r="K161" s="309"/>
      <c r="L161" s="309"/>
      <c r="M161" s="309"/>
      <c r="N161" s="309"/>
      <c r="O161" s="309"/>
      <c r="P161" s="309"/>
      <c r="Q161" s="309"/>
      <c r="R161" s="309"/>
      <c r="S161" s="200">
        <f t="shared" ref="S161:AF161" si="142">(S157/S160)-(S157/R160)</f>
        <v>145.96107704612132</v>
      </c>
      <c r="T161" s="200">
        <f t="shared" si="142"/>
        <v>161.78736517719608</v>
      </c>
      <c r="U161" s="200">
        <f t="shared" si="142"/>
        <v>0</v>
      </c>
      <c r="V161" s="200">
        <f t="shared" si="142"/>
        <v>116.89070718877792</v>
      </c>
      <c r="W161" s="200">
        <f t="shared" si="142"/>
        <v>0</v>
      </c>
      <c r="X161" s="200">
        <f t="shared" si="142"/>
        <v>67.466266866566912</v>
      </c>
      <c r="Y161" s="200">
        <f t="shared" si="142"/>
        <v>160.06156213928443</v>
      </c>
      <c r="Z161" s="200">
        <f t="shared" si="142"/>
        <v>97.977243994941091</v>
      </c>
      <c r="AA161" s="200">
        <f t="shared" si="142"/>
        <v>0</v>
      </c>
      <c r="AB161" s="200">
        <f t="shared" si="142"/>
        <v>0</v>
      </c>
      <c r="AC161" s="200">
        <f t="shared" si="142"/>
        <v>0</v>
      </c>
      <c r="AD161" s="200">
        <f t="shared" si="142"/>
        <v>-25.273364431017399</v>
      </c>
      <c r="AE161" s="200">
        <f t="shared" si="142"/>
        <v>0</v>
      </c>
      <c r="AF161" s="200">
        <f t="shared" si="142"/>
        <v>0</v>
      </c>
    </row>
    <row r="163" spans="1:32">
      <c r="A163" s="282" t="s">
        <v>828</v>
      </c>
      <c r="B163" s="282"/>
      <c r="C163" s="282"/>
      <c r="D163" s="282"/>
      <c r="E163" s="282"/>
      <c r="F163" s="282"/>
      <c r="G163" s="282"/>
      <c r="H163" s="282"/>
      <c r="I163" s="282"/>
      <c r="J163" s="282"/>
      <c r="K163" s="282"/>
      <c r="L163" s="282"/>
      <c r="M163" s="282"/>
      <c r="N163" s="282"/>
      <c r="O163" s="282"/>
      <c r="P163" s="282"/>
      <c r="Q163" s="282"/>
      <c r="R163" s="282"/>
      <c r="S163" s="282"/>
      <c r="T163" s="282"/>
      <c r="U163" s="282"/>
      <c r="V163" s="282"/>
      <c r="W163" s="282"/>
      <c r="X163" s="282"/>
      <c r="Y163" s="282"/>
      <c r="Z163" s="282"/>
      <c r="AA163" s="195"/>
      <c r="AB163" s="195"/>
      <c r="AC163" s="195"/>
      <c r="AD163" s="195"/>
      <c r="AE163" s="195"/>
      <c r="AF163" s="195"/>
    </row>
    <row r="164" spans="1:32">
      <c r="A164" s="19" t="s">
        <v>827</v>
      </c>
      <c r="B164" s="292"/>
      <c r="C164" s="292"/>
      <c r="D164" s="292"/>
      <c r="E164" s="292"/>
      <c r="F164" s="292"/>
      <c r="G164" s="292"/>
      <c r="H164" s="293">
        <v>581</v>
      </c>
      <c r="I164" s="293">
        <v>687</v>
      </c>
      <c r="J164" s="293">
        <v>480</v>
      </c>
      <c r="K164" s="293">
        <v>508</v>
      </c>
      <c r="L164" s="293">
        <v>458</v>
      </c>
      <c r="M164" s="293">
        <v>526</v>
      </c>
      <c r="N164" s="293">
        <v>599</v>
      </c>
      <c r="O164" s="293">
        <v>605</v>
      </c>
      <c r="P164" s="293">
        <v>747</v>
      </c>
      <c r="Q164" s="293">
        <v>791</v>
      </c>
      <c r="R164" s="227">
        <v>728</v>
      </c>
      <c r="S164" s="227">
        <v>840</v>
      </c>
      <c r="T164" s="293">
        <v>973</v>
      </c>
      <c r="U164" s="293">
        <v>1116</v>
      </c>
      <c r="V164" s="293">
        <v>756</v>
      </c>
      <c r="W164" s="293">
        <v>678</v>
      </c>
      <c r="X164" s="293">
        <v>826</v>
      </c>
      <c r="Y164" s="293">
        <v>993</v>
      </c>
      <c r="Z164" s="293">
        <v>1128</v>
      </c>
      <c r="AA164" s="287">
        <f>'Income Statement'!AA181</f>
        <v>1205.8086781797015</v>
      </c>
      <c r="AB164" s="287">
        <f>'Income Statement'!AB181</f>
        <v>1345.3014010499219</v>
      </c>
      <c r="AC164" s="287">
        <f>'Income Statement'!AC181</f>
        <v>1494.2570111591781</v>
      </c>
      <c r="AD164" s="287">
        <f>'Income Statement'!AD181</f>
        <v>1642.3148987914385</v>
      </c>
      <c r="AE164" s="287">
        <f>'Income Statement'!AE181</f>
        <v>1748.0451075759704</v>
      </c>
      <c r="AF164" s="287">
        <f>'Income Statement'!AF181</f>
        <v>1831.8689956844737</v>
      </c>
    </row>
    <row r="165" spans="1:32">
      <c r="A165" s="19" t="s">
        <v>826</v>
      </c>
      <c r="B165" s="292"/>
      <c r="C165" s="292"/>
      <c r="D165" s="292"/>
      <c r="E165" s="292"/>
      <c r="F165" s="292"/>
      <c r="G165" s="292"/>
      <c r="H165" s="293">
        <v>165</v>
      </c>
      <c r="I165" s="293">
        <v>102</v>
      </c>
      <c r="J165" s="293">
        <v>58</v>
      </c>
      <c r="K165" s="293">
        <v>84</v>
      </c>
      <c r="L165" s="293">
        <v>72</v>
      </c>
      <c r="M165" s="293">
        <v>90</v>
      </c>
      <c r="N165" s="293">
        <v>68</v>
      </c>
      <c r="O165" s="293">
        <v>76</v>
      </c>
      <c r="P165" s="293">
        <v>78</v>
      </c>
      <c r="Q165" s="293">
        <v>95</v>
      </c>
      <c r="R165" s="227">
        <v>104</v>
      </c>
      <c r="S165" s="227">
        <v>202</v>
      </c>
      <c r="T165" s="293">
        <v>218</v>
      </c>
      <c r="U165" s="293">
        <v>270</v>
      </c>
      <c r="V165" s="293">
        <v>320</v>
      </c>
      <c r="W165" s="293">
        <v>225</v>
      </c>
      <c r="X165" s="293">
        <v>236</v>
      </c>
      <c r="Y165" s="293">
        <v>255</v>
      </c>
      <c r="Z165" s="293">
        <v>283</v>
      </c>
      <c r="AA165" s="287">
        <f>AA174*'Income Statement'!AA$41</f>
        <v>316.49078651465425</v>
      </c>
      <c r="AB165" s="287">
        <f>AB174*'Income Statement'!AB$41</f>
        <v>352.48087716258129</v>
      </c>
      <c r="AC165" s="287">
        <f>AC174*'Income Statement'!AC$41</f>
        <v>389.74878045989328</v>
      </c>
      <c r="AD165" s="287">
        <f>AD174*'Income Statement'!AD$41</f>
        <v>422.72761300588058</v>
      </c>
      <c r="AE165" s="287">
        <f>AE174*'Income Statement'!AE$41</f>
        <v>443.48621937489253</v>
      </c>
      <c r="AF165" s="287">
        <f>AF174*'Income Statement'!AF$41</f>
        <v>464.95364351427583</v>
      </c>
    </row>
    <row r="166" spans="1:32">
      <c r="A166" s="19" t="s">
        <v>825</v>
      </c>
      <c r="B166" s="292"/>
      <c r="C166" s="292"/>
      <c r="D166" s="292"/>
      <c r="E166" s="292"/>
      <c r="F166" s="292"/>
      <c r="G166" s="292"/>
      <c r="H166" s="293">
        <v>284</v>
      </c>
      <c r="I166" s="293">
        <v>200</v>
      </c>
      <c r="J166" s="293">
        <v>228</v>
      </c>
      <c r="K166" s="293">
        <v>182</v>
      </c>
      <c r="L166" s="293">
        <v>179</v>
      </c>
      <c r="M166" s="293">
        <v>282</v>
      </c>
      <c r="N166" s="293">
        <v>504</v>
      </c>
      <c r="O166" s="293">
        <v>694</v>
      </c>
      <c r="P166" s="293">
        <v>644</v>
      </c>
      <c r="Q166" s="293">
        <v>495</v>
      </c>
      <c r="R166" s="227">
        <v>343</v>
      </c>
      <c r="S166" s="227">
        <v>345</v>
      </c>
      <c r="T166" s="293">
        <v>320</v>
      </c>
      <c r="U166" s="293">
        <v>325</v>
      </c>
      <c r="V166" s="293">
        <v>279</v>
      </c>
      <c r="W166" s="293">
        <v>311</v>
      </c>
      <c r="X166" s="293">
        <v>283</v>
      </c>
      <c r="Y166" s="293">
        <v>323</v>
      </c>
      <c r="Z166" s="293">
        <v>328</v>
      </c>
      <c r="AA166" s="287">
        <f>'Income Statement'!AA183</f>
        <v>372.17399972721421</v>
      </c>
      <c r="AB166" s="287">
        <f>'Income Statement'!AB183</f>
        <v>414.4961669362234</v>
      </c>
      <c r="AC166" s="287">
        <f>'Income Statement'!AC183</f>
        <v>458.32096444250215</v>
      </c>
      <c r="AD166" s="287">
        <f>'Income Statement'!AD183</f>
        <v>497.10207447145342</v>
      </c>
      <c r="AE166" s="287">
        <f>'Income Statement'!AE183</f>
        <v>521.51293851649655</v>
      </c>
      <c r="AF166" s="287">
        <f>'Income Statement'!AF183</f>
        <v>546.75732933678</v>
      </c>
    </row>
    <row r="167" spans="1:32">
      <c r="A167" s="19" t="s">
        <v>824</v>
      </c>
      <c r="B167" s="19"/>
      <c r="C167" s="19"/>
      <c r="D167" s="19"/>
      <c r="E167" s="19"/>
      <c r="F167" s="19"/>
      <c r="G167" s="19"/>
      <c r="H167" s="287">
        <f t="shared" ref="H167:AF167" si="143">H164-H165+H166</f>
        <v>700</v>
      </c>
      <c r="I167" s="287">
        <f t="shared" si="143"/>
        <v>785</v>
      </c>
      <c r="J167" s="287">
        <f t="shared" si="143"/>
        <v>650</v>
      </c>
      <c r="K167" s="287">
        <f t="shared" si="143"/>
        <v>606</v>
      </c>
      <c r="L167" s="287">
        <f t="shared" si="143"/>
        <v>565</v>
      </c>
      <c r="M167" s="287">
        <f t="shared" si="143"/>
        <v>718</v>
      </c>
      <c r="N167" s="287">
        <f t="shared" si="143"/>
        <v>1035</v>
      </c>
      <c r="O167" s="287">
        <f t="shared" si="143"/>
        <v>1223</v>
      </c>
      <c r="P167" s="287">
        <f t="shared" si="143"/>
        <v>1313</v>
      </c>
      <c r="Q167" s="287">
        <f t="shared" si="143"/>
        <v>1191</v>
      </c>
      <c r="R167" s="287">
        <f t="shared" si="143"/>
        <v>967</v>
      </c>
      <c r="S167" s="287">
        <f t="shared" si="143"/>
        <v>983</v>
      </c>
      <c r="T167" s="287">
        <f t="shared" si="143"/>
        <v>1075</v>
      </c>
      <c r="U167" s="287">
        <f t="shared" si="143"/>
        <v>1171</v>
      </c>
      <c r="V167" s="287">
        <f t="shared" si="143"/>
        <v>715</v>
      </c>
      <c r="W167" s="287">
        <f t="shared" si="143"/>
        <v>764</v>
      </c>
      <c r="X167" s="287">
        <f t="shared" si="143"/>
        <v>873</v>
      </c>
      <c r="Y167" s="287">
        <f t="shared" si="143"/>
        <v>1061</v>
      </c>
      <c r="Z167" s="287">
        <f t="shared" si="143"/>
        <v>1173</v>
      </c>
      <c r="AA167" s="287">
        <f t="shared" si="143"/>
        <v>1261.4918913922616</v>
      </c>
      <c r="AB167" s="287">
        <f t="shared" si="143"/>
        <v>1407.3166908235639</v>
      </c>
      <c r="AC167" s="287">
        <f t="shared" si="143"/>
        <v>1562.8291951417871</v>
      </c>
      <c r="AD167" s="287">
        <f t="shared" si="143"/>
        <v>1716.6893602570112</v>
      </c>
      <c r="AE167" s="287">
        <f t="shared" si="143"/>
        <v>1826.0718267175744</v>
      </c>
      <c r="AF167" s="287">
        <f t="shared" si="143"/>
        <v>1913.6726815069778</v>
      </c>
    </row>
    <row r="168" spans="1:32">
      <c r="A168" s="19" t="s">
        <v>1320</v>
      </c>
      <c r="B168" s="19"/>
      <c r="C168" s="19"/>
      <c r="D168" s="19"/>
      <c r="E168" s="19"/>
      <c r="F168" s="19"/>
      <c r="G168" s="19"/>
      <c r="H168" s="287"/>
      <c r="I168" s="287"/>
      <c r="J168" s="287"/>
      <c r="K168" s="287"/>
      <c r="L168" s="287"/>
      <c r="M168" s="287"/>
      <c r="N168" s="287"/>
      <c r="O168" s="287"/>
      <c r="P168" s="287"/>
      <c r="Q168" s="287"/>
      <c r="R168" s="287"/>
      <c r="S168" s="293">
        <v>140</v>
      </c>
      <c r="T168" s="293">
        <v>151</v>
      </c>
      <c r="U168" s="293">
        <v>166</v>
      </c>
      <c r="V168" s="293">
        <v>149</v>
      </c>
      <c r="W168" s="293">
        <v>160</v>
      </c>
      <c r="X168" s="293">
        <v>151</v>
      </c>
      <c r="Y168" s="293">
        <v>159</v>
      </c>
      <c r="Z168" s="293">
        <v>178</v>
      </c>
      <c r="AA168" s="327">
        <f t="shared" ref="AA168:AF168" si="144">AA169-AA167</f>
        <v>426.086189351955</v>
      </c>
      <c r="AB168" s="327">
        <f t="shared" si="144"/>
        <v>472.16614888786808</v>
      </c>
      <c r="AC168" s="327">
        <f t="shared" si="144"/>
        <v>515.37189925389862</v>
      </c>
      <c r="AD168" s="327">
        <f t="shared" si="144"/>
        <v>537.35999672487515</v>
      </c>
      <c r="AE168" s="327">
        <f t="shared" si="144"/>
        <v>538.66564691038639</v>
      </c>
      <c r="AF168" s="327">
        <f t="shared" si="144"/>
        <v>565.53243532356009</v>
      </c>
    </row>
    <row r="169" spans="1:32">
      <c r="A169" s="19" t="s">
        <v>823</v>
      </c>
      <c r="B169" s="19"/>
      <c r="C169" s="19"/>
      <c r="D169" s="19"/>
      <c r="E169" s="19"/>
      <c r="F169" s="19"/>
      <c r="G169" s="19"/>
      <c r="H169" s="287">
        <f t="shared" ref="H169:R169" si="145">H164+H166</f>
        <v>865</v>
      </c>
      <c r="I169" s="287">
        <f t="shared" si="145"/>
        <v>887</v>
      </c>
      <c r="J169" s="287">
        <f t="shared" si="145"/>
        <v>708</v>
      </c>
      <c r="K169" s="287">
        <f t="shared" si="145"/>
        <v>690</v>
      </c>
      <c r="L169" s="287">
        <f t="shared" si="145"/>
        <v>637</v>
      </c>
      <c r="M169" s="287">
        <f t="shared" si="145"/>
        <v>808</v>
      </c>
      <c r="N169" s="287">
        <f t="shared" si="145"/>
        <v>1103</v>
      </c>
      <c r="O169" s="287">
        <f t="shared" si="145"/>
        <v>1299</v>
      </c>
      <c r="P169" s="287">
        <f t="shared" si="145"/>
        <v>1391</v>
      </c>
      <c r="Q169" s="287">
        <f t="shared" si="145"/>
        <v>1286</v>
      </c>
      <c r="R169" s="287">
        <f t="shared" si="145"/>
        <v>1071</v>
      </c>
      <c r="S169" s="287">
        <f>S171-S170</f>
        <v>1123</v>
      </c>
      <c r="T169" s="287">
        <f>T171-T170</f>
        <v>1226</v>
      </c>
      <c r="U169" s="293">
        <v>1337</v>
      </c>
      <c r="V169" s="293">
        <v>864</v>
      </c>
      <c r="W169" s="293">
        <v>924</v>
      </c>
      <c r="X169" s="293">
        <v>1219</v>
      </c>
      <c r="Y169" s="293">
        <v>1421</v>
      </c>
      <c r="Z169" s="293">
        <v>1509</v>
      </c>
      <c r="AA169" s="287">
        <f t="shared" ref="AA169:AF169" si="146">AA171-AA170</f>
        <v>1687.5780807442165</v>
      </c>
      <c r="AB169" s="287">
        <f t="shared" si="146"/>
        <v>1879.482839711432</v>
      </c>
      <c r="AC169" s="287">
        <f t="shared" si="146"/>
        <v>2078.2010943956857</v>
      </c>
      <c r="AD169" s="287">
        <f t="shared" si="146"/>
        <v>2254.0493569818864</v>
      </c>
      <c r="AE169" s="287">
        <f t="shared" si="146"/>
        <v>2364.7374736279608</v>
      </c>
      <c r="AF169" s="287">
        <f t="shared" si="146"/>
        <v>2479.2051168305379</v>
      </c>
    </row>
    <row r="170" spans="1:32">
      <c r="A170" s="19" t="s">
        <v>822</v>
      </c>
      <c r="B170" s="300"/>
      <c r="C170" s="300"/>
      <c r="D170" s="300"/>
      <c r="E170" s="300"/>
      <c r="F170" s="300"/>
      <c r="G170" s="300"/>
      <c r="H170" s="287">
        <f>H169/0.6*0.4</f>
        <v>576.66666666666674</v>
      </c>
      <c r="I170" s="287">
        <f>I169/0.61*0.39</f>
        <v>567.09836065573768</v>
      </c>
      <c r="J170" s="287">
        <f>J169/0.6*0.4</f>
        <v>472</v>
      </c>
      <c r="K170" s="287">
        <f>K169/0.6*0.4</f>
        <v>460</v>
      </c>
      <c r="L170" s="287">
        <f>L169/0.53*0.47</f>
        <v>564.88679245283015</v>
      </c>
      <c r="M170" s="293">
        <v>469</v>
      </c>
      <c r="N170" s="293">
        <v>491</v>
      </c>
      <c r="O170" s="293">
        <v>522</v>
      </c>
      <c r="P170" s="293">
        <v>526</v>
      </c>
      <c r="Q170" s="293">
        <v>701</v>
      </c>
      <c r="R170" s="227">
        <v>602</v>
      </c>
      <c r="S170" s="293">
        <v>244</v>
      </c>
      <c r="T170" s="293">
        <v>246</v>
      </c>
      <c r="U170" s="287">
        <f t="shared" ref="U170:Z170" si="147">U171-U169</f>
        <v>388</v>
      </c>
      <c r="V170" s="287">
        <f t="shared" si="147"/>
        <v>349</v>
      </c>
      <c r="W170" s="287">
        <f t="shared" si="147"/>
        <v>506</v>
      </c>
      <c r="X170" s="287">
        <f t="shared" si="147"/>
        <v>321</v>
      </c>
      <c r="Y170" s="287">
        <f t="shared" si="147"/>
        <v>397</v>
      </c>
      <c r="Z170" s="287">
        <f t="shared" si="147"/>
        <v>471</v>
      </c>
      <c r="AA170" s="287">
        <f>AA178*'Income Statement'!AA$41</f>
        <v>526.73908285654477</v>
      </c>
      <c r="AB170" s="287">
        <f>AB178*'Income Statement'!AB$41</f>
        <v>586.63778495963186</v>
      </c>
      <c r="AC170" s="287">
        <f>AC178*'Income Statement'!AC$41</f>
        <v>648.66316465233137</v>
      </c>
      <c r="AD170" s="287">
        <f>AD178*'Income Statement'!AD$41</f>
        <v>703.55019691084726</v>
      </c>
      <c r="AE170" s="287">
        <f>AE178*'Income Statement'!AE$41</f>
        <v>738.09897288188836</v>
      </c>
      <c r="AF170" s="287">
        <f>AF178*'Income Statement'!AF$41</f>
        <v>773.82744203259347</v>
      </c>
    </row>
    <row r="171" spans="1:32">
      <c r="A171" s="19" t="s">
        <v>1319</v>
      </c>
      <c r="B171" s="300"/>
      <c r="C171" s="300"/>
      <c r="D171" s="300"/>
      <c r="E171" s="300"/>
      <c r="F171" s="300"/>
      <c r="G171" s="300"/>
      <c r="H171" s="287"/>
      <c r="I171" s="287"/>
      <c r="J171" s="287"/>
      <c r="K171" s="287"/>
      <c r="L171" s="287"/>
      <c r="M171" s="287"/>
      <c r="N171" s="287"/>
      <c r="O171" s="287"/>
      <c r="P171" s="287"/>
      <c r="Q171" s="287"/>
      <c r="R171" s="27"/>
      <c r="S171" s="293">
        <v>1367</v>
      </c>
      <c r="T171" s="293">
        <v>1472</v>
      </c>
      <c r="U171" s="293">
        <v>1725</v>
      </c>
      <c r="V171" s="293">
        <v>1213</v>
      </c>
      <c r="W171" s="293">
        <v>1430</v>
      </c>
      <c r="X171" s="293">
        <v>1540</v>
      </c>
      <c r="Y171" s="293">
        <v>1818</v>
      </c>
      <c r="Z171" s="293">
        <v>1980</v>
      </c>
      <c r="AA171" s="287">
        <f>AA179*'Income Statement'!AA$41</f>
        <v>2214.3171636007614</v>
      </c>
      <c r="AB171" s="287">
        <f>AB179*'Income Statement'!AB$41</f>
        <v>2466.120624671064</v>
      </c>
      <c r="AC171" s="287">
        <f>AC179*'Income Statement'!AC$41</f>
        <v>2726.8642590480172</v>
      </c>
      <c r="AD171" s="287">
        <f>AD179*'Income Statement'!AD$41</f>
        <v>2957.5995538927336</v>
      </c>
      <c r="AE171" s="287">
        <f>AE179*'Income Statement'!AE$41</f>
        <v>3102.8364465098493</v>
      </c>
      <c r="AF171" s="287">
        <f>AF179*'Income Statement'!AF$41</f>
        <v>3253.0325588631313</v>
      </c>
    </row>
    <row r="172" spans="1:32">
      <c r="A172" s="19"/>
      <c r="B172" s="19"/>
      <c r="C172" s="19"/>
      <c r="D172" s="19"/>
      <c r="E172" s="19"/>
      <c r="F172" s="19"/>
      <c r="G172" s="19"/>
      <c r="H172" s="19"/>
      <c r="I172" s="19"/>
      <c r="J172" s="19"/>
      <c r="K172" s="19"/>
      <c r="L172" s="19"/>
      <c r="M172" s="19"/>
      <c r="N172" s="19"/>
      <c r="O172" s="19"/>
      <c r="P172" s="19"/>
      <c r="Q172" s="19"/>
      <c r="R172" s="19"/>
      <c r="S172" s="287"/>
      <c r="T172" s="19"/>
      <c r="U172" s="19"/>
      <c r="V172" s="19"/>
      <c r="W172" s="19"/>
      <c r="X172" s="287"/>
      <c r="Y172" s="287"/>
      <c r="Z172" s="287"/>
      <c r="AA172" s="19"/>
      <c r="AB172" s="19"/>
      <c r="AC172" s="19"/>
      <c r="AD172" s="19"/>
      <c r="AE172" s="19"/>
      <c r="AF172" s="19"/>
    </row>
    <row r="173" spans="1:32">
      <c r="A173" s="19" t="s">
        <v>821</v>
      </c>
      <c r="B173" s="285"/>
      <c r="C173" s="285"/>
      <c r="D173" s="285"/>
      <c r="E173" s="285"/>
      <c r="F173" s="285"/>
      <c r="G173" s="285"/>
      <c r="H173" s="285">
        <f>H164/'Income Statement'!H$41</f>
        <v>5.3592841988746427E-2</v>
      </c>
      <c r="I173" s="285">
        <f>I164/'Income Statement'!I$41</f>
        <v>7.072266831377394E-2</v>
      </c>
      <c r="J173" s="285">
        <f>J164/'Income Statement'!J$41</f>
        <v>4.6688065363291509E-2</v>
      </c>
      <c r="K173" s="285">
        <f>K164/'Income Statement'!K$41</f>
        <v>4.8110616535656785E-2</v>
      </c>
      <c r="L173" s="285">
        <f>L164/'Income Statement'!L$41</f>
        <v>4.1530649256438158E-2</v>
      </c>
      <c r="M173" s="285">
        <f>M164/'Income Statement'!M$41</f>
        <v>4.5119231429061588E-2</v>
      </c>
      <c r="N173" s="285">
        <f>N164/'Income Statement'!N$41</f>
        <v>4.3995593095850168E-2</v>
      </c>
      <c r="O173" s="285">
        <f>O164/'Income Statement'!O$41</f>
        <v>4.175293305728088E-2</v>
      </c>
      <c r="P173" s="285">
        <f>P164/'Income Statement'!P$41</f>
        <v>4.9654347248072321E-2</v>
      </c>
      <c r="Q173" s="285">
        <f>Q164/'Income Statement'!Q$41</f>
        <v>4.8760941930711378E-2</v>
      </c>
      <c r="R173" s="285">
        <f>R164/'Income Statement'!R$41</f>
        <v>4.4169396917849775E-2</v>
      </c>
      <c r="S173" s="285">
        <f>S164/'Income Statement'!S$41</f>
        <v>5.1294577430385929E-2</v>
      </c>
      <c r="T173" s="285">
        <f>T164/'Income Statement'!T$41</f>
        <v>4.6278240190249703E-2</v>
      </c>
      <c r="U173" s="285">
        <f>U164/'Income Statement'!U$41</f>
        <v>4.4465694477647623E-2</v>
      </c>
      <c r="V173" s="285">
        <f>V164/'Income Statement'!V$41</f>
        <v>4.5457278576152969E-2</v>
      </c>
      <c r="W173" s="285">
        <f>W164/'Income Statement'!W$41</f>
        <v>4.4802748959228179E-2</v>
      </c>
      <c r="X173" s="285">
        <f>X164/'Income Statement'!X$41</f>
        <v>4.2309071351738975E-2</v>
      </c>
      <c r="Y173" s="285">
        <f>Y164/'Income Statement'!Y$41</f>
        <v>4.1985539723478925E-2</v>
      </c>
      <c r="Z173" s="285">
        <f>Z164/'Income Statement'!Z$41</f>
        <v>4.0698513494010678E-2</v>
      </c>
      <c r="AA173" s="285">
        <f>AA164/'Income Statement'!AA$41</f>
        <v>3.8902115271911793E-2</v>
      </c>
      <c r="AB173" s="285">
        <f>AB164/'Income Statement'!AB$41</f>
        <v>3.8970853446980383E-2</v>
      </c>
      <c r="AC173" s="285">
        <f>AC164/'Income Statement'!AC$41</f>
        <v>3.9146813802216747E-2</v>
      </c>
      <c r="AD173" s="285">
        <f>AD164/'Income Statement'!AD$41</f>
        <v>3.9669040704419414E-2</v>
      </c>
      <c r="AE173" s="285">
        <f>AE164/'Income Statement'!AE$41</f>
        <v>4.0246525058150413E-2</v>
      </c>
      <c r="AF173" s="285">
        <f>AF164/'Income Statement'!AF$41</f>
        <v>4.0229129932551268E-2</v>
      </c>
    </row>
    <row r="174" spans="1:32">
      <c r="A174" s="19" t="s">
        <v>820</v>
      </c>
      <c r="B174" s="285"/>
      <c r="C174" s="285"/>
      <c r="D174" s="285"/>
      <c r="E174" s="285"/>
      <c r="F174" s="285"/>
      <c r="G174" s="285"/>
      <c r="H174" s="285">
        <f>H165/'Income Statement'!H$41</f>
        <v>1.5219998155151739E-2</v>
      </c>
      <c r="I174" s="285">
        <f>I165/'Income Statement'!I$41</f>
        <v>1.0500308832612723E-2</v>
      </c>
      <c r="J174" s="285">
        <f>J165/'Income Statement'!J$41</f>
        <v>5.6414745647310575E-3</v>
      </c>
      <c r="K174" s="285">
        <f>K165/'Income Statement'!K$41</f>
        <v>7.9552987972345869E-3</v>
      </c>
      <c r="L174" s="285">
        <f>L165/'Income Statement'!L$41</f>
        <v>6.5288356909684441E-3</v>
      </c>
      <c r="M174" s="285">
        <f>M165/'Income Statement'!M$41</f>
        <v>7.7200205867215647E-3</v>
      </c>
      <c r="N174" s="285">
        <f>N165/'Income Statement'!N$41</f>
        <v>4.9944913698127067E-3</v>
      </c>
      <c r="O174" s="285">
        <f>O165/'Income Statement'!O$41</f>
        <v>5.2449965493443756E-3</v>
      </c>
      <c r="P174" s="285">
        <f>P165/'Income Statement'!P$41</f>
        <v>5.184791278915182E-3</v>
      </c>
      <c r="Q174" s="285">
        <f>Q165/'Income Statement'!Q$41</f>
        <v>5.8562446060904947E-3</v>
      </c>
      <c r="R174" s="285">
        <f>R165/'Income Statement'!R$41</f>
        <v>6.309913845407111E-3</v>
      </c>
      <c r="S174" s="285">
        <f>S165/'Income Statement'!S$41</f>
        <v>1.2335124572545188E-2</v>
      </c>
      <c r="T174" s="285">
        <f>T165/'Income Statement'!T$41</f>
        <v>1.0368608799048752E-2</v>
      </c>
      <c r="U174" s="285">
        <f>U165/'Income Statement'!U$41</f>
        <v>1.0757829309108296E-2</v>
      </c>
      <c r="V174" s="285">
        <f>V165/'Income Statement'!V$41</f>
        <v>1.9241176116890146E-2</v>
      </c>
      <c r="W174" s="285">
        <f>W165/'Income Statement'!W$41</f>
        <v>1.4868168902398731E-2</v>
      </c>
      <c r="X174" s="285">
        <f>X165/'Income Statement'!X$41</f>
        <v>1.208830610049685E-2</v>
      </c>
      <c r="Y174" s="285">
        <f>Y165/'Income Statement'!Y$41</f>
        <v>1.0781785125364677E-2</v>
      </c>
      <c r="Z174" s="285">
        <f>Z165/'Income Statement'!Z$41</f>
        <v>1.0210708615961898E-2</v>
      </c>
      <c r="AA174" s="330">
        <f t="shared" ref="AA174:AF174" si="148">Z174</f>
        <v>1.0210708615961898E-2</v>
      </c>
      <c r="AB174" s="330">
        <f t="shared" si="148"/>
        <v>1.0210708615961898E-2</v>
      </c>
      <c r="AC174" s="330">
        <f t="shared" si="148"/>
        <v>1.0210708615961898E-2</v>
      </c>
      <c r="AD174" s="330">
        <f t="shared" si="148"/>
        <v>1.0210708615961898E-2</v>
      </c>
      <c r="AE174" s="330">
        <f t="shared" si="148"/>
        <v>1.0210708615961898E-2</v>
      </c>
      <c r="AF174" s="330">
        <f t="shared" si="148"/>
        <v>1.0210708615961898E-2</v>
      </c>
    </row>
    <row r="175" spans="1:32">
      <c r="A175" s="19" t="s">
        <v>819</v>
      </c>
      <c r="B175" s="285"/>
      <c r="C175" s="285"/>
      <c r="D175" s="285"/>
      <c r="E175" s="285"/>
      <c r="F175" s="285"/>
      <c r="G175" s="285"/>
      <c r="H175" s="285">
        <f>H166/'Income Statement'!H$41</f>
        <v>2.6196845309473298E-2</v>
      </c>
      <c r="I175" s="285">
        <f>I166/'Income Statement'!I$41</f>
        <v>2.0588840848260244E-2</v>
      </c>
      <c r="J175" s="285">
        <f>J166/'Income Statement'!J$41</f>
        <v>2.2176831047563468E-2</v>
      </c>
      <c r="K175" s="285">
        <f>K166/'Income Statement'!K$41</f>
        <v>1.7236480727341606E-2</v>
      </c>
      <c r="L175" s="285">
        <f>L166/'Income Statement'!L$41</f>
        <v>1.6231410953935436E-2</v>
      </c>
      <c r="M175" s="285">
        <f>M166/'Income Statement'!M$41</f>
        <v>2.4189397838394237E-2</v>
      </c>
      <c r="N175" s="285">
        <f>N166/'Income Statement'!N$41</f>
        <v>3.7017994858611826E-2</v>
      </c>
      <c r="O175" s="285">
        <f>O166/'Income Statement'!O$41</f>
        <v>4.7895100069013111E-2</v>
      </c>
      <c r="P175" s="285">
        <f>P166/'Income Statement'!P$41</f>
        <v>4.2807763892581757E-2</v>
      </c>
      <c r="Q175" s="285">
        <f>Q166/'Income Statement'!Q$41</f>
        <v>3.0514116631734683E-2</v>
      </c>
      <c r="R175" s="285">
        <f>R166/'Income Statement'!R$41</f>
        <v>2.081058124014076E-2</v>
      </c>
      <c r="S175" s="285">
        <f>S166/'Income Statement'!S$41</f>
        <v>2.1067415730337078E-2</v>
      </c>
      <c r="T175" s="285">
        <f>T166/'Income Statement'!T$41</f>
        <v>1.5219976218787158E-2</v>
      </c>
      <c r="U175" s="285">
        <f>U166/'Income Statement'!U$41</f>
        <v>1.2949238983185911E-2</v>
      </c>
      <c r="V175" s="285">
        <f>V166/'Income Statement'!V$41</f>
        <v>1.6775900426913595E-2</v>
      </c>
      <c r="W175" s="285">
        <f>W166/'Income Statement'!W$41</f>
        <v>2.0551113460648914E-2</v>
      </c>
      <c r="X175" s="285">
        <f>X166/'Income Statement'!X$41</f>
        <v>1.4495722993392409E-2</v>
      </c>
      <c r="Y175" s="285">
        <f>Y166/'Income Statement'!Y$41</f>
        <v>1.3656927825461926E-2</v>
      </c>
      <c r="Z175" s="285">
        <f>Z166/'Income Statement'!Z$41</f>
        <v>1.1834319526627219E-2</v>
      </c>
      <c r="AA175" s="285">
        <f>AA166/'Income Statement'!AA$41</f>
        <v>1.2007175019218802E-2</v>
      </c>
      <c r="AB175" s="285">
        <f>AB166/'Income Statement'!AB$41</f>
        <v>1.2007175019218802E-2</v>
      </c>
      <c r="AC175" s="285">
        <f>AC166/'Income Statement'!AC$41</f>
        <v>1.2007175019218802E-2</v>
      </c>
      <c r="AD175" s="285">
        <f>AD166/'Income Statement'!AD$41</f>
        <v>1.2007175019218802E-2</v>
      </c>
      <c r="AE175" s="285">
        <f>AE166/'Income Statement'!AE$41</f>
        <v>1.2007175019218802E-2</v>
      </c>
      <c r="AF175" s="285">
        <f>AF166/'Income Statement'!AF$41</f>
        <v>1.2007175019218802E-2</v>
      </c>
    </row>
    <row r="176" spans="1:32">
      <c r="A176" s="19" t="s">
        <v>818</v>
      </c>
      <c r="B176" s="285"/>
      <c r="C176" s="285"/>
      <c r="D176" s="285"/>
      <c r="E176" s="285"/>
      <c r="F176" s="285"/>
      <c r="G176" s="285"/>
      <c r="H176" s="285">
        <f>H167/'Income Statement'!H$41</f>
        <v>6.4569689143067988E-2</v>
      </c>
      <c r="I176" s="285">
        <f>I167/'Income Statement'!I$41</f>
        <v>8.0811200329421448E-2</v>
      </c>
      <c r="J176" s="285">
        <f>J167/'Income Statement'!J$41</f>
        <v>6.3223421846123923E-2</v>
      </c>
      <c r="K176" s="285">
        <f>K167/'Income Statement'!K$41</f>
        <v>5.7391798465763803E-2</v>
      </c>
      <c r="L176" s="285">
        <f>L167/'Income Statement'!L$41</f>
        <v>5.1233224519405152E-2</v>
      </c>
      <c r="M176" s="285">
        <f>M167/'Income Statement'!M$41</f>
        <v>6.1588608680734257E-2</v>
      </c>
      <c r="N176" s="285">
        <f>N167/'Income Statement'!N$41</f>
        <v>7.6019096584649282E-2</v>
      </c>
      <c r="O176" s="285">
        <f>O167/'Income Statement'!O$41</f>
        <v>8.4403036576949614E-2</v>
      </c>
      <c r="P176" s="285">
        <f>P167/'Income Statement'!P$41</f>
        <v>8.7277319861738895E-2</v>
      </c>
      <c r="Q176" s="285">
        <f>Q167/'Income Statement'!Q$41</f>
        <v>7.3418813956355564E-2</v>
      </c>
      <c r="R176" s="285">
        <f>R167/'Income Statement'!R$41</f>
        <v>5.8670064312583425E-2</v>
      </c>
      <c r="S176" s="285">
        <f>S167/'Income Statement'!S$41</f>
        <v>6.0026868588177823E-2</v>
      </c>
      <c r="T176" s="285">
        <f>T167/'Income Statement'!T$41</f>
        <v>5.1129607609988109E-2</v>
      </c>
      <c r="U176" s="285">
        <f>U167/'Income Statement'!U$41</f>
        <v>4.6657104151725234E-2</v>
      </c>
      <c r="V176" s="285">
        <f>V167/'Income Statement'!V$41</f>
        <v>4.2992002886176418E-2</v>
      </c>
      <c r="W176" s="285">
        <f>W167/'Income Statement'!W$41</f>
        <v>5.0485693517478357E-2</v>
      </c>
      <c r="X176" s="285">
        <f>X167/'Income Statement'!X$41</f>
        <v>4.4716488244634534E-2</v>
      </c>
      <c r="Y176" s="285">
        <f>Y167/'Income Statement'!Y$41</f>
        <v>4.4860682423576173E-2</v>
      </c>
      <c r="Z176" s="285">
        <f>Z167/'Income Statement'!Z$41</f>
        <v>4.2322124404675997E-2</v>
      </c>
      <c r="AA176" s="285">
        <f>AA167/'Income Statement'!AA$41</f>
        <v>4.0698581675168696E-2</v>
      </c>
      <c r="AB176" s="285">
        <f>AB167/'Income Statement'!AB$41</f>
        <v>4.0767319850237287E-2</v>
      </c>
      <c r="AC176" s="285">
        <f>AC167/'Income Statement'!AC$41</f>
        <v>4.0943280205473651E-2</v>
      </c>
      <c r="AD176" s="285">
        <f>AD167/'Income Statement'!AD$41</f>
        <v>4.1465507107676318E-2</v>
      </c>
      <c r="AE176" s="285">
        <f>AE167/'Income Statement'!AE$41</f>
        <v>4.2042991461407317E-2</v>
      </c>
      <c r="AF176" s="285">
        <f>AF167/'Income Statement'!AF$41</f>
        <v>4.2025596335808171E-2</v>
      </c>
    </row>
    <row r="177" spans="1:40">
      <c r="A177" s="19" t="s">
        <v>817</v>
      </c>
      <c r="B177" s="285"/>
      <c r="C177" s="285"/>
      <c r="D177" s="285"/>
      <c r="E177" s="285"/>
      <c r="F177" s="285"/>
      <c r="G177" s="285"/>
      <c r="H177" s="285">
        <f>H169/'Income Statement'!H$41</f>
        <v>7.9789687298219725E-2</v>
      </c>
      <c r="I177" s="285">
        <f>I169/'Income Statement'!I$41</f>
        <v>9.1311509162034177E-2</v>
      </c>
      <c r="J177" s="285">
        <f>J169/'Income Statement'!J$41</f>
        <v>6.886489641085497E-2</v>
      </c>
      <c r="K177" s="285">
        <f>K169/'Income Statement'!K$41</f>
        <v>6.5347097262998394E-2</v>
      </c>
      <c r="L177" s="285">
        <f>L169/'Income Statement'!L$41</f>
        <v>5.7762060210373598E-2</v>
      </c>
      <c r="M177" s="285">
        <f>M169/'Income Statement'!M$41</f>
        <v>6.9308629267455818E-2</v>
      </c>
      <c r="N177" s="285">
        <f>N169/'Income Statement'!N$41</f>
        <v>8.1013587954461994E-2</v>
      </c>
      <c r="O177" s="285">
        <f>O169/'Income Statement'!O$41</f>
        <v>8.9648033126293991E-2</v>
      </c>
      <c r="P177" s="285">
        <f>P169/'Income Statement'!P$41</f>
        <v>9.2462111140654085E-2</v>
      </c>
      <c r="Q177" s="285">
        <f>Q169/'Income Statement'!Q$41</f>
        <v>7.9275058562446057E-2</v>
      </c>
      <c r="R177" s="285">
        <f>R169/'Income Statement'!R$41</f>
        <v>6.4979978157990531E-2</v>
      </c>
      <c r="S177" s="285">
        <f>S169/'Income Statement'!S$41</f>
        <v>6.8575964826575478E-2</v>
      </c>
      <c r="T177" s="285">
        <f>T169/'Income Statement'!T$41</f>
        <v>5.8311533888228302E-2</v>
      </c>
      <c r="U177" s="285">
        <f>U169/'Income Statement'!U$41</f>
        <v>5.3271176986214044E-2</v>
      </c>
      <c r="V177" s="285">
        <f>V169/'Income Statement'!V$41</f>
        <v>5.1951175515603389E-2</v>
      </c>
      <c r="W177" s="285">
        <f>W169/'Income Statement'!W$41</f>
        <v>6.1058613625850792E-2</v>
      </c>
      <c r="X177" s="285">
        <f>X169/'Income Statement'!X$41</f>
        <v>6.2439174307227376E-2</v>
      </c>
      <c r="Y177" s="285">
        <f>Y169/'Income Statement'!Y$41</f>
        <v>6.0082026129973362E-2</v>
      </c>
      <c r="Z177" s="285">
        <f>Z169/'Income Statement'!Z$41</f>
        <v>5.4445085870977052E-2</v>
      </c>
      <c r="AA177" s="285">
        <f>AA169/'Income Statement'!AA$41</f>
        <v>5.4445085870977052E-2</v>
      </c>
      <c r="AB177" s="285">
        <f>AB169/'Income Statement'!AB$41</f>
        <v>5.4445085870977052E-2</v>
      </c>
      <c r="AC177" s="285">
        <f>AC169/'Income Statement'!AC$41</f>
        <v>5.4445085870977059E-2</v>
      </c>
      <c r="AD177" s="285">
        <f>AD169/'Income Statement'!AD$41</f>
        <v>5.4445085870977052E-2</v>
      </c>
      <c r="AE177" s="285">
        <f>AE169/'Income Statement'!AE$41</f>
        <v>5.4445085870977052E-2</v>
      </c>
      <c r="AF177" s="285">
        <f>AF169/'Income Statement'!AF$41</f>
        <v>5.4445085870977052E-2</v>
      </c>
    </row>
    <row r="178" spans="1:40">
      <c r="A178" s="19" t="s">
        <v>816</v>
      </c>
      <c r="B178" s="285"/>
      <c r="C178" s="285"/>
      <c r="D178" s="285"/>
      <c r="E178" s="285"/>
      <c r="F178" s="285"/>
      <c r="G178" s="285"/>
      <c r="H178" s="285">
        <f>H170/'Income Statement'!H$41</f>
        <v>5.3193124865479821E-2</v>
      </c>
      <c r="I178" s="285">
        <f>I170/'Income Statement'!I$41</f>
        <v>5.8379489464251359E-2</v>
      </c>
      <c r="J178" s="285">
        <f>J170/'Income Statement'!J$41</f>
        <v>4.5909930940569985E-2</v>
      </c>
      <c r="K178" s="285">
        <f>K170/'Income Statement'!K$41</f>
        <v>4.3564731508665591E-2</v>
      </c>
      <c r="L178" s="285">
        <f>L170/'Income Statement'!L$41</f>
        <v>5.1222959054482244E-2</v>
      </c>
      <c r="M178" s="285">
        <f>M170/'Income Statement'!M$41</f>
        <v>4.0229885057471264E-2</v>
      </c>
      <c r="N178" s="285">
        <f>N170/'Income Statement'!N$41</f>
        <v>3.6063165626147628E-2</v>
      </c>
      <c r="O178" s="285">
        <f>O170/'Income Statement'!O$41</f>
        <v>3.6024844720496892E-2</v>
      </c>
      <c r="P178" s="285">
        <f>P170/'Income Statement'!P$41</f>
        <v>3.4964105291145971E-2</v>
      </c>
      <c r="Q178" s="285">
        <f>Q170/'Income Statement'!Q$41</f>
        <v>4.3212920724941435E-2</v>
      </c>
      <c r="R178" s="285">
        <f>R170/'Income Statement'!R$41</f>
        <v>3.6524693605145007E-2</v>
      </c>
      <c r="S178" s="285">
        <f>S170/'Income Statement'!S$41</f>
        <v>1.4899853444064484E-2</v>
      </c>
      <c r="T178" s="285">
        <f>T170/'Income Statement'!T$41</f>
        <v>1.1700356718192627E-2</v>
      </c>
      <c r="U178" s="285">
        <f>U170/'Income Statement'!U$41</f>
        <v>1.5459399155311181E-2</v>
      </c>
      <c r="V178" s="285">
        <f>V170/'Income Statement'!V$41</f>
        <v>2.0984907702483315E-2</v>
      </c>
      <c r="W178" s="285">
        <f>W170/'Income Statement'!W$41</f>
        <v>3.343685984272781E-2</v>
      </c>
      <c r="X178" s="285">
        <f>X170/'Income Statement'!X$41</f>
        <v>1.6442145162116478E-2</v>
      </c>
      <c r="Y178" s="285">
        <f>Y170/'Income Statement'!Y$41</f>
        <v>1.6785759587332461E-2</v>
      </c>
      <c r="Z178" s="285">
        <f>Z170/'Income Statement'!Z$41</f>
        <v>1.6993794198297014E-2</v>
      </c>
      <c r="AA178" s="330">
        <f t="shared" ref="AA178:AF179" si="149">Z178</f>
        <v>1.6993794198297014E-2</v>
      </c>
      <c r="AB178" s="330">
        <f t="shared" si="149"/>
        <v>1.6993794198297014E-2</v>
      </c>
      <c r="AC178" s="330">
        <f t="shared" si="149"/>
        <v>1.6993794198297014E-2</v>
      </c>
      <c r="AD178" s="330">
        <f t="shared" si="149"/>
        <v>1.6993794198297014E-2</v>
      </c>
      <c r="AE178" s="330">
        <f t="shared" si="149"/>
        <v>1.6993794198297014E-2</v>
      </c>
      <c r="AF178" s="330">
        <f t="shared" si="149"/>
        <v>1.6993794198297014E-2</v>
      </c>
    </row>
    <row r="179" spans="1:40">
      <c r="A179" s="19" t="s">
        <v>1321</v>
      </c>
      <c r="B179" s="19"/>
      <c r="C179" s="19"/>
      <c r="D179" s="19"/>
      <c r="E179" s="19"/>
      <c r="F179" s="19"/>
      <c r="G179" s="19"/>
      <c r="H179" s="19"/>
      <c r="I179" s="19"/>
      <c r="J179" s="19"/>
      <c r="K179" s="19"/>
      <c r="L179" s="19"/>
      <c r="M179" s="19"/>
      <c r="N179" s="19"/>
      <c r="O179" s="19"/>
      <c r="P179" s="19"/>
      <c r="Q179" s="19"/>
      <c r="R179" s="19"/>
      <c r="S179" s="285">
        <f>S171/'Income Statement'!S$41</f>
        <v>8.3475818270639962E-2</v>
      </c>
      <c r="T179" s="285">
        <f>T171/'Income Statement'!T$41</f>
        <v>7.0011890606420921E-2</v>
      </c>
      <c r="U179" s="285">
        <f>U171/'Income Statement'!U$41</f>
        <v>6.8730576141525224E-2</v>
      </c>
      <c r="V179" s="285">
        <f>V171/'Income Statement'!V$41</f>
        <v>7.29360832180867E-2</v>
      </c>
      <c r="W179" s="285">
        <f>W171/'Income Statement'!W$41</f>
        <v>9.4495473468578603E-2</v>
      </c>
      <c r="X179" s="285">
        <f>X171/'Income Statement'!X$41</f>
        <v>7.8881319469343847E-2</v>
      </c>
      <c r="Y179" s="285">
        <f>Y171/'Income Statement'!Y$41</f>
        <v>7.686778571730582E-2</v>
      </c>
      <c r="Z179" s="285">
        <f>Z171/'Income Statement'!Z$41</f>
        <v>7.1438880069274069E-2</v>
      </c>
      <c r="AA179" s="330">
        <f t="shared" si="149"/>
        <v>7.1438880069274069E-2</v>
      </c>
      <c r="AB179" s="330">
        <f t="shared" si="149"/>
        <v>7.1438880069274069E-2</v>
      </c>
      <c r="AC179" s="330">
        <f t="shared" si="149"/>
        <v>7.1438880069274069E-2</v>
      </c>
      <c r="AD179" s="330">
        <f t="shared" si="149"/>
        <v>7.1438880069274069E-2</v>
      </c>
      <c r="AE179" s="330">
        <f t="shared" si="149"/>
        <v>7.1438880069274069E-2</v>
      </c>
      <c r="AF179" s="330">
        <f t="shared" si="149"/>
        <v>7.1438880069274069E-2</v>
      </c>
    </row>
    <row r="180" spans="1:40">
      <c r="A180" s="279" t="s">
        <v>1060</v>
      </c>
      <c r="B180" s="57"/>
      <c r="C180" s="57"/>
      <c r="D180" s="57"/>
      <c r="E180" s="57"/>
      <c r="F180" s="57"/>
      <c r="G180" s="57"/>
      <c r="H180" s="325">
        <f>'Cashflow Statement'!H24</f>
        <v>854</v>
      </c>
      <c r="I180" s="325">
        <f>'Cashflow Statement'!I24</f>
        <v>1108</v>
      </c>
      <c r="J180" s="325">
        <f>'Cashflow Statement'!J24</f>
        <v>626</v>
      </c>
      <c r="K180" s="325">
        <f>'Cashflow Statement'!K24</f>
        <v>1408</v>
      </c>
      <c r="L180" s="325">
        <f>'Cashflow Statement'!L24</f>
        <v>1430</v>
      </c>
      <c r="M180" s="325">
        <f>'Cashflow Statement'!M24</f>
        <v>1237</v>
      </c>
      <c r="N180" s="325">
        <f>'Cashflow Statement'!N24</f>
        <v>1617</v>
      </c>
      <c r="O180" s="325">
        <f>'Cashflow Statement'!O24</f>
        <v>2139</v>
      </c>
      <c r="P180" s="325">
        <f>'Cashflow Statement'!P24</f>
        <v>2357</v>
      </c>
      <c r="Q180" s="325">
        <f>'Cashflow Statement'!Q24</f>
        <v>2631</v>
      </c>
      <c r="R180" s="325">
        <f>'Cashflow Statement'!R24</f>
        <v>2483</v>
      </c>
      <c r="S180" s="325">
        <f>'Cashflow Statement'!S24</f>
        <v>2752</v>
      </c>
      <c r="T180" s="325">
        <f>'Cashflow Statement'!T24</f>
        <v>3071</v>
      </c>
      <c r="U180" s="325">
        <f>'Cashflow Statement'!U24</f>
        <v>3145</v>
      </c>
      <c r="V180" s="325">
        <f>'Cashflow Statement'!V24</f>
        <v>1866</v>
      </c>
      <c r="W180" s="325">
        <f>'Cashflow Statement'!W24</f>
        <v>2436</v>
      </c>
      <c r="X180" s="325">
        <f>'Cashflow Statement'!X24</f>
        <v>3545</v>
      </c>
      <c r="Y180" s="325">
        <f>'Cashflow Statement'!Y24</f>
        <v>4270</v>
      </c>
      <c r="Z180" s="325">
        <f>'Cashflow Statement'!Z24</f>
        <v>4733</v>
      </c>
      <c r="AA180" s="325">
        <f>'Cashflow Statement'!AA24</f>
        <v>5618.3996852983528</v>
      </c>
      <c r="AB180" s="325">
        <f>'Cashflow Statement'!AB24</f>
        <v>6309.7084706526002</v>
      </c>
      <c r="AC180" s="325">
        <f>'Cashflow Statement'!AC24</f>
        <v>6952.3116278334801</v>
      </c>
      <c r="AD180" s="325">
        <f>'Cashflow Statement'!AD24</f>
        <v>7448.6352241017748</v>
      </c>
      <c r="AE180" s="325">
        <f>'Cashflow Statement'!AE24</f>
        <v>7959.2339884091671</v>
      </c>
      <c r="AF180" s="325">
        <f>'Cashflow Statement'!AF24</f>
        <v>8271.3615689948329</v>
      </c>
    </row>
    <row r="181" spans="1:40">
      <c r="A181" s="291" t="s">
        <v>827</v>
      </c>
      <c r="B181" s="213"/>
      <c r="C181" s="213"/>
      <c r="D181" s="213"/>
      <c r="E181" s="213"/>
      <c r="F181" s="213"/>
      <c r="G181" s="213"/>
      <c r="H181" s="319">
        <f>'Income Statement'!H164</f>
        <v>581</v>
      </c>
      <c r="I181" s="319">
        <f>'Income Statement'!I164</f>
        <v>687</v>
      </c>
      <c r="J181" s="319">
        <f>'Income Statement'!J164</f>
        <v>480</v>
      </c>
      <c r="K181" s="319">
        <f>'Income Statement'!K164</f>
        <v>508</v>
      </c>
      <c r="L181" s="319">
        <f>'Income Statement'!L164</f>
        <v>458</v>
      </c>
      <c r="M181" s="319">
        <f>'Income Statement'!M164</f>
        <v>526</v>
      </c>
      <c r="N181" s="319">
        <f>'Income Statement'!N164</f>
        <v>599</v>
      </c>
      <c r="O181" s="319">
        <f>'Income Statement'!O164</f>
        <v>605</v>
      </c>
      <c r="P181" s="319">
        <f>'Income Statement'!P164</f>
        <v>747</v>
      </c>
      <c r="Q181" s="319">
        <f>'Income Statement'!Q164</f>
        <v>791</v>
      </c>
      <c r="R181" s="319">
        <f>'Income Statement'!R164</f>
        <v>728</v>
      </c>
      <c r="S181" s="319">
        <f>'Income Statement'!S164</f>
        <v>840</v>
      </c>
      <c r="T181" s="319">
        <f>'Income Statement'!T164</f>
        <v>973</v>
      </c>
      <c r="U181" s="319">
        <f>'Income Statement'!U164</f>
        <v>1116</v>
      </c>
      <c r="V181" s="319">
        <f>'Income Statement'!V164</f>
        <v>756</v>
      </c>
      <c r="W181" s="319">
        <f>'Income Statement'!W164</f>
        <v>678</v>
      </c>
      <c r="X181" s="319">
        <f>'Income Statement'!X164</f>
        <v>826</v>
      </c>
      <c r="Y181" s="319">
        <f>'Income Statement'!Y164</f>
        <v>993</v>
      </c>
      <c r="Z181" s="319">
        <f>'Income Statement'!Z164</f>
        <v>1128</v>
      </c>
      <c r="AA181" s="320">
        <f>-('Aerospace Propulsion Division'!AA311+'Equipment and Defense'!AA36+'Aircraft Interiors Division'!O43)</f>
        <v>1205.8086781797015</v>
      </c>
      <c r="AB181" s="320">
        <f>-('Aerospace Propulsion Division'!AB311+'Equipment and Defense'!AB36+'Aircraft Interiors Division'!P43)</f>
        <v>1345.3014010499219</v>
      </c>
      <c r="AC181" s="320">
        <f>-('Aerospace Propulsion Division'!AC311+'Equipment and Defense'!AC36+'Aircraft Interiors Division'!Q43)</f>
        <v>1494.2570111591781</v>
      </c>
      <c r="AD181" s="320">
        <f>-('Aerospace Propulsion Division'!AD311+'Equipment and Defense'!AD36+'Aircraft Interiors Division'!R43)</f>
        <v>1642.3148987914385</v>
      </c>
      <c r="AE181" s="320">
        <f>-('Aerospace Propulsion Division'!AE311+'Equipment and Defense'!AE36+'Aircraft Interiors Division'!S43)</f>
        <v>1748.0451075759704</v>
      </c>
      <c r="AF181" s="320">
        <f>-('Aerospace Propulsion Division'!AF311+'Equipment and Defense'!AF36+'Aircraft Interiors Division'!T43)</f>
        <v>1831.8689956844737</v>
      </c>
    </row>
    <row r="182" spans="1:40">
      <c r="A182" s="370" t="s">
        <v>1061</v>
      </c>
      <c r="B182" s="213"/>
      <c r="C182" s="213"/>
      <c r="D182" s="213"/>
      <c r="E182" s="213"/>
      <c r="F182" s="213"/>
      <c r="G182" s="213"/>
      <c r="H182" s="319">
        <f>'Income Statement'!H165</f>
        <v>165</v>
      </c>
      <c r="I182" s="319">
        <f>'Income Statement'!I165</f>
        <v>102</v>
      </c>
      <c r="J182" s="319">
        <f>'Income Statement'!J165</f>
        <v>58</v>
      </c>
      <c r="K182" s="319">
        <f>'Income Statement'!K165</f>
        <v>84</v>
      </c>
      <c r="L182" s="319">
        <f>'Income Statement'!L165</f>
        <v>72</v>
      </c>
      <c r="M182" s="319">
        <f>'Income Statement'!M165</f>
        <v>90</v>
      </c>
      <c r="N182" s="319">
        <f>'Income Statement'!N165</f>
        <v>68</v>
      </c>
      <c r="O182" s="319">
        <f>'Income Statement'!O165</f>
        <v>76</v>
      </c>
      <c r="P182" s="319">
        <f>'Income Statement'!P165</f>
        <v>78</v>
      </c>
      <c r="Q182" s="319">
        <f>'Income Statement'!Q165</f>
        <v>95</v>
      </c>
      <c r="R182" s="319">
        <f>'Income Statement'!R165</f>
        <v>104</v>
      </c>
      <c r="S182" s="319">
        <f>'Income Statement'!S165</f>
        <v>202</v>
      </c>
      <c r="T182" s="319">
        <f>'Income Statement'!T165</f>
        <v>218</v>
      </c>
      <c r="U182" s="319">
        <f>'Income Statement'!U165</f>
        <v>270</v>
      </c>
      <c r="V182" s="319">
        <f>'Income Statement'!V165</f>
        <v>320</v>
      </c>
      <c r="W182" s="319">
        <f>'Income Statement'!W165</f>
        <v>225</v>
      </c>
      <c r="X182" s="319">
        <f>'Income Statement'!X165</f>
        <v>236</v>
      </c>
      <c r="Y182" s="319">
        <f>'Income Statement'!Y165</f>
        <v>255</v>
      </c>
      <c r="Z182" s="319">
        <f>'Income Statement'!Z165</f>
        <v>283</v>
      </c>
      <c r="AA182" s="319">
        <f>'Income Statement'!AA165</f>
        <v>316.49078651465425</v>
      </c>
      <c r="AB182" s="319">
        <f>'Income Statement'!AB165</f>
        <v>352.48087716258129</v>
      </c>
      <c r="AC182" s="319">
        <f>'Income Statement'!AC165</f>
        <v>389.74878045989328</v>
      </c>
      <c r="AD182" s="319">
        <f>'Income Statement'!AD165</f>
        <v>422.72761300588058</v>
      </c>
      <c r="AE182" s="319">
        <f>'Income Statement'!AE165</f>
        <v>443.48621937489253</v>
      </c>
      <c r="AF182" s="319">
        <f>'Income Statement'!AF165</f>
        <v>464.95364351427583</v>
      </c>
    </row>
    <row r="183" spans="1:40">
      <c r="A183" s="291" t="s">
        <v>825</v>
      </c>
      <c r="B183" s="213"/>
      <c r="C183" s="213"/>
      <c r="D183" s="213"/>
      <c r="E183" s="213"/>
      <c r="F183" s="213"/>
      <c r="G183" s="213"/>
      <c r="H183" s="319">
        <f>'Income Statement'!H166</f>
        <v>284</v>
      </c>
      <c r="I183" s="319">
        <f>'Income Statement'!I166</f>
        <v>200</v>
      </c>
      <c r="J183" s="319">
        <f>'Income Statement'!J166</f>
        <v>228</v>
      </c>
      <c r="K183" s="319">
        <f>'Income Statement'!K166</f>
        <v>182</v>
      </c>
      <c r="L183" s="319">
        <f>'Income Statement'!L166</f>
        <v>179</v>
      </c>
      <c r="M183" s="319">
        <f>'Income Statement'!M166</f>
        <v>282</v>
      </c>
      <c r="N183" s="319">
        <f>'Income Statement'!N166</f>
        <v>504</v>
      </c>
      <c r="O183" s="319">
        <f>'Income Statement'!O166</f>
        <v>694</v>
      </c>
      <c r="P183" s="319">
        <f>'Income Statement'!P166</f>
        <v>644</v>
      </c>
      <c r="Q183" s="319">
        <f>'Income Statement'!Q166</f>
        <v>495</v>
      </c>
      <c r="R183" s="319">
        <f>'Income Statement'!R166</f>
        <v>343</v>
      </c>
      <c r="S183" s="319">
        <f>'Income Statement'!S166</f>
        <v>345</v>
      </c>
      <c r="T183" s="319">
        <f>'Income Statement'!T166</f>
        <v>320</v>
      </c>
      <c r="U183" s="319">
        <f>'Income Statement'!U166</f>
        <v>325</v>
      </c>
      <c r="V183" s="319">
        <f>'Income Statement'!V166</f>
        <v>279</v>
      </c>
      <c r="W183" s="319">
        <f>'Income Statement'!W166</f>
        <v>311</v>
      </c>
      <c r="X183" s="319">
        <f>'Income Statement'!X166</f>
        <v>283</v>
      </c>
      <c r="Y183" s="319">
        <f>'Income Statement'!Y166</f>
        <v>323</v>
      </c>
      <c r="Z183" s="319">
        <f>'Income Statement'!Z166</f>
        <v>328</v>
      </c>
      <c r="AA183" s="320">
        <f>AA184*'Income Statement'!AA9</f>
        <v>372.17399972721421</v>
      </c>
      <c r="AB183" s="320">
        <f>AB184*'Income Statement'!AB9</f>
        <v>414.4961669362234</v>
      </c>
      <c r="AC183" s="320">
        <f>AC184*'Income Statement'!AC9</f>
        <v>458.32096444250215</v>
      </c>
      <c r="AD183" s="320">
        <f>AD184*'Income Statement'!AD9</f>
        <v>497.10207447145342</v>
      </c>
      <c r="AE183" s="320">
        <f>AE184*'Income Statement'!AE9</f>
        <v>521.51293851649655</v>
      </c>
      <c r="AF183" s="320">
        <f>AF184*'Income Statement'!AF9</f>
        <v>546.75732933678</v>
      </c>
    </row>
    <row r="184" spans="1:40">
      <c r="A184" s="370" t="s">
        <v>781</v>
      </c>
      <c r="B184" s="213"/>
      <c r="C184" s="213"/>
      <c r="D184" s="213"/>
      <c r="E184" s="213"/>
      <c r="F184" s="213"/>
      <c r="G184" s="213"/>
      <c r="H184" s="323">
        <f>H183/'Income Statement'!H9</f>
        <v>2.5068408509135845E-2</v>
      </c>
      <c r="I184" s="323">
        <f>I183/'Income Statement'!I9</f>
        <v>1.9565642731363724E-2</v>
      </c>
      <c r="J184" s="323">
        <f>J183/'Income Statement'!J9</f>
        <v>2.2073772872494919E-2</v>
      </c>
      <c r="K184" s="323">
        <f>K183/'Income Statement'!K9</f>
        <v>1.7419601837672282E-2</v>
      </c>
      <c r="L184" s="323">
        <f>L183/'Income Statement'!L9</f>
        <v>1.6635687732342006E-2</v>
      </c>
      <c r="M184" s="323">
        <f>M183/'Income Statement'!M9</f>
        <v>2.4028629856850715E-2</v>
      </c>
      <c r="N184" s="323">
        <f>N183/'Income Statement'!N9</f>
        <v>3.7168141592920353E-2</v>
      </c>
      <c r="O184" s="323">
        <f>O183/'Income Statement'!O9</f>
        <v>4.8318596393511104E-2</v>
      </c>
      <c r="P184" s="323">
        <f>P183/'Income Statement'!P9</f>
        <v>4.1940735916639528E-2</v>
      </c>
      <c r="Q184" s="323">
        <f>Q183/'Income Statement'!Q9</f>
        <v>2.8425404846675089E-2</v>
      </c>
      <c r="R184" s="323">
        <f>R183/'Income Statement'!R9</f>
        <v>2.1734997782143082E-2</v>
      </c>
      <c r="S184" s="323">
        <f>S183/'Income Statement'!S9</f>
        <v>2.1626026452704821E-2</v>
      </c>
      <c r="T184" s="323">
        <f>T183/'Income Statement'!T9</f>
        <v>1.5201900237529691E-2</v>
      </c>
      <c r="U184" s="323">
        <f>U183/'Income Statement'!U9</f>
        <v>1.3189935064935064E-2</v>
      </c>
      <c r="V184" s="323">
        <f>V183/'Income Statement'!V9</f>
        <v>1.6911140744332646E-2</v>
      </c>
      <c r="W184" s="323">
        <f>W183/'Income Statement'!W9</f>
        <v>2.0384085993314545E-2</v>
      </c>
      <c r="X184" s="323">
        <f>X183/'Income Statement'!X9</f>
        <v>1.4867349619122668E-2</v>
      </c>
      <c r="Y184" s="323">
        <f>Y183/'Income Statement'!Y9</f>
        <v>1.3923013923013924E-2</v>
      </c>
      <c r="Z184" s="323">
        <f>Z183/'Income Statement'!Z9</f>
        <v>1.2007175019218802E-2</v>
      </c>
      <c r="AA184" s="324">
        <f t="shared" ref="AA184:AF184" si="150">Z184</f>
        <v>1.2007175019218802E-2</v>
      </c>
      <c r="AB184" s="324">
        <f t="shared" si="150"/>
        <v>1.2007175019218802E-2</v>
      </c>
      <c r="AC184" s="324">
        <f t="shared" si="150"/>
        <v>1.2007175019218802E-2</v>
      </c>
      <c r="AD184" s="324">
        <f t="shared" si="150"/>
        <v>1.2007175019218802E-2</v>
      </c>
      <c r="AE184" s="324">
        <f t="shared" si="150"/>
        <v>1.2007175019218802E-2</v>
      </c>
      <c r="AF184" s="324">
        <f t="shared" si="150"/>
        <v>1.2007175019218802E-2</v>
      </c>
    </row>
    <row r="185" spans="1:40">
      <c r="A185" s="291" t="s">
        <v>1062</v>
      </c>
      <c r="B185" s="213"/>
      <c r="C185" s="213"/>
      <c r="D185" s="213"/>
      <c r="E185" s="213"/>
      <c r="F185" s="213"/>
      <c r="G185" s="213"/>
      <c r="H185" s="319">
        <f t="shared" ref="H185:AF185" si="151">H181-H182+H183</f>
        <v>700</v>
      </c>
      <c r="I185" s="319">
        <f t="shared" si="151"/>
        <v>785</v>
      </c>
      <c r="J185" s="319">
        <f t="shared" si="151"/>
        <v>650</v>
      </c>
      <c r="K185" s="319">
        <f t="shared" si="151"/>
        <v>606</v>
      </c>
      <c r="L185" s="319">
        <f t="shared" si="151"/>
        <v>565</v>
      </c>
      <c r="M185" s="319">
        <f t="shared" si="151"/>
        <v>718</v>
      </c>
      <c r="N185" s="319">
        <f t="shared" si="151"/>
        <v>1035</v>
      </c>
      <c r="O185" s="319">
        <f t="shared" si="151"/>
        <v>1223</v>
      </c>
      <c r="P185" s="319">
        <f t="shared" si="151"/>
        <v>1313</v>
      </c>
      <c r="Q185" s="319">
        <f t="shared" si="151"/>
        <v>1191</v>
      </c>
      <c r="R185" s="319">
        <f t="shared" si="151"/>
        <v>967</v>
      </c>
      <c r="S185" s="319">
        <f t="shared" si="151"/>
        <v>983</v>
      </c>
      <c r="T185" s="319">
        <f t="shared" si="151"/>
        <v>1075</v>
      </c>
      <c r="U185" s="319">
        <f t="shared" si="151"/>
        <v>1171</v>
      </c>
      <c r="V185" s="319">
        <f t="shared" si="151"/>
        <v>715</v>
      </c>
      <c r="W185" s="319">
        <f t="shared" si="151"/>
        <v>764</v>
      </c>
      <c r="X185" s="319">
        <f t="shared" si="151"/>
        <v>873</v>
      </c>
      <c r="Y185" s="319">
        <f t="shared" si="151"/>
        <v>1061</v>
      </c>
      <c r="Z185" s="319">
        <f t="shared" si="151"/>
        <v>1173</v>
      </c>
      <c r="AA185" s="319">
        <f t="shared" si="151"/>
        <v>1261.4918913922616</v>
      </c>
      <c r="AB185" s="319">
        <f t="shared" si="151"/>
        <v>1407.3166908235639</v>
      </c>
      <c r="AC185" s="319">
        <f t="shared" si="151"/>
        <v>1562.8291951417871</v>
      </c>
      <c r="AD185" s="319">
        <f t="shared" si="151"/>
        <v>1716.6893602570112</v>
      </c>
      <c r="AE185" s="319">
        <f t="shared" si="151"/>
        <v>1826.0718267175744</v>
      </c>
      <c r="AF185" s="319">
        <f t="shared" si="151"/>
        <v>1913.6726815069778</v>
      </c>
    </row>
    <row r="186" spans="1:40">
      <c r="A186" s="279" t="s">
        <v>1063</v>
      </c>
      <c r="B186" s="57"/>
      <c r="C186" s="57"/>
      <c r="D186" s="57"/>
      <c r="E186" s="57"/>
      <c r="F186" s="57"/>
      <c r="G186" s="57"/>
      <c r="H186" s="325">
        <f t="shared" ref="H186:AF186" si="152">H180+H181-H182</f>
        <v>1270</v>
      </c>
      <c r="I186" s="325">
        <f t="shared" si="152"/>
        <v>1693</v>
      </c>
      <c r="J186" s="325">
        <f t="shared" si="152"/>
        <v>1048</v>
      </c>
      <c r="K186" s="325">
        <f t="shared" si="152"/>
        <v>1832</v>
      </c>
      <c r="L186" s="325">
        <f t="shared" si="152"/>
        <v>1816</v>
      </c>
      <c r="M186" s="325">
        <f t="shared" si="152"/>
        <v>1673</v>
      </c>
      <c r="N186" s="325">
        <f t="shared" si="152"/>
        <v>2148</v>
      </c>
      <c r="O186" s="325">
        <f t="shared" si="152"/>
        <v>2668</v>
      </c>
      <c r="P186" s="325">
        <f t="shared" si="152"/>
        <v>3026</v>
      </c>
      <c r="Q186" s="325">
        <f t="shared" si="152"/>
        <v>3327</v>
      </c>
      <c r="R186" s="325">
        <f t="shared" si="152"/>
        <v>3107</v>
      </c>
      <c r="S186" s="325">
        <f t="shared" si="152"/>
        <v>3390</v>
      </c>
      <c r="T186" s="325">
        <f t="shared" si="152"/>
        <v>3826</v>
      </c>
      <c r="U186" s="325">
        <f t="shared" si="152"/>
        <v>3991</v>
      </c>
      <c r="V186" s="325">
        <f t="shared" si="152"/>
        <v>2302</v>
      </c>
      <c r="W186" s="325">
        <f t="shared" si="152"/>
        <v>2889</v>
      </c>
      <c r="X186" s="325">
        <f t="shared" si="152"/>
        <v>4135</v>
      </c>
      <c r="Y186" s="325">
        <f t="shared" si="152"/>
        <v>5008</v>
      </c>
      <c r="Z186" s="325">
        <f t="shared" si="152"/>
        <v>5578</v>
      </c>
      <c r="AA186" s="325">
        <f t="shared" si="152"/>
        <v>6507.7175769633996</v>
      </c>
      <c r="AB186" s="325">
        <f t="shared" si="152"/>
        <v>7302.5289945399409</v>
      </c>
      <c r="AC186" s="325">
        <f t="shared" si="152"/>
        <v>8056.8198585327646</v>
      </c>
      <c r="AD186" s="325">
        <f t="shared" si="152"/>
        <v>8668.2225098873332</v>
      </c>
      <c r="AE186" s="325">
        <f t="shared" si="152"/>
        <v>9263.792876610245</v>
      </c>
      <c r="AF186" s="325">
        <f t="shared" si="152"/>
        <v>9638.2769211650302</v>
      </c>
    </row>
    <row r="188" spans="1:40">
      <c r="A188" s="282" t="s">
        <v>2036</v>
      </c>
      <c r="B188" s="282"/>
      <c r="C188" s="282"/>
      <c r="D188" s="282"/>
      <c r="E188" s="282"/>
      <c r="F188" s="282"/>
      <c r="G188" s="282"/>
      <c r="H188" s="282"/>
      <c r="I188" s="282"/>
      <c r="J188" s="282"/>
      <c r="K188" s="282"/>
      <c r="L188" s="282"/>
      <c r="M188" s="282"/>
      <c r="N188" s="282"/>
      <c r="O188" s="282"/>
      <c r="P188" s="282"/>
      <c r="Q188" s="282"/>
      <c r="R188" s="282"/>
      <c r="S188" s="282"/>
      <c r="T188" s="282"/>
      <c r="U188" s="282"/>
      <c r="V188" s="282"/>
      <c r="W188" s="282"/>
      <c r="X188" s="282"/>
      <c r="Y188" s="282"/>
      <c r="Z188" s="282"/>
      <c r="AA188" s="195"/>
      <c r="AB188" s="195"/>
      <c r="AC188" s="195"/>
      <c r="AD188" s="195"/>
      <c r="AE188" s="195"/>
      <c r="AF188" s="195"/>
    </row>
    <row r="189" spans="1:40" s="1531" customFormat="1">
      <c r="A189" s="19" t="s">
        <v>2025</v>
      </c>
      <c r="B189" s="295"/>
      <c r="C189" s="295"/>
      <c r="D189" s="295"/>
      <c r="E189" s="295"/>
      <c r="F189" s="295"/>
      <c r="G189" s="295"/>
      <c r="H189" s="27"/>
      <c r="I189" s="27"/>
      <c r="J189" s="27"/>
      <c r="K189" s="27"/>
      <c r="L189" s="27"/>
      <c r="M189" s="27"/>
      <c r="N189" s="27"/>
      <c r="O189" s="27"/>
      <c r="P189" s="27"/>
      <c r="Q189" s="27"/>
      <c r="R189" s="27">
        <f t="shared" ref="R189:Y189" si="153">R70</f>
        <v>2404</v>
      </c>
      <c r="S189" s="27">
        <f t="shared" si="153"/>
        <v>2192</v>
      </c>
      <c r="T189" s="27">
        <f t="shared" si="153"/>
        <v>3023</v>
      </c>
      <c r="U189" s="27">
        <f t="shared" si="153"/>
        <v>3820</v>
      </c>
      <c r="V189" s="27">
        <f t="shared" si="153"/>
        <v>1686</v>
      </c>
      <c r="W189" s="27">
        <f t="shared" si="153"/>
        <v>1805</v>
      </c>
      <c r="X189" s="27">
        <f t="shared" si="153"/>
        <v>2408</v>
      </c>
      <c r="Y189" s="27">
        <f t="shared" si="153"/>
        <v>3166</v>
      </c>
      <c r="Z189" s="27">
        <f>Z70</f>
        <v>4119</v>
      </c>
      <c r="AA189" s="27">
        <f t="shared" ref="AA189:AF189" si="154">AA70</f>
        <v>5179.0617839715924</v>
      </c>
      <c r="AB189" s="27">
        <f t="shared" si="154"/>
        <v>6014.912862687469</v>
      </c>
      <c r="AC189" s="27">
        <f t="shared" si="154"/>
        <v>6844.9823785453691</v>
      </c>
      <c r="AD189" s="27">
        <f t="shared" si="154"/>
        <v>7604.1887309951189</v>
      </c>
      <c r="AE189" s="27">
        <f t="shared" si="154"/>
        <v>8050.4884032810423</v>
      </c>
      <c r="AF189" s="27">
        <f t="shared" si="154"/>
        <v>8490.6102037785913</v>
      </c>
      <c r="AG189" s="1622"/>
      <c r="AH189" s="1622"/>
      <c r="AI189" s="1622"/>
      <c r="AJ189" s="1622"/>
      <c r="AK189" s="1622"/>
      <c r="AL189" s="1622"/>
      <c r="AM189" s="1622"/>
      <c r="AN189" s="1622"/>
    </row>
    <row r="190" spans="1:40" s="1531" customFormat="1">
      <c r="A190" s="19" t="s">
        <v>2037</v>
      </c>
      <c r="B190" s="295"/>
      <c r="C190" s="295"/>
      <c r="D190" s="295"/>
      <c r="E190" s="295"/>
      <c r="F190" s="295"/>
      <c r="G190" s="295"/>
      <c r="H190" s="357"/>
      <c r="I190" s="357"/>
      <c r="J190" s="357"/>
      <c r="K190" s="357"/>
      <c r="L190" s="357"/>
      <c r="M190" s="357"/>
      <c r="N190" s="357"/>
      <c r="O190" s="357"/>
      <c r="P190" s="357"/>
      <c r="Q190" s="357"/>
      <c r="R190" s="357">
        <f>'Cashflow Statement'!R5</f>
        <v>324.83618581907086</v>
      </c>
      <c r="S190" s="357">
        <f>'Cashflow Statement'!S5</f>
        <v>352.57701711491438</v>
      </c>
      <c r="T190" s="357">
        <f>'Cashflow Statement'!T5</f>
        <v>540.94621026894856</v>
      </c>
      <c r="U190" s="357">
        <f>'Cashflow Statement'!U5</f>
        <v>654.59413202933968</v>
      </c>
      <c r="V190" s="357">
        <f>'Cashflow Statement'!V5</f>
        <v>647.4352078239607</v>
      </c>
      <c r="W190" s="357">
        <f>'Cashflow Statement'!W5</f>
        <v>617.45721271393631</v>
      </c>
      <c r="X190" s="357">
        <f>'Cashflow Statement'!X5</f>
        <v>614.32518337408294</v>
      </c>
      <c r="Y190" s="357">
        <f>'Cashflow Statement'!Y5</f>
        <v>597.77017114914406</v>
      </c>
      <c r="Z190" s="357">
        <f>'Cashflow Statement'!Z5</f>
        <v>629.09046454767702</v>
      </c>
      <c r="AA190" s="357">
        <f>'Cashflow Statement'!AA5</f>
        <v>703.53828944722102</v>
      </c>
      <c r="AB190" s="357">
        <f>'Cashflow Statement'!AB5</f>
        <v>783.54190373986216</v>
      </c>
      <c r="AC190" s="357">
        <f>'Cashflow Statement'!AC5</f>
        <v>866.38601186008793</v>
      </c>
      <c r="AD190" s="357">
        <f>'Cashflow Statement'!AD5</f>
        <v>939.69579661837486</v>
      </c>
      <c r="AE190" s="357">
        <f>'Cashflow Statement'!AE5</f>
        <v>985.84081896482041</v>
      </c>
      <c r="AF190" s="357">
        <f>'Cashflow Statement'!AF5</f>
        <v>1033.5614967898616</v>
      </c>
      <c r="AG190" s="1622"/>
      <c r="AH190" s="1622"/>
      <c r="AI190" s="1622"/>
      <c r="AJ190" s="1622"/>
      <c r="AK190" s="1622"/>
      <c r="AL190" s="1622"/>
      <c r="AM190" s="1622"/>
      <c r="AN190" s="1622"/>
    </row>
    <row r="191" spans="1:40" s="1531" customFormat="1">
      <c r="A191" s="19" t="s">
        <v>2038</v>
      </c>
      <c r="B191" s="295"/>
      <c r="C191" s="295"/>
      <c r="D191" s="295"/>
      <c r="E191" s="295"/>
      <c r="F191" s="295"/>
      <c r="G191" s="295"/>
      <c r="H191" s="357"/>
      <c r="I191" s="357"/>
      <c r="J191" s="357"/>
      <c r="K191" s="357"/>
      <c r="L191" s="357"/>
      <c r="M191" s="357"/>
      <c r="N191" s="357"/>
      <c r="O191" s="357"/>
      <c r="P191" s="357"/>
      <c r="Q191" s="357"/>
      <c r="R191" s="357">
        <f>'Cashflow Statement'!R7</f>
        <v>401.16381418092914</v>
      </c>
      <c r="S191" s="357">
        <f>'Cashflow Statement'!S7</f>
        <v>435.42298288508562</v>
      </c>
      <c r="T191" s="357">
        <f>'Cashflow Statement'!T7</f>
        <v>668.05378973105144</v>
      </c>
      <c r="U191" s="357">
        <f>'Cashflow Statement'!U7</f>
        <v>808.40586797066032</v>
      </c>
      <c r="V191" s="357">
        <f>'Cashflow Statement'!V7</f>
        <v>799.5647921760393</v>
      </c>
      <c r="W191" s="357">
        <f>'Cashflow Statement'!W7</f>
        <v>762.54278728606369</v>
      </c>
      <c r="X191" s="357">
        <f>'Cashflow Statement'!X7</f>
        <v>758.67481662591706</v>
      </c>
      <c r="Y191" s="357">
        <f>'Cashflow Statement'!Y7</f>
        <v>738.22982885085594</v>
      </c>
      <c r="Z191" s="357">
        <f>'Cashflow Statement'!Z7</f>
        <v>776.90953545232298</v>
      </c>
      <c r="AA191" s="357">
        <f>'Cashflow Statement'!AA7</f>
        <v>868.85056510968343</v>
      </c>
      <c r="AB191" s="357">
        <f>'Cashflow Statement'!AB7</f>
        <v>1035.621200505806</v>
      </c>
      <c r="AC191" s="357">
        <f>'Cashflow Statement'!AC7</f>
        <v>1068.7765426796441</v>
      </c>
      <c r="AD191" s="357">
        <f>'Cashflow Statement'!AD7</f>
        <v>1159.2117265653274</v>
      </c>
      <c r="AE191" s="357">
        <f>'Cashflow Statement'!AE7</f>
        <v>1216.1363730510482</v>
      </c>
      <c r="AF191" s="357">
        <f>'Cashflow Statement'!AF7</f>
        <v>1275.004753151826</v>
      </c>
      <c r="AG191" s="1622"/>
      <c r="AH191" s="1622"/>
      <c r="AI191" s="1622"/>
      <c r="AJ191" s="1622"/>
      <c r="AK191" s="1622"/>
      <c r="AL191" s="1622"/>
      <c r="AM191" s="1622"/>
      <c r="AN191" s="1622"/>
    </row>
    <row r="192" spans="1:40" s="1365" customFormat="1">
      <c r="A192" s="1355" t="s">
        <v>1129</v>
      </c>
      <c r="B192" s="1543"/>
      <c r="C192" s="1543"/>
      <c r="D192" s="1543"/>
      <c r="E192" s="1543"/>
      <c r="F192" s="1543"/>
      <c r="G192" s="1543"/>
      <c r="H192" s="1544"/>
      <c r="I192" s="1544"/>
      <c r="J192" s="1544"/>
      <c r="K192" s="1544"/>
      <c r="L192" s="1544"/>
      <c r="M192" s="1544"/>
      <c r="N192" s="1544"/>
      <c r="O192" s="1544"/>
      <c r="P192" s="1544"/>
      <c r="Q192" s="1544"/>
      <c r="R192" s="1544">
        <f t="shared" ref="R192:Y192" si="155">R190+R191</f>
        <v>726</v>
      </c>
      <c r="S192" s="1544">
        <f t="shared" si="155"/>
        <v>788</v>
      </c>
      <c r="T192" s="1544">
        <f t="shared" si="155"/>
        <v>1209</v>
      </c>
      <c r="U192" s="1544">
        <f t="shared" si="155"/>
        <v>1463</v>
      </c>
      <c r="V192" s="1544">
        <f t="shared" si="155"/>
        <v>1447</v>
      </c>
      <c r="W192" s="1544">
        <f t="shared" si="155"/>
        <v>1380</v>
      </c>
      <c r="X192" s="1544">
        <f t="shared" si="155"/>
        <v>1373</v>
      </c>
      <c r="Y192" s="1544">
        <f t="shared" si="155"/>
        <v>1336</v>
      </c>
      <c r="Z192" s="1544">
        <f>Z190+Z191</f>
        <v>1406</v>
      </c>
      <c r="AA192" s="1544">
        <f t="shared" ref="AA192:AF192" si="156">AA190+AA191</f>
        <v>1572.3888545569043</v>
      </c>
      <c r="AB192" s="1544">
        <f t="shared" si="156"/>
        <v>1819.1631042456681</v>
      </c>
      <c r="AC192" s="1544">
        <f t="shared" si="156"/>
        <v>1935.1625545397319</v>
      </c>
      <c r="AD192" s="1544">
        <f t="shared" si="156"/>
        <v>2098.9075231837023</v>
      </c>
      <c r="AE192" s="1544">
        <f t="shared" si="156"/>
        <v>2201.9771920158687</v>
      </c>
      <c r="AF192" s="1544">
        <f t="shared" si="156"/>
        <v>2308.5662499416876</v>
      </c>
      <c r="AG192" s="1653"/>
      <c r="AH192" s="1653"/>
      <c r="AI192" s="1653"/>
      <c r="AJ192" s="1653"/>
      <c r="AK192" s="1653"/>
      <c r="AL192" s="1653"/>
      <c r="AM192" s="1653"/>
      <c r="AN192" s="1654"/>
    </row>
    <row r="193" spans="1:40" s="1354" customFormat="1" ht="15">
      <c r="A193" s="214" t="s">
        <v>2039</v>
      </c>
      <c r="B193" s="1372"/>
      <c r="C193" s="1372"/>
      <c r="D193" s="1372"/>
      <c r="E193" s="1372"/>
      <c r="F193" s="1372"/>
      <c r="G193" s="1372"/>
      <c r="H193" s="1373"/>
      <c r="I193" s="1373"/>
      <c r="J193" s="1373"/>
      <c r="K193" s="1373"/>
      <c r="L193" s="1373"/>
      <c r="M193" s="1373"/>
      <c r="N193" s="1373"/>
      <c r="O193" s="1373"/>
      <c r="P193" s="1373"/>
      <c r="Q193" s="1373"/>
      <c r="R193" s="1373">
        <f t="shared" ref="R193:Y193" si="157">SUM(R189:R191)</f>
        <v>3130</v>
      </c>
      <c r="S193" s="1373">
        <f t="shared" si="157"/>
        <v>2980</v>
      </c>
      <c r="T193" s="1373">
        <f t="shared" si="157"/>
        <v>4232</v>
      </c>
      <c r="U193" s="1373">
        <f t="shared" si="157"/>
        <v>5283</v>
      </c>
      <c r="V193" s="1373">
        <f t="shared" si="157"/>
        <v>3133</v>
      </c>
      <c r="W193" s="1373">
        <f t="shared" si="157"/>
        <v>3185</v>
      </c>
      <c r="X193" s="1373">
        <f t="shared" si="157"/>
        <v>3781</v>
      </c>
      <c r="Y193" s="1373">
        <f t="shared" si="157"/>
        <v>4502</v>
      </c>
      <c r="Z193" s="1373">
        <f>SUM(Z189:Z191)</f>
        <v>5525</v>
      </c>
      <c r="AA193" s="1373">
        <f t="shared" ref="AA193:AF193" si="158">SUM(AA189:AA191)</f>
        <v>6751.4506385284967</v>
      </c>
      <c r="AB193" s="1373">
        <f t="shared" si="158"/>
        <v>7834.0759669331374</v>
      </c>
      <c r="AC193" s="1373">
        <f t="shared" si="158"/>
        <v>8780.144933085101</v>
      </c>
      <c r="AD193" s="1373">
        <f t="shared" si="158"/>
        <v>9703.0962541788213</v>
      </c>
      <c r="AE193" s="1373">
        <f t="shared" si="158"/>
        <v>10252.46559529691</v>
      </c>
      <c r="AF193" s="1373">
        <f t="shared" si="158"/>
        <v>10799.17645372028</v>
      </c>
      <c r="AG193" s="1628"/>
      <c r="AH193" s="1628"/>
      <c r="AI193" s="1628"/>
      <c r="AJ193" s="1628"/>
      <c r="AK193" s="1628"/>
      <c r="AL193" s="1628"/>
      <c r="AM193" s="1628"/>
      <c r="AN193" s="1651"/>
    </row>
    <row r="194" spans="1:40">
      <c r="A194" s="349" t="s">
        <v>2040</v>
      </c>
      <c r="B194" s="383"/>
      <c r="C194" s="383"/>
      <c r="D194" s="383"/>
      <c r="E194" s="383"/>
      <c r="F194" s="383"/>
      <c r="G194" s="383"/>
      <c r="H194" s="1356"/>
      <c r="I194" s="1356"/>
      <c r="J194" s="1356"/>
      <c r="K194" s="1356"/>
      <c r="L194" s="1356"/>
      <c r="M194" s="1356"/>
      <c r="N194" s="1356"/>
      <c r="O194" s="1356"/>
      <c r="P194" s="1356"/>
      <c r="Q194" s="1356"/>
      <c r="R194" s="1356">
        <f t="shared" ref="R194:Y194" si="159">R193/R$39</f>
        <v>0.19833977567961472</v>
      </c>
      <c r="S194" s="1356">
        <f t="shared" si="159"/>
        <v>0.18679872124365324</v>
      </c>
      <c r="T194" s="1356">
        <f t="shared" si="159"/>
        <v>0.20104513064133017</v>
      </c>
      <c r="U194" s="1356">
        <f t="shared" si="159"/>
        <v>0.21440746753246753</v>
      </c>
      <c r="V194" s="1356">
        <f t="shared" si="159"/>
        <v>0.18990180627954903</v>
      </c>
      <c r="W194" s="1356">
        <f t="shared" si="159"/>
        <v>0.20875663629809268</v>
      </c>
      <c r="X194" s="1356">
        <f t="shared" si="159"/>
        <v>0.19863409508799579</v>
      </c>
      <c r="Y194" s="1356">
        <f t="shared" si="159"/>
        <v>0.1940600887969309</v>
      </c>
      <c r="Z194" s="1356">
        <f>Z193/Z$39</f>
        <v>0.20225500604019475</v>
      </c>
      <c r="AA194" s="1356">
        <f t="shared" ref="AA194:AF194" si="160">AA193/AA$39</f>
        <v>0.21781706811826079</v>
      </c>
      <c r="AB194" s="1356">
        <f t="shared" si="160"/>
        <v>0.22693845866925788</v>
      </c>
      <c r="AC194" s="1356">
        <f t="shared" si="160"/>
        <v>0.23002381537117278</v>
      </c>
      <c r="AD194" s="1356">
        <f t="shared" si="160"/>
        <v>0.23437193473016174</v>
      </c>
      <c r="AE194" s="1356">
        <f t="shared" si="160"/>
        <v>0.23605003766815513</v>
      </c>
      <c r="AF194" s="1356">
        <f t="shared" si="160"/>
        <v>0.23715750075181186</v>
      </c>
      <c r="AG194" s="1624"/>
      <c r="AH194" s="1624"/>
      <c r="AI194" s="1624"/>
      <c r="AJ194" s="1624"/>
      <c r="AK194" s="1624"/>
      <c r="AL194" s="1624"/>
      <c r="AM194" s="1624"/>
    </row>
    <row r="195" spans="1:40">
      <c r="A195" s="19" t="s">
        <v>2044</v>
      </c>
      <c r="R195" s="357">
        <v>-92</v>
      </c>
      <c r="S195" s="357">
        <v>224</v>
      </c>
      <c r="T195" s="357">
        <v>-33</v>
      </c>
      <c r="U195" s="357">
        <v>137</v>
      </c>
      <c r="V195" s="357">
        <v>-235</v>
      </c>
      <c r="W195" s="357">
        <v>129</v>
      </c>
      <c r="X195" s="357">
        <v>-199</v>
      </c>
      <c r="Y195" s="357">
        <v>-54</v>
      </c>
      <c r="Z195" s="357">
        <v>172</v>
      </c>
      <c r="AA195" s="357">
        <v>191.6102116868492</v>
      </c>
      <c r="AB195" s="357">
        <v>143.77186413367463</v>
      </c>
      <c r="AC195" s="357">
        <v>232.04020614810906</v>
      </c>
      <c r="AD195" s="357">
        <v>250.32193915494781</v>
      </c>
      <c r="AE195" s="357">
        <v>265.90096269794503</v>
      </c>
      <c r="AF195" s="357">
        <v>283.39468627589349</v>
      </c>
    </row>
    <row r="196" spans="1:40">
      <c r="A196" s="19"/>
    </row>
  </sheetData>
  <pageMargins left="0.7" right="0.7" top="0.75" bottom="0.75" header="0.3" footer="0.3"/>
  <pageSetup paperSize="9" orientation="portrait" r:id="rId1"/>
  <customProperties>
    <customPr name="Qube.Worksheet.Visibility" r:id="rId2"/>
  </customProperties>
  <legacyDrawing r:id="rId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0A6A02-36EF-40F1-8F05-00024DE92735}">
  <sheetPr codeName="Sheet5">
    <tabColor rgb="FF002060"/>
  </sheetPr>
  <dimension ref="A1:AO73"/>
  <sheetViews>
    <sheetView showGridLines="0" zoomScaleNormal="100" workbookViewId="0"/>
  </sheetViews>
  <sheetFormatPr defaultRowHeight="14.25" outlineLevelCol="1"/>
  <cols>
    <col min="1" max="1" width="35.375" bestFit="1" customWidth="1"/>
    <col min="2" max="22" width="9" hidden="1" customWidth="1" outlineLevel="1"/>
    <col min="23" max="23" width="9" collapsed="1"/>
    <col min="33" max="33" width="43.75" style="1646" customWidth="1"/>
    <col min="34" max="36" width="9" style="1622"/>
  </cols>
  <sheetData>
    <row r="1" spans="1:41" ht="15">
      <c r="A1" s="1285">
        <f>'DCF Valuation'!D45</f>
        <v>340</v>
      </c>
    </row>
    <row r="2" spans="1:41">
      <c r="A2" s="305" t="s">
        <v>607</v>
      </c>
      <c r="B2" s="305">
        <v>2000</v>
      </c>
      <c r="C2" s="305">
        <v>2001</v>
      </c>
      <c r="D2" s="305">
        <v>2002</v>
      </c>
      <c r="E2" s="305">
        <v>2003</v>
      </c>
      <c r="F2" s="305">
        <v>2004</v>
      </c>
      <c r="G2" s="305">
        <v>2005</v>
      </c>
      <c r="H2" s="305">
        <v>2006</v>
      </c>
      <c r="I2" s="305">
        <v>2007</v>
      </c>
      <c r="J2" s="305">
        <v>2008</v>
      </c>
      <c r="K2" s="305">
        <v>2009</v>
      </c>
      <c r="L2" s="305">
        <v>2010</v>
      </c>
      <c r="M2" s="305">
        <v>2011</v>
      </c>
      <c r="N2" s="305">
        <v>2012</v>
      </c>
      <c r="O2" s="305">
        <v>2013</v>
      </c>
      <c r="P2" s="305">
        <v>2014</v>
      </c>
      <c r="Q2" s="305">
        <v>2015</v>
      </c>
      <c r="R2" s="305">
        <v>2016</v>
      </c>
      <c r="S2" s="305">
        <v>2017</v>
      </c>
      <c r="T2" s="305">
        <v>2018</v>
      </c>
      <c r="U2" s="305">
        <v>2019</v>
      </c>
      <c r="V2" s="305">
        <v>2020</v>
      </c>
      <c r="W2" s="305">
        <v>2021</v>
      </c>
      <c r="X2" s="305">
        <v>2022</v>
      </c>
      <c r="Y2" s="305">
        <v>2023</v>
      </c>
      <c r="Z2" s="305">
        <v>2024</v>
      </c>
      <c r="AA2" s="1307">
        <f>Z2+1</f>
        <v>2025</v>
      </c>
      <c r="AB2" s="1307">
        <f t="shared" ref="AB2:AF2" si="0">AA2+1</f>
        <v>2026</v>
      </c>
      <c r="AC2" s="1307">
        <f t="shared" si="0"/>
        <v>2027</v>
      </c>
      <c r="AD2" s="1307">
        <f t="shared" si="0"/>
        <v>2028</v>
      </c>
      <c r="AE2" s="1307">
        <f t="shared" si="0"/>
        <v>2029</v>
      </c>
      <c r="AF2" s="1307">
        <f t="shared" si="0"/>
        <v>2030</v>
      </c>
      <c r="AG2" s="1623" t="s">
        <v>1379</v>
      </c>
      <c r="AH2" s="1647"/>
      <c r="AJ2" s="1626"/>
      <c r="AK2" s="193"/>
      <c r="AL2" s="193"/>
      <c r="AM2" s="193"/>
      <c r="AN2" s="193"/>
      <c r="AO2" s="193"/>
    </row>
    <row r="3" spans="1:41">
      <c r="A3" s="19"/>
      <c r="B3" s="213"/>
      <c r="C3" s="213"/>
      <c r="D3" s="213"/>
      <c r="E3" s="213"/>
      <c r="F3" s="213"/>
      <c r="G3" s="213"/>
      <c r="H3" s="213"/>
      <c r="I3" s="213"/>
      <c r="J3" s="213"/>
      <c r="K3" s="213"/>
      <c r="L3" s="213"/>
      <c r="M3" s="213"/>
      <c r="N3" s="213"/>
      <c r="O3" s="213"/>
      <c r="P3" s="213"/>
      <c r="Q3" s="213"/>
      <c r="R3" s="213"/>
      <c r="S3" s="213"/>
      <c r="T3" s="213"/>
      <c r="U3" s="213"/>
      <c r="V3" s="213"/>
      <c r="W3" s="213"/>
      <c r="X3" s="213"/>
      <c r="Y3" s="213"/>
      <c r="Z3" s="213"/>
      <c r="AA3" s="213"/>
      <c r="AB3" s="213"/>
      <c r="AC3" s="213"/>
      <c r="AD3" s="213"/>
      <c r="AE3" s="213"/>
      <c r="AF3" s="213"/>
      <c r="AG3" s="1648"/>
      <c r="AH3" s="1647"/>
      <c r="AJ3" s="1624"/>
      <c r="AK3" s="213"/>
      <c r="AL3" s="213"/>
      <c r="AM3" s="213"/>
      <c r="AN3" s="213"/>
      <c r="AO3" s="213"/>
    </row>
    <row r="4" spans="1:41">
      <c r="A4" s="279" t="s">
        <v>930</v>
      </c>
      <c r="B4" s="213"/>
      <c r="C4" s="213"/>
      <c r="D4" s="213"/>
      <c r="E4" s="213"/>
      <c r="F4" s="213"/>
      <c r="G4" s="213"/>
      <c r="H4" s="273">
        <f>'Income Statement'!H92+'Income Statement'!H94-'Income Statement'!H95</f>
        <v>33</v>
      </c>
      <c r="I4" s="273">
        <f>'Income Statement'!I92+'Income Statement'!I94-'Income Statement'!I95</f>
        <v>53</v>
      </c>
      <c r="J4" s="273">
        <f>'Income Statement'!J92+'Income Statement'!J94-'Income Statement'!J95</f>
        <v>-183</v>
      </c>
      <c r="K4" s="273">
        <f>'Income Statement'!K92+'Income Statement'!K94-'Income Statement'!K95</f>
        <v>641</v>
      </c>
      <c r="L4" s="273">
        <f>'Income Statement'!L92+'Income Statement'!L94-'Income Statement'!L95</f>
        <v>207</v>
      </c>
      <c r="M4" s="273">
        <f>'Income Statement'!M92+'Income Statement'!M94-'Income Statement'!M95</f>
        <v>478</v>
      </c>
      <c r="N4" s="273">
        <f>'Income Statement'!N92+'Income Statement'!N94-'Income Statement'!N95</f>
        <v>1282</v>
      </c>
      <c r="O4" s="273">
        <f>'Income Statement'!O92+'Income Statement'!O94-'Income Statement'!O95</f>
        <v>1255</v>
      </c>
      <c r="P4" s="273">
        <f>'Income Statement'!P92+'Income Statement'!P94-'Income Statement'!P95</f>
        <v>-126</v>
      </c>
      <c r="Q4" s="273">
        <f>'Income Statement'!Q92+'Income Statement'!Q94-'Income Statement'!Q95</f>
        <v>-424</v>
      </c>
      <c r="R4" s="273">
        <f>'Income Statement'!R92+'Income Statement'!R94-'Income Statement'!R95</f>
        <v>1908</v>
      </c>
      <c r="S4" s="273">
        <f>'Income Statement'!S92+'Income Statement'!S94-'Income Statement'!S95</f>
        <v>4550</v>
      </c>
      <c r="T4" s="273">
        <f>'Income Statement'!T92+'Income Statement'!T94-'Income Statement'!T95</f>
        <v>1283</v>
      </c>
      <c r="U4" s="273">
        <f>'Income Statement'!U92+'Income Statement'!U94-'Income Statement'!U95</f>
        <v>2447</v>
      </c>
      <c r="V4" s="273">
        <f>'Income Statement'!V92+'Income Statement'!V94-'Income Statement'!V95</f>
        <v>352</v>
      </c>
      <c r="W4" s="273">
        <f>'Income Statement'!W92+'Income Statement'!W94-'Income Statement'!W95</f>
        <v>43</v>
      </c>
      <c r="X4" s="273">
        <f>'Income Statement'!X92+'Income Statement'!X94-'Income Statement'!X95</f>
        <v>-2459</v>
      </c>
      <c r="Y4" s="273">
        <f>'Income Statement'!Y92+'Income Statement'!Y94-'Income Statement'!Y95</f>
        <v>3444</v>
      </c>
      <c r="Z4" s="273">
        <f>'Income Statement'!Z92+'Income Statement'!Z94-'Income Statement'!Z95</f>
        <v>-667</v>
      </c>
      <c r="AA4" s="468">
        <f>'Income Statement'!AA92+'Income Statement'!AA94-'Income Statement'!AA95</f>
        <v>3378.8787103292052</v>
      </c>
      <c r="AB4" s="468">
        <f>'Income Statement'!AB92+'Income Statement'!AB94-'Income Statement'!AB95</f>
        <v>4177.9453046421168</v>
      </c>
      <c r="AC4" s="468">
        <f>'Income Statement'!AC92+'Income Statement'!AC94-'Income Statement'!AC95</f>
        <v>5045.033570944749</v>
      </c>
      <c r="AD4" s="468">
        <f>'Income Statement'!AD92+'Income Statement'!AD94-'Income Statement'!AD95</f>
        <v>5614.2336011980487</v>
      </c>
      <c r="AE4" s="468">
        <f>'Income Statement'!AE92+'Income Statement'!AE94-'Income Statement'!AE95</f>
        <v>5957.9815659522574</v>
      </c>
      <c r="AF4" s="468">
        <f>'Income Statement'!AF92+'Income Statement'!AF94-'Income Statement'!AF95</f>
        <v>6311.1175278224646</v>
      </c>
      <c r="AG4" s="1648"/>
      <c r="AH4" s="1647"/>
      <c r="AJ4" s="1624"/>
      <c r="AK4" s="213"/>
      <c r="AL4" s="213"/>
      <c r="AM4" s="213"/>
      <c r="AN4" s="213"/>
      <c r="AO4" s="213"/>
    </row>
    <row r="5" spans="1:41">
      <c r="A5" s="4" t="s">
        <v>688</v>
      </c>
      <c r="B5" s="213"/>
      <c r="C5" s="213"/>
      <c r="D5" s="213"/>
      <c r="E5" s="213"/>
      <c r="F5" s="213"/>
      <c r="G5" s="213"/>
      <c r="H5" s="19">
        <f>575-H7</f>
        <v>298</v>
      </c>
      <c r="I5" s="19">
        <f>513-I7</f>
        <v>281</v>
      </c>
      <c r="J5" s="19">
        <f>540-J7</f>
        <v>273</v>
      </c>
      <c r="K5" s="19">
        <f>573-K7</f>
        <v>274</v>
      </c>
      <c r="L5" s="292">
        <v>291</v>
      </c>
      <c r="M5" s="19">
        <f>695-M7-M9-M10</f>
        <v>321</v>
      </c>
      <c r="N5" s="19">
        <f>962-N7-N9-N10</f>
        <v>340</v>
      </c>
      <c r="O5" s="352">
        <f>941-O7-O9-O10</f>
        <v>363</v>
      </c>
      <c r="P5" s="293">
        <v>366</v>
      </c>
      <c r="Q5" s="27">
        <f>741*(P5/(P5+P7))</f>
        <v>331.54767726161367</v>
      </c>
      <c r="R5" s="27">
        <f>726*(Q5/(Q5+Q7))</f>
        <v>324.83618581907086</v>
      </c>
      <c r="S5" s="357">
        <f>788*(R5/(R5+R7))</f>
        <v>352.57701711491438</v>
      </c>
      <c r="T5" s="357">
        <f>1209*(S5/(S5+S7))</f>
        <v>540.94621026894856</v>
      </c>
      <c r="U5" s="357">
        <f>1463*(T5/(T5+T7))</f>
        <v>654.59413202933968</v>
      </c>
      <c r="V5" s="357">
        <f>1447*(U5/(U5+U7))</f>
        <v>647.4352078239607</v>
      </c>
      <c r="W5" s="357">
        <f>1380*(V5/(V5+V7))</f>
        <v>617.45721271393631</v>
      </c>
      <c r="X5" s="357">
        <f>1373*(W5/(W5+W7))</f>
        <v>614.32518337408294</v>
      </c>
      <c r="Y5" s="357">
        <f>1336*(X5/(X5+X7))</f>
        <v>597.77017114914406</v>
      </c>
      <c r="Z5" s="357">
        <f>1406*(Y5/(Y5+Y7))</f>
        <v>629.09046454767702</v>
      </c>
      <c r="AA5" s="327">
        <f>AA6*'Income Statement'!AA$41</f>
        <v>703.53828944722102</v>
      </c>
      <c r="AB5" s="327">
        <f>AB6*'Income Statement'!AB$41</f>
        <v>783.54190373986216</v>
      </c>
      <c r="AC5" s="327">
        <f>AC6*'Income Statement'!AC$41</f>
        <v>866.38601186008793</v>
      </c>
      <c r="AD5" s="327">
        <f>AD6*'Income Statement'!AD$41</f>
        <v>939.69579661837486</v>
      </c>
      <c r="AE5" s="327">
        <f>AE6*'Income Statement'!AE$41</f>
        <v>985.84081896482041</v>
      </c>
      <c r="AF5" s="327">
        <f>AF6*'Income Statement'!AF$41</f>
        <v>1033.5614967898616</v>
      </c>
      <c r="AG5" s="1648"/>
      <c r="AH5" s="1647"/>
      <c r="AJ5" s="1624"/>
      <c r="AK5" s="213"/>
      <c r="AL5" s="213"/>
      <c r="AM5" s="213"/>
      <c r="AN5" s="213"/>
      <c r="AO5" s="213"/>
    </row>
    <row r="6" spans="1:41">
      <c r="A6" s="358" t="s">
        <v>781</v>
      </c>
      <c r="B6" s="213"/>
      <c r="C6" s="213"/>
      <c r="D6" s="213"/>
      <c r="E6" s="213"/>
      <c r="F6" s="213"/>
      <c r="G6" s="213"/>
      <c r="H6" s="285">
        <f>H5/'Income Statement'!H$41</f>
        <v>2.7488239092334655E-2</v>
      </c>
      <c r="I6" s="285">
        <f>I5/'Income Statement'!I$41</f>
        <v>2.8927321391805642E-2</v>
      </c>
      <c r="J6" s="285">
        <f>J5/'Income Statement'!J$41</f>
        <v>2.6553837175372047E-2</v>
      </c>
      <c r="K6" s="285">
        <f>K5/'Income Statement'!K$41</f>
        <v>2.5949427029074722E-2</v>
      </c>
      <c r="L6" s="285">
        <f>L5/'Income Statement'!L$41</f>
        <v>2.6387377584330796E-2</v>
      </c>
      <c r="M6" s="285">
        <f>M5/'Income Statement'!M$41</f>
        <v>2.7534740092640248E-2</v>
      </c>
      <c r="N6" s="285">
        <f>N5/'Income Statement'!N$41</f>
        <v>2.4972456849063532E-2</v>
      </c>
      <c r="O6" s="285">
        <f>O5/'Income Statement'!O$41</f>
        <v>2.5051759834368529E-2</v>
      </c>
      <c r="P6" s="285">
        <f>P5/'Income Statement'!P$41</f>
        <v>2.4328636001063546E-2</v>
      </c>
      <c r="Q6" s="285">
        <f>Q5/'Income Statement'!Q$41</f>
        <v>2.0438150490791129E-2</v>
      </c>
      <c r="R6" s="473">
        <f>$I6</f>
        <v>2.8927321391805642E-2</v>
      </c>
      <c r="S6" s="473">
        <f>R6</f>
        <v>2.8927321391805642E-2</v>
      </c>
      <c r="T6" s="473">
        <f>T5/'Income Statement'!T41</f>
        <v>2.5728713924801357E-2</v>
      </c>
      <c r="U6" s="473">
        <f>U5/'Income Statement'!U41</f>
        <v>2.6081525700427911E-2</v>
      </c>
      <c r="V6" s="473">
        <f>V5/'Income Statement'!V41</f>
        <v>3.8929421431300626E-2</v>
      </c>
      <c r="W6" s="473">
        <f>W5/'Income Statement'!W41</f>
        <v>4.0802036127267315E-2</v>
      </c>
      <c r="X6" s="473">
        <f>X5/'Income Statement'!X41</f>
        <v>3.1466740940126157E-2</v>
      </c>
      <c r="Y6" s="473">
        <f>Y5/'Income Statement'!Y41</f>
        <v>2.527462564581388E-2</v>
      </c>
      <c r="Z6" s="473">
        <f>Z5/'Income Statement'!Z41</f>
        <v>2.2697736489669398E-2</v>
      </c>
      <c r="AA6" s="1286">
        <f t="shared" ref="AA6:AF6" si="1">Z6</f>
        <v>2.2697736489669398E-2</v>
      </c>
      <c r="AB6" s="1286">
        <f t="shared" si="1"/>
        <v>2.2697736489669398E-2</v>
      </c>
      <c r="AC6" s="1286">
        <f t="shared" si="1"/>
        <v>2.2697736489669398E-2</v>
      </c>
      <c r="AD6" s="1286">
        <f t="shared" si="1"/>
        <v>2.2697736489669398E-2</v>
      </c>
      <c r="AE6" s="1286">
        <f t="shared" si="1"/>
        <v>2.2697736489669398E-2</v>
      </c>
      <c r="AF6" s="1286">
        <f t="shared" si="1"/>
        <v>2.2697736489669398E-2</v>
      </c>
      <c r="AG6" s="1648"/>
      <c r="AH6" s="1647"/>
      <c r="AJ6" s="1624"/>
      <c r="AK6" s="213"/>
      <c r="AL6" s="213"/>
      <c r="AM6" s="213"/>
      <c r="AN6" s="213"/>
      <c r="AO6" s="213"/>
    </row>
    <row r="7" spans="1:41">
      <c r="A7" s="4" t="s">
        <v>929</v>
      </c>
      <c r="B7" s="213"/>
      <c r="C7" s="213"/>
      <c r="D7" s="213"/>
      <c r="E7" s="213"/>
      <c r="F7" s="213"/>
      <c r="G7" s="213"/>
      <c r="H7" s="292">
        <v>277</v>
      </c>
      <c r="I7" s="292">
        <v>232</v>
      </c>
      <c r="J7" s="292">
        <v>267</v>
      </c>
      <c r="K7" s="292">
        <v>299</v>
      </c>
      <c r="L7" s="292">
        <v>315</v>
      </c>
      <c r="M7" s="292">
        <v>341</v>
      </c>
      <c r="N7" s="292">
        <v>381</v>
      </c>
      <c r="O7" s="359">
        <v>399</v>
      </c>
      <c r="P7" s="359">
        <v>452</v>
      </c>
      <c r="Q7" s="357">
        <f>741-Q5</f>
        <v>409.45232273838633</v>
      </c>
      <c r="R7" s="357">
        <f>726-R5</f>
        <v>401.16381418092914</v>
      </c>
      <c r="S7" s="357">
        <f>788-S5</f>
        <v>435.42298288508562</v>
      </c>
      <c r="T7" s="357">
        <f>1209-T5</f>
        <v>668.05378973105144</v>
      </c>
      <c r="U7" s="357">
        <f>1463-U5</f>
        <v>808.40586797066032</v>
      </c>
      <c r="V7" s="357">
        <f>1447-V5</f>
        <v>799.5647921760393</v>
      </c>
      <c r="W7" s="357">
        <f>1380-W5</f>
        <v>762.54278728606369</v>
      </c>
      <c r="X7" s="357">
        <f>1373-X5</f>
        <v>758.67481662591706</v>
      </c>
      <c r="Y7" s="357">
        <f>1336-Y5</f>
        <v>738.22982885085594</v>
      </c>
      <c r="Z7" s="357">
        <f>1406-Z5</f>
        <v>776.90953545232298</v>
      </c>
      <c r="AA7" s="360">
        <f>AA8*'Income Statement'!AA$41</f>
        <v>868.85056510968343</v>
      </c>
      <c r="AB7" s="360">
        <f>AB8*'Income Statement'!AB$41</f>
        <v>1035.621200505806</v>
      </c>
      <c r="AC7" s="360">
        <f>AC8*'Income Statement'!AC$41</f>
        <v>1068.7765426796441</v>
      </c>
      <c r="AD7" s="360">
        <f>AD8*'Income Statement'!AD$41</f>
        <v>1159.2117265653274</v>
      </c>
      <c r="AE7" s="360">
        <f>AE8*'Income Statement'!AE$41</f>
        <v>1216.1363730510482</v>
      </c>
      <c r="AF7" s="360">
        <f>AF8*'Income Statement'!AF$41</f>
        <v>1275.004753151826</v>
      </c>
      <c r="AG7" s="1648"/>
      <c r="AH7" s="1647"/>
      <c r="AJ7" s="1624"/>
      <c r="AK7" s="213"/>
      <c r="AL7" s="213"/>
      <c r="AM7" s="213"/>
      <c r="AN7" s="213"/>
      <c r="AO7" s="213"/>
    </row>
    <row r="8" spans="1:41">
      <c r="A8" s="358" t="s">
        <v>781</v>
      </c>
      <c r="B8" s="213"/>
      <c r="C8" s="213"/>
      <c r="D8" s="213"/>
      <c r="E8" s="213"/>
      <c r="F8" s="213"/>
      <c r="G8" s="213"/>
      <c r="H8" s="285">
        <f>H7/'Income Statement'!H$41</f>
        <v>2.5551148418042617E-2</v>
      </c>
      <c r="I8" s="285">
        <f>I7/'Income Statement'!I$41</f>
        <v>2.3883055383981881E-2</v>
      </c>
      <c r="J8" s="285">
        <f>J7/'Income Statement'!J$41</f>
        <v>2.59702363583309E-2</v>
      </c>
      <c r="K8" s="285">
        <f>K7/'Income Statement'!K$41</f>
        <v>2.8317075480632635E-2</v>
      </c>
      <c r="L8" s="285">
        <f>L7/'Income Statement'!L$41</f>
        <v>2.8563656147986942E-2</v>
      </c>
      <c r="M8" s="285">
        <f>M7/'Income Statement'!M$41</f>
        <v>2.9250300223022815E-2</v>
      </c>
      <c r="N8" s="285">
        <f>N7/'Income Statement'!N$41</f>
        <v>2.7983841351450607E-2</v>
      </c>
      <c r="O8" s="285">
        <f>O7/'Income Statement'!O$41</f>
        <v>2.753623188405797E-2</v>
      </c>
      <c r="P8" s="285">
        <f>P7/'Income Statement'!P$41</f>
        <v>3.0045200744482851E-2</v>
      </c>
      <c r="Q8" s="285">
        <f>Q7/'Income Statement'!Q$41</f>
        <v>2.5240557436714727E-2</v>
      </c>
      <c r="R8" s="473">
        <f>AVERAGE(M8:Q8)</f>
        <v>2.8011226327945792E-2</v>
      </c>
      <c r="S8" s="473">
        <f>R8</f>
        <v>2.8011226327945792E-2</v>
      </c>
      <c r="T8" s="473">
        <f>T7/'Income Statement'!T41</f>
        <v>3.1774258726803874E-2</v>
      </c>
      <c r="U8" s="473">
        <f>U7/'Income Statement'!U41</f>
        <v>3.2209971630036673E-2</v>
      </c>
      <c r="V8" s="473">
        <f>V7/'Income Statement'!V41</f>
        <v>4.8076771822261999E-2</v>
      </c>
      <c r="W8" s="473">
        <f>W7/'Income Statement'!W41</f>
        <v>5.0389399807444904E-2</v>
      </c>
      <c r="X8" s="473">
        <f>X7/'Income Statement'!X41</f>
        <v>3.8860565314035603E-2</v>
      </c>
      <c r="Y8" s="473">
        <f>Y7/'Income Statement'!Y41</f>
        <v>3.1213472109037924E-2</v>
      </c>
      <c r="Z8" s="473">
        <f>Z7/'Income Statement'!Z41</f>
        <v>2.8031084408007036E-2</v>
      </c>
      <c r="AA8" s="1286">
        <f>Z8</f>
        <v>2.8031084408007036E-2</v>
      </c>
      <c r="AB8" s="1287">
        <v>0.03</v>
      </c>
      <c r="AC8" s="1287">
        <v>2.8000000000000001E-2</v>
      </c>
      <c r="AD8" s="1287">
        <v>2.8000000000000001E-2</v>
      </c>
      <c r="AE8" s="1287">
        <v>2.8000000000000001E-2</v>
      </c>
      <c r="AF8" s="1287">
        <v>2.8000000000000001E-2</v>
      </c>
      <c r="AG8" s="1648"/>
      <c r="AH8" s="1647"/>
      <c r="AJ8" s="1624"/>
      <c r="AK8" s="213"/>
      <c r="AL8" s="213"/>
      <c r="AM8" s="213"/>
      <c r="AN8" s="213"/>
      <c r="AO8" s="213"/>
    </row>
    <row r="9" spans="1:41">
      <c r="A9" s="4" t="s">
        <v>928</v>
      </c>
      <c r="B9" s="213"/>
      <c r="C9" s="213"/>
      <c r="D9" s="213"/>
      <c r="E9" s="213"/>
      <c r="F9" s="213"/>
      <c r="G9" s="213"/>
      <c r="H9" s="260">
        <v>129</v>
      </c>
      <c r="I9" s="260">
        <v>210</v>
      </c>
      <c r="J9" s="260">
        <v>-10</v>
      </c>
      <c r="K9" s="260">
        <v>177</v>
      </c>
      <c r="L9" s="260">
        <v>-3</v>
      </c>
      <c r="M9" s="260">
        <v>62</v>
      </c>
      <c r="N9" s="260">
        <v>54</v>
      </c>
      <c r="O9" s="260">
        <v>103</v>
      </c>
      <c r="P9" s="260">
        <v>137</v>
      </c>
      <c r="Q9" s="260">
        <v>1004</v>
      </c>
      <c r="R9" s="260">
        <v>243</v>
      </c>
      <c r="S9" s="260">
        <v>60</v>
      </c>
      <c r="T9" s="260">
        <v>-19</v>
      </c>
      <c r="U9" s="260">
        <v>-42</v>
      </c>
      <c r="V9" s="260">
        <v>377</v>
      </c>
      <c r="W9" s="260">
        <v>91</v>
      </c>
      <c r="X9" s="260">
        <v>411</v>
      </c>
      <c r="Y9" s="260">
        <v>148</v>
      </c>
      <c r="Z9" s="260">
        <v>0</v>
      </c>
      <c r="AA9" s="357">
        <f>Z9</f>
        <v>0</v>
      </c>
      <c r="AB9" s="357">
        <f>AA9</f>
        <v>0</v>
      </c>
      <c r="AC9" s="357">
        <f>AB9</f>
        <v>0</v>
      </c>
      <c r="AD9" s="357">
        <f>AC9</f>
        <v>0</v>
      </c>
      <c r="AE9" s="357">
        <f>AD9</f>
        <v>0</v>
      </c>
      <c r="AF9" s="357">
        <f>AE9</f>
        <v>0</v>
      </c>
      <c r="AG9" s="1648"/>
      <c r="AH9" s="1647"/>
      <c r="AJ9" s="1624"/>
      <c r="AK9" s="213"/>
      <c r="AL9" s="213"/>
      <c r="AM9" s="213"/>
      <c r="AN9" s="213"/>
      <c r="AO9" s="213"/>
    </row>
    <row r="10" spans="1:41">
      <c r="A10" s="4" t="s">
        <v>927</v>
      </c>
      <c r="B10" s="213"/>
      <c r="C10" s="213"/>
      <c r="D10" s="213"/>
      <c r="E10" s="213"/>
      <c r="F10" s="213"/>
      <c r="G10" s="213"/>
      <c r="H10" s="260">
        <v>247</v>
      </c>
      <c r="I10" s="260">
        <v>178</v>
      </c>
      <c r="J10" s="260">
        <v>160</v>
      </c>
      <c r="K10" s="260">
        <v>25</v>
      </c>
      <c r="L10" s="260">
        <v>46</v>
      </c>
      <c r="M10" s="260">
        <v>-29</v>
      </c>
      <c r="N10" s="260">
        <v>187</v>
      </c>
      <c r="O10" s="260">
        <v>76</v>
      </c>
      <c r="P10" s="260">
        <v>205</v>
      </c>
      <c r="Q10" s="260">
        <v>114</v>
      </c>
      <c r="R10" s="260">
        <v>-42</v>
      </c>
      <c r="S10" s="260">
        <v>178</v>
      </c>
      <c r="T10" s="260">
        <v>45</v>
      </c>
      <c r="U10" s="260">
        <v>168</v>
      </c>
      <c r="V10" s="260">
        <v>-259</v>
      </c>
      <c r="W10" s="260">
        <v>171</v>
      </c>
      <c r="X10" s="260">
        <v>-169</v>
      </c>
      <c r="Y10" s="260">
        <v>-51</v>
      </c>
      <c r="Z10" s="260">
        <v>285</v>
      </c>
      <c r="AA10" s="227">
        <v>100</v>
      </c>
      <c r="AB10" s="227">
        <v>100</v>
      </c>
      <c r="AC10" s="227">
        <v>100</v>
      </c>
      <c r="AD10" s="227">
        <v>100</v>
      </c>
      <c r="AE10" s="227">
        <v>100</v>
      </c>
      <c r="AF10" s="227">
        <v>100</v>
      </c>
      <c r="AG10" s="1648"/>
      <c r="AH10" s="1647"/>
      <c r="AJ10" s="1624"/>
      <c r="AK10" s="213"/>
      <c r="AL10" s="213"/>
      <c r="AM10" s="213"/>
      <c r="AN10" s="213"/>
      <c r="AO10" s="213"/>
    </row>
    <row r="11" spans="1:41">
      <c r="A11" s="4" t="s">
        <v>926</v>
      </c>
      <c r="B11" s="213"/>
      <c r="C11" s="213"/>
      <c r="D11" s="213"/>
      <c r="E11" s="213"/>
      <c r="F11" s="213"/>
      <c r="G11" s="213"/>
      <c r="H11" s="260">
        <v>4</v>
      </c>
      <c r="I11" s="260">
        <v>4</v>
      </c>
      <c r="J11" s="260">
        <v>-4</v>
      </c>
      <c r="K11" s="260">
        <v>-2</v>
      </c>
      <c r="L11" s="260">
        <v>-9</v>
      </c>
      <c r="M11" s="260">
        <v>-10</v>
      </c>
      <c r="N11" s="260">
        <v>-19</v>
      </c>
      <c r="O11" s="260">
        <f>-'Income Statement'!O83</f>
        <v>-15</v>
      </c>
      <c r="P11" s="260">
        <v>-36</v>
      </c>
      <c r="Q11" s="260">
        <v>-20</v>
      </c>
      <c r="R11" s="260">
        <v>-63</v>
      </c>
      <c r="S11" s="260">
        <v>-100</v>
      </c>
      <c r="T11" s="260">
        <v>-124</v>
      </c>
      <c r="U11" s="260">
        <v>-87</v>
      </c>
      <c r="V11" s="260">
        <v>22</v>
      </c>
      <c r="W11" s="260">
        <v>702</v>
      </c>
      <c r="X11" s="260">
        <v>11</v>
      </c>
      <c r="Y11" s="260">
        <v>-83</v>
      </c>
      <c r="Z11" s="260">
        <v>-120</v>
      </c>
      <c r="AA11" s="327">
        <f>-'Income Statement'!AA83</f>
        <v>0</v>
      </c>
      <c r="AB11" s="327">
        <f>-'Income Statement'!AB83</f>
        <v>0</v>
      </c>
      <c r="AC11" s="327">
        <f>-'Income Statement'!AC83</f>
        <v>0</v>
      </c>
      <c r="AD11" s="327">
        <f>-'Income Statement'!AD83</f>
        <v>0</v>
      </c>
      <c r="AE11" s="327">
        <f>-'Income Statement'!AE83</f>
        <v>0</v>
      </c>
      <c r="AF11" s="327">
        <f>-'Income Statement'!AF83</f>
        <v>0</v>
      </c>
      <c r="AG11" s="1648"/>
      <c r="AH11" s="1647"/>
      <c r="AJ11" s="1624"/>
      <c r="AK11" s="213"/>
      <c r="AL11" s="213"/>
      <c r="AM11" s="213"/>
      <c r="AN11" s="213"/>
      <c r="AO11" s="213"/>
    </row>
    <row r="12" spans="1:41">
      <c r="A12" s="4" t="s">
        <v>925</v>
      </c>
      <c r="B12" s="213"/>
      <c r="C12" s="213"/>
      <c r="D12" s="213"/>
      <c r="E12" s="213"/>
      <c r="F12" s="213"/>
      <c r="G12" s="213"/>
      <c r="H12" s="260">
        <v>135</v>
      </c>
      <c r="I12" s="260">
        <v>368</v>
      </c>
      <c r="J12" s="260">
        <v>546</v>
      </c>
      <c r="K12" s="260">
        <v>-546</v>
      </c>
      <c r="L12" s="260">
        <v>310</v>
      </c>
      <c r="M12" s="260">
        <v>2</v>
      </c>
      <c r="N12" s="260">
        <v>-779</v>
      </c>
      <c r="O12" s="260">
        <v>-432</v>
      </c>
      <c r="P12" s="260">
        <v>1934</v>
      </c>
      <c r="Q12" s="260">
        <v>2475</v>
      </c>
      <c r="R12" s="260">
        <v>81</v>
      </c>
      <c r="S12" s="260">
        <v>-3608</v>
      </c>
      <c r="T12" s="260">
        <v>316</v>
      </c>
      <c r="U12" s="260">
        <v>-152</v>
      </c>
      <c r="V12" s="260">
        <v>209</v>
      </c>
      <c r="W12" s="260">
        <v>538</v>
      </c>
      <c r="X12" s="260">
        <v>4207</v>
      </c>
      <c r="Y12" s="260">
        <v>-2161</v>
      </c>
      <c r="Z12" s="260">
        <v>4684</v>
      </c>
      <c r="AA12" s="4"/>
      <c r="AB12" s="4"/>
      <c r="AC12" s="4"/>
      <c r="AD12" s="4"/>
      <c r="AE12" s="4"/>
      <c r="AF12" s="4"/>
      <c r="AG12" s="1648"/>
      <c r="AH12" s="1647"/>
      <c r="AJ12" s="1624"/>
      <c r="AK12" s="213"/>
      <c r="AL12" s="213"/>
      <c r="AM12" s="213"/>
      <c r="AN12" s="213"/>
      <c r="AO12" s="213"/>
    </row>
    <row r="13" spans="1:41">
      <c r="A13" s="4" t="s">
        <v>924</v>
      </c>
      <c r="B13" s="213"/>
      <c r="C13" s="213"/>
      <c r="D13" s="213"/>
      <c r="E13" s="213"/>
      <c r="F13" s="213"/>
      <c r="G13" s="213"/>
      <c r="H13" s="260">
        <v>-39</v>
      </c>
      <c r="I13" s="260">
        <v>7</v>
      </c>
      <c r="J13" s="260">
        <v>-127</v>
      </c>
      <c r="K13" s="260">
        <v>6</v>
      </c>
      <c r="L13" s="260">
        <v>31</v>
      </c>
      <c r="M13" s="260">
        <v>16</v>
      </c>
      <c r="N13" s="260">
        <v>10</v>
      </c>
      <c r="O13" s="260">
        <v>-382</v>
      </c>
      <c r="P13" s="260">
        <v>-12</v>
      </c>
      <c r="Q13" s="260">
        <v>-453</v>
      </c>
      <c r="R13" s="260">
        <v>-364</v>
      </c>
      <c r="S13" s="260">
        <v>-20</v>
      </c>
      <c r="T13" s="260">
        <v>12</v>
      </c>
      <c r="U13" s="260">
        <v>-41</v>
      </c>
      <c r="V13" s="260">
        <v>20</v>
      </c>
      <c r="W13" s="260">
        <v>-57</v>
      </c>
      <c r="X13" s="260">
        <v>289</v>
      </c>
      <c r="Y13" s="260">
        <v>344</v>
      </c>
      <c r="Z13" s="260">
        <v>-47</v>
      </c>
      <c r="AA13" s="4"/>
      <c r="AB13" s="4"/>
      <c r="AC13" s="4"/>
      <c r="AD13" s="4"/>
      <c r="AE13" s="4"/>
      <c r="AF13" s="4"/>
      <c r="AG13" s="1648"/>
      <c r="AH13" s="1647"/>
      <c r="AJ13" s="1624"/>
      <c r="AK13" s="213"/>
      <c r="AL13" s="213"/>
      <c r="AM13" s="213"/>
      <c r="AN13" s="213"/>
      <c r="AO13" s="213"/>
    </row>
    <row r="14" spans="1:41">
      <c r="A14" s="4" t="s">
        <v>923</v>
      </c>
      <c r="B14" s="213"/>
      <c r="C14" s="213"/>
      <c r="D14" s="213"/>
      <c r="E14" s="213"/>
      <c r="F14" s="213"/>
      <c r="G14" s="213"/>
      <c r="H14" s="260">
        <v>0</v>
      </c>
      <c r="I14" s="260">
        <v>-36</v>
      </c>
      <c r="J14" s="260">
        <v>308</v>
      </c>
      <c r="K14" s="260">
        <v>-1</v>
      </c>
      <c r="L14" s="260">
        <v>5</v>
      </c>
      <c r="M14" s="260">
        <v>-4</v>
      </c>
      <c r="N14" s="260">
        <v>-1</v>
      </c>
      <c r="O14" s="260"/>
      <c r="P14" s="260"/>
      <c r="Q14" s="260">
        <v>-26</v>
      </c>
      <c r="R14" s="260">
        <v>-110</v>
      </c>
      <c r="S14" s="260">
        <v>-997</v>
      </c>
      <c r="T14" s="260"/>
      <c r="U14" s="260"/>
      <c r="V14" s="260"/>
      <c r="W14" s="260"/>
      <c r="X14" s="260"/>
      <c r="Y14" s="260"/>
      <c r="Z14" s="260"/>
      <c r="AA14" s="480"/>
      <c r="AB14" s="480"/>
      <c r="AC14" s="480"/>
      <c r="AD14" s="480"/>
      <c r="AE14" s="480"/>
      <c r="AF14" s="480"/>
      <c r="AG14" s="1648"/>
      <c r="AH14" s="1647"/>
      <c r="AJ14" s="1624"/>
      <c r="AK14" s="213"/>
      <c r="AL14" s="213"/>
      <c r="AM14" s="213"/>
      <c r="AN14" s="213"/>
      <c r="AO14" s="213"/>
    </row>
    <row r="15" spans="1:41">
      <c r="A15" s="4" t="s">
        <v>922</v>
      </c>
      <c r="B15" s="213"/>
      <c r="C15" s="213"/>
      <c r="D15" s="213"/>
      <c r="E15" s="213"/>
      <c r="F15" s="213"/>
      <c r="G15" s="213"/>
      <c r="H15" s="260">
        <v>12</v>
      </c>
      <c r="I15" s="260">
        <v>7</v>
      </c>
      <c r="J15" s="260">
        <v>11</v>
      </c>
      <c r="K15" s="260">
        <v>13</v>
      </c>
      <c r="L15" s="260">
        <v>18</v>
      </c>
      <c r="M15" s="260">
        <v>19</v>
      </c>
      <c r="N15" s="260">
        <v>24</v>
      </c>
      <c r="O15" s="260">
        <v>29</v>
      </c>
      <c r="P15" s="300">
        <f>'Income Statement'!P95</f>
        <v>58</v>
      </c>
      <c r="Q15" s="300">
        <f>'Income Statement'!Q95</f>
        <v>47</v>
      </c>
      <c r="R15" s="260">
        <v>55</v>
      </c>
      <c r="S15" s="260">
        <v>60</v>
      </c>
      <c r="T15" s="260">
        <v>58</v>
      </c>
      <c r="U15" s="260">
        <v>65</v>
      </c>
      <c r="V15" s="357">
        <f>'Income Statement'!V95</f>
        <v>34</v>
      </c>
      <c r="W15" s="357">
        <f>'Income Statement'!W95</f>
        <v>25</v>
      </c>
      <c r="X15" s="357">
        <f>'Income Statement'!X95</f>
        <v>33</v>
      </c>
      <c r="Y15" s="357">
        <f>'Income Statement'!Y95</f>
        <v>76</v>
      </c>
      <c r="Z15" s="357">
        <f>'Income Statement'!Z95</f>
        <v>92</v>
      </c>
      <c r="AA15" s="360">
        <f>'Income Statement'!AA95</f>
        <v>102.88746416730811</v>
      </c>
      <c r="AB15" s="360">
        <f>'Income Statement'!AB95</f>
        <v>114.58742296451408</v>
      </c>
      <c r="AC15" s="360">
        <f>'Income Statement'!AC95</f>
        <v>126.70278375374625</v>
      </c>
      <c r="AD15" s="360">
        <f>'Income Statement'!AD95</f>
        <v>137.42381765562197</v>
      </c>
      <c r="AE15" s="360">
        <f>'Income Statement'!AE95</f>
        <v>144.17219852470006</v>
      </c>
      <c r="AF15" s="360">
        <f>'Income Statement'!AF95</f>
        <v>151.15100778555964</v>
      </c>
      <c r="AG15" s="1648"/>
      <c r="AH15" s="1647"/>
      <c r="AJ15" s="1624"/>
      <c r="AK15" s="213"/>
      <c r="AL15" s="213"/>
      <c r="AM15" s="213"/>
      <c r="AN15" s="213"/>
      <c r="AO15" s="213"/>
    </row>
    <row r="16" spans="1:41">
      <c r="A16" s="4" t="s">
        <v>921</v>
      </c>
      <c r="B16" s="213"/>
      <c r="C16" s="213"/>
      <c r="D16" s="213"/>
      <c r="E16" s="213"/>
      <c r="F16" s="213"/>
      <c r="G16" s="213"/>
      <c r="H16" s="292">
        <f>7-19</f>
        <v>-12</v>
      </c>
      <c r="I16" s="292">
        <f>22+4</f>
        <v>26</v>
      </c>
      <c r="J16" s="292">
        <f>25+6</f>
        <v>31</v>
      </c>
      <c r="K16" s="292">
        <f>-24+7</f>
        <v>-17</v>
      </c>
      <c r="L16" s="292">
        <f>4+6</f>
        <v>10</v>
      </c>
      <c r="M16" s="260">
        <v>4</v>
      </c>
      <c r="N16" s="260">
        <v>222</v>
      </c>
      <c r="O16" s="260">
        <v>457</v>
      </c>
      <c r="P16" s="260">
        <v>-510</v>
      </c>
      <c r="Q16" s="260">
        <v>-821</v>
      </c>
      <c r="R16" s="260">
        <v>217</v>
      </c>
      <c r="S16" s="260">
        <v>1150</v>
      </c>
      <c r="T16" s="260">
        <v>318</v>
      </c>
      <c r="U16" s="260">
        <v>221</v>
      </c>
      <c r="V16" s="260">
        <v>-328</v>
      </c>
      <c r="W16" s="260">
        <v>-707</v>
      </c>
      <c r="X16" s="260">
        <v>-880</v>
      </c>
      <c r="Y16" s="260">
        <v>459</v>
      </c>
      <c r="Z16" s="260">
        <v>-907</v>
      </c>
      <c r="AA16" s="361"/>
      <c r="AB16" s="361"/>
      <c r="AC16" s="361"/>
      <c r="AD16" s="361"/>
      <c r="AE16" s="361"/>
      <c r="AF16" s="361"/>
      <c r="AG16" s="1648"/>
      <c r="AH16" s="1647"/>
      <c r="AJ16" s="1624"/>
      <c r="AK16" s="213"/>
      <c r="AL16" s="213"/>
      <c r="AM16" s="213"/>
      <c r="AN16" s="213"/>
      <c r="AO16" s="213"/>
    </row>
    <row r="17" spans="1:41">
      <c r="A17" s="4" t="s">
        <v>920</v>
      </c>
      <c r="B17" s="213"/>
      <c r="C17" s="213"/>
      <c r="D17" s="213"/>
      <c r="E17" s="213"/>
      <c r="F17" s="213"/>
      <c r="G17" s="213"/>
      <c r="H17" s="19">
        <f>-202-'Income Statement'!H86</f>
        <v>-93</v>
      </c>
      <c r="I17" s="19">
        <f>-212-'Income Statement'!I86</f>
        <v>-187</v>
      </c>
      <c r="J17" s="19">
        <f>-257-'Income Statement'!J86</f>
        <v>-399</v>
      </c>
      <c r="K17" s="19">
        <f>-73-'Income Statement'!K86</f>
        <v>162</v>
      </c>
      <c r="L17" s="19">
        <f>-103-'Income Statement'!L86</f>
        <v>-89</v>
      </c>
      <c r="M17" s="292">
        <v>42</v>
      </c>
      <c r="N17" s="292">
        <v>337</v>
      </c>
      <c r="O17" s="293">
        <v>-14</v>
      </c>
      <c r="P17" s="284"/>
      <c r="Q17" s="284"/>
      <c r="R17" s="361"/>
      <c r="S17" s="361"/>
      <c r="T17" s="361"/>
      <c r="U17" s="361"/>
      <c r="V17" s="361"/>
      <c r="W17" s="361"/>
      <c r="X17" s="361"/>
      <c r="Y17" s="361"/>
      <c r="Z17" s="361"/>
      <c r="AA17" s="227">
        <v>330</v>
      </c>
      <c r="AB17" s="227">
        <v>-130</v>
      </c>
      <c r="AC17" s="227">
        <v>-200</v>
      </c>
      <c r="AD17" s="361"/>
      <c r="AE17" s="361"/>
      <c r="AF17" s="361"/>
      <c r="AG17" s="1648"/>
      <c r="AH17" s="1647"/>
      <c r="AJ17" s="1624"/>
      <c r="AK17" s="213"/>
      <c r="AL17" s="213"/>
      <c r="AM17" s="213"/>
      <c r="AN17" s="213"/>
      <c r="AO17" s="213"/>
    </row>
    <row r="18" spans="1:41">
      <c r="A18" s="4" t="s">
        <v>919</v>
      </c>
      <c r="B18" s="213"/>
      <c r="C18" s="213"/>
      <c r="D18" s="213"/>
      <c r="E18" s="213"/>
      <c r="F18" s="213"/>
      <c r="G18" s="213"/>
      <c r="H18" s="260">
        <v>-461</v>
      </c>
      <c r="I18" s="260">
        <v>-421</v>
      </c>
      <c r="J18" s="260">
        <v>-337</v>
      </c>
      <c r="K18" s="260">
        <v>387</v>
      </c>
      <c r="L18" s="260">
        <v>55</v>
      </c>
      <c r="M18" s="260">
        <v>-134</v>
      </c>
      <c r="N18" s="260">
        <v>-388</v>
      </c>
      <c r="O18" s="260">
        <v>45</v>
      </c>
      <c r="P18" s="260">
        <v>-185</v>
      </c>
      <c r="Q18" s="260">
        <v>-280</v>
      </c>
      <c r="R18" s="260">
        <v>-347</v>
      </c>
      <c r="S18" s="260">
        <v>-280</v>
      </c>
      <c r="T18" s="260">
        <v>-393</v>
      </c>
      <c r="U18" s="260">
        <v>-590</v>
      </c>
      <c r="V18" s="260">
        <v>1016</v>
      </c>
      <c r="W18" s="260">
        <v>296</v>
      </c>
      <c r="X18" s="260">
        <v>-1545</v>
      </c>
      <c r="Y18" s="260">
        <v>-1494</v>
      </c>
      <c r="Z18" s="260">
        <v>-1452</v>
      </c>
      <c r="AA18" s="327">
        <f>-('Balance Sheet'!AA18-'Balance Sheet'!Z18)</f>
        <v>-558.08419376574784</v>
      </c>
      <c r="AB18" s="327">
        <f>-('Balance Sheet'!AB18-'Balance Sheet'!AA18)</f>
        <v>-80.74428495783468</v>
      </c>
      <c r="AC18" s="327">
        <f>-('Balance Sheet'!AC18-'Balance Sheet'!AB18)</f>
        <v>-709.71163943491047</v>
      </c>
      <c r="AD18" s="327">
        <f>-('Balance Sheet'!AD18-'Balance Sheet'!AC18)</f>
        <v>-917.19434762681885</v>
      </c>
      <c r="AE18" s="327">
        <f>-('Balance Sheet'!AE18-'Balance Sheet'!AD18)</f>
        <v>-714.37537634294131</v>
      </c>
      <c r="AF18" s="327">
        <f>-('Balance Sheet'!AF18-'Balance Sheet'!AE18)</f>
        <v>-675.51688268199905</v>
      </c>
      <c r="AG18" s="1648"/>
      <c r="AH18" s="1647"/>
      <c r="AJ18" s="1624"/>
      <c r="AK18" s="213"/>
      <c r="AL18" s="213"/>
      <c r="AM18" s="213"/>
      <c r="AN18" s="213"/>
      <c r="AO18" s="213"/>
    </row>
    <row r="19" spans="1:41">
      <c r="A19" s="4" t="s">
        <v>1143</v>
      </c>
      <c r="B19" s="213"/>
      <c r="C19" s="213"/>
      <c r="D19" s="213"/>
      <c r="E19" s="213"/>
      <c r="F19" s="213"/>
      <c r="G19" s="213"/>
      <c r="H19" s="260">
        <v>254</v>
      </c>
      <c r="I19" s="260">
        <v>318</v>
      </c>
      <c r="J19" s="260">
        <v>228</v>
      </c>
      <c r="K19" s="260">
        <v>-45</v>
      </c>
      <c r="L19" s="260">
        <v>185</v>
      </c>
      <c r="M19" s="260">
        <v>216</v>
      </c>
      <c r="N19" s="260">
        <v>228</v>
      </c>
      <c r="O19" s="260">
        <v>178</v>
      </c>
      <c r="P19" s="260">
        <v>-58</v>
      </c>
      <c r="Q19" s="260">
        <v>210</v>
      </c>
      <c r="R19" s="260">
        <v>219</v>
      </c>
      <c r="S19" s="260">
        <v>890</v>
      </c>
      <c r="T19" s="260">
        <v>-280</v>
      </c>
      <c r="U19" s="260">
        <v>-563</v>
      </c>
      <c r="V19" s="260">
        <v>41</v>
      </c>
      <c r="W19" s="260">
        <v>-53</v>
      </c>
      <c r="X19" s="260">
        <v>-81</v>
      </c>
      <c r="Y19" s="260">
        <v>478</v>
      </c>
      <c r="Z19" s="260">
        <v>549</v>
      </c>
      <c r="AA19" s="327">
        <f>-'Balance Sheet'!AA80-'Balance Sheet'!AA81</f>
        <v>692.3288500106828</v>
      </c>
      <c r="AB19" s="327">
        <f>-'Balance Sheet'!AB80-'Balance Sheet'!AB81</f>
        <v>308.7569237581356</v>
      </c>
      <c r="AC19" s="327">
        <f>-'Balance Sheet'!AC80-'Balance Sheet'!AC81</f>
        <v>655.12435803016342</v>
      </c>
      <c r="AD19" s="327">
        <f>-'Balance Sheet'!AD80-'Balance Sheet'!AD81</f>
        <v>415.26462969122076</v>
      </c>
      <c r="AE19" s="327">
        <f>-'Balance Sheet'!AE80-'Balance Sheet'!AE81</f>
        <v>269.47840825928142</v>
      </c>
      <c r="AF19" s="327">
        <f>-'Balance Sheet'!AF80-'Balance Sheet'!AF81</f>
        <v>76.04366612711965</v>
      </c>
      <c r="AG19" s="1648"/>
      <c r="AH19" s="1647"/>
      <c r="AJ19" s="1624"/>
      <c r="AK19" s="213"/>
      <c r="AL19" s="213"/>
      <c r="AM19" s="213"/>
      <c r="AN19" s="213"/>
      <c r="AO19" s="213"/>
    </row>
    <row r="20" spans="1:41">
      <c r="A20" s="4" t="s">
        <v>1297</v>
      </c>
      <c r="B20" s="213"/>
      <c r="C20" s="213"/>
      <c r="D20" s="213"/>
      <c r="E20" s="213"/>
      <c r="F20" s="213"/>
      <c r="G20" s="213"/>
      <c r="H20" s="284"/>
      <c r="I20" s="284"/>
      <c r="J20" s="284"/>
      <c r="K20" s="284"/>
      <c r="L20" s="284"/>
      <c r="M20" s="284"/>
      <c r="N20" s="284"/>
      <c r="O20" s="284"/>
      <c r="P20" s="284"/>
      <c r="Q20" s="284"/>
      <c r="R20" s="361"/>
      <c r="S20" s="27">
        <f>86+10</f>
        <v>96</v>
      </c>
      <c r="T20" s="27">
        <f>746+2</f>
        <v>748</v>
      </c>
      <c r="U20" s="27">
        <f>218+11</f>
        <v>229</v>
      </c>
      <c r="V20" s="27">
        <f>-982-17</f>
        <v>-999</v>
      </c>
      <c r="W20" s="27">
        <f>131-43</f>
        <v>88</v>
      </c>
      <c r="X20" s="27">
        <f>2451-118</f>
        <v>2333</v>
      </c>
      <c r="Y20" s="27">
        <f>2073-103</f>
        <v>1970</v>
      </c>
      <c r="Z20" s="27">
        <f>1004-89</f>
        <v>915</v>
      </c>
      <c r="AA20" s="327">
        <f>-('Balance Sheet'!AA44-'Balance Sheet'!Z44)-('Balance Sheet'!AA25-'Balance Sheet'!Z25)</f>
        <v>0</v>
      </c>
      <c r="AB20" s="327">
        <f>-('Balance Sheet'!AB44-'Balance Sheet'!AA44)-('Balance Sheet'!AB25-'Balance Sheet'!AA25)</f>
        <v>0</v>
      </c>
      <c r="AC20" s="327">
        <f>-('Balance Sheet'!AC44-'Balance Sheet'!AB44)-('Balance Sheet'!AC25-'Balance Sheet'!AB25)</f>
        <v>0</v>
      </c>
      <c r="AD20" s="327">
        <f>-('Balance Sheet'!AD44-'Balance Sheet'!AC44)-('Balance Sheet'!AD25-'Balance Sheet'!AC25)</f>
        <v>0</v>
      </c>
      <c r="AE20" s="327">
        <f>-('Balance Sheet'!AE44-'Balance Sheet'!AD44)-('Balance Sheet'!AE25-'Balance Sheet'!AD25)</f>
        <v>0</v>
      </c>
      <c r="AF20" s="327">
        <f>-('Balance Sheet'!AF44-'Balance Sheet'!AE44)-('Balance Sheet'!AF25-'Balance Sheet'!AE25)</f>
        <v>0</v>
      </c>
      <c r="AG20" s="1648"/>
      <c r="AH20" s="1647"/>
      <c r="AJ20" s="1624"/>
      <c r="AK20" s="213"/>
      <c r="AL20" s="213"/>
      <c r="AM20" s="213"/>
      <c r="AN20" s="213"/>
      <c r="AO20" s="213"/>
    </row>
    <row r="21" spans="1:41">
      <c r="A21" s="4" t="s">
        <v>1144</v>
      </c>
      <c r="B21" s="213"/>
      <c r="C21" s="213"/>
      <c r="D21" s="213"/>
      <c r="E21" s="213"/>
      <c r="F21" s="213"/>
      <c r="G21" s="213"/>
      <c r="H21" s="260">
        <v>58</v>
      </c>
      <c r="I21" s="260">
        <v>-10</v>
      </c>
      <c r="J21" s="260">
        <v>18</v>
      </c>
      <c r="K21" s="260">
        <v>-5</v>
      </c>
      <c r="L21" s="260">
        <v>77</v>
      </c>
      <c r="M21" s="260">
        <v>-35</v>
      </c>
      <c r="N21" s="260">
        <v>75</v>
      </c>
      <c r="O21" s="260">
        <v>-68</v>
      </c>
      <c r="P21" s="260">
        <v>132</v>
      </c>
      <c r="Q21" s="260">
        <v>75</v>
      </c>
      <c r="R21" s="260">
        <v>-40</v>
      </c>
      <c r="S21" s="260">
        <v>-15</v>
      </c>
      <c r="T21" s="260">
        <v>-102</v>
      </c>
      <c r="U21" s="260">
        <v>27</v>
      </c>
      <c r="V21" s="260">
        <v>-66</v>
      </c>
      <c r="W21" s="260">
        <v>-81</v>
      </c>
      <c r="X21" s="260">
        <v>22</v>
      </c>
      <c r="Y21" s="260">
        <v>-196</v>
      </c>
      <c r="Z21" s="260">
        <v>-5</v>
      </c>
      <c r="AA21" s="361"/>
      <c r="AB21" s="361"/>
      <c r="AC21" s="361"/>
      <c r="AD21" s="361"/>
      <c r="AE21" s="361"/>
      <c r="AF21" s="361"/>
      <c r="AG21" s="1648"/>
      <c r="AH21" s="1647"/>
      <c r="AJ21" s="1624"/>
      <c r="AK21" s="213"/>
      <c r="AL21" s="213"/>
      <c r="AM21" s="213"/>
      <c r="AN21" s="213"/>
      <c r="AO21" s="213"/>
    </row>
    <row r="22" spans="1:41">
      <c r="A22" s="4" t="s">
        <v>2093</v>
      </c>
      <c r="B22" s="213"/>
      <c r="C22" s="213"/>
      <c r="D22" s="213"/>
      <c r="E22" s="213"/>
      <c r="F22" s="213"/>
      <c r="G22" s="213"/>
      <c r="H22" s="260"/>
      <c r="I22" s="260"/>
      <c r="J22" s="260"/>
      <c r="K22" s="260"/>
      <c r="L22" s="260"/>
      <c r="M22" s="260"/>
      <c r="N22" s="260"/>
      <c r="O22" s="260"/>
      <c r="P22" s="260"/>
      <c r="Q22" s="260"/>
      <c r="R22" s="260"/>
      <c r="S22" s="260"/>
      <c r="T22" s="260"/>
      <c r="U22" s="260"/>
      <c r="V22" s="260"/>
      <c r="W22" s="27">
        <f t="shared" ref="W22:Z22" si="2">W18+W19+W20+W21</f>
        <v>250</v>
      </c>
      <c r="X22" s="27">
        <f t="shared" si="2"/>
        <v>729</v>
      </c>
      <c r="Y22" s="27">
        <f t="shared" si="2"/>
        <v>758</v>
      </c>
      <c r="Z22" s="27">
        <f t="shared" si="2"/>
        <v>7</v>
      </c>
      <c r="AA22" s="27">
        <f>AA18+AA19+AA20+AA21</f>
        <v>134.24465624493496</v>
      </c>
      <c r="AB22" s="27">
        <f t="shared" ref="AB22:AF22" si="3">AB18+AB19+AB20+AB21</f>
        <v>228.01263880030092</v>
      </c>
      <c r="AC22" s="27">
        <f t="shared" si="3"/>
        <v>-54.587281404747046</v>
      </c>
      <c r="AD22" s="27">
        <f t="shared" si="3"/>
        <v>-501.92971793559809</v>
      </c>
      <c r="AE22" s="27">
        <f t="shared" si="3"/>
        <v>-444.89696808365989</v>
      </c>
      <c r="AF22" s="27">
        <f t="shared" si="3"/>
        <v>-599.4732165548794</v>
      </c>
      <c r="AG22" s="1648"/>
      <c r="AH22" s="1647"/>
      <c r="AJ22" s="1624"/>
      <c r="AK22" s="213"/>
      <c r="AL22" s="213"/>
      <c r="AM22" s="213"/>
      <c r="AN22" s="213"/>
      <c r="AO22" s="213"/>
    </row>
    <row r="23" spans="1:41">
      <c r="A23" s="4" t="s">
        <v>776</v>
      </c>
      <c r="B23" s="213"/>
      <c r="C23" s="213"/>
      <c r="D23" s="213"/>
      <c r="E23" s="213"/>
      <c r="F23" s="213"/>
      <c r="G23" s="213"/>
      <c r="H23" s="287">
        <f>H24-SUM(H4:H21)</f>
        <v>11.946960612489647</v>
      </c>
      <c r="I23" s="287">
        <f>I24-SUM(I4:I21)</f>
        <v>77.947189623224176</v>
      </c>
      <c r="J23" s="287">
        <f>J24-SUM(J4:J21)</f>
        <v>-156.05252407353373</v>
      </c>
      <c r="K23" s="287">
        <f>K24-SUM(K4:K21)</f>
        <v>39.945733497490437</v>
      </c>
      <c r="L23" s="287">
        <f>L24-SUM(L4:L21)</f>
        <v>-19.054951033732323</v>
      </c>
      <c r="M23" s="287">
        <f t="shared" ref="M23:AF23" si="4">M24-SUM(M4:M5,M7,M9:M21)</f>
        <v>-52</v>
      </c>
      <c r="N23" s="287">
        <f t="shared" si="4"/>
        <v>-336</v>
      </c>
      <c r="O23" s="287">
        <f t="shared" si="4"/>
        <v>145</v>
      </c>
      <c r="P23" s="287">
        <f t="shared" si="4"/>
        <v>0</v>
      </c>
      <c r="Q23" s="287">
        <f t="shared" si="4"/>
        <v>-11</v>
      </c>
      <c r="R23" s="27">
        <f t="shared" si="4"/>
        <v>0</v>
      </c>
      <c r="S23" s="27">
        <f t="shared" si="4"/>
        <v>0</v>
      </c>
      <c r="T23" s="27">
        <f t="shared" si="4"/>
        <v>0</v>
      </c>
      <c r="U23" s="27">
        <f t="shared" si="4"/>
        <v>0</v>
      </c>
      <c r="V23" s="27">
        <f t="shared" si="4"/>
        <v>0</v>
      </c>
      <c r="W23" s="27">
        <f t="shared" si="4"/>
        <v>0</v>
      </c>
      <c r="X23" s="27">
        <f t="shared" si="4"/>
        <v>0</v>
      </c>
      <c r="Y23" s="27">
        <f t="shared" si="4"/>
        <v>0</v>
      </c>
      <c r="Z23" s="27">
        <f t="shared" si="4"/>
        <v>0</v>
      </c>
      <c r="AA23" s="27">
        <f t="shared" si="4"/>
        <v>0</v>
      </c>
      <c r="AB23" s="27">
        <f t="shared" si="4"/>
        <v>0</v>
      </c>
      <c r="AC23" s="27">
        <f t="shared" si="4"/>
        <v>0</v>
      </c>
      <c r="AD23" s="27">
        <f t="shared" si="4"/>
        <v>0</v>
      </c>
      <c r="AE23" s="27">
        <f t="shared" si="4"/>
        <v>0</v>
      </c>
      <c r="AF23" s="27">
        <f t="shared" si="4"/>
        <v>0</v>
      </c>
      <c r="AG23" s="1648"/>
      <c r="AH23" s="1647"/>
      <c r="AJ23" s="1624"/>
      <c r="AK23" s="213"/>
      <c r="AL23" s="213"/>
      <c r="AM23" s="213"/>
      <c r="AN23" s="213"/>
      <c r="AO23" s="213"/>
    </row>
    <row r="24" spans="1:41">
      <c r="A24" s="279" t="s">
        <v>918</v>
      </c>
      <c r="B24" s="213"/>
      <c r="C24" s="213"/>
      <c r="D24" s="213"/>
      <c r="E24" s="213"/>
      <c r="F24" s="213"/>
      <c r="G24" s="213"/>
      <c r="H24" s="280">
        <v>854</v>
      </c>
      <c r="I24" s="280">
        <f>1013+95</f>
        <v>1108</v>
      </c>
      <c r="J24" s="280">
        <f>720-94</f>
        <v>626</v>
      </c>
      <c r="K24" s="280">
        <f>1403+5</f>
        <v>1408</v>
      </c>
      <c r="L24" s="280">
        <f>1459-29</f>
        <v>1430</v>
      </c>
      <c r="M24" s="280">
        <f>1247-10</f>
        <v>1237</v>
      </c>
      <c r="N24" s="280">
        <v>1617</v>
      </c>
      <c r="O24" s="280">
        <v>2139</v>
      </c>
      <c r="P24" s="280">
        <v>2357</v>
      </c>
      <c r="Q24" s="280">
        <v>2631</v>
      </c>
      <c r="R24" s="281">
        <f t="shared" ref="R24:AF24" si="5">SUM(R4:R5,R7,R9:R21)</f>
        <v>2483</v>
      </c>
      <c r="S24" s="281">
        <f t="shared" si="5"/>
        <v>2752</v>
      </c>
      <c r="T24" s="281">
        <f t="shared" si="5"/>
        <v>3071</v>
      </c>
      <c r="U24" s="281">
        <f t="shared" si="5"/>
        <v>3145</v>
      </c>
      <c r="V24" s="281">
        <f t="shared" si="5"/>
        <v>1866</v>
      </c>
      <c r="W24" s="281">
        <f t="shared" ref="W24:Z24" si="6">SUM(W4:W5,W7,W9:W17)+W22</f>
        <v>2436</v>
      </c>
      <c r="X24" s="281">
        <f t="shared" si="6"/>
        <v>3545</v>
      </c>
      <c r="Y24" s="281">
        <f t="shared" si="6"/>
        <v>4270</v>
      </c>
      <c r="Z24" s="281">
        <f t="shared" si="6"/>
        <v>4733</v>
      </c>
      <c r="AA24" s="281">
        <f>SUM(AA4:AA5,AA7,AA9:AA17)+AA22</f>
        <v>5618.3996852983528</v>
      </c>
      <c r="AB24" s="281">
        <f t="shared" si="5"/>
        <v>6309.7084706526002</v>
      </c>
      <c r="AC24" s="281">
        <f t="shared" si="5"/>
        <v>6952.3116278334801</v>
      </c>
      <c r="AD24" s="281">
        <f t="shared" si="5"/>
        <v>7448.6352241017748</v>
      </c>
      <c r="AE24" s="281">
        <f t="shared" si="5"/>
        <v>7959.2339884091671</v>
      </c>
      <c r="AF24" s="281">
        <f t="shared" si="5"/>
        <v>8271.3615689948329</v>
      </c>
      <c r="AG24" s="1648"/>
      <c r="AH24" s="1647"/>
      <c r="AJ24" s="1624"/>
      <c r="AK24" s="213"/>
      <c r="AL24" s="213"/>
      <c r="AM24" s="213"/>
      <c r="AN24" s="213"/>
      <c r="AO24" s="213"/>
    </row>
    <row r="25" spans="1:41">
      <c r="A25" s="4"/>
      <c r="B25" s="213"/>
      <c r="C25" s="213"/>
      <c r="D25" s="213"/>
      <c r="E25" s="213"/>
      <c r="F25" s="213"/>
      <c r="G25" s="213"/>
      <c r="H25" s="19"/>
      <c r="I25" s="19"/>
      <c r="J25" s="19"/>
      <c r="K25" s="19"/>
      <c r="L25" s="19"/>
      <c r="M25" s="19"/>
      <c r="N25" s="19"/>
      <c r="O25" s="19"/>
      <c r="P25" s="284"/>
      <c r="Q25" s="284"/>
      <c r="R25" s="361"/>
      <c r="S25" s="355"/>
      <c r="T25" s="4"/>
      <c r="U25" s="4"/>
      <c r="V25" s="480"/>
      <c r="W25" s="480"/>
      <c r="X25" s="259"/>
      <c r="Y25" s="259"/>
      <c r="Z25" s="259"/>
      <c r="AA25" s="213"/>
      <c r="AB25" s="213"/>
      <c r="AC25" s="213"/>
      <c r="AD25" s="213"/>
      <c r="AE25" s="213"/>
      <c r="AF25" s="213"/>
      <c r="AG25" s="1648"/>
      <c r="AH25" s="1647"/>
      <c r="AJ25" s="1624"/>
      <c r="AK25" s="213"/>
      <c r="AL25" s="213"/>
      <c r="AM25" s="213"/>
      <c r="AN25" s="213"/>
      <c r="AO25" s="213"/>
    </row>
    <row r="26" spans="1:41">
      <c r="A26" s="4" t="s">
        <v>917</v>
      </c>
      <c r="B26" s="213"/>
      <c r="C26" s="213"/>
      <c r="D26" s="213"/>
      <c r="E26" s="213"/>
      <c r="F26" s="213"/>
      <c r="G26" s="213"/>
      <c r="H26" s="260">
        <v>-343</v>
      </c>
      <c r="I26" s="260">
        <v>-252</v>
      </c>
      <c r="J26" s="260">
        <v>-230</v>
      </c>
      <c r="K26" s="260">
        <v>-292</v>
      </c>
      <c r="L26" s="260">
        <v>-254</v>
      </c>
      <c r="M26" s="260">
        <v>-363</v>
      </c>
      <c r="N26" s="260">
        <v>-634</v>
      </c>
      <c r="O26" s="260">
        <f>-720-215</f>
        <v>-935</v>
      </c>
      <c r="P26" s="260">
        <f>-676-267</f>
        <v>-943</v>
      </c>
      <c r="Q26" s="260">
        <f>-495-502</f>
        <v>-997</v>
      </c>
      <c r="R26" s="260">
        <v>-324</v>
      </c>
      <c r="S26" s="260">
        <f>-225-349</f>
        <v>-574</v>
      </c>
      <c r="T26" s="260">
        <f>-183-327</f>
        <v>-510</v>
      </c>
      <c r="U26" s="260">
        <f>-333-134</f>
        <v>-467</v>
      </c>
      <c r="V26" s="260">
        <f>-287-57</f>
        <v>-344</v>
      </c>
      <c r="W26" s="260">
        <f>-316-53</f>
        <v>-369</v>
      </c>
      <c r="X26" s="260">
        <f>-283-98</f>
        <v>-381</v>
      </c>
      <c r="Y26" s="260">
        <f>-323-179</f>
        <v>-502</v>
      </c>
      <c r="Z26" s="260">
        <f>-328-172</f>
        <v>-500</v>
      </c>
      <c r="AA26" s="357">
        <f>Z26-50</f>
        <v>-550</v>
      </c>
      <c r="AB26" s="357">
        <f>AA26</f>
        <v>-550</v>
      </c>
      <c r="AC26" s="357">
        <f>AB26</f>
        <v>-550</v>
      </c>
      <c r="AD26" s="357">
        <f>AC26</f>
        <v>-550</v>
      </c>
      <c r="AE26" s="357">
        <f>AD26</f>
        <v>-550</v>
      </c>
      <c r="AF26" s="357">
        <f>AE26</f>
        <v>-550</v>
      </c>
      <c r="AG26" s="1648" t="s">
        <v>1798</v>
      </c>
      <c r="AH26" s="1647"/>
      <c r="AJ26" s="1624"/>
      <c r="AK26" s="213"/>
      <c r="AL26" s="213"/>
      <c r="AM26" s="213"/>
      <c r="AN26" s="213"/>
      <c r="AO26" s="213"/>
    </row>
    <row r="27" spans="1:41">
      <c r="A27" s="358" t="s">
        <v>781</v>
      </c>
      <c r="B27" s="213"/>
      <c r="C27" s="213"/>
      <c r="D27" s="213"/>
      <c r="E27" s="213"/>
      <c r="F27" s="213"/>
      <c r="G27" s="213"/>
      <c r="H27" s="285">
        <f>H26/'Income Statement'!H$41</f>
        <v>-3.1639147680103313E-2</v>
      </c>
      <c r="I27" s="285">
        <f>I26/'Income Statement'!I$41</f>
        <v>-2.5941939468807906E-2</v>
      </c>
      <c r="J27" s="285">
        <f>J26/'Income Statement'!J$41</f>
        <v>-2.2371364653243849E-2</v>
      </c>
      <c r="K27" s="285">
        <f>K26/'Income Statement'!K$41</f>
        <v>-2.7654133914196421E-2</v>
      </c>
      <c r="L27" s="285">
        <f>L26/'Income Statement'!L$41</f>
        <v>-2.3032281465360901E-2</v>
      </c>
      <c r="M27" s="285">
        <f>M26/'Income Statement'!M$41</f>
        <v>-3.1137416366443644E-2</v>
      </c>
      <c r="N27" s="285">
        <f>N26/'Income Statement'!N$41</f>
        <v>-4.6566287183253764E-2</v>
      </c>
      <c r="O27" s="285">
        <f>O26/'Income Statement'!O$41</f>
        <v>-6.4527260179434096E-2</v>
      </c>
      <c r="P27" s="285">
        <f>P26/'Income Statement'!P$41</f>
        <v>-6.2682797128423298E-2</v>
      </c>
      <c r="Q27" s="285">
        <f>Q26/'Income Statement'!Q$41</f>
        <v>-6.1459746023918134E-2</v>
      </c>
      <c r="R27" s="473">
        <f>R26/'Income Statement'!R$41</f>
        <v>-1.9657808518383692E-2</v>
      </c>
      <c r="S27" s="473">
        <f>S26/'Income Statement'!S$41</f>
        <v>-3.5051294577430385E-2</v>
      </c>
      <c r="T27" s="473">
        <f>T26/'Income Statement'!T$41</f>
        <v>-2.4256837098692034E-2</v>
      </c>
      <c r="U27" s="473">
        <f>U26/'Income Statement'!U$41</f>
        <v>-1.8607060323531755E-2</v>
      </c>
      <c r="V27" s="473">
        <f>V26/'Income Statement'!V$41</f>
        <v>-2.0684264325656905E-2</v>
      </c>
      <c r="W27" s="473">
        <f>W26/'Income Statement'!W$41</f>
        <v>-2.438379699993392E-2</v>
      </c>
      <c r="X27" s="473">
        <f>X26/'Income Statement'!X$41</f>
        <v>-1.9515443323259746E-2</v>
      </c>
      <c r="Y27" s="473">
        <f>Y26/'Income Statement'!Y$41</f>
        <v>-2.1225318168364975E-2</v>
      </c>
      <c r="Z27" s="473">
        <f>Z26/'Income Statement'!Z$41</f>
        <v>-1.8040121229614663E-2</v>
      </c>
      <c r="AA27" s="330">
        <f>AA26/'Income Statement'!AA$41</f>
        <v>-1.7744243997191416E-2</v>
      </c>
      <c r="AB27" s="330">
        <f>AB26/'Income Statement'!AB$41</f>
        <v>-1.5932466419132072E-2</v>
      </c>
      <c r="AC27" s="330">
        <f>AC26/'Income Statement'!AC$41</f>
        <v>-1.4408998873973235E-2</v>
      </c>
      <c r="AD27" s="330">
        <f>AD26/'Income Statement'!AD$41</f>
        <v>-1.3284889763519946E-2</v>
      </c>
      <c r="AE27" s="330">
        <f>AE26/'Income Statement'!AE$41</f>
        <v>-1.2663053536803947E-2</v>
      </c>
      <c r="AF27" s="330">
        <f>AF26/'Income Statement'!AF$41</f>
        <v>-1.2078386344781091E-2</v>
      </c>
      <c r="AG27" s="1648"/>
      <c r="AH27" s="1647"/>
      <c r="AJ27" s="1624"/>
      <c r="AK27" s="213"/>
      <c r="AL27" s="213"/>
      <c r="AM27" s="213"/>
      <c r="AN27" s="213"/>
      <c r="AO27" s="213"/>
    </row>
    <row r="28" spans="1:41">
      <c r="A28" s="4" t="s">
        <v>916</v>
      </c>
      <c r="B28" s="213"/>
      <c r="C28" s="213"/>
      <c r="D28" s="213"/>
      <c r="E28" s="213"/>
      <c r="F28" s="213"/>
      <c r="G28" s="213"/>
      <c r="H28" s="260">
        <v>-346</v>
      </c>
      <c r="I28" s="260">
        <v>-387</v>
      </c>
      <c r="J28" s="260">
        <v>-441</v>
      </c>
      <c r="K28" s="260">
        <v>-293</v>
      </c>
      <c r="L28" s="260">
        <v>-271</v>
      </c>
      <c r="M28" s="260">
        <v>-352</v>
      </c>
      <c r="N28" s="260">
        <v>-419</v>
      </c>
      <c r="O28" s="260">
        <v>-492</v>
      </c>
      <c r="P28" s="260">
        <v>-674</v>
      </c>
      <c r="Q28" s="260">
        <v>-705</v>
      </c>
      <c r="R28" s="260">
        <v>-704</v>
      </c>
      <c r="S28" s="260">
        <v>-740</v>
      </c>
      <c r="T28" s="260">
        <v>-780</v>
      </c>
      <c r="U28" s="260">
        <v>-695</v>
      </c>
      <c r="V28" s="260">
        <v>-449</v>
      </c>
      <c r="W28" s="260">
        <v>-387</v>
      </c>
      <c r="X28" s="260">
        <v>-498</v>
      </c>
      <c r="Y28" s="260">
        <v>-823</v>
      </c>
      <c r="Z28" s="260">
        <v>-1044</v>
      </c>
      <c r="AA28" s="360">
        <f>AA29*'Income Statement'!AA$41</f>
        <v>-1549.7983461201693</v>
      </c>
      <c r="AB28" s="360">
        <f>AB29*'Income Statement'!AB$41</f>
        <v>-1553.4318007587094</v>
      </c>
      <c r="AC28" s="360">
        <f>AC29*'Income Statement'!AC$41</f>
        <v>-1526.823632399492</v>
      </c>
      <c r="AD28" s="360">
        <f>AD29*'Income Statement'!AD$41</f>
        <v>-1449.0146582066595</v>
      </c>
      <c r="AE28" s="360">
        <f>AE29*'Income Statement'!AE$41</f>
        <v>-1303.0032568404092</v>
      </c>
      <c r="AF28" s="360">
        <f>AF29*'Income Statement'!AF$41</f>
        <v>-1138.3971010284163</v>
      </c>
      <c r="AG28" s="1648" t="s">
        <v>1564</v>
      </c>
      <c r="AH28" s="1647"/>
      <c r="AJ28" s="1624"/>
      <c r="AK28" s="213"/>
      <c r="AL28" s="213"/>
      <c r="AM28" s="213"/>
      <c r="AN28" s="213"/>
      <c r="AO28" s="213"/>
    </row>
    <row r="29" spans="1:41">
      <c r="A29" s="358" t="s">
        <v>781</v>
      </c>
      <c r="B29" s="213"/>
      <c r="C29" s="213"/>
      <c r="D29" s="213"/>
      <c r="E29" s="213"/>
      <c r="F29" s="213"/>
      <c r="G29" s="213"/>
      <c r="H29" s="285">
        <f>H28/'Income Statement'!H$41</f>
        <v>-3.1915874919287886E-2</v>
      </c>
      <c r="I29" s="285">
        <f>I28/'Income Statement'!I$41</f>
        <v>-3.983940704138357E-2</v>
      </c>
      <c r="J29" s="285">
        <f>J28/'Income Statement'!J$41</f>
        <v>-4.2894660052524076E-2</v>
      </c>
      <c r="K29" s="285">
        <f>K28/'Income Statement'!K$41</f>
        <v>-2.7748839852258737E-2</v>
      </c>
      <c r="L29" s="285">
        <f>L28/'Income Statement'!L$41</f>
        <v>-2.4573812114617337E-2</v>
      </c>
      <c r="M29" s="285">
        <f>M28/'Income Statement'!M$41</f>
        <v>-3.0193858294733231E-2</v>
      </c>
      <c r="N29" s="285">
        <f>N28/'Income Statement'!N$41</f>
        <v>-3.0774880646345943E-2</v>
      </c>
      <c r="O29" s="285">
        <f>O28/'Income Statement'!O$41</f>
        <v>-3.3954451345755692E-2</v>
      </c>
      <c r="P29" s="285">
        <f>P28/'Income Statement'!P$41</f>
        <v>-4.4801914384472216E-2</v>
      </c>
      <c r="Q29" s="285">
        <f>Q28/'Income Statement'!Q$41</f>
        <v>-4.3459499445197877E-2</v>
      </c>
      <c r="R29" s="473">
        <f>R28/'Income Statement'!R$41</f>
        <v>-4.2713262953525059E-2</v>
      </c>
      <c r="S29" s="473">
        <f>S28/'Income Statement'!S$41</f>
        <v>-4.5188080117244747E-2</v>
      </c>
      <c r="T29" s="473">
        <f>T28/'Income Statement'!T$41</f>
        <v>-3.7098692033293697E-2</v>
      </c>
      <c r="U29" s="473">
        <f>U28/'Income Statement'!U$41</f>
        <v>-2.7691449517889873E-2</v>
      </c>
      <c r="V29" s="473">
        <f>V28/'Income Statement'!V$41</f>
        <v>-2.6997775239011486E-2</v>
      </c>
      <c r="W29" s="473">
        <f>W28/'Income Statement'!W$41</f>
        <v>-2.5573250512125816E-2</v>
      </c>
      <c r="X29" s="473">
        <f>X28/'Income Statement'!X$41</f>
        <v>-2.5508374737489115E-2</v>
      </c>
      <c r="Y29" s="473">
        <f>Y28/'Income Statement'!Y$41</f>
        <v>-3.4797682973235801E-2</v>
      </c>
      <c r="Z29" s="473">
        <f>Z28/'Income Statement'!Z$41</f>
        <v>-3.7667773127435418E-2</v>
      </c>
      <c r="AA29" s="1287">
        <v>-0.05</v>
      </c>
      <c r="AB29" s="1287">
        <f>AA29+0.005</f>
        <v>-4.5000000000000005E-2</v>
      </c>
      <c r="AC29" s="1287">
        <f>AB29+0.005</f>
        <v>-4.0000000000000008E-2</v>
      </c>
      <c r="AD29" s="1287">
        <f>AC29+0.005</f>
        <v>-3.500000000000001E-2</v>
      </c>
      <c r="AE29" s="1287">
        <f>AD29+0.005</f>
        <v>-3.0000000000000009E-2</v>
      </c>
      <c r="AF29" s="1287">
        <f>AE29+0.005</f>
        <v>-2.5000000000000008E-2</v>
      </c>
      <c r="AG29" s="1648" t="s">
        <v>1797</v>
      </c>
      <c r="AH29" s="1647"/>
      <c r="AJ29" s="1624"/>
      <c r="AK29" s="213"/>
      <c r="AL29" s="213"/>
      <c r="AM29" s="213"/>
      <c r="AN29" s="213"/>
      <c r="AO29" s="213"/>
    </row>
    <row r="30" spans="1:41">
      <c r="A30" s="4" t="s">
        <v>915</v>
      </c>
      <c r="B30" s="213"/>
      <c r="C30" s="213"/>
      <c r="D30" s="213"/>
      <c r="E30" s="213"/>
      <c r="F30" s="213"/>
      <c r="G30" s="213"/>
      <c r="H30" s="260">
        <f>-53+14</f>
        <v>-39</v>
      </c>
      <c r="I30" s="260">
        <v>-68</v>
      </c>
      <c r="J30" s="260">
        <v>-221</v>
      </c>
      <c r="K30" s="260">
        <v>-560</v>
      </c>
      <c r="L30" s="260">
        <v>-122</v>
      </c>
      <c r="M30" s="260">
        <v>-1176</v>
      </c>
      <c r="N30" s="260">
        <v>-193</v>
      </c>
      <c r="O30" s="260">
        <f>-733+353</f>
        <v>-380</v>
      </c>
      <c r="P30" s="260">
        <f>-272+5</f>
        <v>-267</v>
      </c>
      <c r="Q30" s="260">
        <f>622-39</f>
        <v>583</v>
      </c>
      <c r="R30" s="260">
        <v>-810</v>
      </c>
      <c r="S30" s="260">
        <v>-54</v>
      </c>
      <c r="T30" s="260">
        <v>-4172</v>
      </c>
      <c r="U30" s="260">
        <v>-29</v>
      </c>
      <c r="V30" s="260">
        <v>-21</v>
      </c>
      <c r="W30" s="260">
        <v>-33</v>
      </c>
      <c r="X30" s="260">
        <v>-490</v>
      </c>
      <c r="Y30" s="260">
        <v>-328</v>
      </c>
      <c r="Z30" s="260">
        <v>-344</v>
      </c>
      <c r="AA30" s="259">
        <f>Z30</f>
        <v>-344</v>
      </c>
      <c r="AB30" s="259">
        <f t="shared" ref="AB30:AF30" si="7">AA30</f>
        <v>-344</v>
      </c>
      <c r="AC30" s="259">
        <f t="shared" si="7"/>
        <v>-344</v>
      </c>
      <c r="AD30" s="259">
        <f t="shared" si="7"/>
        <v>-344</v>
      </c>
      <c r="AE30" s="259">
        <f t="shared" si="7"/>
        <v>-344</v>
      </c>
      <c r="AF30" s="259">
        <f t="shared" si="7"/>
        <v>-344</v>
      </c>
      <c r="AG30" s="1648"/>
      <c r="AH30" s="1647"/>
      <c r="AJ30" s="1624"/>
      <c r="AK30" s="213"/>
      <c r="AL30" s="213"/>
      <c r="AM30" s="213"/>
      <c r="AN30" s="213"/>
      <c r="AO30" s="213"/>
    </row>
    <row r="31" spans="1:41">
      <c r="A31" s="358" t="s">
        <v>1082</v>
      </c>
      <c r="B31" s="213"/>
      <c r="C31" s="213"/>
      <c r="D31" s="213"/>
      <c r="E31" s="213"/>
      <c r="F31" s="213"/>
      <c r="G31" s="213"/>
      <c r="H31" s="19"/>
      <c r="I31" s="19"/>
      <c r="J31" s="19"/>
      <c r="K31" s="19"/>
      <c r="L31" s="19"/>
      <c r="M31" s="19"/>
      <c r="N31" s="19"/>
      <c r="O31" s="352"/>
      <c r="P31" s="352"/>
      <c r="Q31" s="352"/>
      <c r="R31" s="27">
        <f t="shared" ref="R31:AF31" si="8">R30*0.5</f>
        <v>-405</v>
      </c>
      <c r="S31" s="27">
        <f t="shared" si="8"/>
        <v>-27</v>
      </c>
      <c r="T31" s="27">
        <f t="shared" si="8"/>
        <v>-2086</v>
      </c>
      <c r="U31" s="27">
        <f t="shared" si="8"/>
        <v>-14.5</v>
      </c>
      <c r="V31" s="27">
        <f t="shared" si="8"/>
        <v>-10.5</v>
      </c>
      <c r="W31" s="27">
        <f t="shared" si="8"/>
        <v>-16.5</v>
      </c>
      <c r="X31" s="27">
        <f t="shared" si="8"/>
        <v>-245</v>
      </c>
      <c r="Y31" s="27">
        <f t="shared" si="8"/>
        <v>-164</v>
      </c>
      <c r="Z31" s="27">
        <f t="shared" si="8"/>
        <v>-172</v>
      </c>
      <c r="AA31" s="27">
        <f t="shared" si="8"/>
        <v>-172</v>
      </c>
      <c r="AB31" s="27">
        <f t="shared" si="8"/>
        <v>-172</v>
      </c>
      <c r="AC31" s="27">
        <f t="shared" si="8"/>
        <v>-172</v>
      </c>
      <c r="AD31" s="27">
        <f t="shared" si="8"/>
        <v>-172</v>
      </c>
      <c r="AE31" s="27">
        <f t="shared" si="8"/>
        <v>-172</v>
      </c>
      <c r="AF31" s="27">
        <f t="shared" si="8"/>
        <v>-172</v>
      </c>
      <c r="AG31" s="1648" t="s">
        <v>1565</v>
      </c>
      <c r="AH31" s="1647"/>
      <c r="AJ31" s="1624"/>
      <c r="AK31" s="213"/>
      <c r="AL31" s="213"/>
      <c r="AM31" s="213"/>
      <c r="AN31" s="213"/>
      <c r="AO31" s="213"/>
    </row>
    <row r="32" spans="1:41">
      <c r="A32" s="358" t="s">
        <v>1083</v>
      </c>
      <c r="B32" s="213"/>
      <c r="C32" s="213"/>
      <c r="D32" s="213"/>
      <c r="E32" s="213"/>
      <c r="F32" s="213"/>
      <c r="G32" s="213"/>
      <c r="H32" s="19"/>
      <c r="I32" s="19"/>
      <c r="J32" s="19"/>
      <c r="K32" s="19"/>
      <c r="L32" s="19"/>
      <c r="M32" s="19"/>
      <c r="N32" s="19"/>
      <c r="O32" s="352"/>
      <c r="P32" s="352"/>
      <c r="Q32" s="352"/>
      <c r="R32" s="27">
        <f t="shared" ref="R32:AF32" si="9">R30-R31</f>
        <v>-405</v>
      </c>
      <c r="S32" s="27">
        <f t="shared" si="9"/>
        <v>-27</v>
      </c>
      <c r="T32" s="27">
        <f t="shared" si="9"/>
        <v>-2086</v>
      </c>
      <c r="U32" s="27">
        <f t="shared" si="9"/>
        <v>-14.5</v>
      </c>
      <c r="V32" s="27">
        <f t="shared" si="9"/>
        <v>-10.5</v>
      </c>
      <c r="W32" s="27">
        <f t="shared" si="9"/>
        <v>-16.5</v>
      </c>
      <c r="X32" s="27">
        <f t="shared" si="9"/>
        <v>-245</v>
      </c>
      <c r="Y32" s="27">
        <f t="shared" si="9"/>
        <v>-164</v>
      </c>
      <c r="Z32" s="27">
        <f t="shared" si="9"/>
        <v>-172</v>
      </c>
      <c r="AA32" s="27">
        <f t="shared" si="9"/>
        <v>-172</v>
      </c>
      <c r="AB32" s="27">
        <f t="shared" si="9"/>
        <v>-172</v>
      </c>
      <c r="AC32" s="27">
        <f t="shared" si="9"/>
        <v>-172</v>
      </c>
      <c r="AD32" s="27">
        <f t="shared" si="9"/>
        <v>-172</v>
      </c>
      <c r="AE32" s="27">
        <f t="shared" si="9"/>
        <v>-172</v>
      </c>
      <c r="AF32" s="27">
        <f t="shared" si="9"/>
        <v>-172</v>
      </c>
      <c r="AG32" s="1648"/>
      <c r="AH32" s="1647"/>
      <c r="AJ32" s="1624"/>
      <c r="AK32" s="213"/>
      <c r="AL32" s="213"/>
      <c r="AM32" s="213"/>
      <c r="AN32" s="213"/>
      <c r="AO32" s="213"/>
    </row>
    <row r="33" spans="1:41">
      <c r="A33" s="4" t="s">
        <v>914</v>
      </c>
      <c r="B33" s="213"/>
      <c r="C33" s="213"/>
      <c r="D33" s="213"/>
      <c r="E33" s="213"/>
      <c r="F33" s="213"/>
      <c r="G33" s="213"/>
      <c r="H33" s="260">
        <v>13</v>
      </c>
      <c r="I33" s="260">
        <v>-26</v>
      </c>
      <c r="J33" s="260">
        <v>109</v>
      </c>
      <c r="K33" s="260">
        <v>-9</v>
      </c>
      <c r="L33" s="260">
        <v>-53</v>
      </c>
      <c r="M33" s="260">
        <v>-6</v>
      </c>
      <c r="N33" s="260">
        <v>-86</v>
      </c>
      <c r="O33" s="260">
        <v>-35</v>
      </c>
      <c r="P33" s="260">
        <v>-70</v>
      </c>
      <c r="Q33" s="260">
        <v>-61</v>
      </c>
      <c r="R33" s="260">
        <v>5</v>
      </c>
      <c r="S33" s="260">
        <v>-1974</v>
      </c>
      <c r="T33" s="260">
        <v>1950</v>
      </c>
      <c r="U33" s="260">
        <v>39</v>
      </c>
      <c r="V33" s="260">
        <v>14</v>
      </c>
      <c r="W33" s="260">
        <v>-212</v>
      </c>
      <c r="X33" s="260">
        <v>-167</v>
      </c>
      <c r="Y33" s="260">
        <v>-202</v>
      </c>
      <c r="Z33" s="260">
        <v>-73</v>
      </c>
      <c r="AA33" s="213"/>
      <c r="AB33" s="213"/>
      <c r="AC33" s="213"/>
      <c r="AD33" s="213"/>
      <c r="AE33" s="213"/>
      <c r="AF33" s="213"/>
      <c r="AG33" s="1648"/>
      <c r="AH33" s="1647"/>
      <c r="AJ33" s="1624"/>
      <c r="AK33" s="213"/>
      <c r="AL33" s="213"/>
      <c r="AM33" s="213"/>
      <c r="AN33" s="213"/>
      <c r="AO33" s="213"/>
    </row>
    <row r="34" spans="1:41">
      <c r="A34" s="4" t="s">
        <v>776</v>
      </c>
      <c r="B34" s="213"/>
      <c r="C34" s="213"/>
      <c r="D34" s="213"/>
      <c r="E34" s="213"/>
      <c r="F34" s="213"/>
      <c r="G34" s="213"/>
      <c r="H34" s="287">
        <f t="shared" ref="H34:N34" si="10">H35-SUM(H26,H28,H30:H33)</f>
        <v>9</v>
      </c>
      <c r="I34" s="287">
        <f t="shared" si="10"/>
        <v>-34</v>
      </c>
      <c r="J34" s="287">
        <f t="shared" si="10"/>
        <v>-12</v>
      </c>
      <c r="K34" s="287">
        <f t="shared" si="10"/>
        <v>0</v>
      </c>
      <c r="L34" s="287">
        <f t="shared" si="10"/>
        <v>1</v>
      </c>
      <c r="M34" s="287">
        <f t="shared" si="10"/>
        <v>-2</v>
      </c>
      <c r="N34" s="287">
        <f t="shared" si="10"/>
        <v>0</v>
      </c>
      <c r="O34" s="287">
        <f>O35-SUM(O26,O28,O30,O33)</f>
        <v>0</v>
      </c>
      <c r="P34" s="287">
        <f>P35-SUM(P26,P28,P30,P33)</f>
        <v>0</v>
      </c>
      <c r="Q34" s="287">
        <f>Q35-SUM(Q26,Q28,Q30,Q33)</f>
        <v>0</v>
      </c>
      <c r="R34" s="227">
        <f>-364+2</f>
        <v>-362</v>
      </c>
      <c r="S34" s="227">
        <f>3060</f>
        <v>3060</v>
      </c>
      <c r="T34" s="227">
        <f>18</f>
        <v>18</v>
      </c>
      <c r="U34" s="227">
        <v>47</v>
      </c>
      <c r="V34" s="227">
        <v>1</v>
      </c>
      <c r="W34" s="227">
        <v>263</v>
      </c>
      <c r="X34" s="227">
        <v>248</v>
      </c>
      <c r="Y34" s="227">
        <v>151</v>
      </c>
      <c r="Z34" s="227">
        <v>113</v>
      </c>
      <c r="AA34" s="213">
        <f t="shared" ref="AA34:AF34" si="11">AA35-SUM(AA26,AA28,AA30,AA33)</f>
        <v>0</v>
      </c>
      <c r="AB34" s="213">
        <f t="shared" si="11"/>
        <v>0</v>
      </c>
      <c r="AC34" s="213">
        <f t="shared" si="11"/>
        <v>0</v>
      </c>
      <c r="AD34" s="213">
        <f t="shared" si="11"/>
        <v>0</v>
      </c>
      <c r="AE34" s="213">
        <f t="shared" si="11"/>
        <v>0</v>
      </c>
      <c r="AF34" s="213">
        <f t="shared" si="11"/>
        <v>0</v>
      </c>
      <c r="AG34" s="1648"/>
      <c r="AH34" s="1647"/>
      <c r="AJ34" s="1624"/>
      <c r="AK34" s="213"/>
      <c r="AL34" s="213"/>
      <c r="AM34" s="213"/>
      <c r="AN34" s="213"/>
      <c r="AO34" s="213"/>
    </row>
    <row r="35" spans="1:41">
      <c r="A35" s="279" t="s">
        <v>913</v>
      </c>
      <c r="B35" s="213"/>
      <c r="C35" s="213"/>
      <c r="D35" s="213"/>
      <c r="E35" s="213"/>
      <c r="F35" s="213"/>
      <c r="G35" s="213"/>
      <c r="H35" s="280">
        <v>-706</v>
      </c>
      <c r="I35" s="280">
        <f>-734-33</f>
        <v>-767</v>
      </c>
      <c r="J35" s="280">
        <f>-788-7</f>
        <v>-795</v>
      </c>
      <c r="K35" s="280">
        <v>-1154</v>
      </c>
      <c r="L35" s="280">
        <v>-699</v>
      </c>
      <c r="M35" s="280">
        <f>-1897-2</f>
        <v>-1899</v>
      </c>
      <c r="N35" s="280">
        <v>-1332</v>
      </c>
      <c r="O35" s="280">
        <v>-1842</v>
      </c>
      <c r="P35" s="280">
        <v>-1954</v>
      </c>
      <c r="Q35" s="280">
        <v>-1180</v>
      </c>
      <c r="R35" s="281">
        <f t="shared" ref="R35:Z35" si="12">SUM(R26,R28,R30,R33,R34)</f>
        <v>-2195</v>
      </c>
      <c r="S35" s="281">
        <f t="shared" si="12"/>
        <v>-282</v>
      </c>
      <c r="T35" s="281">
        <f t="shared" si="12"/>
        <v>-3494</v>
      </c>
      <c r="U35" s="281">
        <f t="shared" si="12"/>
        <v>-1105</v>
      </c>
      <c r="V35" s="281">
        <f t="shared" si="12"/>
        <v>-799</v>
      </c>
      <c r="W35" s="281">
        <f t="shared" si="12"/>
        <v>-738</v>
      </c>
      <c r="X35" s="281">
        <f t="shared" si="12"/>
        <v>-1288</v>
      </c>
      <c r="Y35" s="281">
        <f t="shared" si="12"/>
        <v>-1704</v>
      </c>
      <c r="Z35" s="281">
        <f t="shared" si="12"/>
        <v>-1848</v>
      </c>
      <c r="AA35" s="281">
        <f t="shared" ref="AA35:AF35" si="13">SUM(AA26,AA28,AA30,AA33)</f>
        <v>-2443.7983461201693</v>
      </c>
      <c r="AB35" s="281">
        <f t="shared" si="13"/>
        <v>-2447.4318007587094</v>
      </c>
      <c r="AC35" s="281">
        <f t="shared" si="13"/>
        <v>-2420.823632399492</v>
      </c>
      <c r="AD35" s="281">
        <f t="shared" si="13"/>
        <v>-2343.0146582066595</v>
      </c>
      <c r="AE35" s="281">
        <f t="shared" si="13"/>
        <v>-2197.0032568404094</v>
      </c>
      <c r="AF35" s="281">
        <f t="shared" si="13"/>
        <v>-2032.3971010284163</v>
      </c>
      <c r="AG35" s="1648"/>
      <c r="AH35" s="1647"/>
      <c r="AJ35" s="1624"/>
      <c r="AK35" s="213"/>
      <c r="AL35" s="213"/>
      <c r="AM35" s="213"/>
      <c r="AN35" s="213"/>
      <c r="AO35" s="213"/>
    </row>
    <row r="36" spans="1:41">
      <c r="A36" s="4"/>
      <c r="B36" s="213"/>
      <c r="C36" s="213"/>
      <c r="D36" s="213"/>
      <c r="E36" s="213"/>
      <c r="F36" s="213"/>
      <c r="G36" s="213"/>
      <c r="H36" s="19"/>
      <c r="I36" s="19"/>
      <c r="J36" s="19"/>
      <c r="K36" s="19"/>
      <c r="L36" s="19"/>
      <c r="M36" s="19"/>
      <c r="N36" s="19"/>
      <c r="O36" s="19"/>
      <c r="P36" s="19"/>
      <c r="Q36" s="19"/>
      <c r="R36" s="4"/>
      <c r="S36" s="4"/>
      <c r="T36" s="4"/>
      <c r="U36" s="4"/>
      <c r="V36" s="4"/>
      <c r="W36" s="4"/>
      <c r="X36" s="213"/>
      <c r="Y36" s="213"/>
      <c r="Z36" s="213"/>
      <c r="AA36" s="213"/>
      <c r="AB36" s="213"/>
      <c r="AC36" s="213"/>
      <c r="AD36" s="213"/>
      <c r="AE36" s="213"/>
      <c r="AF36" s="213"/>
      <c r="AG36" s="1648"/>
      <c r="AH36" s="1647"/>
      <c r="AJ36" s="1624"/>
      <c r="AK36" s="213"/>
      <c r="AL36" s="213"/>
      <c r="AM36" s="213"/>
      <c r="AN36" s="213"/>
      <c r="AO36" s="213"/>
    </row>
    <row r="37" spans="1:41">
      <c r="A37" s="4" t="s">
        <v>912</v>
      </c>
      <c r="B37" s="213"/>
      <c r="C37" s="213"/>
      <c r="D37" s="213"/>
      <c r="E37" s="213"/>
      <c r="F37" s="213"/>
      <c r="G37" s="213"/>
      <c r="H37" s="260">
        <v>8</v>
      </c>
      <c r="I37" s="260">
        <v>19</v>
      </c>
      <c r="J37" s="260">
        <v>0</v>
      </c>
      <c r="K37" s="260">
        <v>1</v>
      </c>
      <c r="L37" s="260">
        <v>6</v>
      </c>
      <c r="M37" s="260">
        <v>1</v>
      </c>
      <c r="N37" s="260">
        <v>0</v>
      </c>
      <c r="O37" s="260"/>
      <c r="P37" s="260"/>
      <c r="Q37" s="260">
        <v>-5</v>
      </c>
      <c r="R37" s="260">
        <v>-9</v>
      </c>
      <c r="S37" s="260">
        <v>-4</v>
      </c>
      <c r="T37" s="260">
        <v>-1</v>
      </c>
      <c r="U37" s="260">
        <f>2-9</f>
        <v>-7</v>
      </c>
      <c r="V37" s="260">
        <v>0</v>
      </c>
      <c r="W37" s="260">
        <v>1</v>
      </c>
      <c r="X37" s="260">
        <v>0</v>
      </c>
      <c r="Y37" s="260">
        <v>2</v>
      </c>
      <c r="Z37" s="260">
        <v>0</v>
      </c>
      <c r="AA37" s="213"/>
      <c r="AB37" s="213"/>
      <c r="AC37" s="213"/>
      <c r="AD37" s="213"/>
      <c r="AE37" s="213"/>
      <c r="AF37" s="213"/>
      <c r="AG37" s="1648"/>
      <c r="AH37" s="1647"/>
      <c r="AJ37" s="1624"/>
      <c r="AK37" s="213"/>
      <c r="AL37" s="213"/>
      <c r="AM37" s="213"/>
      <c r="AN37" s="213"/>
      <c r="AO37" s="213"/>
    </row>
    <row r="38" spans="1:41">
      <c r="A38" s="4" t="s">
        <v>911</v>
      </c>
      <c r="B38" s="213"/>
      <c r="C38" s="213"/>
      <c r="D38" s="213"/>
      <c r="E38" s="213"/>
      <c r="F38" s="213"/>
      <c r="G38" s="213"/>
      <c r="H38" s="260"/>
      <c r="I38" s="260">
        <v>0</v>
      </c>
      <c r="J38" s="260">
        <v>-151</v>
      </c>
      <c r="K38" s="260">
        <v>5</v>
      </c>
      <c r="L38" s="260">
        <v>0</v>
      </c>
      <c r="M38" s="260">
        <v>180</v>
      </c>
      <c r="N38" s="260">
        <v>118</v>
      </c>
      <c r="O38" s="260">
        <v>2</v>
      </c>
      <c r="P38" s="260">
        <v>-1</v>
      </c>
      <c r="Q38" s="260"/>
      <c r="R38" s="260">
        <v>-38</v>
      </c>
      <c r="S38" s="260">
        <v>-449</v>
      </c>
      <c r="T38" s="260">
        <v>-539</v>
      </c>
      <c r="U38" s="260">
        <v>-1299</v>
      </c>
      <c r="V38" s="260">
        <v>96</v>
      </c>
      <c r="W38" s="260">
        <v>-73</v>
      </c>
      <c r="X38" s="260">
        <v>-270</v>
      </c>
      <c r="Y38" s="260">
        <v>-1535</v>
      </c>
      <c r="Z38" s="260">
        <v>-1320</v>
      </c>
      <c r="AA38" s="213"/>
      <c r="AB38" s="213"/>
      <c r="AC38" s="213"/>
      <c r="AD38" s="213"/>
      <c r="AE38" s="213"/>
      <c r="AF38" s="213"/>
      <c r="AG38" s="1648"/>
      <c r="AH38" s="1647"/>
      <c r="AJ38" s="1624"/>
      <c r="AK38" s="213"/>
      <c r="AL38" s="213"/>
      <c r="AM38" s="213"/>
      <c r="AN38" s="213"/>
      <c r="AO38" s="213"/>
    </row>
    <row r="39" spans="1:41">
      <c r="A39" s="4" t="s">
        <v>910</v>
      </c>
      <c r="B39" s="213"/>
      <c r="C39" s="213"/>
      <c r="D39" s="213"/>
      <c r="E39" s="213"/>
      <c r="F39" s="213"/>
      <c r="G39" s="213"/>
      <c r="H39" s="260">
        <v>-129</v>
      </c>
      <c r="I39" s="260">
        <v>-86</v>
      </c>
      <c r="J39" s="260">
        <v>-93</v>
      </c>
      <c r="K39" s="260">
        <v>-218</v>
      </c>
      <c r="L39" s="260">
        <v>-138</v>
      </c>
      <c r="M39" s="260">
        <v>-254</v>
      </c>
      <c r="N39" s="260">
        <v>-119</v>
      </c>
      <c r="O39" s="260">
        <v>-111</v>
      </c>
      <c r="P39" s="260">
        <v>-850</v>
      </c>
      <c r="Q39" s="260">
        <v>-79</v>
      </c>
      <c r="R39" s="260">
        <v>-73</v>
      </c>
      <c r="S39" s="260">
        <v>-66</v>
      </c>
      <c r="T39" s="260">
        <v>-1895</v>
      </c>
      <c r="U39" s="260">
        <v>-875</v>
      </c>
      <c r="V39" s="260">
        <v>-778</v>
      </c>
      <c r="W39" s="260">
        <v>-1367</v>
      </c>
      <c r="X39" s="260">
        <v>-654</v>
      </c>
      <c r="Y39" s="260">
        <v>-311</v>
      </c>
      <c r="Z39" s="260">
        <v>-863</v>
      </c>
      <c r="AA39" s="361"/>
      <c r="AB39" s="361"/>
      <c r="AC39" s="361"/>
      <c r="AD39" s="361"/>
      <c r="AE39" s="361"/>
      <c r="AF39" s="361"/>
      <c r="AG39" s="1648"/>
      <c r="AH39" s="1647"/>
      <c r="AJ39" s="1624"/>
      <c r="AK39" s="213"/>
      <c r="AL39" s="213"/>
      <c r="AM39" s="213"/>
      <c r="AN39" s="213"/>
      <c r="AO39" s="213"/>
    </row>
    <row r="40" spans="1:41">
      <c r="A40" s="4" t="s">
        <v>909</v>
      </c>
      <c r="B40" s="213"/>
      <c r="C40" s="213"/>
      <c r="D40" s="213"/>
      <c r="E40" s="213"/>
      <c r="F40" s="213"/>
      <c r="G40" s="213"/>
      <c r="H40" s="260">
        <v>67</v>
      </c>
      <c r="I40" s="260">
        <v>24</v>
      </c>
      <c r="J40" s="260">
        <v>136</v>
      </c>
      <c r="K40" s="260">
        <v>794</v>
      </c>
      <c r="L40" s="260">
        <v>324</v>
      </c>
      <c r="M40" s="260">
        <v>32</v>
      </c>
      <c r="N40" s="260">
        <v>917</v>
      </c>
      <c r="O40" s="260">
        <v>9</v>
      </c>
      <c r="P40" s="260">
        <v>209</v>
      </c>
      <c r="Q40" s="260">
        <v>12</v>
      </c>
      <c r="R40" s="260">
        <v>682</v>
      </c>
      <c r="S40" s="260">
        <v>1058</v>
      </c>
      <c r="T40" s="260">
        <v>1480</v>
      </c>
      <c r="U40" s="260">
        <v>24</v>
      </c>
      <c r="V40" s="260">
        <v>1595</v>
      </c>
      <c r="W40" s="260">
        <v>2146</v>
      </c>
      <c r="X40" s="260">
        <v>510</v>
      </c>
      <c r="Y40" s="260">
        <v>17</v>
      </c>
      <c r="Z40" s="260">
        <v>56</v>
      </c>
      <c r="AA40" s="479">
        <v>0</v>
      </c>
      <c r="AB40" s="479">
        <v>0</v>
      </c>
      <c r="AC40" s="479">
        <v>0</v>
      </c>
      <c r="AD40" s="479">
        <v>0</v>
      </c>
      <c r="AE40" s="479">
        <v>0</v>
      </c>
      <c r="AF40" s="479">
        <v>0</v>
      </c>
      <c r="AG40" s="1648"/>
      <c r="AH40" s="1647"/>
      <c r="AJ40" s="1624"/>
      <c r="AK40" s="213"/>
      <c r="AL40" s="213"/>
      <c r="AM40" s="213"/>
      <c r="AN40" s="213"/>
      <c r="AO40" s="213"/>
    </row>
    <row r="41" spans="1:41">
      <c r="A41" s="4" t="s">
        <v>908</v>
      </c>
      <c r="B41" s="213"/>
      <c r="C41" s="213"/>
      <c r="D41" s="213"/>
      <c r="E41" s="213"/>
      <c r="F41" s="213"/>
      <c r="G41" s="213"/>
      <c r="H41" s="260">
        <f>71-46</f>
        <v>25</v>
      </c>
      <c r="I41" s="260">
        <f>41-57</f>
        <v>-16</v>
      </c>
      <c r="J41" s="260">
        <f>112-31</f>
        <v>81</v>
      </c>
      <c r="K41" s="260">
        <f>-36+69</f>
        <v>33</v>
      </c>
      <c r="L41" s="260">
        <f>-35+17</f>
        <v>-18</v>
      </c>
      <c r="M41" s="260">
        <v>-15</v>
      </c>
      <c r="N41" s="260">
        <v>-9</v>
      </c>
      <c r="O41" s="260">
        <v>-27</v>
      </c>
      <c r="P41" s="260">
        <v>3</v>
      </c>
      <c r="Q41" s="260">
        <v>-14</v>
      </c>
      <c r="R41" s="260">
        <v>-24</v>
      </c>
      <c r="S41" s="260">
        <v>-25</v>
      </c>
      <c r="T41" s="260">
        <v>-10</v>
      </c>
      <c r="U41" s="260">
        <v>-27</v>
      </c>
      <c r="V41" s="260">
        <v>-10</v>
      </c>
      <c r="W41" s="260">
        <v>-12</v>
      </c>
      <c r="X41" s="260">
        <v>-17</v>
      </c>
      <c r="Y41" s="260">
        <v>-5</v>
      </c>
      <c r="Z41" s="260">
        <v>-21</v>
      </c>
      <c r="AA41" s="4"/>
      <c r="AB41" s="4"/>
      <c r="AC41" s="4"/>
      <c r="AD41" s="4"/>
      <c r="AE41" s="4"/>
      <c r="AF41" s="4"/>
      <c r="AG41" s="1648"/>
      <c r="AH41" s="1647"/>
      <c r="AJ41" s="1624"/>
      <c r="AK41" s="213"/>
      <c r="AL41" s="213"/>
      <c r="AM41" s="213"/>
      <c r="AN41" s="213"/>
      <c r="AO41" s="213"/>
    </row>
    <row r="42" spans="1:41">
      <c r="A42" s="4" t="s">
        <v>907</v>
      </c>
      <c r="B42" s="213"/>
      <c r="C42" s="213"/>
      <c r="D42" s="213"/>
      <c r="E42" s="213"/>
      <c r="F42" s="213"/>
      <c r="G42" s="213"/>
      <c r="H42" s="260">
        <v>-151</v>
      </c>
      <c r="I42" s="260">
        <v>-97</v>
      </c>
      <c r="J42" s="260">
        <v>465</v>
      </c>
      <c r="K42" s="260">
        <v>381</v>
      </c>
      <c r="L42" s="260">
        <v>-802</v>
      </c>
      <c r="M42" s="260">
        <v>390</v>
      </c>
      <c r="N42" s="260">
        <v>-122</v>
      </c>
      <c r="O42" s="260">
        <v>-191</v>
      </c>
      <c r="P42" s="260">
        <v>809</v>
      </c>
      <c r="Q42" s="260">
        <v>-631</v>
      </c>
      <c r="R42" s="260">
        <v>10</v>
      </c>
      <c r="S42" s="260">
        <v>449</v>
      </c>
      <c r="T42" s="260">
        <v>-472</v>
      </c>
      <c r="U42" s="260">
        <v>1261</v>
      </c>
      <c r="V42" s="260">
        <v>-831</v>
      </c>
      <c r="W42" s="260">
        <v>-775</v>
      </c>
      <c r="X42" s="260">
        <v>-159</v>
      </c>
      <c r="Y42" s="260">
        <v>-161</v>
      </c>
      <c r="Z42" s="260">
        <v>45</v>
      </c>
      <c r="AA42" s="4"/>
      <c r="AB42" s="4"/>
      <c r="AC42" s="4"/>
      <c r="AD42" s="4"/>
      <c r="AE42" s="4"/>
      <c r="AF42" s="4"/>
      <c r="AG42" s="1648"/>
      <c r="AH42" s="1647"/>
      <c r="AJ42" s="1624"/>
      <c r="AK42" s="213"/>
      <c r="AL42" s="213"/>
      <c r="AM42" s="213"/>
      <c r="AN42" s="213"/>
      <c r="AO42" s="213"/>
    </row>
    <row r="43" spans="1:41">
      <c r="A43" s="4" t="s">
        <v>906</v>
      </c>
      <c r="B43" s="213"/>
      <c r="C43" s="213"/>
      <c r="D43" s="213"/>
      <c r="E43" s="213"/>
      <c r="F43" s="213"/>
      <c r="G43" s="213"/>
      <c r="H43" s="260">
        <v>-148</v>
      </c>
      <c r="I43" s="260">
        <v>-90</v>
      </c>
      <c r="J43" s="260">
        <v>-197</v>
      </c>
      <c r="K43" s="260">
        <v>-68</v>
      </c>
      <c r="L43" s="260">
        <v>-152</v>
      </c>
      <c r="M43" s="260">
        <v>-304</v>
      </c>
      <c r="N43" s="260">
        <v>-283</v>
      </c>
      <c r="O43" s="260">
        <v>-471</v>
      </c>
      <c r="P43" s="260">
        <v>-500</v>
      </c>
      <c r="Q43" s="260">
        <v>-517</v>
      </c>
      <c r="R43" s="260">
        <v>-612</v>
      </c>
      <c r="S43" s="260">
        <v>-340</v>
      </c>
      <c r="T43" s="260">
        <v>-695</v>
      </c>
      <c r="U43" s="260">
        <v>-785</v>
      </c>
      <c r="V43" s="260">
        <v>0</v>
      </c>
      <c r="W43" s="260">
        <v>-183</v>
      </c>
      <c r="X43" s="260">
        <v>-213</v>
      </c>
      <c r="Y43" s="260">
        <v>-564</v>
      </c>
      <c r="Z43" s="260">
        <v>-911</v>
      </c>
      <c r="AA43" s="327">
        <f>-((AA44*'Income Statement'!Z116)+(AA45*'Income Statement'!AA116))/1000</f>
        <v>-1206.8336370000002</v>
      </c>
      <c r="AB43" s="327">
        <f>-((AB44*'Income Statement'!AA116)+(AB45*'Income Statement'!AB116))/1000</f>
        <v>-1398.5537395733497</v>
      </c>
      <c r="AC43" s="327">
        <f>-((AC44*'Income Statement'!AB116)+(AC45*'Income Statement'!AC116))/1000</f>
        <v>-1796.7173534383026</v>
      </c>
      <c r="AD43" s="327">
        <f>-((AD44*'Income Statement'!AC116)+(AD45*'Income Statement'!AD116))/1000</f>
        <v>-2045.9687600249188</v>
      </c>
      <c r="AE43" s="327">
        <f>-((AE44*'Income Statement'!AD116)+(AE45*'Income Statement'!AE116))/1000</f>
        <v>-2276.7834805811317</v>
      </c>
      <c r="AF43" s="327">
        <f>-((AF44*'Income Statement'!AE116)+(AF45*'Income Statement'!AF116))/1000</f>
        <v>-2416.1772413240215</v>
      </c>
      <c r="AG43" s="1648"/>
      <c r="AH43" s="1647"/>
      <c r="AJ43" s="1624"/>
      <c r="AK43" s="213"/>
      <c r="AL43" s="213"/>
      <c r="AM43" s="213"/>
      <c r="AN43" s="213"/>
      <c r="AO43" s="213"/>
    </row>
    <row r="44" spans="1:41">
      <c r="A44" s="278" t="s">
        <v>1007</v>
      </c>
      <c r="B44" s="213"/>
      <c r="C44" s="213"/>
      <c r="D44" s="213"/>
      <c r="E44" s="213"/>
      <c r="F44" s="213"/>
      <c r="G44" s="213"/>
      <c r="H44" s="19"/>
      <c r="I44" s="19"/>
      <c r="J44" s="292">
        <v>0.4</v>
      </c>
      <c r="K44" s="292">
        <v>0.25</v>
      </c>
      <c r="L44" s="292">
        <v>0.38</v>
      </c>
      <c r="M44" s="292">
        <v>0.5</v>
      </c>
      <c r="N44" s="292">
        <v>0.37</v>
      </c>
      <c r="O44" s="352">
        <f>'Income Statement'!N109-N45</f>
        <v>0.64999999999999991</v>
      </c>
      <c r="P44" s="352">
        <f>'Income Statement'!O109-O45</f>
        <v>0.64000000000000012</v>
      </c>
      <c r="Q44" s="354">
        <v>0.64</v>
      </c>
      <c r="R44" s="365">
        <f>'Income Statement'!Q109-Q45</f>
        <v>0.77999999999999992</v>
      </c>
      <c r="S44" s="365">
        <f>'Income Statement'!R109-R45</f>
        <v>0.92</v>
      </c>
      <c r="T44" s="365">
        <f>'Income Statement'!S109-S45</f>
        <v>1.6</v>
      </c>
      <c r="U44" s="365">
        <f>'Income Statement'!T109-T45</f>
        <v>1.82</v>
      </c>
      <c r="V44" s="365">
        <f>'Income Statement'!U109-U45</f>
        <v>0</v>
      </c>
      <c r="W44" s="365">
        <f>'Income Statement'!V109-V45</f>
        <v>0.43</v>
      </c>
      <c r="X44" s="365">
        <f>'Income Statement'!W109-W45</f>
        <v>0.5</v>
      </c>
      <c r="Y44" s="365">
        <f>'Income Statement'!X109-X45</f>
        <v>1.35</v>
      </c>
      <c r="Z44" s="365">
        <f>'Income Statement'!Y109-Y45</f>
        <v>2.2000000000000002</v>
      </c>
      <c r="AA44" s="1291">
        <f>'Income Statement'!Z109-Z45</f>
        <v>2.9</v>
      </c>
      <c r="AB44" s="1291">
        <f>'Income Statement'!AA109-AA45</f>
        <v>3.397328355291668</v>
      </c>
      <c r="AC44" s="1291">
        <f>'Income Statement'!AB109-AB45</f>
        <v>4.4126297969909913</v>
      </c>
      <c r="AD44" s="1291">
        <f>'Income Statement'!AC109-AC45</f>
        <v>5.0807617532107781</v>
      </c>
      <c r="AE44" s="1291">
        <f>'Income Statement'!AD109-AD45</f>
        <v>5.7176502085549297</v>
      </c>
      <c r="AF44" s="1291">
        <f>'Income Statement'!AE109-AE45</f>
        <v>6.0677075468923514</v>
      </c>
      <c r="AG44" s="1648"/>
      <c r="AH44" s="1647"/>
      <c r="AJ44" s="1624"/>
      <c r="AK44" s="213"/>
      <c r="AL44" s="213"/>
      <c r="AM44" s="213"/>
      <c r="AN44" s="213"/>
      <c r="AO44" s="213"/>
    </row>
    <row r="45" spans="1:41">
      <c r="A45" s="278" t="s">
        <v>905</v>
      </c>
      <c r="B45" s="213"/>
      <c r="C45" s="213"/>
      <c r="D45" s="213"/>
      <c r="E45" s="213"/>
      <c r="F45" s="213"/>
      <c r="G45" s="213"/>
      <c r="H45" s="19"/>
      <c r="I45" s="19"/>
      <c r="J45" s="292">
        <v>0.08</v>
      </c>
      <c r="K45" s="292">
        <v>0</v>
      </c>
      <c r="L45" s="292">
        <v>0</v>
      </c>
      <c r="M45" s="292">
        <v>0.25</v>
      </c>
      <c r="N45" s="292">
        <v>0.31</v>
      </c>
      <c r="O45" s="354">
        <v>0.48</v>
      </c>
      <c r="P45" s="352">
        <f>'Income Statement'!P109-Q44</f>
        <v>0.55999999999999994</v>
      </c>
      <c r="Q45" s="354">
        <v>0.6</v>
      </c>
      <c r="R45" s="365">
        <f>Q45*(1+'Income Statement'!R111)</f>
        <v>0.6</v>
      </c>
      <c r="S45" s="365"/>
      <c r="T45" s="365"/>
      <c r="U45" s="365"/>
      <c r="V45" s="365"/>
      <c r="W45" s="365"/>
      <c r="X45" s="365"/>
      <c r="Y45" s="365"/>
      <c r="Z45" s="365"/>
      <c r="AA45" s="213"/>
      <c r="AB45" s="213"/>
      <c r="AC45" s="213"/>
      <c r="AD45" s="213"/>
      <c r="AE45" s="213"/>
      <c r="AF45" s="213"/>
      <c r="AG45" s="1648"/>
      <c r="AH45" s="1647"/>
      <c r="AJ45" s="1624"/>
      <c r="AK45" s="213"/>
      <c r="AL45" s="213"/>
      <c r="AM45" s="213"/>
      <c r="AN45" s="213"/>
      <c r="AO45" s="213"/>
    </row>
    <row r="46" spans="1:41">
      <c r="A46" s="4" t="s">
        <v>904</v>
      </c>
      <c r="B46" s="213"/>
      <c r="C46" s="213"/>
      <c r="D46" s="213"/>
      <c r="E46" s="213"/>
      <c r="F46" s="213"/>
      <c r="G46" s="213"/>
      <c r="H46" s="292">
        <v>-7</v>
      </c>
      <c r="I46" s="292">
        <v>-6</v>
      </c>
      <c r="J46" s="292">
        <v>-5</v>
      </c>
      <c r="K46" s="292">
        <v>-5</v>
      </c>
      <c r="L46" s="292">
        <v>-9</v>
      </c>
      <c r="M46" s="292">
        <v>-13</v>
      </c>
      <c r="N46" s="292">
        <v>-17</v>
      </c>
      <c r="O46" s="292">
        <v>-10</v>
      </c>
      <c r="P46" s="292">
        <v>-11</v>
      </c>
      <c r="Q46" s="292">
        <v>-23</v>
      </c>
      <c r="R46" s="363">
        <v>-30</v>
      </c>
      <c r="S46" s="363">
        <v>-32</v>
      </c>
      <c r="T46" s="363">
        <v>-26</v>
      </c>
      <c r="U46" s="363">
        <v>-32</v>
      </c>
      <c r="V46" s="363">
        <v>-4</v>
      </c>
      <c r="W46" s="363">
        <v>-5</v>
      </c>
      <c r="X46" s="363">
        <v>-12</v>
      </c>
      <c r="Y46" s="363">
        <v>-19</v>
      </c>
      <c r="Z46" s="363">
        <v>-59</v>
      </c>
      <c r="AA46" s="213"/>
      <c r="AB46" s="213"/>
      <c r="AC46" s="213"/>
      <c r="AD46" s="213"/>
      <c r="AE46" s="213"/>
      <c r="AF46" s="213"/>
      <c r="AG46" s="1648"/>
      <c r="AH46" s="1647"/>
      <c r="AJ46" s="1624"/>
      <c r="AK46" s="213"/>
      <c r="AL46" s="213"/>
      <c r="AM46" s="213"/>
      <c r="AN46" s="213"/>
      <c r="AO46" s="213"/>
    </row>
    <row r="47" spans="1:41">
      <c r="A47" s="4" t="s">
        <v>1077</v>
      </c>
      <c r="B47" s="213"/>
      <c r="C47" s="213"/>
      <c r="D47" s="213"/>
      <c r="E47" s="213"/>
      <c r="F47" s="213"/>
      <c r="G47" s="213"/>
      <c r="H47" s="292">
        <v>0</v>
      </c>
      <c r="I47" s="292">
        <v>0</v>
      </c>
      <c r="J47" s="292">
        <v>0</v>
      </c>
      <c r="K47" s="292">
        <v>0</v>
      </c>
      <c r="L47" s="292">
        <v>0</v>
      </c>
      <c r="M47" s="292">
        <v>0</v>
      </c>
      <c r="N47" s="292">
        <v>0</v>
      </c>
      <c r="O47" s="292">
        <v>0</v>
      </c>
      <c r="P47" s="287"/>
      <c r="Q47" s="287"/>
      <c r="R47" s="27"/>
      <c r="S47" s="27"/>
      <c r="T47" s="27"/>
      <c r="U47" s="27"/>
      <c r="V47" s="27"/>
      <c r="W47" s="27"/>
      <c r="X47" s="27"/>
      <c r="Y47" s="227"/>
      <c r="Z47" s="227"/>
      <c r="AA47" s="268">
        <f>-5000/4</f>
        <v>-1250</v>
      </c>
      <c r="AB47" s="268">
        <f t="shared" ref="AB47:AD47" si="14">-5000/4</f>
        <v>-1250</v>
      </c>
      <c r="AC47" s="268">
        <f t="shared" si="14"/>
        <v>-1250</v>
      </c>
      <c r="AD47" s="268">
        <f t="shared" si="14"/>
        <v>-1250</v>
      </c>
      <c r="AE47" s="319"/>
      <c r="AF47" s="319"/>
      <c r="AG47" s="1649"/>
      <c r="AH47" s="1647"/>
      <c r="AJ47" s="1624"/>
      <c r="AK47" s="213"/>
      <c r="AL47" s="213"/>
      <c r="AM47" s="213"/>
      <c r="AN47" s="213"/>
      <c r="AO47" s="213"/>
    </row>
    <row r="48" spans="1:41">
      <c r="A48" s="4" t="s">
        <v>776</v>
      </c>
      <c r="B48" s="213"/>
      <c r="C48" s="213"/>
      <c r="D48" s="213"/>
      <c r="E48" s="213"/>
      <c r="F48" s="213"/>
      <c r="G48" s="213"/>
      <c r="H48" s="287">
        <f t="shared" ref="H48:N48" si="15">H49-SUM(H37:H43,H46)</f>
        <v>0</v>
      </c>
      <c r="I48" s="287">
        <f t="shared" si="15"/>
        <v>-63</v>
      </c>
      <c r="J48" s="287">
        <f t="shared" si="15"/>
        <v>135</v>
      </c>
      <c r="K48" s="287">
        <f t="shared" si="15"/>
        <v>-31</v>
      </c>
      <c r="L48" s="287">
        <f t="shared" si="15"/>
        <v>28</v>
      </c>
      <c r="M48" s="287">
        <f t="shared" si="15"/>
        <v>11</v>
      </c>
      <c r="N48" s="287">
        <f t="shared" si="15"/>
        <v>0</v>
      </c>
      <c r="O48" s="287">
        <f t="shared" ref="O48:X48" si="16">O49-SUM(O37:O43,O46:O47)</f>
        <v>0</v>
      </c>
      <c r="P48" s="287">
        <f t="shared" si="16"/>
        <v>0</v>
      </c>
      <c r="Q48" s="287">
        <f t="shared" si="16"/>
        <v>0</v>
      </c>
      <c r="R48" s="27">
        <f t="shared" si="16"/>
        <v>0</v>
      </c>
      <c r="S48" s="27">
        <f t="shared" si="16"/>
        <v>0</v>
      </c>
      <c r="T48" s="27">
        <f t="shared" si="16"/>
        <v>0</v>
      </c>
      <c r="U48" s="27">
        <f t="shared" si="16"/>
        <v>0</v>
      </c>
      <c r="V48" s="27">
        <f t="shared" si="16"/>
        <v>0</v>
      </c>
      <c r="W48" s="27">
        <f t="shared" si="16"/>
        <v>0</v>
      </c>
      <c r="X48" s="27">
        <f t="shared" si="16"/>
        <v>0</v>
      </c>
      <c r="Y48" s="27">
        <f>Y49-SUM(Y37:Y43,Y46)</f>
        <v>0</v>
      </c>
      <c r="Z48" s="27">
        <f>Z49-SUM(Z37:Z43,Z46)</f>
        <v>0</v>
      </c>
      <c r="AA48" s="27">
        <f t="shared" ref="AA48:AF48" si="17">AA49-SUM(AA37:AA43,AA46:AA47)</f>
        <v>0</v>
      </c>
      <c r="AB48" s="27">
        <f t="shared" si="17"/>
        <v>0</v>
      </c>
      <c r="AC48" s="27">
        <f t="shared" si="17"/>
        <v>0</v>
      </c>
      <c r="AD48" s="27">
        <f t="shared" si="17"/>
        <v>0</v>
      </c>
      <c r="AE48" s="27">
        <f t="shared" si="17"/>
        <v>0</v>
      </c>
      <c r="AF48" s="27">
        <f t="shared" si="17"/>
        <v>0</v>
      </c>
      <c r="AG48" s="1648"/>
      <c r="AH48" s="1647"/>
      <c r="AJ48" s="1624"/>
      <c r="AK48" s="213"/>
      <c r="AL48" s="213"/>
      <c r="AM48" s="213"/>
      <c r="AN48" s="213"/>
      <c r="AO48" s="213"/>
    </row>
    <row r="49" spans="1:41">
      <c r="A49" s="279" t="s">
        <v>903</v>
      </c>
      <c r="B49" s="213"/>
      <c r="C49" s="213"/>
      <c r="D49" s="213"/>
      <c r="E49" s="213"/>
      <c r="F49" s="213"/>
      <c r="G49" s="213"/>
      <c r="H49" s="280">
        <v>-335</v>
      </c>
      <c r="I49" s="281">
        <f>-316+1</f>
        <v>-315</v>
      </c>
      <c r="J49" s="281">
        <f>369+2</f>
        <v>371</v>
      </c>
      <c r="K49" s="281">
        <f>893-1</f>
        <v>892</v>
      </c>
      <c r="L49" s="280">
        <v>-761</v>
      </c>
      <c r="M49" s="280">
        <v>28</v>
      </c>
      <c r="N49" s="280">
        <v>485</v>
      </c>
      <c r="O49" s="280">
        <v>-799</v>
      </c>
      <c r="P49" s="280">
        <v>-341</v>
      </c>
      <c r="Q49" s="280">
        <v>-1257</v>
      </c>
      <c r="R49" s="281">
        <f t="shared" ref="R49:X49" si="18">SUM(R37:R43,R46:R47)</f>
        <v>-94</v>
      </c>
      <c r="S49" s="281">
        <f t="shared" si="18"/>
        <v>591</v>
      </c>
      <c r="T49" s="281">
        <f t="shared" si="18"/>
        <v>-2158</v>
      </c>
      <c r="U49" s="281">
        <f t="shared" si="18"/>
        <v>-1740</v>
      </c>
      <c r="V49" s="281">
        <f t="shared" si="18"/>
        <v>68</v>
      </c>
      <c r="W49" s="281">
        <f t="shared" si="18"/>
        <v>-268</v>
      </c>
      <c r="X49" s="281">
        <f t="shared" si="18"/>
        <v>-815</v>
      </c>
      <c r="Y49" s="281">
        <f>SUM(Y37:Y43,Y46)</f>
        <v>-2576</v>
      </c>
      <c r="Z49" s="281">
        <f>SUM(Z37:Z43,Z46)</f>
        <v>-3073</v>
      </c>
      <c r="AA49" s="281">
        <f t="shared" ref="AA49:AF49" si="19">SUM(AA37:AA43,AA46:AA47)</f>
        <v>-2456.8336370000002</v>
      </c>
      <c r="AB49" s="281">
        <f t="shared" si="19"/>
        <v>-2648.55373957335</v>
      </c>
      <c r="AC49" s="281">
        <f t="shared" si="19"/>
        <v>-3046.7173534383028</v>
      </c>
      <c r="AD49" s="281">
        <f t="shared" si="19"/>
        <v>-3295.968760024919</v>
      </c>
      <c r="AE49" s="281">
        <f t="shared" si="19"/>
        <v>-2276.7834805811317</v>
      </c>
      <c r="AF49" s="281">
        <f t="shared" si="19"/>
        <v>-2416.1772413240215</v>
      </c>
      <c r="AG49" s="1648"/>
      <c r="AH49" s="1647"/>
      <c r="AJ49" s="1624"/>
      <c r="AK49" s="213"/>
      <c r="AL49" s="213"/>
      <c r="AM49" s="213"/>
      <c r="AN49" s="213"/>
      <c r="AO49" s="213"/>
    </row>
    <row r="50" spans="1:41">
      <c r="A50" s="4"/>
      <c r="B50" s="213"/>
      <c r="C50" s="213"/>
      <c r="D50" s="213"/>
      <c r="E50" s="213"/>
      <c r="F50" s="213"/>
      <c r="G50" s="213"/>
      <c r="H50" s="19"/>
      <c r="I50" s="19"/>
      <c r="J50" s="19"/>
      <c r="K50" s="19"/>
      <c r="L50" s="19"/>
      <c r="M50" s="19"/>
      <c r="N50" s="19"/>
      <c r="O50" s="19"/>
      <c r="P50" s="19"/>
      <c r="Q50" s="19"/>
      <c r="R50" s="4"/>
      <c r="S50" s="4"/>
      <c r="T50" s="4"/>
      <c r="U50" s="4"/>
      <c r="V50" s="4"/>
      <c r="W50" s="4"/>
      <c r="X50" s="213"/>
      <c r="Y50" s="213"/>
      <c r="Z50" s="213"/>
      <c r="AA50" s="213"/>
      <c r="AB50" s="213"/>
      <c r="AC50" s="213"/>
      <c r="AD50" s="213"/>
      <c r="AE50" s="213"/>
      <c r="AF50" s="213"/>
      <c r="AG50" s="1648"/>
      <c r="AH50" s="1647"/>
      <c r="AJ50" s="1624"/>
      <c r="AK50" s="213"/>
      <c r="AL50" s="213"/>
      <c r="AM50" s="213"/>
      <c r="AN50" s="213"/>
      <c r="AO50" s="213"/>
    </row>
    <row r="51" spans="1:41">
      <c r="A51" s="4" t="s">
        <v>902</v>
      </c>
      <c r="B51" s="213"/>
      <c r="C51" s="213"/>
      <c r="D51" s="213"/>
      <c r="E51" s="213"/>
      <c r="F51" s="213"/>
      <c r="G51" s="213"/>
      <c r="H51" s="287">
        <f t="shared" ref="H51:P51" si="20">H24+H35+H49</f>
        <v>-187</v>
      </c>
      <c r="I51" s="287">
        <f t="shared" si="20"/>
        <v>26</v>
      </c>
      <c r="J51" s="287">
        <f t="shared" si="20"/>
        <v>202</v>
      </c>
      <c r="K51" s="287">
        <f t="shared" si="20"/>
        <v>1146</v>
      </c>
      <c r="L51" s="287">
        <f t="shared" si="20"/>
        <v>-30</v>
      </c>
      <c r="M51" s="287">
        <f t="shared" si="20"/>
        <v>-634</v>
      </c>
      <c r="N51" s="287">
        <f t="shared" si="20"/>
        <v>770</v>
      </c>
      <c r="O51" s="287">
        <f t="shared" si="20"/>
        <v>-502</v>
      </c>
      <c r="P51" s="287">
        <f t="shared" si="20"/>
        <v>62</v>
      </c>
      <c r="Q51" s="287">
        <f>Q24+Q35+Q49+121-88-21</f>
        <v>206</v>
      </c>
      <c r="R51" s="27">
        <f>R24+R35+R49+(171-111-8)</f>
        <v>246</v>
      </c>
      <c r="S51" s="27">
        <f>S24+S35+S49+(14-52-198)</f>
        <v>2825</v>
      </c>
      <c r="T51" s="27">
        <f t="shared" ref="T51:AF51" si="21">T24+T35+T49</f>
        <v>-2581</v>
      </c>
      <c r="U51" s="27">
        <f t="shared" si="21"/>
        <v>300</v>
      </c>
      <c r="V51" s="27">
        <f t="shared" si="21"/>
        <v>1135</v>
      </c>
      <c r="W51" s="27">
        <f t="shared" si="21"/>
        <v>1430</v>
      </c>
      <c r="X51" s="27">
        <f t="shared" si="21"/>
        <v>1442</v>
      </c>
      <c r="Y51" s="27">
        <f t="shared" si="21"/>
        <v>-10</v>
      </c>
      <c r="Z51" s="27">
        <f t="shared" si="21"/>
        <v>-188</v>
      </c>
      <c r="AA51" s="27">
        <f t="shared" si="21"/>
        <v>717.7677021781833</v>
      </c>
      <c r="AB51" s="27">
        <f t="shared" si="21"/>
        <v>1213.7229303205409</v>
      </c>
      <c r="AC51" s="27">
        <f t="shared" si="21"/>
        <v>1484.7706419956858</v>
      </c>
      <c r="AD51" s="27">
        <f t="shared" si="21"/>
        <v>1809.6518058701959</v>
      </c>
      <c r="AE51" s="27">
        <f t="shared" si="21"/>
        <v>3485.4472509876259</v>
      </c>
      <c r="AF51" s="27">
        <f t="shared" si="21"/>
        <v>3822.7872266423947</v>
      </c>
      <c r="AG51" s="1648"/>
      <c r="AH51" s="1647"/>
      <c r="AJ51" s="1624"/>
      <c r="AK51" s="213"/>
      <c r="AL51" s="213"/>
      <c r="AM51" s="213"/>
      <c r="AN51" s="213"/>
      <c r="AO51" s="213"/>
    </row>
    <row r="52" spans="1:41">
      <c r="A52" s="4" t="s">
        <v>777</v>
      </c>
      <c r="B52" s="213"/>
      <c r="C52" s="213"/>
      <c r="D52" s="213"/>
      <c r="E52" s="213"/>
      <c r="F52" s="213"/>
      <c r="G52" s="213"/>
      <c r="H52" s="292">
        <v>-6</v>
      </c>
      <c r="I52" s="292">
        <v>-2</v>
      </c>
      <c r="J52" s="292">
        <v>-2</v>
      </c>
      <c r="K52" s="292">
        <v>4</v>
      </c>
      <c r="L52" s="292">
        <v>12</v>
      </c>
      <c r="M52" s="292">
        <v>3</v>
      </c>
      <c r="N52" s="292">
        <v>-8</v>
      </c>
      <c r="O52" s="292">
        <v>-19</v>
      </c>
      <c r="P52" s="292">
        <v>24</v>
      </c>
      <c r="Q52" s="292">
        <v>6</v>
      </c>
      <c r="R52" s="363">
        <v>15</v>
      </c>
      <c r="S52" s="363">
        <v>-17</v>
      </c>
      <c r="T52" s="363">
        <v>-3</v>
      </c>
      <c r="U52" s="363">
        <v>2</v>
      </c>
      <c r="V52" s="363">
        <v>-20</v>
      </c>
      <c r="W52" s="363">
        <v>70</v>
      </c>
      <c r="X52" s="363">
        <v>-2</v>
      </c>
      <c r="Y52" s="363">
        <v>-1</v>
      </c>
      <c r="Z52" s="363">
        <v>26</v>
      </c>
      <c r="AA52" s="213"/>
      <c r="AB52" s="213"/>
      <c r="AC52" s="213"/>
      <c r="AD52" s="213"/>
      <c r="AE52" s="213"/>
      <c r="AF52" s="213"/>
      <c r="AG52" s="1648"/>
      <c r="AH52" s="1647"/>
      <c r="AJ52" s="1624"/>
      <c r="AK52" s="213"/>
      <c r="AL52" s="213"/>
      <c r="AM52" s="213"/>
      <c r="AN52" s="213"/>
      <c r="AO52" s="213"/>
    </row>
    <row r="53" spans="1:41">
      <c r="A53" s="4" t="s">
        <v>776</v>
      </c>
      <c r="B53" s="213"/>
      <c r="C53" s="213"/>
      <c r="D53" s="213"/>
      <c r="E53" s="213"/>
      <c r="F53" s="213"/>
      <c r="G53" s="213"/>
      <c r="H53" s="19"/>
      <c r="I53" s="292">
        <v>-37</v>
      </c>
      <c r="J53" s="292">
        <v>-11</v>
      </c>
      <c r="K53" s="292">
        <v>11</v>
      </c>
      <c r="L53" s="19"/>
      <c r="M53" s="19"/>
      <c r="N53" s="19"/>
      <c r="O53" s="292">
        <v>-125</v>
      </c>
      <c r="P53" s="19"/>
      <c r="Q53" s="284"/>
      <c r="R53" s="19"/>
      <c r="S53" s="292">
        <v>180</v>
      </c>
      <c r="T53" s="19"/>
      <c r="U53" s="19"/>
      <c r="V53" s="19"/>
      <c r="W53" s="19"/>
      <c r="X53" s="213"/>
      <c r="Y53" s="213"/>
      <c r="Z53" s="213"/>
      <c r="AA53" s="213"/>
      <c r="AB53" s="213"/>
      <c r="AC53" s="213"/>
      <c r="AD53" s="213"/>
      <c r="AE53" s="213"/>
      <c r="AF53" s="213"/>
      <c r="AG53" s="1648"/>
      <c r="AH53" s="1647"/>
      <c r="AJ53" s="1624"/>
      <c r="AK53" s="213"/>
      <c r="AL53" s="213"/>
      <c r="AM53" s="213"/>
      <c r="AN53" s="213"/>
      <c r="AO53" s="213"/>
    </row>
    <row r="54" spans="1:41">
      <c r="A54" s="295" t="s">
        <v>901</v>
      </c>
      <c r="B54" s="213"/>
      <c r="C54" s="213"/>
      <c r="D54" s="213"/>
      <c r="E54" s="213"/>
      <c r="F54" s="213"/>
      <c r="G54" s="213"/>
      <c r="H54" s="293">
        <v>936</v>
      </c>
      <c r="I54" s="293">
        <v>743</v>
      </c>
      <c r="J54" s="293">
        <v>730</v>
      </c>
      <c r="K54" s="293">
        <v>919</v>
      </c>
      <c r="L54" s="293">
        <v>2080</v>
      </c>
      <c r="M54" s="293">
        <v>2062</v>
      </c>
      <c r="N54" s="293">
        <v>1431</v>
      </c>
      <c r="O54" s="287">
        <f>N55</f>
        <v>2193</v>
      </c>
      <c r="P54" s="287">
        <f>O55</f>
        <v>1547</v>
      </c>
      <c r="Q54" s="287">
        <f>P55</f>
        <v>1633</v>
      </c>
      <c r="R54" s="287">
        <f>Q55+186</f>
        <v>1845</v>
      </c>
      <c r="S54" s="287">
        <f t="shared" ref="S54:AF54" si="22">R55</f>
        <v>1926</v>
      </c>
      <c r="T54" s="287">
        <f t="shared" si="22"/>
        <v>4914</v>
      </c>
      <c r="U54" s="287">
        <f t="shared" si="22"/>
        <v>2330</v>
      </c>
      <c r="V54" s="287">
        <f t="shared" si="22"/>
        <v>2632</v>
      </c>
      <c r="W54" s="287">
        <f t="shared" si="22"/>
        <v>3747</v>
      </c>
      <c r="X54" s="287">
        <f t="shared" si="22"/>
        <v>5247</v>
      </c>
      <c r="Y54" s="287">
        <f t="shared" si="22"/>
        <v>6687</v>
      </c>
      <c r="Z54" s="287">
        <f t="shared" si="22"/>
        <v>6676</v>
      </c>
      <c r="AA54" s="287">
        <f t="shared" si="22"/>
        <v>6514</v>
      </c>
      <c r="AB54" s="287">
        <f t="shared" si="22"/>
        <v>7231.7677021781838</v>
      </c>
      <c r="AC54" s="287">
        <f t="shared" si="22"/>
        <v>8445.4906324987242</v>
      </c>
      <c r="AD54" s="287">
        <f t="shared" si="22"/>
        <v>9930.261274494409</v>
      </c>
      <c r="AE54" s="287">
        <f t="shared" si="22"/>
        <v>11739.913080364604</v>
      </c>
      <c r="AF54" s="287">
        <f t="shared" si="22"/>
        <v>15225.360331352229</v>
      </c>
      <c r="AG54" s="1648"/>
      <c r="AH54" s="1647"/>
      <c r="AJ54" s="1624"/>
      <c r="AK54" s="213"/>
      <c r="AL54" s="213"/>
      <c r="AM54" s="213"/>
      <c r="AN54" s="213"/>
      <c r="AO54" s="213"/>
    </row>
    <row r="55" spans="1:41">
      <c r="A55" s="295" t="s">
        <v>900</v>
      </c>
      <c r="B55" s="213"/>
      <c r="C55" s="213"/>
      <c r="D55" s="213"/>
      <c r="E55" s="213"/>
      <c r="F55" s="213"/>
      <c r="G55" s="213"/>
      <c r="H55" s="287">
        <f t="shared" ref="H55:P55" si="23">SUM(H51:H54)</f>
        <v>743</v>
      </c>
      <c r="I55" s="287">
        <f t="shared" si="23"/>
        <v>730</v>
      </c>
      <c r="J55" s="287">
        <f t="shared" si="23"/>
        <v>919</v>
      </c>
      <c r="K55" s="287">
        <f t="shared" si="23"/>
        <v>2080</v>
      </c>
      <c r="L55" s="287">
        <f t="shared" si="23"/>
        <v>2062</v>
      </c>
      <c r="M55" s="287">
        <f t="shared" si="23"/>
        <v>1431</v>
      </c>
      <c r="N55" s="287">
        <f t="shared" si="23"/>
        <v>2193</v>
      </c>
      <c r="O55" s="287">
        <f t="shared" si="23"/>
        <v>1547</v>
      </c>
      <c r="P55" s="287">
        <f t="shared" si="23"/>
        <v>1633</v>
      </c>
      <c r="Q55" s="287">
        <f>SUM(Q51:Q54)-186</f>
        <v>1659</v>
      </c>
      <c r="R55" s="287">
        <f>SUM(R51:R54)-180</f>
        <v>1926</v>
      </c>
      <c r="S55" s="287">
        <f t="shared" ref="S55:AF55" si="24">SUM(S51:S54)</f>
        <v>4914</v>
      </c>
      <c r="T55" s="287">
        <f t="shared" si="24"/>
        <v>2330</v>
      </c>
      <c r="U55" s="287">
        <f t="shared" si="24"/>
        <v>2632</v>
      </c>
      <c r="V55" s="287">
        <f t="shared" si="24"/>
        <v>3747</v>
      </c>
      <c r="W55" s="287">
        <f t="shared" si="24"/>
        <v>5247</v>
      </c>
      <c r="X55" s="287">
        <f t="shared" si="24"/>
        <v>6687</v>
      </c>
      <c r="Y55" s="287">
        <f t="shared" si="24"/>
        <v>6676</v>
      </c>
      <c r="Z55" s="287">
        <f t="shared" si="24"/>
        <v>6514</v>
      </c>
      <c r="AA55" s="287">
        <f t="shared" si="24"/>
        <v>7231.7677021781838</v>
      </c>
      <c r="AB55" s="287">
        <f t="shared" si="24"/>
        <v>8445.4906324987242</v>
      </c>
      <c r="AC55" s="287">
        <f t="shared" si="24"/>
        <v>9930.261274494409</v>
      </c>
      <c r="AD55" s="287">
        <f t="shared" si="24"/>
        <v>11739.913080364604</v>
      </c>
      <c r="AE55" s="287">
        <f t="shared" si="24"/>
        <v>15225.360331352229</v>
      </c>
      <c r="AF55" s="287">
        <f t="shared" si="24"/>
        <v>19048.147557994624</v>
      </c>
      <c r="AG55" s="1648"/>
      <c r="AH55" s="1647"/>
      <c r="AJ55" s="1624"/>
      <c r="AK55" s="213"/>
      <c r="AL55" s="213"/>
      <c r="AM55" s="213"/>
      <c r="AN55" s="213"/>
      <c r="AO55" s="213"/>
    </row>
    <row r="56" spans="1:41">
      <c r="A56" s="4"/>
      <c r="B56" s="213"/>
      <c r="C56" s="213"/>
      <c r="D56" s="213"/>
      <c r="E56" s="213"/>
      <c r="F56" s="213"/>
      <c r="G56" s="213"/>
      <c r="H56" s="213"/>
      <c r="I56" s="213"/>
      <c r="J56" s="213"/>
      <c r="K56" s="213"/>
      <c r="L56" s="213"/>
      <c r="M56" s="213"/>
      <c r="N56" s="213"/>
      <c r="O56" s="213"/>
      <c r="P56" s="213"/>
      <c r="Q56" s="213"/>
      <c r="R56" s="213"/>
      <c r="S56" s="213"/>
      <c r="T56" s="213"/>
      <c r="U56" s="213"/>
      <c r="V56" s="213"/>
      <c r="W56" s="213"/>
      <c r="X56" s="213"/>
      <c r="Y56" s="213"/>
      <c r="Z56" s="213"/>
      <c r="AA56" s="213"/>
      <c r="AB56" s="213"/>
      <c r="AC56" s="213"/>
      <c r="AD56" s="213"/>
      <c r="AE56" s="213"/>
      <c r="AF56" s="213"/>
      <c r="AG56" s="1648"/>
      <c r="AH56" s="1647"/>
      <c r="AJ56" s="1624"/>
      <c r="AK56" s="213"/>
      <c r="AL56" s="213"/>
      <c r="AM56" s="213"/>
      <c r="AN56" s="213"/>
      <c r="AO56" s="213"/>
    </row>
    <row r="57" spans="1:41">
      <c r="A57" s="295" t="s">
        <v>1145</v>
      </c>
      <c r="B57" s="213"/>
      <c r="C57" s="213"/>
      <c r="D57" s="213"/>
      <c r="E57" s="213"/>
      <c r="F57" s="213"/>
      <c r="G57" s="213"/>
      <c r="H57" s="287">
        <f>H24+SUM(H26,H28)</f>
        <v>165</v>
      </c>
      <c r="I57" s="287">
        <f>I24+SUM(I26,I28)-95</f>
        <v>374</v>
      </c>
      <c r="J57" s="287">
        <f>J24+SUM(J26,J28)+94</f>
        <v>49</v>
      </c>
      <c r="K57" s="287">
        <f>K24+SUM(K26,K28)-5</f>
        <v>818</v>
      </c>
      <c r="L57" s="287">
        <f>L24+SUM(L26,L28)+29</f>
        <v>934</v>
      </c>
      <c r="M57" s="287">
        <f>M24+SUM(M26,M28)+10</f>
        <v>532</v>
      </c>
      <c r="N57" s="287">
        <f>N24+SUM(N26,N28)+1</f>
        <v>565</v>
      </c>
      <c r="O57" s="287">
        <f t="shared" ref="O57:AF57" si="25">O24+SUM(O26,O28)</f>
        <v>712</v>
      </c>
      <c r="P57" s="287">
        <f t="shared" si="25"/>
        <v>740</v>
      </c>
      <c r="Q57" s="287">
        <f t="shared" si="25"/>
        <v>929</v>
      </c>
      <c r="R57" s="287">
        <f t="shared" si="25"/>
        <v>1455</v>
      </c>
      <c r="S57" s="287">
        <f t="shared" si="25"/>
        <v>1438</v>
      </c>
      <c r="T57" s="287">
        <f t="shared" si="25"/>
        <v>1781</v>
      </c>
      <c r="U57" s="287">
        <f t="shared" si="25"/>
        <v>1983</v>
      </c>
      <c r="V57" s="287">
        <f t="shared" si="25"/>
        <v>1073</v>
      </c>
      <c r="W57" s="289">
        <f t="shared" si="25"/>
        <v>1680</v>
      </c>
      <c r="X57" s="289">
        <f t="shared" si="25"/>
        <v>2666</v>
      </c>
      <c r="Y57" s="289">
        <f t="shared" si="25"/>
        <v>2945</v>
      </c>
      <c r="Z57" s="289">
        <f t="shared" si="25"/>
        <v>3189</v>
      </c>
      <c r="AA57" s="289">
        <f t="shared" si="25"/>
        <v>3518.6013391781835</v>
      </c>
      <c r="AB57" s="289">
        <f t="shared" si="25"/>
        <v>4206.2766698938904</v>
      </c>
      <c r="AC57" s="289">
        <f t="shared" si="25"/>
        <v>4875.4879954339885</v>
      </c>
      <c r="AD57" s="289">
        <f t="shared" si="25"/>
        <v>5449.6205658951149</v>
      </c>
      <c r="AE57" s="289">
        <f t="shared" si="25"/>
        <v>6106.2307315687576</v>
      </c>
      <c r="AF57" s="289">
        <f t="shared" si="25"/>
        <v>6582.9644679664161</v>
      </c>
      <c r="AG57" s="1650" t="s">
        <v>2011</v>
      </c>
      <c r="AH57" s="1647">
        <f>SUM(Z57:AD57)</f>
        <v>21238.986570401175</v>
      </c>
      <c r="AI57" s="1622">
        <f>3189+3227+4114+4700+5319</f>
        <v>20549</v>
      </c>
      <c r="AJ57" s="1624"/>
      <c r="AK57" s="213"/>
      <c r="AL57" s="213"/>
      <c r="AM57" s="213"/>
      <c r="AN57" s="213"/>
      <c r="AO57" s="213"/>
    </row>
    <row r="58" spans="1:41">
      <c r="A58" s="4" t="s">
        <v>1146</v>
      </c>
      <c r="B58" s="213"/>
      <c r="C58" s="213"/>
      <c r="D58" s="213"/>
      <c r="E58" s="213"/>
      <c r="F58" s="213"/>
      <c r="G58" s="213"/>
      <c r="H58" s="362"/>
      <c r="I58" s="362"/>
      <c r="J58" s="362"/>
      <c r="K58" s="362"/>
      <c r="L58" s="362"/>
      <c r="M58" s="362"/>
      <c r="N58" s="362"/>
      <c r="O58" s="362">
        <v>-4.5063291139240507</v>
      </c>
      <c r="P58" s="362">
        <v>-4.2285714285714286</v>
      </c>
      <c r="Q58" s="362">
        <v>-11.329268292682928</v>
      </c>
      <c r="R58" s="362">
        <v>-58.2</v>
      </c>
      <c r="S58" s="362">
        <v>-39.944444444444443</v>
      </c>
      <c r="T58" s="362">
        <v>0.5891498511412504</v>
      </c>
      <c r="U58" s="362">
        <v>0.51910994764397911</v>
      </c>
      <c r="V58" s="362">
        <v>0.63641755634638197</v>
      </c>
      <c r="W58" s="362">
        <v>0.93074792243767313</v>
      </c>
      <c r="X58" s="362">
        <v>1.1071428571428572</v>
      </c>
      <c r="Y58" s="362">
        <v>0.93019583070120027</v>
      </c>
      <c r="Z58" s="362">
        <v>0.77421704297159499</v>
      </c>
      <c r="AA58" s="1292">
        <f>AA57/'Income Statement'!AA70</f>
        <v>0.67938972075361581</v>
      </c>
      <c r="AB58" s="1292">
        <f>AB57/'Income Statement'!AB70</f>
        <v>0.69930799762484375</v>
      </c>
      <c r="AC58" s="1292">
        <f>AC57/'Income Statement'!AC70</f>
        <v>0.71227181105907844</v>
      </c>
      <c r="AD58" s="1292">
        <f>AD57/'Income Statement'!AD70</f>
        <v>0.71666035111439852</v>
      </c>
      <c r="AE58" s="1292">
        <f>AE57/'Income Statement'!AE70</f>
        <v>0.75849196044802869</v>
      </c>
      <c r="AF58" s="1292">
        <f>AF57/'Income Statement'!AF70</f>
        <v>0.77532289316930225</v>
      </c>
      <c r="AG58" s="1648" t="s">
        <v>2041</v>
      </c>
      <c r="AH58" s="1647"/>
      <c r="AJ58" s="1624"/>
      <c r="AK58" s="213"/>
      <c r="AL58" s="213"/>
      <c r="AM58" s="213"/>
      <c r="AN58" s="213"/>
      <c r="AO58" s="213"/>
    </row>
    <row r="59" spans="1:41">
      <c r="A59" s="4" t="s">
        <v>1284</v>
      </c>
      <c r="B59" s="213"/>
      <c r="C59" s="213"/>
      <c r="D59" s="213"/>
      <c r="E59" s="213"/>
      <c r="F59" s="213"/>
      <c r="G59" s="213"/>
      <c r="H59" s="287"/>
      <c r="I59" s="287"/>
      <c r="J59" s="287"/>
      <c r="K59" s="287"/>
      <c r="L59" s="287"/>
      <c r="M59" s="287"/>
      <c r="N59" s="287"/>
      <c r="O59" s="287"/>
      <c r="P59" s="287"/>
      <c r="Q59" s="287"/>
      <c r="R59" s="287"/>
      <c r="S59" s="287"/>
      <c r="T59" s="284">
        <f>T57/'Income Statement'!T116*1000</f>
        <v>4.1330962825084789</v>
      </c>
      <c r="U59" s="284">
        <f>U57/'Income Statement'!U116*1000</f>
        <v>4.6145965735370797</v>
      </c>
      <c r="V59" s="284">
        <f>V57/'Income Statement'!V116*1000</f>
        <v>2.5185680904342549</v>
      </c>
      <c r="W59" s="284">
        <f>W57/'Income Statement'!W116*1000</f>
        <v>3.9376498921804663</v>
      </c>
      <c r="X59" s="284">
        <f>X57/'Income Statement'!X116*1000</f>
        <v>6.2482326214286292</v>
      </c>
      <c r="Y59" s="284">
        <f>Y57/'Income Statement'!Y116*1000</f>
        <v>7.0489032466630821</v>
      </c>
      <c r="Z59" s="284">
        <f>Z57/'Income Statement'!Z116*1000</f>
        <v>7.6631109015069656</v>
      </c>
      <c r="AA59" s="328">
        <f>AA57/'Income Statement'!AA116*1000</f>
        <v>8.5472897910980397</v>
      </c>
      <c r="AB59" s="328">
        <f>AB57/'Income Statement'!AB116*1000</f>
        <v>10.330362609590711</v>
      </c>
      <c r="AC59" s="328">
        <f>AC57/'Income Statement'!AC116*1000</f>
        <v>12.10731728628036</v>
      </c>
      <c r="AD59" s="328">
        <f>AD57/'Income Statement'!AD116*1000</f>
        <v>13.685545608922959</v>
      </c>
      <c r="AE59" s="328">
        <f>AE57/'Income Statement'!AE116*1000</f>
        <v>15.334480293632172</v>
      </c>
      <c r="AF59" s="328">
        <f>AF57/'Income Statement'!AF116*1000</f>
        <v>16.531694157219896</v>
      </c>
      <c r="AG59" s="1648"/>
      <c r="AH59" s="1647"/>
      <c r="AJ59" s="1624"/>
      <c r="AK59" s="213"/>
      <c r="AL59" s="213"/>
      <c r="AM59" s="213"/>
      <c r="AN59" s="213"/>
      <c r="AO59" s="213"/>
    </row>
    <row r="61" spans="1:41">
      <c r="A61" s="1283" t="s">
        <v>1874</v>
      </c>
      <c r="B61" s="305">
        <f>B2</f>
        <v>2000</v>
      </c>
      <c r="C61" s="305">
        <f t="shared" ref="C61:Z61" si="26">C2</f>
        <v>2001</v>
      </c>
      <c r="D61" s="305">
        <f t="shared" si="26"/>
        <v>2002</v>
      </c>
      <c r="E61" s="305">
        <f t="shared" si="26"/>
        <v>2003</v>
      </c>
      <c r="F61" s="305">
        <f t="shared" si="26"/>
        <v>2004</v>
      </c>
      <c r="G61" s="305">
        <f t="shared" si="26"/>
        <v>2005</v>
      </c>
      <c r="H61" s="305">
        <f t="shared" si="26"/>
        <v>2006</v>
      </c>
      <c r="I61" s="305">
        <f t="shared" si="26"/>
        <v>2007</v>
      </c>
      <c r="J61" s="305">
        <f t="shared" si="26"/>
        <v>2008</v>
      </c>
      <c r="K61" s="305">
        <f t="shared" si="26"/>
        <v>2009</v>
      </c>
      <c r="L61" s="305">
        <f t="shared" si="26"/>
        <v>2010</v>
      </c>
      <c r="M61" s="305">
        <f t="shared" si="26"/>
        <v>2011</v>
      </c>
      <c r="N61" s="305">
        <f t="shared" si="26"/>
        <v>2012</v>
      </c>
      <c r="O61" s="305">
        <f t="shared" si="26"/>
        <v>2013</v>
      </c>
      <c r="P61" s="305">
        <f t="shared" si="26"/>
        <v>2014</v>
      </c>
      <c r="Q61" s="305">
        <f t="shared" si="26"/>
        <v>2015</v>
      </c>
      <c r="R61" s="305">
        <f t="shared" si="26"/>
        <v>2016</v>
      </c>
      <c r="S61" s="305">
        <f t="shared" si="26"/>
        <v>2017</v>
      </c>
      <c r="T61" s="305">
        <f t="shared" si="26"/>
        <v>2018</v>
      </c>
      <c r="U61" s="305">
        <f t="shared" si="26"/>
        <v>2019</v>
      </c>
      <c r="V61" s="305">
        <f t="shared" si="26"/>
        <v>2020</v>
      </c>
      <c r="W61" s="305">
        <f t="shared" si="26"/>
        <v>2021</v>
      </c>
      <c r="X61" s="305">
        <f t="shared" si="26"/>
        <v>2022</v>
      </c>
      <c r="Y61" s="305">
        <f t="shared" si="26"/>
        <v>2023</v>
      </c>
      <c r="Z61" s="305">
        <f t="shared" si="26"/>
        <v>2024</v>
      </c>
      <c r="AA61" s="1307">
        <f>Z61+1</f>
        <v>2025</v>
      </c>
      <c r="AB61" s="1307">
        <f t="shared" ref="AB61:AF61" si="27">AA61+1</f>
        <v>2026</v>
      </c>
      <c r="AC61" s="1307">
        <f t="shared" si="27"/>
        <v>2027</v>
      </c>
      <c r="AD61" s="1307">
        <f t="shared" si="27"/>
        <v>2028</v>
      </c>
      <c r="AE61" s="1307">
        <f t="shared" si="27"/>
        <v>2029</v>
      </c>
      <c r="AF61" s="1307">
        <f t="shared" si="27"/>
        <v>2030</v>
      </c>
    </row>
    <row r="62" spans="1:41">
      <c r="A62" s="295" t="s">
        <v>1868</v>
      </c>
      <c r="R62" s="259"/>
      <c r="S62" s="259"/>
      <c r="T62" s="259"/>
      <c r="U62" s="259"/>
      <c r="V62" s="259"/>
      <c r="W62" s="259">
        <f t="shared" ref="W62:AF62" si="28">W24</f>
        <v>2436</v>
      </c>
      <c r="X62" s="259">
        <f t="shared" si="28"/>
        <v>3545</v>
      </c>
      <c r="Y62" s="259">
        <f t="shared" si="28"/>
        <v>4270</v>
      </c>
      <c r="Z62" s="259">
        <f t="shared" si="28"/>
        <v>4733</v>
      </c>
      <c r="AA62" s="259">
        <f t="shared" si="28"/>
        <v>5618.3996852983528</v>
      </c>
      <c r="AB62" s="259">
        <f t="shared" si="28"/>
        <v>6309.7084706526002</v>
      </c>
      <c r="AC62" s="259">
        <f t="shared" si="28"/>
        <v>6952.3116278334801</v>
      </c>
      <c r="AD62" s="259">
        <f t="shared" si="28"/>
        <v>7448.6352241017748</v>
      </c>
      <c r="AE62" s="259">
        <f t="shared" si="28"/>
        <v>7959.2339884091671</v>
      </c>
      <c r="AF62" s="259">
        <f t="shared" si="28"/>
        <v>8271.3615689948329</v>
      </c>
    </row>
    <row r="63" spans="1:41">
      <c r="A63" s="4" t="s">
        <v>1869</v>
      </c>
      <c r="R63" s="213"/>
      <c r="S63" s="213"/>
      <c r="T63" s="213"/>
      <c r="U63" s="213"/>
      <c r="V63" s="213"/>
      <c r="W63" s="213"/>
      <c r="X63" s="213"/>
      <c r="Y63" s="213"/>
      <c r="Z63" s="213"/>
      <c r="AA63" s="213"/>
      <c r="AB63" s="213"/>
      <c r="AC63" s="213"/>
      <c r="AD63" s="213"/>
      <c r="AE63" s="213"/>
      <c r="AF63" s="213"/>
    </row>
    <row r="64" spans="1:41">
      <c r="A64" s="4" t="s">
        <v>1911</v>
      </c>
      <c r="R64" s="1284"/>
      <c r="S64" s="1284"/>
      <c r="T64" s="1284"/>
      <c r="U64" s="1284"/>
      <c r="V64" s="1284"/>
      <c r="W64" s="1284">
        <v>302</v>
      </c>
      <c r="X64" s="1284">
        <v>233</v>
      </c>
      <c r="Y64" s="1284">
        <v>988</v>
      </c>
      <c r="Z64" s="1284">
        <v>935</v>
      </c>
      <c r="AA64" s="1284">
        <f>-AA17-'Income Statement'!AA88</f>
        <v>1363.7749708709096</v>
      </c>
      <c r="AB64" s="1284">
        <f>-AB17-'Income Statement'!AB88</f>
        <v>1665.4602688534235</v>
      </c>
      <c r="AC64" s="1284">
        <f>-AC17-'Income Statement'!AC88</f>
        <v>1947.2082279386809</v>
      </c>
      <c r="AD64" s="1284">
        <f>-AD17-'Income Statement'!AD88</f>
        <v>1943.1275063694834</v>
      </c>
      <c r="AE64" s="1284">
        <f>-AE17-'Income Statement'!AE88</f>
        <v>2061.5384339449183</v>
      </c>
      <c r="AF64" s="1284">
        <f>-AF17-'Income Statement'!AF88</f>
        <v>2183.1988295973056</v>
      </c>
    </row>
    <row r="65" spans="1:32">
      <c r="A65" s="4" t="s">
        <v>2061</v>
      </c>
      <c r="R65" s="1284"/>
      <c r="S65" s="1284"/>
      <c r="T65" s="1284"/>
      <c r="U65" s="1284"/>
      <c r="V65" s="1284"/>
      <c r="W65" s="1284">
        <v>79</v>
      </c>
      <c r="X65" s="1284">
        <v>87</v>
      </c>
      <c r="Y65" s="1284">
        <v>116</v>
      </c>
      <c r="Z65" s="1284">
        <f>-'Income Statement'!Z121</f>
        <v>92</v>
      </c>
      <c r="AA65" s="1284">
        <f>-'Income Statement'!AA121</f>
        <v>121.82499999999999</v>
      </c>
      <c r="AB65" s="1284">
        <f>-'Income Statement'!AB121</f>
        <v>105.07199999999999</v>
      </c>
      <c r="AC65" s="1284">
        <f>-'Income Statement'!AC121</f>
        <v>105.07199999999999</v>
      </c>
      <c r="AD65" s="1284">
        <f>-'Income Statement'!AD121</f>
        <v>105.07199999999999</v>
      </c>
      <c r="AE65" s="1284">
        <f>-'Income Statement'!AE121</f>
        <v>105.07199999999999</v>
      </c>
      <c r="AF65" s="1284">
        <f>-'Income Statement'!AF121</f>
        <v>105.07199999999999</v>
      </c>
    </row>
    <row r="66" spans="1:32">
      <c r="A66" s="4" t="s">
        <v>2062</v>
      </c>
      <c r="R66" s="1284"/>
      <c r="S66" s="1284"/>
      <c r="T66" s="1284"/>
      <c r="U66" s="1284"/>
      <c r="V66" s="1284"/>
      <c r="W66" s="1284">
        <f>-'Income Statement'!W122</f>
        <v>-15</v>
      </c>
      <c r="X66" s="1284">
        <f>-'Income Statement'!X122</f>
        <v>-38</v>
      </c>
      <c r="Y66" s="1284">
        <v>-229</v>
      </c>
      <c r="Z66" s="1284">
        <f>-'Income Statement'!Z122</f>
        <v>-249</v>
      </c>
      <c r="AA66" s="1284">
        <f>-'Income Statement'!AA122</f>
        <v>-235.81</v>
      </c>
      <c r="AB66" s="1284">
        <f>-'Income Statement'!AB122</f>
        <v>-232.00021272622496</v>
      </c>
      <c r="AC66" s="1284">
        <f>-'Income Statement'!AC122</f>
        <v>-248.92253320935438</v>
      </c>
      <c r="AD66" s="1284">
        <f>-'Income Statement'!AD122</f>
        <v>-273.39329448281512</v>
      </c>
      <c r="AE66" s="1284">
        <f>-'Income Statement'!AE122</f>
        <v>-300.73733249863091</v>
      </c>
      <c r="AF66" s="1284">
        <f>-'Income Statement'!AF122</f>
        <v>-347.25711461063077</v>
      </c>
    </row>
    <row r="67" spans="1:32">
      <c r="A67" s="4"/>
      <c r="R67" s="1284"/>
      <c r="S67" s="1284"/>
      <c r="T67" s="1284"/>
      <c r="U67" s="1284"/>
      <c r="V67" s="1284"/>
      <c r="W67" s="1284"/>
      <c r="X67" s="1284"/>
      <c r="Y67" s="1284"/>
      <c r="Z67" s="1284"/>
      <c r="AA67" s="1284"/>
      <c r="AB67" s="1284"/>
      <c r="AC67" s="1284"/>
      <c r="AD67" s="1284"/>
      <c r="AE67" s="1284"/>
      <c r="AF67" s="1284"/>
    </row>
    <row r="68" spans="1:32">
      <c r="A68" s="4" t="s">
        <v>1870</v>
      </c>
    </row>
    <row r="69" spans="1:32">
      <c r="A69" s="4" t="s">
        <v>1871</v>
      </c>
      <c r="R69" s="259"/>
      <c r="S69" s="259"/>
      <c r="T69" s="259"/>
      <c r="U69" s="259"/>
      <c r="V69" s="259"/>
      <c r="W69" s="259">
        <f t="shared" ref="W69:AF69" si="29">W28</f>
        <v>-387</v>
      </c>
      <c r="X69" s="259">
        <f t="shared" si="29"/>
        <v>-498</v>
      </c>
      <c r="Y69" s="259">
        <f t="shared" si="29"/>
        <v>-823</v>
      </c>
      <c r="Z69" s="259">
        <f t="shared" si="29"/>
        <v>-1044</v>
      </c>
      <c r="AA69" s="259">
        <f t="shared" si="29"/>
        <v>-1549.7983461201693</v>
      </c>
      <c r="AB69" s="259">
        <f t="shared" si="29"/>
        <v>-1553.4318007587094</v>
      </c>
      <c r="AC69" s="259">
        <f t="shared" si="29"/>
        <v>-1526.823632399492</v>
      </c>
      <c r="AD69" s="259">
        <f t="shared" si="29"/>
        <v>-1449.0146582066595</v>
      </c>
      <c r="AE69" s="259">
        <f t="shared" si="29"/>
        <v>-1303.0032568404092</v>
      </c>
      <c r="AF69" s="259">
        <f t="shared" si="29"/>
        <v>-1138.3971010284163</v>
      </c>
    </row>
    <row r="70" spans="1:32">
      <c r="A70" s="4" t="s">
        <v>1872</v>
      </c>
      <c r="R70" s="259"/>
      <c r="S70" s="259"/>
      <c r="T70" s="259"/>
      <c r="U70" s="259"/>
      <c r="V70" s="259"/>
      <c r="W70" s="259">
        <f t="shared" ref="W70:AF70" si="30">W26</f>
        <v>-369</v>
      </c>
      <c r="X70" s="259">
        <f t="shared" si="30"/>
        <v>-381</v>
      </c>
      <c r="Y70" s="259">
        <f t="shared" si="30"/>
        <v>-502</v>
      </c>
      <c r="Z70" s="259">
        <f t="shared" si="30"/>
        <v>-500</v>
      </c>
      <c r="AA70" s="259">
        <f t="shared" si="30"/>
        <v>-550</v>
      </c>
      <c r="AB70" s="259">
        <f t="shared" si="30"/>
        <v>-550</v>
      </c>
      <c r="AC70" s="259">
        <f t="shared" si="30"/>
        <v>-550</v>
      </c>
      <c r="AD70" s="259">
        <f t="shared" si="30"/>
        <v>-550</v>
      </c>
      <c r="AE70" s="259">
        <f t="shared" si="30"/>
        <v>-550</v>
      </c>
      <c r="AF70" s="259">
        <f t="shared" si="30"/>
        <v>-550</v>
      </c>
    </row>
    <row r="71" spans="1:32">
      <c r="A71" s="295" t="s">
        <v>1873</v>
      </c>
      <c r="R71" s="259"/>
      <c r="S71" s="259"/>
      <c r="T71" s="259"/>
      <c r="U71" s="259"/>
      <c r="V71" s="259"/>
      <c r="W71" s="259">
        <f t="shared" ref="W71:AF71" si="31">SUM(W62:W70)</f>
        <v>2046</v>
      </c>
      <c r="X71" s="259">
        <f t="shared" si="31"/>
        <v>2948</v>
      </c>
      <c r="Y71" s="259">
        <f t="shared" si="31"/>
        <v>3820</v>
      </c>
      <c r="Z71" s="259">
        <f t="shared" si="31"/>
        <v>3967</v>
      </c>
      <c r="AA71" s="259">
        <f t="shared" si="31"/>
        <v>4768.3913100490927</v>
      </c>
      <c r="AB71" s="259">
        <f t="shared" si="31"/>
        <v>5744.8087260210887</v>
      </c>
      <c r="AC71" s="259">
        <f t="shared" si="31"/>
        <v>6678.8456901633162</v>
      </c>
      <c r="AD71" s="259">
        <f t="shared" si="31"/>
        <v>7224.426777781784</v>
      </c>
      <c r="AE71" s="259">
        <f t="shared" si="31"/>
        <v>7972.1038330150459</v>
      </c>
      <c r="AF71" s="259">
        <f t="shared" si="31"/>
        <v>8523.9781829530912</v>
      </c>
    </row>
    <row r="72" spans="1:32">
      <c r="A72" s="4" t="s">
        <v>287</v>
      </c>
      <c r="R72" s="259"/>
      <c r="S72" s="259"/>
      <c r="T72" s="259"/>
      <c r="U72" s="259"/>
      <c r="V72" s="259"/>
      <c r="W72" s="259">
        <f>'Income Statement'!W74</f>
        <v>1400</v>
      </c>
      <c r="X72" s="259">
        <f>'Income Statement'!X74</f>
        <v>1958</v>
      </c>
      <c r="Y72" s="259">
        <f>'Income Statement'!Y74</f>
        <v>2655</v>
      </c>
      <c r="Z72" s="259">
        <f>'Income Statement'!Z74</f>
        <v>4125</v>
      </c>
      <c r="AA72" s="259">
        <f>'Income Statement'!AA74</f>
        <v>5179.0617839715924</v>
      </c>
      <c r="AB72" s="259">
        <f>'Income Statement'!AB74</f>
        <v>6014.912862687469</v>
      </c>
      <c r="AC72" s="259">
        <f>'Income Statement'!AC74</f>
        <v>6844.9823785453691</v>
      </c>
      <c r="AD72" s="259">
        <f>'Income Statement'!AD74</f>
        <v>7604.1887309951189</v>
      </c>
      <c r="AE72" s="259">
        <f>'Income Statement'!AE74</f>
        <v>8050.4884032810423</v>
      </c>
      <c r="AF72" s="259">
        <f>'Income Statement'!AF74</f>
        <v>8490.6102037785913</v>
      </c>
    </row>
    <row r="73" spans="1:32">
      <c r="A73" s="4" t="s">
        <v>1878</v>
      </c>
      <c r="R73" s="1021"/>
      <c r="S73" s="1021"/>
      <c r="T73" s="1021"/>
      <c r="U73" s="1021"/>
      <c r="V73" s="1021"/>
      <c r="W73" s="1021">
        <f t="shared" ref="W73:AF73" si="32">W71/W72</f>
        <v>1.4614285714285715</v>
      </c>
      <c r="X73" s="1021">
        <f t="shared" si="32"/>
        <v>1.5056179775280898</v>
      </c>
      <c r="Y73" s="1021">
        <f t="shared" si="32"/>
        <v>1.4387947269303201</v>
      </c>
      <c r="Z73" s="1021">
        <f t="shared" si="32"/>
        <v>0.96169696969696972</v>
      </c>
      <c r="AA73" s="1021">
        <f t="shared" si="32"/>
        <v>0.92070562371094655</v>
      </c>
      <c r="AB73" s="1021">
        <f t="shared" si="32"/>
        <v>0.95509425608774368</v>
      </c>
      <c r="AC73" s="1021">
        <f t="shared" si="32"/>
        <v>0.97572869012741581</v>
      </c>
      <c r="AD73" s="1021">
        <f t="shared" si="32"/>
        <v>0.95005884695294285</v>
      </c>
      <c r="AE73" s="1021">
        <f t="shared" si="32"/>
        <v>0.99026337703510636</v>
      </c>
      <c r="AF73" s="1021">
        <f t="shared" si="32"/>
        <v>1.0039299859931916</v>
      </c>
    </row>
  </sheetData>
  <pageMargins left="0.7" right="0.7" top="0.75" bottom="0.75" header="0.3" footer="0.3"/>
  <pageSetup paperSize="0" orientation="portrait" r:id="rId1"/>
  <customProperties>
    <customPr name="Qube.Worksheet.Visibility" r:id="rId2"/>
  </customProperties>
  <legacyDrawing r:id="rId3"/>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4861FD-E617-4198-8B6C-12101725EC61}">
  <sheetPr codeName="Sheet11">
    <tabColor rgb="FF002060"/>
  </sheetPr>
  <dimension ref="A1:AS140"/>
  <sheetViews>
    <sheetView showGridLines="0" zoomScaleNormal="100" workbookViewId="0">
      <pane ySplit="2" topLeftCell="A3" activePane="bottomLeft" state="frozen"/>
      <selection activeCell="Y89" sqref="Y89"/>
      <selection pane="bottomLeft" activeCell="A3" sqref="A3"/>
    </sheetView>
  </sheetViews>
  <sheetFormatPr defaultRowHeight="14.25" outlineLevelCol="1"/>
  <cols>
    <col min="1" max="1" width="35.75" bestFit="1" customWidth="1"/>
    <col min="2" max="18" width="8.75" hidden="1" customWidth="1" outlineLevel="1"/>
    <col min="19" max="22" width="9" hidden="1" customWidth="1" outlineLevel="1"/>
    <col min="23" max="23" width="9" collapsed="1"/>
    <col min="34" max="34" width="9" style="37"/>
    <col min="35" max="42" width="9" style="1622"/>
  </cols>
  <sheetData>
    <row r="1" spans="1:45" ht="15">
      <c r="A1" s="1285">
        <f>'DCF Valuation'!D45</f>
        <v>340</v>
      </c>
    </row>
    <row r="2" spans="1:45">
      <c r="A2" s="305" t="s">
        <v>652</v>
      </c>
      <c r="B2" s="305">
        <v>2000</v>
      </c>
      <c r="C2" s="305">
        <v>2001</v>
      </c>
      <c r="D2" s="305">
        <v>2002</v>
      </c>
      <c r="E2" s="305">
        <v>2003</v>
      </c>
      <c r="F2" s="305">
        <v>2004</v>
      </c>
      <c r="G2" s="305">
        <v>2005</v>
      </c>
      <c r="H2" s="305">
        <v>2006</v>
      </c>
      <c r="I2" s="305">
        <v>2007</v>
      </c>
      <c r="J2" s="305">
        <v>2008</v>
      </c>
      <c r="K2" s="305">
        <v>2009</v>
      </c>
      <c r="L2" s="305">
        <v>2010</v>
      </c>
      <c r="M2" s="305">
        <v>2011</v>
      </c>
      <c r="N2" s="305">
        <v>2012</v>
      </c>
      <c r="O2" s="305">
        <v>2013</v>
      </c>
      <c r="P2" s="305">
        <v>2014</v>
      </c>
      <c r="Q2" s="305">
        <v>2015</v>
      </c>
      <c r="R2" s="305">
        <v>2016</v>
      </c>
      <c r="S2" s="305">
        <v>2017</v>
      </c>
      <c r="T2" s="305">
        <v>2018</v>
      </c>
      <c r="U2" s="305">
        <v>2019</v>
      </c>
      <c r="V2" s="305">
        <v>2020</v>
      </c>
      <c r="W2" s="305">
        <v>2021</v>
      </c>
      <c r="X2" s="305">
        <v>2022</v>
      </c>
      <c r="Y2" s="305">
        <v>2023</v>
      </c>
      <c r="Z2" s="305">
        <v>2024</v>
      </c>
      <c r="AA2" s="195" t="s">
        <v>954</v>
      </c>
      <c r="AB2" s="195" t="s">
        <v>1430</v>
      </c>
      <c r="AC2" s="196" t="s">
        <v>1450</v>
      </c>
      <c r="AD2" s="196" t="s">
        <v>1451</v>
      </c>
      <c r="AE2" s="196" t="s">
        <v>1452</v>
      </c>
      <c r="AF2" s="196" t="s">
        <v>1453</v>
      </c>
      <c r="AG2" s="197"/>
      <c r="AH2" s="1374"/>
      <c r="AI2" s="1623" t="s">
        <v>1379</v>
      </c>
      <c r="AJ2" s="1626"/>
      <c r="AK2" s="1623"/>
      <c r="AL2" s="1623"/>
      <c r="AM2" s="1626"/>
      <c r="AN2" s="1626"/>
      <c r="AO2" s="1626"/>
      <c r="AP2" s="1626"/>
      <c r="AQ2" s="193"/>
      <c r="AR2" s="193"/>
      <c r="AS2" s="193"/>
    </row>
    <row r="3" spans="1:45">
      <c r="A3" s="19"/>
      <c r="B3" s="213"/>
      <c r="C3" s="213"/>
      <c r="D3" s="213"/>
      <c r="E3" s="213"/>
      <c r="F3" s="213"/>
      <c r="G3" s="213"/>
      <c r="H3" s="213"/>
      <c r="I3" s="213"/>
      <c r="J3" s="213"/>
      <c r="K3" s="213"/>
      <c r="L3" s="213"/>
      <c r="M3" s="213"/>
      <c r="N3" s="213"/>
      <c r="O3" s="213"/>
      <c r="P3" s="213"/>
      <c r="Q3" s="213"/>
      <c r="R3" s="213"/>
      <c r="S3" s="213"/>
      <c r="T3" s="213"/>
      <c r="U3" s="213"/>
      <c r="V3" s="213"/>
      <c r="W3" s="213"/>
      <c r="X3" s="213"/>
      <c r="Y3" s="213"/>
      <c r="Z3" s="213"/>
      <c r="AA3" s="213"/>
      <c r="AB3" s="213"/>
      <c r="AC3" s="213"/>
      <c r="AD3" s="213"/>
      <c r="AE3" s="213"/>
      <c r="AF3" s="213"/>
      <c r="AG3" s="213"/>
      <c r="AH3" s="1374"/>
      <c r="AI3" s="1624"/>
      <c r="AJ3" s="1624"/>
      <c r="AK3" s="1624"/>
      <c r="AL3" s="1624"/>
      <c r="AM3" s="1624"/>
      <c r="AN3" s="1624"/>
      <c r="AO3" s="1624"/>
      <c r="AP3" s="1624"/>
      <c r="AQ3" s="213"/>
      <c r="AR3" s="213"/>
      <c r="AS3" s="213"/>
    </row>
    <row r="4" spans="1:45">
      <c r="A4" s="19" t="s">
        <v>899</v>
      </c>
      <c r="B4" s="213"/>
      <c r="C4" s="213"/>
      <c r="D4" s="213"/>
      <c r="E4" s="213"/>
      <c r="F4" s="213"/>
      <c r="G4" s="213"/>
      <c r="H4" s="363">
        <v>1589</v>
      </c>
      <c r="I4" s="363">
        <v>1561</v>
      </c>
      <c r="J4" s="363">
        <v>1756</v>
      </c>
      <c r="K4" s="363">
        <v>2126</v>
      </c>
      <c r="L4" s="363">
        <v>2298</v>
      </c>
      <c r="M4" s="363">
        <v>3126</v>
      </c>
      <c r="N4" s="363">
        <v>3078</v>
      </c>
      <c r="O4" s="363">
        <v>3399</v>
      </c>
      <c r="P4" s="227">
        <v>3420</v>
      </c>
      <c r="Q4" s="227">
        <v>3590</v>
      </c>
      <c r="R4" s="227">
        <v>1864</v>
      </c>
      <c r="S4" s="227">
        <v>1831</v>
      </c>
      <c r="T4" s="227">
        <v>5173</v>
      </c>
      <c r="U4" s="227">
        <v>5199</v>
      </c>
      <c r="V4" s="227">
        <v>5060</v>
      </c>
      <c r="W4" s="227">
        <v>5068</v>
      </c>
      <c r="X4" s="227">
        <v>4994</v>
      </c>
      <c r="Y4" s="227">
        <v>4706</v>
      </c>
      <c r="Z4" s="227">
        <v>4937</v>
      </c>
      <c r="AA4" s="327">
        <f>Z4-'Cashflow Statement'!AA32-'Cashflow Statement'!AA9</f>
        <v>5109</v>
      </c>
      <c r="AB4" s="327">
        <f>AA4-'Cashflow Statement'!AB32-'Cashflow Statement'!AB9</f>
        <v>5281</v>
      </c>
      <c r="AC4" s="327">
        <f>AB4-'Cashflow Statement'!AC32-'Cashflow Statement'!AC9</f>
        <v>5453</v>
      </c>
      <c r="AD4" s="327">
        <f>AC4-'Cashflow Statement'!AD32-'Cashflow Statement'!AD9</f>
        <v>5625</v>
      </c>
      <c r="AE4" s="327">
        <f>AD4-'Cashflow Statement'!AE32-'Cashflow Statement'!AE9</f>
        <v>5797</v>
      </c>
      <c r="AF4" s="327">
        <f>AE4-'Cashflow Statement'!AF32-'Cashflow Statement'!AF9</f>
        <v>5969</v>
      </c>
      <c r="AG4" s="213"/>
      <c r="AH4" s="1374"/>
      <c r="AI4" s="1624"/>
      <c r="AJ4" s="1624"/>
      <c r="AK4" s="1624"/>
      <c r="AL4" s="1624"/>
      <c r="AM4" s="1624"/>
      <c r="AN4" s="1624"/>
      <c r="AO4" s="1624"/>
      <c r="AP4" s="1624"/>
      <c r="AQ4" s="213"/>
      <c r="AR4" s="213"/>
      <c r="AS4" s="213"/>
    </row>
    <row r="5" spans="1:45">
      <c r="A5" s="19" t="s">
        <v>898</v>
      </c>
      <c r="B5" s="213"/>
      <c r="C5" s="213"/>
      <c r="D5" s="213"/>
      <c r="E5" s="213"/>
      <c r="F5" s="213"/>
      <c r="G5" s="213"/>
      <c r="H5" s="363">
        <v>3056</v>
      </c>
      <c r="I5" s="363">
        <v>2981</v>
      </c>
      <c r="J5" s="363">
        <v>3112</v>
      </c>
      <c r="K5" s="363">
        <v>3217</v>
      </c>
      <c r="L5" s="363">
        <v>3130</v>
      </c>
      <c r="M5" s="363">
        <v>3498</v>
      </c>
      <c r="N5" s="363">
        <v>3872</v>
      </c>
      <c r="O5" s="4">
        <f>4641-200</f>
        <v>4441</v>
      </c>
      <c r="P5" s="363">
        <v>5536</v>
      </c>
      <c r="Q5" s="363">
        <v>5321</v>
      </c>
      <c r="R5" s="227">
        <v>5178</v>
      </c>
      <c r="S5" s="227">
        <v>5596</v>
      </c>
      <c r="T5" s="227">
        <v>9757</v>
      </c>
      <c r="U5" s="227">
        <v>9479</v>
      </c>
      <c r="V5" s="227">
        <v>8676</v>
      </c>
      <c r="W5" s="227">
        <v>8382</v>
      </c>
      <c r="X5" s="227">
        <v>8096</v>
      </c>
      <c r="Y5" s="227">
        <v>7830</v>
      </c>
      <c r="Z5" s="227">
        <v>7947</v>
      </c>
      <c r="AA5" s="327">
        <f>Z5-'Cashflow Statement'!AA7-'Cashflow Statement'!AA26</f>
        <v>7628.1494348903161</v>
      </c>
      <c r="AB5" s="327">
        <f>AA5-'Cashflow Statement'!AB7-'Cashflow Statement'!AB26</f>
        <v>7142.5282343845101</v>
      </c>
      <c r="AC5" s="327">
        <f>AB5-'Cashflow Statement'!AC7-'Cashflow Statement'!AC26</f>
        <v>6623.7516917048661</v>
      </c>
      <c r="AD5" s="327">
        <f>AC5-'Cashflow Statement'!AD7-'Cashflow Statement'!AD26</f>
        <v>6014.5399651395383</v>
      </c>
      <c r="AE5" s="327">
        <f>AD5-'Cashflow Statement'!AE7-'Cashflow Statement'!AE26</f>
        <v>5348.4035920884899</v>
      </c>
      <c r="AF5" s="327">
        <f>AE5-'Cashflow Statement'!AF7-'Cashflow Statement'!AF26</f>
        <v>4623.3988389366641</v>
      </c>
      <c r="AG5" s="213"/>
      <c r="AH5" s="1374"/>
      <c r="AI5" s="1624"/>
      <c r="AJ5" s="1624"/>
      <c r="AK5" s="1624"/>
      <c r="AL5" s="1624"/>
      <c r="AM5" s="1624"/>
      <c r="AN5" s="1624"/>
      <c r="AO5" s="1624"/>
      <c r="AP5" s="1624"/>
      <c r="AQ5" s="213"/>
      <c r="AR5" s="213"/>
      <c r="AS5" s="213"/>
    </row>
    <row r="6" spans="1:45">
      <c r="A6" s="19" t="s">
        <v>897</v>
      </c>
      <c r="B6" s="213"/>
      <c r="C6" s="213"/>
      <c r="D6" s="213"/>
      <c r="E6" s="213"/>
      <c r="F6" s="213"/>
      <c r="G6" s="213"/>
      <c r="H6" s="363">
        <v>1826</v>
      </c>
      <c r="I6" s="363">
        <v>1847</v>
      </c>
      <c r="J6" s="363">
        <v>2107</v>
      </c>
      <c r="K6" s="363">
        <v>2201</v>
      </c>
      <c r="L6" s="363">
        <v>2253</v>
      </c>
      <c r="M6" s="363">
        <v>2486</v>
      </c>
      <c r="N6" s="363">
        <v>2604</v>
      </c>
      <c r="O6" s="4">
        <f>2740-98</f>
        <v>2642</v>
      </c>
      <c r="P6" s="363">
        <v>2928</v>
      </c>
      <c r="Q6" s="363">
        <v>3272</v>
      </c>
      <c r="R6" s="227">
        <v>3169</v>
      </c>
      <c r="S6" s="227">
        <v>3518</v>
      </c>
      <c r="T6" s="227">
        <v>4454</v>
      </c>
      <c r="U6" s="227">
        <v>4398</v>
      </c>
      <c r="V6" s="227">
        <v>4055</v>
      </c>
      <c r="W6" s="227">
        <v>3937</v>
      </c>
      <c r="X6" s="227">
        <v>3847</v>
      </c>
      <c r="Y6" s="227">
        <v>4121</v>
      </c>
      <c r="Z6" s="227">
        <v>4629</v>
      </c>
      <c r="AA6" s="327">
        <f>Z6-'Cashflow Statement'!AA5-'Cashflow Statement'!AA28-'Cashflow Statement'!AA31</f>
        <v>5647.2600566729488</v>
      </c>
      <c r="AB6" s="327">
        <f>AA6-'Cashflow Statement'!AB5-'Cashflow Statement'!AB28-'Cashflow Statement'!AB31</f>
        <v>6589.1499536917963</v>
      </c>
      <c r="AC6" s="327">
        <f>AB6-'Cashflow Statement'!AC5-'Cashflow Statement'!AC28-'Cashflow Statement'!AC31</f>
        <v>7421.5875742312001</v>
      </c>
      <c r="AD6" s="327">
        <f>AC6-'Cashflow Statement'!AD5-'Cashflow Statement'!AD28-'Cashflow Statement'!AD31</f>
        <v>8102.9064358194846</v>
      </c>
      <c r="AE6" s="327">
        <f>AD6-'Cashflow Statement'!AE5-'Cashflow Statement'!AE28-'Cashflow Statement'!AE31</f>
        <v>8592.0688736950724</v>
      </c>
      <c r="AF6" s="327">
        <f>AE6-'Cashflow Statement'!AF5-'Cashflow Statement'!AF28-'Cashflow Statement'!AF31</f>
        <v>8868.9044779336273</v>
      </c>
      <c r="AG6" s="213"/>
      <c r="AH6" s="1374"/>
      <c r="AI6" s="1624"/>
      <c r="AJ6" s="1624"/>
      <c r="AK6" s="1624"/>
      <c r="AL6" s="1624"/>
      <c r="AM6" s="1624"/>
      <c r="AN6" s="1624"/>
      <c r="AO6" s="1624"/>
      <c r="AP6" s="1624"/>
      <c r="AQ6" s="213"/>
      <c r="AR6" s="213"/>
      <c r="AS6" s="213"/>
    </row>
    <row r="7" spans="1:45">
      <c r="A7" s="19" t="s">
        <v>896</v>
      </c>
      <c r="B7" s="213"/>
      <c r="C7" s="213"/>
      <c r="D7" s="213"/>
      <c r="E7" s="213"/>
      <c r="F7" s="213"/>
      <c r="G7" s="213"/>
      <c r="H7" s="363">
        <v>364</v>
      </c>
      <c r="I7" s="363">
        <v>286</v>
      </c>
      <c r="J7" s="363">
        <v>203</v>
      </c>
      <c r="K7" s="363">
        <v>220</v>
      </c>
      <c r="L7" s="363">
        <v>215</v>
      </c>
      <c r="M7" s="363">
        <v>246</v>
      </c>
      <c r="N7" s="363">
        <v>281</v>
      </c>
      <c r="O7" s="227">
        <v>384</v>
      </c>
      <c r="P7" s="227">
        <v>446</v>
      </c>
      <c r="Q7" s="227">
        <v>419</v>
      </c>
      <c r="R7" s="227">
        <v>382</v>
      </c>
      <c r="S7" s="227">
        <v>324</v>
      </c>
      <c r="T7" s="227">
        <v>416</v>
      </c>
      <c r="U7" s="227">
        <v>429</v>
      </c>
      <c r="V7" s="227">
        <v>431</v>
      </c>
      <c r="W7" s="227">
        <v>688</v>
      </c>
      <c r="X7" s="227">
        <v>752</v>
      </c>
      <c r="Y7" s="227">
        <v>997</v>
      </c>
      <c r="Z7" s="227">
        <v>1073</v>
      </c>
      <c r="AA7" s="27">
        <f t="shared" ref="AA7:AF12" si="0">Z7</f>
        <v>1073</v>
      </c>
      <c r="AB7" s="27">
        <f t="shared" si="0"/>
        <v>1073</v>
      </c>
      <c r="AC7" s="27">
        <f t="shared" si="0"/>
        <v>1073</v>
      </c>
      <c r="AD7" s="27">
        <f t="shared" si="0"/>
        <v>1073</v>
      </c>
      <c r="AE7" s="27">
        <f t="shared" si="0"/>
        <v>1073</v>
      </c>
      <c r="AF7" s="27">
        <f t="shared" si="0"/>
        <v>1073</v>
      </c>
      <c r="AG7" s="213"/>
      <c r="AH7" s="1374"/>
      <c r="AI7" s="1624"/>
      <c r="AJ7" s="1624"/>
      <c r="AK7" s="1624"/>
      <c r="AL7" s="1624"/>
      <c r="AM7" s="1624"/>
      <c r="AN7" s="1624"/>
      <c r="AO7" s="1624"/>
      <c r="AP7" s="1624"/>
      <c r="AQ7" s="213"/>
      <c r="AR7" s="213"/>
      <c r="AS7" s="213"/>
    </row>
    <row r="8" spans="1:45">
      <c r="A8" s="19" t="s">
        <v>895</v>
      </c>
      <c r="B8" s="213"/>
      <c r="C8" s="213"/>
      <c r="D8" s="213"/>
      <c r="E8" s="213"/>
      <c r="F8" s="213"/>
      <c r="G8" s="213"/>
      <c r="H8" s="363">
        <v>32</v>
      </c>
      <c r="I8" s="363">
        <v>34</v>
      </c>
      <c r="J8" s="363">
        <v>244</v>
      </c>
      <c r="K8" s="363">
        <v>238</v>
      </c>
      <c r="L8" s="363">
        <v>236</v>
      </c>
      <c r="M8" s="363">
        <v>253</v>
      </c>
      <c r="N8" s="363">
        <v>281</v>
      </c>
      <c r="O8" s="227">
        <v>680</v>
      </c>
      <c r="P8" s="227">
        <v>771</v>
      </c>
      <c r="Q8" s="227">
        <v>765</v>
      </c>
      <c r="R8" s="227">
        <v>2175</v>
      </c>
      <c r="S8" s="227">
        <v>2127</v>
      </c>
      <c r="T8" s="227">
        <v>2253</v>
      </c>
      <c r="U8" s="227">
        <v>2211</v>
      </c>
      <c r="V8" s="227">
        <v>2126</v>
      </c>
      <c r="W8" s="227">
        <v>1969</v>
      </c>
      <c r="X8" s="227">
        <v>1974</v>
      </c>
      <c r="Y8" s="227">
        <v>1928</v>
      </c>
      <c r="Z8" s="227">
        <v>1894</v>
      </c>
      <c r="AA8" s="27">
        <f t="shared" si="0"/>
        <v>1894</v>
      </c>
      <c r="AB8" s="27">
        <f t="shared" si="0"/>
        <v>1894</v>
      </c>
      <c r="AC8" s="27">
        <f t="shared" si="0"/>
        <v>1894</v>
      </c>
      <c r="AD8" s="27">
        <f t="shared" si="0"/>
        <v>1894</v>
      </c>
      <c r="AE8" s="27">
        <f t="shared" si="0"/>
        <v>1894</v>
      </c>
      <c r="AF8" s="27">
        <f t="shared" si="0"/>
        <v>1894</v>
      </c>
      <c r="AG8" s="213"/>
      <c r="AH8" s="1374"/>
      <c r="AI8" s="1624"/>
      <c r="AJ8" s="1624"/>
      <c r="AK8" s="1624"/>
      <c r="AL8" s="1624"/>
      <c r="AM8" s="1624"/>
      <c r="AN8" s="1624"/>
      <c r="AO8" s="1624"/>
      <c r="AP8" s="1624"/>
      <c r="AQ8" s="213"/>
      <c r="AR8" s="213"/>
      <c r="AS8" s="213"/>
    </row>
    <row r="9" spans="1:45">
      <c r="A9" s="19" t="s">
        <v>883</v>
      </c>
      <c r="B9" s="213"/>
      <c r="C9" s="213"/>
      <c r="D9" s="213"/>
      <c r="E9" s="213"/>
      <c r="F9" s="213"/>
      <c r="G9" s="213"/>
      <c r="H9" s="4"/>
      <c r="I9" s="4"/>
      <c r="J9" s="4"/>
      <c r="K9" s="4"/>
      <c r="L9" s="4"/>
      <c r="M9" s="363">
        <v>20</v>
      </c>
      <c r="N9" s="363">
        <v>62</v>
      </c>
      <c r="O9" s="227">
        <v>0</v>
      </c>
      <c r="P9" s="227">
        <v>29</v>
      </c>
      <c r="Q9" s="227">
        <v>35</v>
      </c>
      <c r="R9" s="227">
        <v>28</v>
      </c>
      <c r="S9" s="227">
        <v>16</v>
      </c>
      <c r="T9" s="227">
        <v>13</v>
      </c>
      <c r="U9" s="227">
        <v>33</v>
      </c>
      <c r="V9" s="227">
        <v>52</v>
      </c>
      <c r="W9" s="227">
        <v>23</v>
      </c>
      <c r="X9" s="227">
        <v>18</v>
      </c>
      <c r="Y9" s="227">
        <v>0</v>
      </c>
      <c r="Z9" s="227">
        <v>4</v>
      </c>
      <c r="AA9" s="27">
        <f t="shared" si="0"/>
        <v>4</v>
      </c>
      <c r="AB9" s="27">
        <f t="shared" si="0"/>
        <v>4</v>
      </c>
      <c r="AC9" s="27">
        <f t="shared" si="0"/>
        <v>4</v>
      </c>
      <c r="AD9" s="27">
        <f t="shared" si="0"/>
        <v>4</v>
      </c>
      <c r="AE9" s="27">
        <f t="shared" si="0"/>
        <v>4</v>
      </c>
      <c r="AF9" s="27">
        <f t="shared" si="0"/>
        <v>4</v>
      </c>
      <c r="AG9" s="213"/>
      <c r="AH9" s="1374"/>
      <c r="AI9" s="1624"/>
      <c r="AJ9" s="1624"/>
      <c r="AK9" s="1624"/>
      <c r="AL9" s="1624"/>
      <c r="AM9" s="1624"/>
      <c r="AN9" s="1624"/>
      <c r="AO9" s="1624"/>
      <c r="AP9" s="1624"/>
      <c r="AQ9" s="213"/>
      <c r="AR9" s="213"/>
      <c r="AS9" s="213"/>
    </row>
    <row r="10" spans="1:45">
      <c r="A10" s="19" t="s">
        <v>894</v>
      </c>
      <c r="B10" s="213"/>
      <c r="C10" s="213"/>
      <c r="D10" s="213"/>
      <c r="E10" s="213"/>
      <c r="F10" s="213"/>
      <c r="G10" s="213"/>
      <c r="H10" s="363">
        <v>120</v>
      </c>
      <c r="I10" s="363">
        <v>158</v>
      </c>
      <c r="J10" s="363">
        <v>295</v>
      </c>
      <c r="K10" s="363">
        <v>263</v>
      </c>
      <c r="L10" s="363">
        <v>194</v>
      </c>
      <c r="M10" s="363">
        <v>251</v>
      </c>
      <c r="N10" s="363">
        <v>243</v>
      </c>
      <c r="O10" s="227">
        <v>201</v>
      </c>
      <c r="P10" s="227">
        <v>228</v>
      </c>
      <c r="Q10" s="227">
        <v>984</v>
      </c>
      <c r="R10" s="227">
        <v>1351</v>
      </c>
      <c r="S10" s="227">
        <v>251</v>
      </c>
      <c r="T10" s="227">
        <v>391</v>
      </c>
      <c r="U10" s="227">
        <v>251</v>
      </c>
      <c r="V10" s="227">
        <v>316</v>
      </c>
      <c r="W10" s="227">
        <v>449</v>
      </c>
      <c r="X10" s="227">
        <v>1576</v>
      </c>
      <c r="Y10" s="227">
        <v>1122</v>
      </c>
      <c r="Z10" s="227">
        <v>2349</v>
      </c>
      <c r="AA10" s="27">
        <f t="shared" si="0"/>
        <v>2349</v>
      </c>
      <c r="AB10" s="27">
        <f t="shared" si="0"/>
        <v>2349</v>
      </c>
      <c r="AC10" s="27">
        <f t="shared" si="0"/>
        <v>2349</v>
      </c>
      <c r="AD10" s="27">
        <f t="shared" si="0"/>
        <v>2349</v>
      </c>
      <c r="AE10" s="27">
        <f t="shared" si="0"/>
        <v>2349</v>
      </c>
      <c r="AF10" s="27">
        <f t="shared" si="0"/>
        <v>2349</v>
      </c>
      <c r="AG10" s="213"/>
      <c r="AH10" s="1374"/>
      <c r="AI10" s="1624"/>
      <c r="AJ10" s="1624"/>
      <c r="AK10" s="1624"/>
      <c r="AL10" s="1624"/>
      <c r="AM10" s="1624"/>
      <c r="AN10" s="1624"/>
      <c r="AO10" s="1624"/>
      <c r="AP10" s="1624"/>
      <c r="AQ10" s="213"/>
      <c r="AR10" s="213"/>
      <c r="AS10" s="213"/>
    </row>
    <row r="11" spans="1:45">
      <c r="A11" s="19" t="s">
        <v>1306</v>
      </c>
      <c r="B11" s="213"/>
      <c r="C11" s="213"/>
      <c r="D11" s="213"/>
      <c r="E11" s="213"/>
      <c r="F11" s="213"/>
      <c r="G11" s="213"/>
      <c r="H11" s="4"/>
      <c r="I11" s="4"/>
      <c r="J11" s="4"/>
      <c r="K11" s="4"/>
      <c r="L11" s="4"/>
      <c r="M11" s="4"/>
      <c r="N11" s="4"/>
      <c r="O11" s="27"/>
      <c r="P11" s="27"/>
      <c r="Q11" s="27"/>
      <c r="R11" s="27"/>
      <c r="S11" s="27"/>
      <c r="T11" s="27"/>
      <c r="U11" s="227">
        <v>732</v>
      </c>
      <c r="V11" s="227">
        <v>623</v>
      </c>
      <c r="W11" s="227">
        <v>606</v>
      </c>
      <c r="X11" s="227">
        <v>566</v>
      </c>
      <c r="Y11" s="227">
        <v>582</v>
      </c>
      <c r="Z11" s="227">
        <v>653</v>
      </c>
      <c r="AA11" s="27">
        <f t="shared" si="0"/>
        <v>653</v>
      </c>
      <c r="AB11" s="27">
        <f t="shared" si="0"/>
        <v>653</v>
      </c>
      <c r="AC11" s="27">
        <f t="shared" si="0"/>
        <v>653</v>
      </c>
      <c r="AD11" s="27">
        <f t="shared" si="0"/>
        <v>653</v>
      </c>
      <c r="AE11" s="27">
        <f t="shared" si="0"/>
        <v>653</v>
      </c>
      <c r="AF11" s="27">
        <f t="shared" si="0"/>
        <v>653</v>
      </c>
      <c r="AG11" s="213"/>
      <c r="AH11" s="1374"/>
      <c r="AI11" s="1624"/>
      <c r="AJ11" s="1624"/>
      <c r="AK11" s="1624"/>
      <c r="AL11" s="1624"/>
      <c r="AM11" s="1624"/>
      <c r="AN11" s="1624"/>
      <c r="AO11" s="1624"/>
      <c r="AP11" s="1624"/>
      <c r="AQ11" s="213"/>
      <c r="AR11" s="213"/>
      <c r="AS11" s="213"/>
    </row>
    <row r="12" spans="1:45">
      <c r="A12" s="19" t="s">
        <v>893</v>
      </c>
      <c r="B12" s="213"/>
      <c r="C12" s="213"/>
      <c r="D12" s="213"/>
      <c r="E12" s="213"/>
      <c r="F12" s="213"/>
      <c r="G12" s="213"/>
      <c r="H12" s="363">
        <v>16</v>
      </c>
      <c r="I12" s="363">
        <v>10</v>
      </c>
      <c r="J12" s="363">
        <v>9</v>
      </c>
      <c r="K12" s="363">
        <v>1</v>
      </c>
      <c r="L12" s="363">
        <v>12</v>
      </c>
      <c r="M12" s="363">
        <v>12</v>
      </c>
      <c r="N12" s="363">
        <v>13</v>
      </c>
      <c r="O12" s="227">
        <v>0</v>
      </c>
      <c r="P12" s="227">
        <v>0</v>
      </c>
      <c r="Q12" s="27">
        <f>P12</f>
        <v>0</v>
      </c>
      <c r="R12" s="27">
        <f>Q12</f>
        <v>0</v>
      </c>
      <c r="S12" s="27">
        <f>R12</f>
        <v>0</v>
      </c>
      <c r="T12" s="227">
        <v>4</v>
      </c>
      <c r="U12" s="27">
        <f>T12</f>
        <v>4</v>
      </c>
      <c r="V12" s="227">
        <v>4</v>
      </c>
      <c r="W12" s="227">
        <v>11</v>
      </c>
      <c r="X12" s="227">
        <v>8</v>
      </c>
      <c r="Y12" s="227">
        <v>7</v>
      </c>
      <c r="Z12" s="227">
        <v>3</v>
      </c>
      <c r="AA12" s="27">
        <f t="shared" si="0"/>
        <v>3</v>
      </c>
      <c r="AB12" s="27">
        <f t="shared" si="0"/>
        <v>3</v>
      </c>
      <c r="AC12" s="27">
        <f t="shared" si="0"/>
        <v>3</v>
      </c>
      <c r="AD12" s="27">
        <f t="shared" si="0"/>
        <v>3</v>
      </c>
      <c r="AE12" s="27">
        <f t="shared" si="0"/>
        <v>3</v>
      </c>
      <c r="AF12" s="27">
        <f t="shared" si="0"/>
        <v>3</v>
      </c>
      <c r="AG12" s="213"/>
      <c r="AH12" s="1374"/>
      <c r="AI12" s="1624"/>
      <c r="AJ12" s="1624"/>
      <c r="AK12" s="1624"/>
      <c r="AL12" s="1624"/>
      <c r="AM12" s="1624"/>
      <c r="AN12" s="1624"/>
      <c r="AO12" s="1624"/>
      <c r="AP12" s="1624"/>
      <c r="AQ12" s="213"/>
      <c r="AR12" s="213"/>
      <c r="AS12" s="213"/>
    </row>
    <row r="13" spans="1:45">
      <c r="A13" s="19" t="s">
        <v>892</v>
      </c>
      <c r="B13" s="213"/>
      <c r="C13" s="213"/>
      <c r="D13" s="213"/>
      <c r="E13" s="213"/>
      <c r="F13" s="213"/>
      <c r="G13" s="213"/>
      <c r="H13" s="361">
        <f t="shared" ref="H13:Z13" si="1">H14-SUM(H4:H12)</f>
        <v>0</v>
      </c>
      <c r="I13" s="361">
        <f t="shared" si="1"/>
        <v>0</v>
      </c>
      <c r="J13" s="361">
        <f t="shared" si="1"/>
        <v>0</v>
      </c>
      <c r="K13" s="361">
        <f t="shared" si="1"/>
        <v>0</v>
      </c>
      <c r="L13" s="361">
        <f t="shared" si="1"/>
        <v>0</v>
      </c>
      <c r="M13" s="361">
        <f t="shared" si="1"/>
        <v>0</v>
      </c>
      <c r="N13" s="361">
        <f t="shared" si="1"/>
        <v>0</v>
      </c>
      <c r="O13" s="27">
        <f t="shared" si="1"/>
        <v>0</v>
      </c>
      <c r="P13" s="27">
        <f t="shared" si="1"/>
        <v>0</v>
      </c>
      <c r="Q13" s="27">
        <f t="shared" si="1"/>
        <v>0</v>
      </c>
      <c r="R13" s="27">
        <f t="shared" si="1"/>
        <v>0</v>
      </c>
      <c r="S13" s="27">
        <f t="shared" si="1"/>
        <v>0</v>
      </c>
      <c r="T13" s="27">
        <f t="shared" si="1"/>
        <v>0</v>
      </c>
      <c r="U13" s="27">
        <f t="shared" si="1"/>
        <v>0</v>
      </c>
      <c r="V13" s="27">
        <f t="shared" si="1"/>
        <v>0</v>
      </c>
      <c r="W13" s="27">
        <f t="shared" si="1"/>
        <v>0</v>
      </c>
      <c r="X13" s="27">
        <f t="shared" si="1"/>
        <v>0</v>
      </c>
      <c r="Y13" s="27">
        <f t="shared" si="1"/>
        <v>0</v>
      </c>
      <c r="Z13" s="27">
        <f t="shared" si="1"/>
        <v>0</v>
      </c>
      <c r="AA13" s="27">
        <v>0</v>
      </c>
      <c r="AB13" s="27">
        <v>0</v>
      </c>
      <c r="AC13" s="27">
        <v>0</v>
      </c>
      <c r="AD13" s="27">
        <v>0</v>
      </c>
      <c r="AE13" s="27">
        <v>0</v>
      </c>
      <c r="AF13" s="27">
        <v>0</v>
      </c>
      <c r="AG13" s="213"/>
      <c r="AH13" s="1374"/>
      <c r="AI13" s="1624"/>
      <c r="AJ13" s="1624"/>
      <c r="AK13" s="1624"/>
      <c r="AL13" s="1624"/>
      <c r="AM13" s="1624"/>
      <c r="AN13" s="1624"/>
      <c r="AO13" s="1624"/>
      <c r="AP13" s="1624"/>
      <c r="AQ13" s="213"/>
      <c r="AR13" s="213"/>
      <c r="AS13" s="213"/>
    </row>
    <row r="14" spans="1:45">
      <c r="A14" s="214" t="s">
        <v>891</v>
      </c>
      <c r="B14" s="57"/>
      <c r="C14" s="57"/>
      <c r="D14" s="57"/>
      <c r="E14" s="57"/>
      <c r="F14" s="57"/>
      <c r="G14" s="57"/>
      <c r="H14" s="280">
        <v>7003</v>
      </c>
      <c r="I14" s="280">
        <v>6877</v>
      </c>
      <c r="J14" s="280">
        <v>7726</v>
      </c>
      <c r="K14" s="280">
        <v>8266</v>
      </c>
      <c r="L14" s="280">
        <v>8338</v>
      </c>
      <c r="M14" s="280">
        <v>9892</v>
      </c>
      <c r="N14" s="280">
        <v>10434</v>
      </c>
      <c r="O14" s="281">
        <f>(3399+7083+680+585)</f>
        <v>11747</v>
      </c>
      <c r="P14" s="280">
        <v>13358</v>
      </c>
      <c r="Q14" s="280">
        <v>14386</v>
      </c>
      <c r="R14" s="281">
        <f t="shared" ref="R14:Z14" si="2">SUM(R4:R12)</f>
        <v>14147</v>
      </c>
      <c r="S14" s="281">
        <f t="shared" si="2"/>
        <v>13663</v>
      </c>
      <c r="T14" s="281">
        <f t="shared" si="2"/>
        <v>22461</v>
      </c>
      <c r="U14" s="281">
        <f t="shared" si="2"/>
        <v>22736</v>
      </c>
      <c r="V14" s="281">
        <f t="shared" si="2"/>
        <v>21343</v>
      </c>
      <c r="W14" s="281">
        <f t="shared" si="2"/>
        <v>21133</v>
      </c>
      <c r="X14" s="281">
        <f t="shared" si="2"/>
        <v>21831</v>
      </c>
      <c r="Y14" s="281">
        <f t="shared" si="2"/>
        <v>21293</v>
      </c>
      <c r="Z14" s="281">
        <f t="shared" si="2"/>
        <v>23489</v>
      </c>
      <c r="AA14" s="281">
        <f>SUM(AA4:AA13)</f>
        <v>24360.409491563267</v>
      </c>
      <c r="AB14" s="281">
        <f t="shared" ref="AB14:AF14" si="3">SUM(AB4:AB13)</f>
        <v>24988.678188076308</v>
      </c>
      <c r="AC14" s="281">
        <f t="shared" si="3"/>
        <v>25474.339265936069</v>
      </c>
      <c r="AD14" s="281">
        <f t="shared" si="3"/>
        <v>25718.446400959023</v>
      </c>
      <c r="AE14" s="281">
        <f t="shared" si="3"/>
        <v>25713.472465783561</v>
      </c>
      <c r="AF14" s="281">
        <f t="shared" si="3"/>
        <v>25437.30331687029</v>
      </c>
      <c r="AG14" s="213"/>
      <c r="AH14" s="1374"/>
      <c r="AI14" s="1624"/>
      <c r="AJ14" s="1624"/>
      <c r="AK14" s="1624"/>
      <c r="AL14" s="1624"/>
      <c r="AM14" s="1624"/>
      <c r="AN14" s="1624"/>
      <c r="AO14" s="1624"/>
      <c r="AP14" s="1624"/>
      <c r="AQ14" s="213"/>
      <c r="AR14" s="213"/>
      <c r="AS14" s="213"/>
    </row>
    <row r="15" spans="1:45">
      <c r="A15" s="19"/>
      <c r="B15" s="213"/>
      <c r="C15" s="213"/>
      <c r="D15" s="213"/>
      <c r="E15" s="213"/>
      <c r="F15" s="213"/>
      <c r="G15" s="213"/>
      <c r="H15" s="4"/>
      <c r="I15" s="4"/>
      <c r="J15" s="4"/>
      <c r="K15" s="4"/>
      <c r="L15" s="4"/>
      <c r="M15" s="4"/>
      <c r="N15" s="4"/>
      <c r="O15" s="27"/>
      <c r="P15" s="27"/>
      <c r="Q15" s="27"/>
      <c r="R15" s="27"/>
      <c r="S15" s="27"/>
      <c r="T15" s="27"/>
      <c r="U15" s="27"/>
      <c r="V15" s="27"/>
      <c r="W15" s="27"/>
      <c r="X15" s="287"/>
      <c r="Y15" s="287"/>
      <c r="Z15" s="287"/>
      <c r="AA15" s="27"/>
      <c r="AB15" s="27"/>
      <c r="AC15" s="27"/>
      <c r="AD15" s="27"/>
      <c r="AE15" s="27"/>
      <c r="AF15" s="27"/>
      <c r="AG15" s="213"/>
      <c r="AH15" s="1374"/>
      <c r="AI15" s="1624"/>
      <c r="AJ15" s="1624"/>
      <c r="AK15" s="1624"/>
      <c r="AL15" s="1624"/>
      <c r="AM15" s="1624"/>
      <c r="AN15" s="1624"/>
      <c r="AO15" s="1624"/>
      <c r="AP15" s="1624"/>
      <c r="AQ15" s="213"/>
      <c r="AR15" s="213"/>
      <c r="AS15" s="213"/>
    </row>
    <row r="16" spans="1:45">
      <c r="A16" s="19" t="s">
        <v>890</v>
      </c>
      <c r="B16" s="213"/>
      <c r="C16" s="213"/>
      <c r="D16" s="213"/>
      <c r="E16" s="213"/>
      <c r="F16" s="213"/>
      <c r="G16" s="213"/>
      <c r="H16" s="363">
        <v>108</v>
      </c>
      <c r="I16" s="363">
        <v>107</v>
      </c>
      <c r="J16" s="363">
        <v>108</v>
      </c>
      <c r="K16" s="363">
        <v>75</v>
      </c>
      <c r="L16" s="363">
        <v>110</v>
      </c>
      <c r="M16" s="363">
        <v>101</v>
      </c>
      <c r="N16" s="363">
        <v>176</v>
      </c>
      <c r="O16" s="363">
        <v>198</v>
      </c>
      <c r="P16" s="227">
        <v>221</v>
      </c>
      <c r="Q16" s="227">
        <v>247</v>
      </c>
      <c r="R16" s="227">
        <v>147</v>
      </c>
      <c r="S16" s="227">
        <v>2113</v>
      </c>
      <c r="T16" s="227">
        <v>185</v>
      </c>
      <c r="U16" s="227">
        <v>143</v>
      </c>
      <c r="V16" s="227">
        <v>126</v>
      </c>
      <c r="W16" s="227">
        <v>104</v>
      </c>
      <c r="X16" s="227">
        <v>242</v>
      </c>
      <c r="Y16" s="227">
        <v>270</v>
      </c>
      <c r="Z16" s="227">
        <v>243</v>
      </c>
      <c r="AA16" s="27">
        <f t="shared" ref="AA16:AF17" si="4">Z16</f>
        <v>243</v>
      </c>
      <c r="AB16" s="27">
        <f t="shared" si="4"/>
        <v>243</v>
      </c>
      <c r="AC16" s="27">
        <f t="shared" si="4"/>
        <v>243</v>
      </c>
      <c r="AD16" s="27">
        <f t="shared" si="4"/>
        <v>243</v>
      </c>
      <c r="AE16" s="27">
        <f t="shared" si="4"/>
        <v>243</v>
      </c>
      <c r="AF16" s="27">
        <f t="shared" si="4"/>
        <v>243</v>
      </c>
      <c r="AG16" s="213"/>
      <c r="AH16" s="1374"/>
      <c r="AI16" s="1624"/>
      <c r="AJ16" s="1624"/>
      <c r="AK16" s="1624"/>
      <c r="AL16" s="1624"/>
      <c r="AM16" s="1624"/>
      <c r="AN16" s="1624"/>
      <c r="AO16" s="1624"/>
      <c r="AP16" s="1624"/>
      <c r="AQ16" s="213"/>
      <c r="AR16" s="213"/>
      <c r="AS16" s="213"/>
    </row>
    <row r="17" spans="1:45">
      <c r="A17" s="19" t="s">
        <v>876</v>
      </c>
      <c r="B17" s="213"/>
      <c r="C17" s="213"/>
      <c r="D17" s="213"/>
      <c r="E17" s="213"/>
      <c r="F17" s="213"/>
      <c r="G17" s="213"/>
      <c r="H17" s="363">
        <v>397</v>
      </c>
      <c r="I17" s="363">
        <v>126</v>
      </c>
      <c r="J17" s="363">
        <v>138</v>
      </c>
      <c r="K17" s="363">
        <v>63</v>
      </c>
      <c r="L17" s="363">
        <v>128</v>
      </c>
      <c r="M17" s="363">
        <v>259</v>
      </c>
      <c r="N17" s="363">
        <v>585</v>
      </c>
      <c r="O17" s="363">
        <v>864</v>
      </c>
      <c r="P17" s="227">
        <v>377</v>
      </c>
      <c r="Q17" s="227">
        <v>373</v>
      </c>
      <c r="R17" s="227">
        <v>592</v>
      </c>
      <c r="S17" s="227">
        <v>566</v>
      </c>
      <c r="T17" s="227">
        <v>740</v>
      </c>
      <c r="U17" s="227">
        <v>674</v>
      </c>
      <c r="V17" s="227">
        <v>694</v>
      </c>
      <c r="W17" s="227">
        <v>705</v>
      </c>
      <c r="X17" s="227">
        <v>540</v>
      </c>
      <c r="Y17" s="227">
        <v>1577</v>
      </c>
      <c r="Z17" s="227">
        <v>952</v>
      </c>
      <c r="AA17" s="27">
        <f t="shared" si="4"/>
        <v>952</v>
      </c>
      <c r="AB17" s="27">
        <f t="shared" si="4"/>
        <v>952</v>
      </c>
      <c r="AC17" s="27">
        <f t="shared" si="4"/>
        <v>952</v>
      </c>
      <c r="AD17" s="27">
        <f t="shared" si="4"/>
        <v>952</v>
      </c>
      <c r="AE17" s="27">
        <f t="shared" si="4"/>
        <v>952</v>
      </c>
      <c r="AF17" s="27">
        <f t="shared" si="4"/>
        <v>952</v>
      </c>
      <c r="AG17" s="213"/>
      <c r="AH17" s="1374"/>
      <c r="AI17" s="1624"/>
      <c r="AJ17" s="1624"/>
      <c r="AK17" s="1624"/>
      <c r="AL17" s="1624"/>
      <c r="AM17" s="1624"/>
      <c r="AN17" s="1624"/>
      <c r="AO17" s="1624"/>
      <c r="AP17" s="1624"/>
      <c r="AQ17" s="213"/>
      <c r="AR17" s="213"/>
      <c r="AS17" s="213"/>
    </row>
    <row r="18" spans="1:45">
      <c r="A18" s="19" t="s">
        <v>889</v>
      </c>
      <c r="B18" s="213"/>
      <c r="C18" s="213"/>
      <c r="D18" s="213"/>
      <c r="E18" s="213"/>
      <c r="F18" s="213"/>
      <c r="G18" s="213"/>
      <c r="H18" s="363">
        <v>3240</v>
      </c>
      <c r="I18" s="363">
        <v>3240</v>
      </c>
      <c r="J18" s="363">
        <v>3673</v>
      </c>
      <c r="K18" s="363">
        <v>3382</v>
      </c>
      <c r="L18" s="363">
        <v>3508</v>
      </c>
      <c r="M18" s="363">
        <v>3799</v>
      </c>
      <c r="N18" s="363">
        <v>4131</v>
      </c>
      <c r="O18" s="363">
        <v>3998</v>
      </c>
      <c r="P18" s="301">
        <v>4265</v>
      </c>
      <c r="Q18" s="301">
        <v>4518</v>
      </c>
      <c r="R18" s="227">
        <v>4247</v>
      </c>
      <c r="S18" s="227">
        <v>3954</v>
      </c>
      <c r="T18" s="227">
        <v>5558</v>
      </c>
      <c r="U18" s="227">
        <v>6312</v>
      </c>
      <c r="V18" s="227">
        <v>5190</v>
      </c>
      <c r="W18" s="227">
        <v>5063</v>
      </c>
      <c r="X18" s="227">
        <v>6408</v>
      </c>
      <c r="Y18" s="227">
        <v>7903</v>
      </c>
      <c r="Z18" s="227">
        <v>9491</v>
      </c>
      <c r="AA18" s="327">
        <f>-AA19*'Income Statement'!AA49/365</f>
        <v>10049.084193765748</v>
      </c>
      <c r="AB18" s="327">
        <f>-AB19*'Income Statement'!AB49/365</f>
        <v>10129.828478723583</v>
      </c>
      <c r="AC18" s="327">
        <f>-AC19*'Income Statement'!AC49/365</f>
        <v>10839.540118158493</v>
      </c>
      <c r="AD18" s="327">
        <f>-AD19*'Income Statement'!AD49/365</f>
        <v>11756.734465785312</v>
      </c>
      <c r="AE18" s="327">
        <f>-AE19*'Income Statement'!AE49/365</f>
        <v>12471.109842128253</v>
      </c>
      <c r="AF18" s="327">
        <f>-AF19*'Income Statement'!AF49/365</f>
        <v>13146.626724810252</v>
      </c>
      <c r="AG18" s="213"/>
      <c r="AH18" s="1374"/>
      <c r="AI18" s="1624"/>
      <c r="AJ18" s="1624"/>
      <c r="AK18" s="1624"/>
      <c r="AL18" s="1624"/>
      <c r="AM18" s="1624"/>
      <c r="AN18" s="1624"/>
      <c r="AO18" s="1624"/>
      <c r="AP18" s="1624"/>
      <c r="AQ18" s="213"/>
      <c r="AR18" s="213"/>
      <c r="AS18" s="213"/>
    </row>
    <row r="19" spans="1:45">
      <c r="A19" s="1355" t="s">
        <v>1933</v>
      </c>
      <c r="B19" s="213"/>
      <c r="C19" s="213"/>
      <c r="D19" s="213"/>
      <c r="E19" s="213"/>
      <c r="F19" s="213"/>
      <c r="G19" s="213"/>
      <c r="H19" s="363"/>
      <c r="I19" s="363"/>
      <c r="J19" s="363"/>
      <c r="K19" s="363"/>
      <c r="L19" s="363"/>
      <c r="M19" s="363"/>
      <c r="N19" s="363"/>
      <c r="O19" s="363"/>
      <c r="P19" s="301"/>
      <c r="Q19" s="301"/>
      <c r="R19" s="227"/>
      <c r="S19" s="227"/>
      <c r="T19" s="227"/>
      <c r="U19" s="227"/>
      <c r="V19" s="227"/>
      <c r="W19" s="1453">
        <f>-W18/'Income Statement'!W49*365</f>
        <v>231.02825353169146</v>
      </c>
      <c r="X19" s="1453">
        <f>-X18/'Income Statement'!X49*365</f>
        <v>199.49846468781985</v>
      </c>
      <c r="Y19" s="1453">
        <f>-Y18/'Income Statement'!Y49*365</f>
        <v>204.98827458783401</v>
      </c>
      <c r="Z19" s="1453">
        <f>-Z18/'Income Statement'!Z49*365</f>
        <v>217.0560776942356</v>
      </c>
      <c r="AA19" s="1454">
        <v>205.5</v>
      </c>
      <c r="AB19" s="1454">
        <v>186</v>
      </c>
      <c r="AC19" s="1454">
        <v>180</v>
      </c>
      <c r="AD19" s="1454">
        <v>180</v>
      </c>
      <c r="AE19" s="1454">
        <v>182</v>
      </c>
      <c r="AF19" s="1454">
        <v>183</v>
      </c>
      <c r="AG19" s="213"/>
      <c r="AH19" s="1374"/>
      <c r="AI19" s="1624"/>
      <c r="AJ19" s="1624"/>
      <c r="AK19" s="1624"/>
      <c r="AL19" s="1624"/>
      <c r="AM19" s="1624"/>
      <c r="AN19" s="1624"/>
      <c r="AO19" s="1624"/>
      <c r="AP19" s="1624"/>
      <c r="AQ19" s="213"/>
      <c r="AR19" s="213"/>
      <c r="AS19" s="213"/>
    </row>
    <row r="20" spans="1:45">
      <c r="A20" s="19" t="s">
        <v>888</v>
      </c>
      <c r="B20" s="213"/>
      <c r="C20" s="213"/>
      <c r="D20" s="213"/>
      <c r="E20" s="213"/>
      <c r="F20" s="213"/>
      <c r="G20" s="213"/>
      <c r="H20" s="363">
        <v>4218</v>
      </c>
      <c r="I20" s="363">
        <v>3926</v>
      </c>
      <c r="J20" s="363">
        <v>3881</v>
      </c>
      <c r="K20" s="363">
        <v>4158</v>
      </c>
      <c r="L20" s="363">
        <v>4219</v>
      </c>
      <c r="M20" s="363">
        <v>5005</v>
      </c>
      <c r="N20" s="363">
        <v>5025</v>
      </c>
      <c r="O20" s="363">
        <v>4967</v>
      </c>
      <c r="P20" s="301">
        <v>5827</v>
      </c>
      <c r="Q20" s="301">
        <v>6515</v>
      </c>
      <c r="R20" s="227">
        <v>6252</v>
      </c>
      <c r="S20" s="227">
        <v>4952</v>
      </c>
      <c r="T20" s="227">
        <v>6580</v>
      </c>
      <c r="U20" s="227">
        <v>7639</v>
      </c>
      <c r="V20" s="227">
        <v>5769</v>
      </c>
      <c r="W20" s="227">
        <v>6504</v>
      </c>
      <c r="X20" s="227">
        <v>7904</v>
      </c>
      <c r="Y20" s="227">
        <v>9417</v>
      </c>
      <c r="Z20" s="227">
        <v>10572</v>
      </c>
      <c r="AA20" s="327">
        <f>'Income Statement'!AA39*'Balance Sheet'!AA21/365</f>
        <v>11039.659451814905</v>
      </c>
      <c r="AB20" s="327">
        <f>'Income Statement'!AB39*'Balance Sheet'!AB21/365</f>
        <v>12295.046216050665</v>
      </c>
      <c r="AC20" s="327">
        <f>'Income Statement'!AC39*'Balance Sheet'!AC21/365</f>
        <v>13385.851023776366</v>
      </c>
      <c r="AD20" s="327">
        <f>'Income Statement'!AD39*'Balance Sheet'!AD21/365</f>
        <v>14178.225618460461</v>
      </c>
      <c r="AE20" s="327">
        <f>'Income Statement'!AE39*'Balance Sheet'!AE21/365</f>
        <v>14874.466402287771</v>
      </c>
      <c r="AF20" s="327">
        <f>'Income Statement'!AF39*'Balance Sheet'!AF21/365</f>
        <v>15594.480836005698</v>
      </c>
      <c r="AG20" s="213"/>
      <c r="AH20" s="1374"/>
      <c r="AI20" s="1624"/>
      <c r="AJ20" s="1624"/>
      <c r="AK20" s="1624"/>
      <c r="AL20" s="1624"/>
      <c r="AM20" s="1624"/>
      <c r="AN20" s="1624"/>
      <c r="AO20" s="1624"/>
      <c r="AP20" s="1624"/>
      <c r="AQ20" s="213"/>
      <c r="AR20" s="213"/>
      <c r="AS20" s="213"/>
    </row>
    <row r="21" spans="1:45">
      <c r="A21" s="1355" t="s">
        <v>1932</v>
      </c>
      <c r="B21" s="213"/>
      <c r="C21" s="213"/>
      <c r="D21" s="213"/>
      <c r="E21" s="213"/>
      <c r="F21" s="213"/>
      <c r="G21" s="213"/>
      <c r="H21" s="363"/>
      <c r="I21" s="363"/>
      <c r="J21" s="363"/>
      <c r="K21" s="363"/>
      <c r="L21" s="363"/>
      <c r="M21" s="363"/>
      <c r="N21" s="363"/>
      <c r="O21" s="363"/>
      <c r="P21" s="301"/>
      <c r="Q21" s="301"/>
      <c r="R21" s="227"/>
      <c r="S21" s="227"/>
      <c r="T21" s="227"/>
      <c r="U21" s="227"/>
      <c r="V21" s="227"/>
      <c r="W21" s="1453">
        <f>W20/'Income Statement'!W39*365</f>
        <v>155.59808612440193</v>
      </c>
      <c r="X21" s="1453">
        <f>X20/'Income Statement'!X39*365</f>
        <v>151.56080903598635</v>
      </c>
      <c r="Y21" s="1453">
        <f>Y20/'Income Statement'!Y39*365</f>
        <v>148.1617742144058</v>
      </c>
      <c r="Z21" s="1453">
        <f>Z20/'Income Statement'!Z39*365</f>
        <v>141.25928908738149</v>
      </c>
      <c r="AA21" s="1454">
        <v>130</v>
      </c>
      <c r="AB21" s="1454">
        <v>130</v>
      </c>
      <c r="AC21" s="1454">
        <v>128</v>
      </c>
      <c r="AD21" s="1454">
        <v>125</v>
      </c>
      <c r="AE21" s="1454">
        <v>125</v>
      </c>
      <c r="AF21" s="1454">
        <v>125</v>
      </c>
      <c r="AG21" s="213"/>
      <c r="AH21" s="1374"/>
      <c r="AI21" s="1624"/>
      <c r="AJ21" s="1624"/>
      <c r="AK21" s="1624"/>
      <c r="AL21" s="1624"/>
      <c r="AM21" s="1624"/>
      <c r="AN21" s="1624"/>
      <c r="AO21" s="1624"/>
      <c r="AP21" s="1624"/>
      <c r="AQ21" s="213"/>
      <c r="AR21" s="213"/>
      <c r="AS21" s="213"/>
    </row>
    <row r="22" spans="1:45">
      <c r="A22" s="19" t="s">
        <v>887</v>
      </c>
      <c r="B22" s="213"/>
      <c r="C22" s="213"/>
      <c r="D22" s="213"/>
      <c r="E22" s="213"/>
      <c r="F22" s="213"/>
      <c r="G22" s="213"/>
      <c r="H22" s="363">
        <v>68</v>
      </c>
      <c r="I22" s="363">
        <v>27</v>
      </c>
      <c r="J22" s="363">
        <v>127</v>
      </c>
      <c r="K22" s="363">
        <v>145</v>
      </c>
      <c r="L22" s="363">
        <v>146</v>
      </c>
      <c r="M22" s="363">
        <v>215</v>
      </c>
      <c r="N22" s="363">
        <v>421</v>
      </c>
      <c r="O22" s="363">
        <v>392</v>
      </c>
      <c r="P22" s="227">
        <v>452</v>
      </c>
      <c r="Q22" s="227">
        <v>623</v>
      </c>
      <c r="R22" s="227">
        <v>513</v>
      </c>
      <c r="S22" s="227">
        <v>596</v>
      </c>
      <c r="T22" s="227">
        <v>752</v>
      </c>
      <c r="U22" s="227">
        <v>458</v>
      </c>
      <c r="V22" s="227">
        <v>481</v>
      </c>
      <c r="W22" s="227">
        <v>555</v>
      </c>
      <c r="X22" s="227">
        <v>358</v>
      </c>
      <c r="Y22" s="227">
        <v>422</v>
      </c>
      <c r="Z22" s="227">
        <v>364</v>
      </c>
      <c r="AA22" s="27">
        <f t="shared" ref="AA22:AF22" si="5">Z22</f>
        <v>364</v>
      </c>
      <c r="AB22" s="27">
        <f t="shared" si="5"/>
        <v>364</v>
      </c>
      <c r="AC22" s="27">
        <f t="shared" si="5"/>
        <v>364</v>
      </c>
      <c r="AD22" s="27">
        <f t="shared" si="5"/>
        <v>364</v>
      </c>
      <c r="AE22" s="27">
        <f t="shared" si="5"/>
        <v>364</v>
      </c>
      <c r="AF22" s="27">
        <f t="shared" si="5"/>
        <v>364</v>
      </c>
      <c r="AG22" s="213"/>
      <c r="AH22" s="1374"/>
      <c r="AI22" s="1624"/>
      <c r="AJ22" s="1624"/>
      <c r="AK22" s="1624"/>
      <c r="AL22" s="1624"/>
      <c r="AM22" s="1624"/>
      <c r="AN22" s="1624"/>
      <c r="AO22" s="1624"/>
      <c r="AP22" s="1624"/>
      <c r="AQ22" s="213"/>
      <c r="AR22" s="213"/>
      <c r="AS22" s="213"/>
    </row>
    <row r="23" spans="1:45">
      <c r="A23" s="19" t="s">
        <v>886</v>
      </c>
      <c r="B23" s="213"/>
      <c r="C23" s="213"/>
      <c r="D23" s="213"/>
      <c r="E23" s="213"/>
      <c r="F23" s="213"/>
      <c r="G23" s="213"/>
      <c r="H23" s="363">
        <v>743</v>
      </c>
      <c r="I23" s="363">
        <v>730</v>
      </c>
      <c r="J23" s="363">
        <v>919</v>
      </c>
      <c r="K23" s="363">
        <v>2080</v>
      </c>
      <c r="L23" s="363">
        <v>2062</v>
      </c>
      <c r="M23" s="363">
        <v>1431</v>
      </c>
      <c r="N23" s="363">
        <v>2193</v>
      </c>
      <c r="O23" s="363">
        <v>1547</v>
      </c>
      <c r="P23" s="363">
        <v>1633</v>
      </c>
      <c r="Q23" s="363">
        <v>1845</v>
      </c>
      <c r="R23" s="227">
        <v>1926</v>
      </c>
      <c r="S23" s="227">
        <v>4914</v>
      </c>
      <c r="T23" s="227">
        <v>2330</v>
      </c>
      <c r="U23" s="227">
        <v>2632</v>
      </c>
      <c r="V23" s="227">
        <v>3747</v>
      </c>
      <c r="W23" s="227">
        <v>5247</v>
      </c>
      <c r="X23" s="227">
        <v>6687</v>
      </c>
      <c r="Y23" s="227">
        <v>6676</v>
      </c>
      <c r="Z23" s="227">
        <v>6514</v>
      </c>
      <c r="AA23" s="327">
        <f>'Cashflow Statement'!AA55</f>
        <v>7231.7677021781838</v>
      </c>
      <c r="AB23" s="327">
        <f>'Cashflow Statement'!AB55</f>
        <v>8445.4906324987242</v>
      </c>
      <c r="AC23" s="327">
        <f>'Cashflow Statement'!AC55</f>
        <v>9930.261274494409</v>
      </c>
      <c r="AD23" s="327">
        <f>'Cashflow Statement'!AD55</f>
        <v>11739.913080364604</v>
      </c>
      <c r="AE23" s="327">
        <f>'Cashflow Statement'!AE55</f>
        <v>15225.360331352229</v>
      </c>
      <c r="AF23" s="327">
        <f>'Cashflow Statement'!AF55</f>
        <v>19048.147557994624</v>
      </c>
      <c r="AG23" s="213"/>
      <c r="AH23" s="1374"/>
      <c r="AI23" s="1624"/>
      <c r="AJ23" s="1624"/>
      <c r="AK23" s="1624"/>
      <c r="AL23" s="1624"/>
      <c r="AM23" s="1624"/>
      <c r="AN23" s="1624"/>
      <c r="AO23" s="1624"/>
      <c r="AP23" s="1624"/>
      <c r="AQ23" s="213"/>
      <c r="AR23" s="213"/>
      <c r="AS23" s="213"/>
    </row>
    <row r="24" spans="1:45">
      <c r="A24" s="19" t="s">
        <v>1298</v>
      </c>
      <c r="B24" s="213"/>
      <c r="C24" s="213"/>
      <c r="D24" s="213"/>
      <c r="E24" s="213"/>
      <c r="F24" s="213"/>
      <c r="G24" s="213"/>
      <c r="H24" s="4"/>
      <c r="I24" s="4"/>
      <c r="J24" s="4"/>
      <c r="K24" s="4"/>
      <c r="L24" s="4"/>
      <c r="M24" s="4"/>
      <c r="N24" s="4"/>
      <c r="O24" s="4"/>
      <c r="P24" s="4"/>
      <c r="Q24" s="4"/>
      <c r="R24" s="27"/>
      <c r="S24" s="227">
        <v>261</v>
      </c>
      <c r="T24" s="227">
        <v>470</v>
      </c>
      <c r="U24" s="227">
        <v>471</v>
      </c>
      <c r="V24" s="227">
        <v>486</v>
      </c>
      <c r="W24" s="227">
        <v>552</v>
      </c>
      <c r="X24" s="227">
        <v>664</v>
      </c>
      <c r="Y24" s="227">
        <v>753</v>
      </c>
      <c r="Z24" s="227">
        <v>884</v>
      </c>
      <c r="AA24" s="27">
        <f t="shared" ref="AA24:AF25" si="6">Z24</f>
        <v>884</v>
      </c>
      <c r="AB24" s="27">
        <f t="shared" si="6"/>
        <v>884</v>
      </c>
      <c r="AC24" s="27">
        <f t="shared" si="6"/>
        <v>884</v>
      </c>
      <c r="AD24" s="27">
        <f t="shared" si="6"/>
        <v>884</v>
      </c>
      <c r="AE24" s="27">
        <f t="shared" si="6"/>
        <v>884</v>
      </c>
      <c r="AF24" s="27">
        <f t="shared" si="6"/>
        <v>884</v>
      </c>
      <c r="AG24" s="213"/>
      <c r="AH24" s="1374"/>
      <c r="AI24" s="1624"/>
      <c r="AJ24" s="1624"/>
      <c r="AK24" s="1624"/>
      <c r="AL24" s="1624"/>
      <c r="AM24" s="1624"/>
      <c r="AN24" s="1624"/>
      <c r="AO24" s="1624"/>
      <c r="AP24" s="1624"/>
      <c r="AQ24" s="213"/>
      <c r="AR24" s="213"/>
      <c r="AS24" s="213"/>
    </row>
    <row r="25" spans="1:45">
      <c r="A25" s="19" t="s">
        <v>1299</v>
      </c>
      <c r="B25" s="213"/>
      <c r="C25" s="213"/>
      <c r="D25" s="213"/>
      <c r="E25" s="213"/>
      <c r="F25" s="213"/>
      <c r="G25" s="213"/>
      <c r="H25" s="4"/>
      <c r="I25" s="4"/>
      <c r="J25" s="4"/>
      <c r="K25" s="4"/>
      <c r="L25" s="4"/>
      <c r="M25" s="4"/>
      <c r="N25" s="4"/>
      <c r="O25" s="4"/>
      <c r="P25" s="4"/>
      <c r="Q25" s="4"/>
      <c r="R25" s="27"/>
      <c r="S25" s="227">
        <v>1366</v>
      </c>
      <c r="T25" s="227">
        <v>1544</v>
      </c>
      <c r="U25" s="227">
        <v>1743</v>
      </c>
      <c r="V25" s="227">
        <v>1695</v>
      </c>
      <c r="W25" s="227">
        <v>1853</v>
      </c>
      <c r="X25" s="227">
        <v>1982</v>
      </c>
      <c r="Y25" s="227">
        <v>2157</v>
      </c>
      <c r="Z25" s="227">
        <v>2503</v>
      </c>
      <c r="AA25" s="27">
        <f>Z25</f>
        <v>2503</v>
      </c>
      <c r="AB25" s="27">
        <f t="shared" si="6"/>
        <v>2503</v>
      </c>
      <c r="AC25" s="27">
        <f t="shared" si="6"/>
        <v>2503</v>
      </c>
      <c r="AD25" s="27">
        <f t="shared" si="6"/>
        <v>2503</v>
      </c>
      <c r="AE25" s="27">
        <f t="shared" si="6"/>
        <v>2503</v>
      </c>
      <c r="AF25" s="27">
        <f t="shared" si="6"/>
        <v>2503</v>
      </c>
      <c r="AG25" s="213"/>
      <c r="AH25" s="1374"/>
      <c r="AI25" s="1624"/>
      <c r="AJ25" s="1624"/>
      <c r="AK25" s="1624"/>
      <c r="AL25" s="1624"/>
      <c r="AM25" s="1624"/>
      <c r="AN25" s="1624"/>
      <c r="AO25" s="1624"/>
      <c r="AP25" s="1624"/>
      <c r="AQ25" s="213"/>
      <c r="AR25" s="213"/>
      <c r="AS25" s="213"/>
    </row>
    <row r="26" spans="1:45">
      <c r="A26" s="19" t="s">
        <v>776</v>
      </c>
      <c r="B26" s="213"/>
      <c r="C26" s="213"/>
      <c r="D26" s="213"/>
      <c r="E26" s="213"/>
      <c r="F26" s="213"/>
      <c r="G26" s="213"/>
      <c r="H26" s="4">
        <f t="shared" ref="H26:Q26" si="7">H27-SUM(H16:H23)</f>
        <v>151</v>
      </c>
      <c r="I26" s="4">
        <f t="shared" si="7"/>
        <v>1142</v>
      </c>
      <c r="J26" s="4">
        <f t="shared" si="7"/>
        <v>264</v>
      </c>
      <c r="K26" s="4">
        <f t="shared" si="7"/>
        <v>0</v>
      </c>
      <c r="L26" s="4">
        <f t="shared" si="7"/>
        <v>0</v>
      </c>
      <c r="M26" s="361">
        <f t="shared" si="7"/>
        <v>0</v>
      </c>
      <c r="N26" s="4">
        <f t="shared" si="7"/>
        <v>0</v>
      </c>
      <c r="O26" s="27">
        <f t="shared" si="7"/>
        <v>-15</v>
      </c>
      <c r="P26" s="27">
        <f t="shared" si="7"/>
        <v>0</v>
      </c>
      <c r="Q26" s="27">
        <f t="shared" si="7"/>
        <v>0</v>
      </c>
      <c r="R26" s="227">
        <v>3234</v>
      </c>
      <c r="S26" s="227">
        <v>0</v>
      </c>
      <c r="T26" s="27">
        <f>S26</f>
        <v>0</v>
      </c>
      <c r="U26" s="227">
        <v>0</v>
      </c>
      <c r="V26" s="27"/>
      <c r="W26" s="27"/>
      <c r="X26" s="293">
        <v>212</v>
      </c>
      <c r="Y26" s="293">
        <v>0</v>
      </c>
      <c r="Z26" s="293">
        <v>0</v>
      </c>
      <c r="AA26" s="27">
        <f t="shared" ref="AA26:AF26" si="8">Z26</f>
        <v>0</v>
      </c>
      <c r="AB26" s="27">
        <f t="shared" si="8"/>
        <v>0</v>
      </c>
      <c r="AC26" s="27">
        <f t="shared" si="8"/>
        <v>0</v>
      </c>
      <c r="AD26" s="27">
        <f t="shared" si="8"/>
        <v>0</v>
      </c>
      <c r="AE26" s="27">
        <f t="shared" si="8"/>
        <v>0</v>
      </c>
      <c r="AF26" s="27">
        <f t="shared" si="8"/>
        <v>0</v>
      </c>
      <c r="AG26" s="213"/>
      <c r="AH26" s="1374"/>
      <c r="AI26" s="1624"/>
      <c r="AJ26" s="1624"/>
      <c r="AK26" s="1624"/>
      <c r="AL26" s="1624"/>
      <c r="AM26" s="1624"/>
      <c r="AN26" s="1624"/>
      <c r="AO26" s="1624"/>
      <c r="AP26" s="1624"/>
      <c r="AQ26" s="213"/>
      <c r="AR26" s="213"/>
      <c r="AS26" s="213"/>
    </row>
    <row r="27" spans="1:45">
      <c r="A27" s="214" t="s">
        <v>885</v>
      </c>
      <c r="B27" s="57"/>
      <c r="C27" s="57"/>
      <c r="D27" s="57"/>
      <c r="E27" s="57"/>
      <c r="F27" s="57"/>
      <c r="G27" s="57"/>
      <c r="H27" s="280">
        <v>8925</v>
      </c>
      <c r="I27" s="281">
        <f>8519+779</f>
        <v>9298</v>
      </c>
      <c r="J27" s="281">
        <f>9049+61</f>
        <v>9110</v>
      </c>
      <c r="K27" s="280">
        <v>9903</v>
      </c>
      <c r="L27" s="280">
        <v>10173</v>
      </c>
      <c r="M27" s="280">
        <v>10810</v>
      </c>
      <c r="N27" s="280">
        <v>12531</v>
      </c>
      <c r="O27" s="281">
        <f>(864+3998+4967+1547+575)</f>
        <v>11951</v>
      </c>
      <c r="P27" s="280">
        <v>12775</v>
      </c>
      <c r="Q27" s="280">
        <v>14121</v>
      </c>
      <c r="R27" s="281">
        <f t="shared" ref="R27:V27" si="9">SUM(R16:R26)</f>
        <v>16911</v>
      </c>
      <c r="S27" s="281">
        <f t="shared" si="9"/>
        <v>18722</v>
      </c>
      <c r="T27" s="281">
        <f t="shared" si="9"/>
        <v>18159</v>
      </c>
      <c r="U27" s="281">
        <f t="shared" si="9"/>
        <v>20072</v>
      </c>
      <c r="V27" s="281">
        <f t="shared" si="9"/>
        <v>18188</v>
      </c>
      <c r="W27" s="281">
        <f>SUM(W16:W26)-W19-W21</f>
        <v>20583</v>
      </c>
      <c r="X27" s="281">
        <f t="shared" ref="X27:AF27" si="10">SUM(X16:X26)-X19-X21</f>
        <v>24997</v>
      </c>
      <c r="Y27" s="281">
        <f t="shared" si="10"/>
        <v>29175</v>
      </c>
      <c r="Z27" s="281">
        <f t="shared" si="10"/>
        <v>31523</v>
      </c>
      <c r="AA27" s="281">
        <f t="shared" si="10"/>
        <v>33266.511347758838</v>
      </c>
      <c r="AB27" s="281">
        <f t="shared" si="10"/>
        <v>35816.365327272972</v>
      </c>
      <c r="AC27" s="281">
        <f t="shared" si="10"/>
        <v>39101.652416429264</v>
      </c>
      <c r="AD27" s="281">
        <f t="shared" si="10"/>
        <v>42620.873164610377</v>
      </c>
      <c r="AE27" s="281">
        <f t="shared" si="10"/>
        <v>47516.936575768254</v>
      </c>
      <c r="AF27" s="281">
        <f t="shared" si="10"/>
        <v>52735.255118810572</v>
      </c>
      <c r="AG27" s="213"/>
      <c r="AH27" s="1374"/>
      <c r="AI27" s="1624"/>
      <c r="AJ27" s="1624"/>
      <c r="AK27" s="1624"/>
      <c r="AL27" s="1624"/>
      <c r="AM27" s="1624"/>
      <c r="AN27" s="1624"/>
      <c r="AO27" s="1624"/>
      <c r="AP27" s="1624"/>
      <c r="AQ27" s="213"/>
      <c r="AR27" s="213"/>
      <c r="AS27" s="213"/>
    </row>
    <row r="28" spans="1:45">
      <c r="A28" s="19"/>
      <c r="B28" s="213"/>
      <c r="C28" s="213"/>
      <c r="D28" s="213"/>
      <c r="E28" s="213"/>
      <c r="F28" s="213"/>
      <c r="G28" s="213"/>
      <c r="H28" s="4"/>
      <c r="I28" s="4"/>
      <c r="J28" s="4"/>
      <c r="K28" s="4"/>
      <c r="L28" s="4"/>
      <c r="M28" s="4"/>
      <c r="N28" s="4"/>
      <c r="O28" s="27"/>
      <c r="P28" s="27"/>
      <c r="Q28" s="27"/>
      <c r="R28" s="27"/>
      <c r="S28" s="27"/>
      <c r="T28" s="27"/>
      <c r="U28" s="27"/>
      <c r="V28" s="27"/>
      <c r="W28" s="27"/>
      <c r="X28" s="287"/>
      <c r="Y28" s="287"/>
      <c r="Z28" s="287"/>
      <c r="AA28" s="27"/>
      <c r="AB28" s="27"/>
      <c r="AC28" s="27"/>
      <c r="AD28" s="27"/>
      <c r="AE28" s="27"/>
      <c r="AF28" s="27"/>
      <c r="AG28" s="213"/>
      <c r="AH28" s="1374"/>
      <c r="AI28" s="1624"/>
      <c r="AJ28" s="1624"/>
      <c r="AK28" s="1624"/>
      <c r="AL28" s="1624"/>
      <c r="AM28" s="1624"/>
      <c r="AN28" s="1624"/>
      <c r="AO28" s="1624"/>
      <c r="AP28" s="1624"/>
      <c r="AQ28" s="213"/>
      <c r="AR28" s="213"/>
      <c r="AS28" s="213"/>
    </row>
    <row r="29" spans="1:45">
      <c r="A29" s="19" t="s">
        <v>845</v>
      </c>
      <c r="B29" s="213"/>
      <c r="C29" s="213"/>
      <c r="D29" s="213"/>
      <c r="E29" s="213"/>
      <c r="F29" s="213"/>
      <c r="G29" s="213"/>
      <c r="H29" s="363">
        <v>-976</v>
      </c>
      <c r="I29" s="363">
        <v>-1052</v>
      </c>
      <c r="J29" s="363">
        <v>-1078</v>
      </c>
      <c r="K29" s="363">
        <v>-1315</v>
      </c>
      <c r="L29" s="363">
        <v>-1310</v>
      </c>
      <c r="M29" s="363">
        <v>-1374</v>
      </c>
      <c r="N29" s="363">
        <v>-1823</v>
      </c>
      <c r="O29" s="4">
        <f>-1751+10</f>
        <v>-1741</v>
      </c>
      <c r="P29" s="363">
        <v>-1870</v>
      </c>
      <c r="Q29" s="363">
        <v>-1802</v>
      </c>
      <c r="R29" s="227">
        <v>-1706</v>
      </c>
      <c r="S29" s="227">
        <v>-1263</v>
      </c>
      <c r="T29" s="227">
        <v>-1588</v>
      </c>
      <c r="U29" s="227">
        <v>-2093</v>
      </c>
      <c r="V29" s="227">
        <v>-1942</v>
      </c>
      <c r="W29" s="227">
        <v>-1798</v>
      </c>
      <c r="X29" s="227">
        <v>-1549</v>
      </c>
      <c r="Y29" s="227">
        <v>-1547</v>
      </c>
      <c r="Z29" s="227">
        <v>-1835</v>
      </c>
      <c r="AA29" s="327">
        <f>Z29-'Cashflow Statement'!AA10</f>
        <v>-1935</v>
      </c>
      <c r="AB29" s="327">
        <f>AA29-'Cashflow Statement'!AB10</f>
        <v>-2035</v>
      </c>
      <c r="AC29" s="327">
        <f>AB29-'Cashflow Statement'!AC10</f>
        <v>-2135</v>
      </c>
      <c r="AD29" s="327">
        <f>AC29-'Cashflow Statement'!AD10</f>
        <v>-2235</v>
      </c>
      <c r="AE29" s="327">
        <f>AD29-'Cashflow Statement'!AE10</f>
        <v>-2335</v>
      </c>
      <c r="AF29" s="327">
        <f>AE29-'Cashflow Statement'!AF10</f>
        <v>-2435</v>
      </c>
      <c r="AG29" s="213"/>
      <c r="AH29" s="1374"/>
      <c r="AI29" s="1624"/>
      <c r="AJ29" s="1624"/>
      <c r="AK29" s="1624"/>
      <c r="AL29" s="1624"/>
      <c r="AM29" s="1624"/>
      <c r="AN29" s="1624"/>
      <c r="AO29" s="1624"/>
      <c r="AP29" s="1624"/>
      <c r="AQ29" s="213"/>
      <c r="AR29" s="213"/>
      <c r="AS29" s="213"/>
    </row>
    <row r="30" spans="1:45">
      <c r="A30" s="19" t="s">
        <v>884</v>
      </c>
      <c r="B30" s="213"/>
      <c r="C30" s="213"/>
      <c r="D30" s="213"/>
      <c r="E30" s="213"/>
      <c r="F30" s="213"/>
      <c r="G30" s="213"/>
      <c r="H30" s="363">
        <v>-573</v>
      </c>
      <c r="I30" s="363">
        <v>-590</v>
      </c>
      <c r="J30" s="363">
        <v>-698</v>
      </c>
      <c r="K30" s="363">
        <v>-696</v>
      </c>
      <c r="L30" s="363">
        <v>-701</v>
      </c>
      <c r="M30" s="363">
        <v>-682</v>
      </c>
      <c r="N30" s="363">
        <v>-670</v>
      </c>
      <c r="O30" s="363">
        <v>-670</v>
      </c>
      <c r="P30" s="227">
        <v>-713</v>
      </c>
      <c r="Q30" s="227">
        <v>-708</v>
      </c>
      <c r="R30" s="227">
        <v>-699</v>
      </c>
      <c r="S30" s="227">
        <v>-569</v>
      </c>
      <c r="T30" s="227">
        <v>-585</v>
      </c>
      <c r="U30" s="227">
        <v>-505</v>
      </c>
      <c r="V30" s="227">
        <v>-426</v>
      </c>
      <c r="W30" s="227">
        <v>-327</v>
      </c>
      <c r="X30" s="227">
        <v>-302</v>
      </c>
      <c r="Y30" s="227">
        <v>-292</v>
      </c>
      <c r="Z30" s="227">
        <v>-287</v>
      </c>
      <c r="AA30" s="27">
        <f t="shared" ref="AA30:AF30" si="11">Z30</f>
        <v>-287</v>
      </c>
      <c r="AB30" s="27">
        <f t="shared" si="11"/>
        <v>-287</v>
      </c>
      <c r="AC30" s="27">
        <f t="shared" si="11"/>
        <v>-287</v>
      </c>
      <c r="AD30" s="27">
        <f t="shared" si="11"/>
        <v>-287</v>
      </c>
      <c r="AE30" s="27">
        <f t="shared" si="11"/>
        <v>-287</v>
      </c>
      <c r="AF30" s="27">
        <f t="shared" si="11"/>
        <v>-287</v>
      </c>
      <c r="AG30" s="213"/>
      <c r="AH30" s="1374"/>
      <c r="AI30" s="1624"/>
      <c r="AJ30" s="1624"/>
      <c r="AK30" s="1624"/>
      <c r="AL30" s="1624"/>
      <c r="AM30" s="1624"/>
      <c r="AN30" s="1624"/>
      <c r="AO30" s="1624"/>
      <c r="AP30" s="1624"/>
      <c r="AQ30" s="213"/>
      <c r="AR30" s="213"/>
      <c r="AS30" s="213"/>
    </row>
    <row r="31" spans="1:45">
      <c r="A31" s="19" t="s">
        <v>1313</v>
      </c>
      <c r="B31" s="213"/>
      <c r="C31" s="213"/>
      <c r="D31" s="213"/>
      <c r="E31" s="213"/>
      <c r="F31" s="213"/>
      <c r="G31" s="213"/>
      <c r="H31" s="363">
        <v>-463</v>
      </c>
      <c r="I31" s="363">
        <v>-397</v>
      </c>
      <c r="J31" s="363">
        <v>-418</v>
      </c>
      <c r="K31" s="363">
        <v>-1208</v>
      </c>
      <c r="L31" s="363">
        <v>-1483</v>
      </c>
      <c r="M31" s="363">
        <v>-1447</v>
      </c>
      <c r="N31" s="363">
        <v>-2259</v>
      </c>
      <c r="O31" s="4">
        <f>-1295-6</f>
        <v>-1301</v>
      </c>
      <c r="P31" s="227">
        <v>-1658</v>
      </c>
      <c r="Q31" s="227">
        <v>-1752</v>
      </c>
      <c r="R31" s="227">
        <v>-2392</v>
      </c>
      <c r="S31" s="227">
        <v>-3246</v>
      </c>
      <c r="T31" s="227">
        <v>-3384</v>
      </c>
      <c r="U31" s="227">
        <v>-3239</v>
      </c>
      <c r="V31" s="227">
        <v>-4082</v>
      </c>
      <c r="W31" s="227">
        <v>-5094</v>
      </c>
      <c r="X31" s="227">
        <v>-5378</v>
      </c>
      <c r="Y31" s="227">
        <v>-4691</v>
      </c>
      <c r="Z31" s="227">
        <v>-3788</v>
      </c>
      <c r="AA31" s="327">
        <f>Z31-'Cashflow Statement'!AA39</f>
        <v>-3788</v>
      </c>
      <c r="AB31" s="327">
        <f>AA31-'Cashflow Statement'!AB39</f>
        <v>-3788</v>
      </c>
      <c r="AC31" s="327">
        <f>AB31-'Cashflow Statement'!AC39</f>
        <v>-3788</v>
      </c>
      <c r="AD31" s="327">
        <f>AC31-'Cashflow Statement'!AD39</f>
        <v>-3788</v>
      </c>
      <c r="AE31" s="327">
        <f>AD31-'Cashflow Statement'!AE39</f>
        <v>-3788</v>
      </c>
      <c r="AF31" s="327">
        <f>AE31-'Cashflow Statement'!AF39</f>
        <v>-3788</v>
      </c>
      <c r="AG31" s="213"/>
      <c r="AH31" s="1374"/>
      <c r="AI31" s="1624"/>
      <c r="AJ31" s="1624"/>
      <c r="AK31" s="1624"/>
      <c r="AL31" s="1624"/>
      <c r="AM31" s="1624"/>
      <c r="AN31" s="1624"/>
      <c r="AO31" s="1624"/>
      <c r="AP31" s="1624"/>
      <c r="AQ31" s="213"/>
      <c r="AR31" s="213"/>
      <c r="AS31" s="213"/>
    </row>
    <row r="32" spans="1:45">
      <c r="A32" s="19" t="s">
        <v>883</v>
      </c>
      <c r="B32" s="213"/>
      <c r="C32" s="213"/>
      <c r="D32" s="213"/>
      <c r="E32" s="213"/>
      <c r="F32" s="213"/>
      <c r="G32" s="213"/>
      <c r="H32" s="4"/>
      <c r="I32" s="4"/>
      <c r="J32" s="4"/>
      <c r="K32" s="4"/>
      <c r="L32" s="4"/>
      <c r="M32" s="363">
        <v>-5</v>
      </c>
      <c r="N32" s="363">
        <v>-12</v>
      </c>
      <c r="O32" s="363">
        <v>-36</v>
      </c>
      <c r="P32" s="27"/>
      <c r="Q32" s="27"/>
      <c r="R32" s="227">
        <v>0</v>
      </c>
      <c r="S32" s="27">
        <f>R32</f>
        <v>0</v>
      </c>
      <c r="T32" s="227">
        <v>-7</v>
      </c>
      <c r="U32" s="227">
        <v>-5</v>
      </c>
      <c r="V32" s="227">
        <v>-18</v>
      </c>
      <c r="W32" s="227">
        <v>-8</v>
      </c>
      <c r="X32" s="227">
        <v>-18</v>
      </c>
      <c r="Y32" s="227">
        <v>-8</v>
      </c>
      <c r="Z32" s="227">
        <v>-15</v>
      </c>
      <c r="AA32" s="27">
        <f t="shared" ref="AA32:AF32" si="12">Z32</f>
        <v>-15</v>
      </c>
      <c r="AB32" s="27">
        <f t="shared" si="12"/>
        <v>-15</v>
      </c>
      <c r="AC32" s="27">
        <f t="shared" si="12"/>
        <v>-15</v>
      </c>
      <c r="AD32" s="27">
        <f t="shared" si="12"/>
        <v>-15</v>
      </c>
      <c r="AE32" s="27">
        <f t="shared" si="12"/>
        <v>-15</v>
      </c>
      <c r="AF32" s="27">
        <f t="shared" si="12"/>
        <v>-15</v>
      </c>
      <c r="AG32" s="213"/>
      <c r="AH32" s="1374"/>
      <c r="AI32" s="1624"/>
      <c r="AJ32" s="1624"/>
      <c r="AK32" s="1624"/>
      <c r="AL32" s="1624"/>
      <c r="AM32" s="1624"/>
      <c r="AN32" s="1624"/>
      <c r="AO32" s="1624"/>
      <c r="AP32" s="1624"/>
      <c r="AQ32" s="213"/>
      <c r="AR32" s="213"/>
      <c r="AS32" s="213"/>
    </row>
    <row r="33" spans="1:45">
      <c r="A33" s="19" t="s">
        <v>882</v>
      </c>
      <c r="B33" s="213"/>
      <c r="C33" s="213"/>
      <c r="D33" s="213"/>
      <c r="E33" s="213"/>
      <c r="F33" s="213"/>
      <c r="G33" s="213"/>
      <c r="H33" s="363">
        <v>-929</v>
      </c>
      <c r="I33" s="363">
        <v>-745</v>
      </c>
      <c r="J33" s="363">
        <v>-618</v>
      </c>
      <c r="K33" s="363">
        <v>-833</v>
      </c>
      <c r="L33" s="363">
        <v>-685</v>
      </c>
      <c r="M33" s="363">
        <v>-718</v>
      </c>
      <c r="N33" s="363">
        <v>-981</v>
      </c>
      <c r="O33" s="363">
        <v>-1293</v>
      </c>
      <c r="P33" s="227">
        <v>-728</v>
      </c>
      <c r="Q33" s="227">
        <v>-677</v>
      </c>
      <c r="R33" s="227">
        <v>-987</v>
      </c>
      <c r="S33" s="227">
        <v>-674</v>
      </c>
      <c r="T33" s="227">
        <v>-1662</v>
      </c>
      <c r="U33" s="227">
        <v>-1340</v>
      </c>
      <c r="V33" s="227">
        <v>-1285</v>
      </c>
      <c r="W33" s="227">
        <v>-1275</v>
      </c>
      <c r="X33" s="227">
        <v>-1164</v>
      </c>
      <c r="Y33" s="227">
        <v>-1022</v>
      </c>
      <c r="Z33" s="227">
        <v>-911</v>
      </c>
      <c r="AA33" s="327">
        <f>Z33-('Cashflow Statement'!AA17)</f>
        <v>-1241</v>
      </c>
      <c r="AB33" s="327">
        <f>AA33-('Cashflow Statement'!AB17)</f>
        <v>-1111</v>
      </c>
      <c r="AC33" s="327">
        <f>AB33-('Cashflow Statement'!AC17)</f>
        <v>-911</v>
      </c>
      <c r="AD33" s="327">
        <f>AC33-('Cashflow Statement'!AD17)</f>
        <v>-911</v>
      </c>
      <c r="AE33" s="327">
        <f>AD33-('Cashflow Statement'!AE17)</f>
        <v>-911</v>
      </c>
      <c r="AF33" s="327">
        <f>AE33-('Cashflow Statement'!AF17)</f>
        <v>-911</v>
      </c>
      <c r="AG33" s="213"/>
      <c r="AH33" s="1374"/>
      <c r="AI33" s="1624"/>
      <c r="AJ33" s="1624"/>
      <c r="AK33" s="1624"/>
      <c r="AL33" s="1624"/>
      <c r="AM33" s="1624"/>
      <c r="AN33" s="1624"/>
      <c r="AO33" s="1624"/>
      <c r="AP33" s="1624"/>
      <c r="AQ33" s="213"/>
      <c r="AR33" s="213"/>
      <c r="AS33" s="213"/>
    </row>
    <row r="34" spans="1:45">
      <c r="A34" s="19" t="s">
        <v>881</v>
      </c>
      <c r="B34" s="213"/>
      <c r="C34" s="213"/>
      <c r="D34" s="213"/>
      <c r="E34" s="213"/>
      <c r="F34" s="213"/>
      <c r="G34" s="213"/>
      <c r="H34" s="363">
        <v>-112</v>
      </c>
      <c r="I34" s="363">
        <v>-96</v>
      </c>
      <c r="J34" s="363">
        <v>-139</v>
      </c>
      <c r="K34" s="363">
        <v>-208</v>
      </c>
      <c r="L34" s="363">
        <v>-186</v>
      </c>
      <c r="M34" s="363">
        <v>-199</v>
      </c>
      <c r="N34" s="363">
        <v>-81</v>
      </c>
      <c r="O34" s="4">
        <f>-119+8</f>
        <v>-111</v>
      </c>
      <c r="P34" s="227">
        <v>-101</v>
      </c>
      <c r="Q34" s="227">
        <v>-26</v>
      </c>
      <c r="R34" s="227">
        <v>-5</v>
      </c>
      <c r="S34" s="227">
        <v>-8</v>
      </c>
      <c r="T34" s="227">
        <v>-2</v>
      </c>
      <c r="U34" s="227">
        <v>-2</v>
      </c>
      <c r="V34" s="227">
        <v>-2</v>
      </c>
      <c r="W34" s="227">
        <v>-116</v>
      </c>
      <c r="X34" s="227">
        <v>-75</v>
      </c>
      <c r="Y34" s="227">
        <v>-43</v>
      </c>
      <c r="Z34" s="227">
        <v>-11</v>
      </c>
      <c r="AA34" s="27">
        <f t="shared" ref="AA34:AF35" si="13">Z34</f>
        <v>-11</v>
      </c>
      <c r="AB34" s="27">
        <f t="shared" si="13"/>
        <v>-11</v>
      </c>
      <c r="AC34" s="27">
        <f t="shared" si="13"/>
        <v>-11</v>
      </c>
      <c r="AD34" s="27">
        <f t="shared" si="13"/>
        <v>-11</v>
      </c>
      <c r="AE34" s="27">
        <f t="shared" si="13"/>
        <v>-11</v>
      </c>
      <c r="AF34" s="27">
        <f t="shared" si="13"/>
        <v>-11</v>
      </c>
      <c r="AG34" s="213"/>
      <c r="AH34" s="1374"/>
      <c r="AI34" s="1624"/>
      <c r="AJ34" s="1624"/>
      <c r="AK34" s="1624"/>
      <c r="AL34" s="1624"/>
      <c r="AM34" s="1624"/>
      <c r="AN34" s="1624"/>
      <c r="AO34" s="1624"/>
      <c r="AP34" s="1624"/>
      <c r="AQ34" s="213"/>
      <c r="AR34" s="213"/>
      <c r="AS34" s="213"/>
    </row>
    <row r="35" spans="1:45">
      <c r="A35" s="19" t="s">
        <v>776</v>
      </c>
      <c r="B35" s="213"/>
      <c r="C35" s="213"/>
      <c r="D35" s="213"/>
      <c r="E35" s="213"/>
      <c r="F35" s="213"/>
      <c r="G35" s="213"/>
      <c r="H35" s="4">
        <f t="shared" ref="H35:R35" si="14">H36-SUM(H29:H34)</f>
        <v>0</v>
      </c>
      <c r="I35" s="4">
        <f t="shared" si="14"/>
        <v>0</v>
      </c>
      <c r="J35" s="4">
        <f t="shared" si="14"/>
        <v>0</v>
      </c>
      <c r="K35" s="4">
        <f t="shared" si="14"/>
        <v>0</v>
      </c>
      <c r="L35" s="4">
        <f t="shared" si="14"/>
        <v>0</v>
      </c>
      <c r="M35" s="361">
        <f t="shared" si="14"/>
        <v>0</v>
      </c>
      <c r="N35" s="4">
        <f t="shared" si="14"/>
        <v>0</v>
      </c>
      <c r="O35" s="4">
        <f t="shared" si="14"/>
        <v>13</v>
      </c>
      <c r="P35" s="27">
        <f t="shared" si="14"/>
        <v>0</v>
      </c>
      <c r="Q35" s="27">
        <f t="shared" si="14"/>
        <v>0</v>
      </c>
      <c r="R35" s="27">
        <f t="shared" si="14"/>
        <v>0</v>
      </c>
      <c r="S35" s="227">
        <v>0</v>
      </c>
      <c r="T35" s="227">
        <v>0</v>
      </c>
      <c r="U35" s="27">
        <f>U36-SUM(U29:U34)</f>
        <v>0</v>
      </c>
      <c r="V35" s="27">
        <f>V36-SUM(V29:V34)</f>
        <v>0</v>
      </c>
      <c r="W35" s="27">
        <f>W36-SUM(W29:W34)</f>
        <v>0</v>
      </c>
      <c r="X35" s="27">
        <v>-49</v>
      </c>
      <c r="Y35" s="27">
        <v>0</v>
      </c>
      <c r="Z35" s="27">
        <f>Y35</f>
        <v>0</v>
      </c>
      <c r="AA35" s="27">
        <f t="shared" si="13"/>
        <v>0</v>
      </c>
      <c r="AB35" s="27">
        <f t="shared" si="13"/>
        <v>0</v>
      </c>
      <c r="AC35" s="27">
        <f t="shared" si="13"/>
        <v>0</v>
      </c>
      <c r="AD35" s="27">
        <f t="shared" si="13"/>
        <v>0</v>
      </c>
      <c r="AE35" s="27">
        <f t="shared" si="13"/>
        <v>0</v>
      </c>
      <c r="AF35" s="27">
        <f t="shared" si="13"/>
        <v>0</v>
      </c>
      <c r="AG35" s="213"/>
      <c r="AH35" s="1374"/>
      <c r="AI35" s="1624"/>
      <c r="AJ35" s="1624"/>
      <c r="AK35" s="1624"/>
      <c r="AL35" s="1624"/>
      <c r="AM35" s="1624"/>
      <c r="AN35" s="1624"/>
      <c r="AO35" s="1624"/>
      <c r="AP35" s="1624"/>
      <c r="AQ35" s="213"/>
      <c r="AR35" s="213"/>
      <c r="AS35" s="213"/>
    </row>
    <row r="36" spans="1:45">
      <c r="A36" s="214" t="s">
        <v>880</v>
      </c>
      <c r="B36" s="57"/>
      <c r="C36" s="57"/>
      <c r="D36" s="57"/>
      <c r="E36" s="57"/>
      <c r="F36" s="57"/>
      <c r="G36" s="57"/>
      <c r="H36" s="280">
        <v>-3053</v>
      </c>
      <c r="I36" s="280">
        <v>-2880</v>
      </c>
      <c r="J36" s="280">
        <v>-2951</v>
      </c>
      <c r="K36" s="280">
        <v>-4260</v>
      </c>
      <c r="L36" s="280">
        <v>-4365</v>
      </c>
      <c r="M36" s="280">
        <v>-4425</v>
      </c>
      <c r="N36" s="280">
        <v>-5826</v>
      </c>
      <c r="O36" s="281">
        <v>-5139</v>
      </c>
      <c r="P36" s="280">
        <v>-5070</v>
      </c>
      <c r="Q36" s="280">
        <v>-4965</v>
      </c>
      <c r="R36" s="281">
        <f t="shared" ref="R36:W36" si="15">SUM(R29:R34)</f>
        <v>-5789</v>
      </c>
      <c r="S36" s="281">
        <f t="shared" si="15"/>
        <v>-5760</v>
      </c>
      <c r="T36" s="281">
        <f t="shared" si="15"/>
        <v>-7228</v>
      </c>
      <c r="U36" s="281">
        <f t="shared" si="15"/>
        <v>-7184</v>
      </c>
      <c r="V36" s="281">
        <f t="shared" si="15"/>
        <v>-7755</v>
      </c>
      <c r="W36" s="281">
        <f t="shared" si="15"/>
        <v>-8618</v>
      </c>
      <c r="X36" s="281">
        <f t="shared" ref="X36:AF36" si="16">SUM(X29:X35)</f>
        <v>-8535</v>
      </c>
      <c r="Y36" s="281">
        <f t="shared" si="16"/>
        <v>-7603</v>
      </c>
      <c r="Z36" s="281">
        <f t="shared" si="16"/>
        <v>-6847</v>
      </c>
      <c r="AA36" s="281">
        <f t="shared" si="16"/>
        <v>-7277</v>
      </c>
      <c r="AB36" s="281">
        <f t="shared" si="16"/>
        <v>-7247</v>
      </c>
      <c r="AC36" s="281">
        <f t="shared" si="16"/>
        <v>-7147</v>
      </c>
      <c r="AD36" s="281">
        <f t="shared" si="16"/>
        <v>-7247</v>
      </c>
      <c r="AE36" s="281">
        <f t="shared" si="16"/>
        <v>-7347</v>
      </c>
      <c r="AF36" s="281">
        <f t="shared" si="16"/>
        <v>-7447</v>
      </c>
      <c r="AG36" s="213"/>
      <c r="AH36" s="1374"/>
      <c r="AI36" s="1624"/>
      <c r="AJ36" s="1624"/>
      <c r="AK36" s="1624"/>
      <c r="AL36" s="1624"/>
      <c r="AM36" s="1624"/>
      <c r="AN36" s="1624"/>
      <c r="AO36" s="1624"/>
      <c r="AP36" s="1624"/>
      <c r="AQ36" s="213"/>
      <c r="AR36" s="213"/>
      <c r="AS36" s="213"/>
    </row>
    <row r="37" spans="1:45">
      <c r="A37" s="19"/>
      <c r="B37" s="213"/>
      <c r="C37" s="213"/>
      <c r="D37" s="213"/>
      <c r="E37" s="213"/>
      <c r="F37" s="213"/>
      <c r="G37" s="213"/>
      <c r="H37" s="4"/>
      <c r="I37" s="4"/>
      <c r="J37" s="4"/>
      <c r="K37" s="4"/>
      <c r="L37" s="4"/>
      <c r="M37" s="4"/>
      <c r="N37" s="4"/>
      <c r="O37" s="27"/>
      <c r="P37" s="27"/>
      <c r="Q37" s="27"/>
      <c r="R37" s="27"/>
      <c r="S37" s="27"/>
      <c r="T37" s="27"/>
      <c r="U37" s="27"/>
      <c r="V37" s="27"/>
      <c r="W37" s="27"/>
      <c r="X37" s="27"/>
      <c r="Y37" s="27"/>
      <c r="Z37" s="27"/>
      <c r="AA37" s="27"/>
      <c r="AB37" s="27"/>
      <c r="AC37" s="27"/>
      <c r="AD37" s="27"/>
      <c r="AE37" s="27"/>
      <c r="AF37" s="27"/>
      <c r="AG37" s="213"/>
      <c r="AH37" s="1374"/>
      <c r="AI37" s="1624"/>
      <c r="AJ37" s="1624"/>
      <c r="AK37" s="1624"/>
      <c r="AL37" s="1624"/>
      <c r="AM37" s="1624"/>
      <c r="AN37" s="1624"/>
      <c r="AO37" s="1624"/>
      <c r="AP37" s="1624"/>
      <c r="AQ37" s="213"/>
      <c r="AR37" s="213"/>
      <c r="AS37" s="213"/>
    </row>
    <row r="38" spans="1:45">
      <c r="A38" s="19" t="s">
        <v>845</v>
      </c>
      <c r="B38" s="213"/>
      <c r="C38" s="213"/>
      <c r="D38" s="213"/>
      <c r="E38" s="213"/>
      <c r="F38" s="213"/>
      <c r="G38" s="213"/>
      <c r="H38" s="363">
        <v>-1101</v>
      </c>
      <c r="I38" s="363">
        <v>-1133</v>
      </c>
      <c r="J38" s="363">
        <v>-1278</v>
      </c>
      <c r="K38" s="363">
        <v>-1039</v>
      </c>
      <c r="L38" s="363">
        <v>-1114</v>
      </c>
      <c r="M38" s="363">
        <v>-1064</v>
      </c>
      <c r="N38" s="363">
        <v>-1064</v>
      </c>
      <c r="O38" s="4">
        <f>-1224+7</f>
        <v>-1217</v>
      </c>
      <c r="P38" s="227">
        <v>-1459</v>
      </c>
      <c r="Q38" s="227">
        <v>-1654</v>
      </c>
      <c r="R38" s="227">
        <v>-1558</v>
      </c>
      <c r="S38" s="227">
        <v>-925</v>
      </c>
      <c r="T38" s="227">
        <v>-1189</v>
      </c>
      <c r="U38" s="227">
        <v>-990</v>
      </c>
      <c r="V38" s="227">
        <v>-905</v>
      </c>
      <c r="W38" s="227">
        <v>-1058</v>
      </c>
      <c r="X38" s="227">
        <v>-1018</v>
      </c>
      <c r="Y38" s="227">
        <v>-1064</v>
      </c>
      <c r="Z38" s="227">
        <v>-1173</v>
      </c>
      <c r="AA38" s="27">
        <f t="shared" ref="AA38:AF39" si="17">Z38</f>
        <v>-1173</v>
      </c>
      <c r="AB38" s="27">
        <f t="shared" si="17"/>
        <v>-1173</v>
      </c>
      <c r="AC38" s="27">
        <f t="shared" si="17"/>
        <v>-1173</v>
      </c>
      <c r="AD38" s="27">
        <f t="shared" si="17"/>
        <v>-1173</v>
      </c>
      <c r="AE38" s="27">
        <f t="shared" si="17"/>
        <v>-1173</v>
      </c>
      <c r="AF38" s="27">
        <f t="shared" si="17"/>
        <v>-1173</v>
      </c>
      <c r="AG38" s="213"/>
      <c r="AH38" s="1374"/>
      <c r="AI38" s="1624"/>
      <c r="AJ38" s="1624"/>
      <c r="AK38" s="1624"/>
      <c r="AL38" s="1624"/>
      <c r="AM38" s="1624"/>
      <c r="AN38" s="1624"/>
      <c r="AO38" s="1624"/>
      <c r="AP38" s="1624"/>
      <c r="AQ38" s="213"/>
      <c r="AR38" s="213"/>
      <c r="AS38" s="213"/>
    </row>
    <row r="39" spans="1:45">
      <c r="A39" s="19" t="s">
        <v>879</v>
      </c>
      <c r="B39" s="213"/>
      <c r="C39" s="213"/>
      <c r="D39" s="213"/>
      <c r="E39" s="213"/>
      <c r="F39" s="213"/>
      <c r="G39" s="213"/>
      <c r="H39" s="363">
        <v>-699</v>
      </c>
      <c r="I39" s="4">
        <f>-502</f>
        <v>-502</v>
      </c>
      <c r="J39" s="363">
        <v>-1136</v>
      </c>
      <c r="K39" s="363">
        <v>-1367</v>
      </c>
      <c r="L39" s="363">
        <v>-568</v>
      </c>
      <c r="M39" s="363">
        <v>-998</v>
      </c>
      <c r="N39" s="363">
        <v>-916</v>
      </c>
      <c r="O39" s="363">
        <v>-1435</v>
      </c>
      <c r="P39" s="227">
        <v>-1507</v>
      </c>
      <c r="Q39" s="227">
        <v>-876</v>
      </c>
      <c r="R39" s="227">
        <v>-945</v>
      </c>
      <c r="S39" s="227">
        <v>-1390</v>
      </c>
      <c r="T39" s="227">
        <v>-2221</v>
      </c>
      <c r="U39" s="227">
        <v>-3540</v>
      </c>
      <c r="V39" s="227">
        <v>-2509</v>
      </c>
      <c r="W39" s="227">
        <v>-1720</v>
      </c>
      <c r="X39" s="227">
        <v>-1277</v>
      </c>
      <c r="Y39" s="227">
        <v>-1608</v>
      </c>
      <c r="Z39" s="227">
        <v>-988</v>
      </c>
      <c r="AA39" s="27">
        <f t="shared" si="17"/>
        <v>-988</v>
      </c>
      <c r="AB39" s="27">
        <f t="shared" si="17"/>
        <v>-988</v>
      </c>
      <c r="AC39" s="27">
        <f t="shared" si="17"/>
        <v>-988</v>
      </c>
      <c r="AD39" s="27">
        <f t="shared" si="17"/>
        <v>-988</v>
      </c>
      <c r="AE39" s="27">
        <f t="shared" si="17"/>
        <v>-988</v>
      </c>
      <c r="AF39" s="27">
        <f t="shared" si="17"/>
        <v>-988</v>
      </c>
      <c r="AG39" s="213"/>
      <c r="AH39" s="1374"/>
      <c r="AI39" s="1624"/>
      <c r="AJ39" s="1624"/>
      <c r="AK39" s="1624"/>
      <c r="AL39" s="1624"/>
      <c r="AM39" s="1624"/>
      <c r="AN39" s="1624"/>
      <c r="AO39" s="1624"/>
      <c r="AP39" s="1624"/>
      <c r="AQ39" s="213"/>
      <c r="AR39" s="213"/>
      <c r="AS39" s="213"/>
    </row>
    <row r="40" spans="1:45">
      <c r="A40" s="19" t="s">
        <v>878</v>
      </c>
      <c r="B40" s="213"/>
      <c r="C40" s="213"/>
      <c r="D40" s="213"/>
      <c r="E40" s="213"/>
      <c r="F40" s="213"/>
      <c r="G40" s="213"/>
      <c r="H40" s="363">
        <v>-6390</v>
      </c>
      <c r="I40" s="363">
        <v>-6517</v>
      </c>
      <c r="J40" s="363">
        <v>-6786</v>
      </c>
      <c r="K40" s="363">
        <v>-6936</v>
      </c>
      <c r="L40" s="363">
        <v>-7236</v>
      </c>
      <c r="M40" s="363">
        <v>-8348</v>
      </c>
      <c r="N40" s="363">
        <v>-8767</v>
      </c>
      <c r="O40" s="363">
        <v>-8668</v>
      </c>
      <c r="P40" s="363">
        <v>-9638</v>
      </c>
      <c r="Q40" s="301">
        <v>-10602</v>
      </c>
      <c r="R40" s="227">
        <v>-10242</v>
      </c>
      <c r="S40" s="227">
        <v>-4409</v>
      </c>
      <c r="T40" s="227">
        <v>-5650</v>
      </c>
      <c r="U40" s="227">
        <v>-6164</v>
      </c>
      <c r="V40" s="227">
        <v>-4353</v>
      </c>
      <c r="W40" s="227">
        <v>-4950</v>
      </c>
      <c r="X40" s="227">
        <v>-6298</v>
      </c>
      <c r="Y40" s="227">
        <v>-8097</v>
      </c>
      <c r="Z40" s="227">
        <v>-9802</v>
      </c>
      <c r="AA40" s="327">
        <f>AA41*'Income Statement'!AA49/365</f>
        <v>-10961.988301825588</v>
      </c>
      <c r="AB40" s="327">
        <f>AB41*'Income Statement'!AB49/365</f>
        <v>-12526.131989819483</v>
      </c>
      <c r="AC40" s="327">
        <f>AC41*'Income Statement'!AC49/365</f>
        <v>-14272.061155575348</v>
      </c>
      <c r="AD40" s="327">
        <f>AD41*'Income Statement'!AD49/365</f>
        <v>-15479.700379950664</v>
      </c>
      <c r="AE40" s="327">
        <f>AE41*'Income Statement'!AE49/365</f>
        <v>-16445.419572037255</v>
      </c>
      <c r="AF40" s="327">
        <f>AF41*'Income Statement'!AF49/365</f>
        <v>-17241.477671882301</v>
      </c>
      <c r="AG40" s="213"/>
      <c r="AH40" s="1374"/>
      <c r="AI40" s="1624"/>
      <c r="AJ40" s="1624"/>
      <c r="AK40" s="1624"/>
      <c r="AL40" s="1624"/>
      <c r="AM40" s="1624"/>
      <c r="AN40" s="1624"/>
      <c r="AO40" s="1624"/>
      <c r="AP40" s="1624"/>
      <c r="AQ40" s="213"/>
      <c r="AR40" s="213"/>
      <c r="AS40" s="213"/>
    </row>
    <row r="41" spans="1:45">
      <c r="A41" s="1355" t="s">
        <v>1934</v>
      </c>
      <c r="B41" s="213"/>
      <c r="C41" s="213"/>
      <c r="D41" s="213"/>
      <c r="E41" s="213"/>
      <c r="F41" s="213"/>
      <c r="G41" s="213"/>
      <c r="H41" s="363"/>
      <c r="I41" s="363"/>
      <c r="J41" s="363"/>
      <c r="K41" s="363"/>
      <c r="L41" s="363"/>
      <c r="M41" s="363"/>
      <c r="N41" s="363"/>
      <c r="O41" s="363"/>
      <c r="P41" s="363"/>
      <c r="Q41" s="301"/>
      <c r="R41" s="227"/>
      <c r="S41" s="227"/>
      <c r="T41" s="227"/>
      <c r="U41" s="227"/>
      <c r="V41" s="227"/>
      <c r="W41" s="1453">
        <f>W40/'Income Statement'!W49*365</f>
        <v>225.87198399799973</v>
      </c>
      <c r="X41" s="1453">
        <f>X40/'Income Statement'!X49*365</f>
        <v>196.07386557488911</v>
      </c>
      <c r="Y41" s="1453">
        <f>Y40/'Income Statement'!Y49*365</f>
        <v>210.0202529846504</v>
      </c>
      <c r="Z41" s="1453">
        <f>Z40/'Income Statement'!Z49*365</f>
        <v>224.16854636591478</v>
      </c>
      <c r="AA41" s="1455">
        <v>224.16854636591478</v>
      </c>
      <c r="AB41" s="1455">
        <v>230</v>
      </c>
      <c r="AC41" s="1455">
        <v>237</v>
      </c>
      <c r="AD41" s="1455">
        <v>237</v>
      </c>
      <c r="AE41" s="1455">
        <v>240</v>
      </c>
      <c r="AF41" s="1455">
        <v>240</v>
      </c>
      <c r="AG41" s="213"/>
      <c r="AH41" s="1374"/>
      <c r="AI41" s="1624"/>
      <c r="AJ41" s="1624"/>
      <c r="AK41" s="1624"/>
      <c r="AL41" s="1624"/>
      <c r="AM41" s="1624"/>
      <c r="AN41" s="1624"/>
      <c r="AO41" s="1624"/>
      <c r="AP41" s="1624"/>
      <c r="AQ41" s="213"/>
      <c r="AR41" s="213"/>
      <c r="AS41" s="213"/>
    </row>
    <row r="42" spans="1:45">
      <c r="A42" s="19" t="s">
        <v>877</v>
      </c>
      <c r="B42" s="213"/>
      <c r="C42" s="213"/>
      <c r="D42" s="213"/>
      <c r="E42" s="213"/>
      <c r="F42" s="213"/>
      <c r="G42" s="213"/>
      <c r="H42" s="363">
        <v>-21</v>
      </c>
      <c r="I42" s="363">
        <v>-43</v>
      </c>
      <c r="J42" s="363">
        <v>-39</v>
      </c>
      <c r="K42" s="363">
        <v>-53</v>
      </c>
      <c r="L42" s="363">
        <v>-72</v>
      </c>
      <c r="M42" s="363">
        <v>-92</v>
      </c>
      <c r="N42" s="363">
        <v>-156</v>
      </c>
      <c r="O42" s="363">
        <v>-202</v>
      </c>
      <c r="P42" s="227">
        <v>-220</v>
      </c>
      <c r="Q42" s="227">
        <v>-287</v>
      </c>
      <c r="R42" s="227">
        <v>-179</v>
      </c>
      <c r="S42" s="227">
        <v>-214</v>
      </c>
      <c r="T42" s="227">
        <v>-210</v>
      </c>
      <c r="U42" s="227">
        <v>-111</v>
      </c>
      <c r="V42" s="227">
        <v>-118</v>
      </c>
      <c r="W42" s="227">
        <v>-109</v>
      </c>
      <c r="X42" s="227">
        <v>-105</v>
      </c>
      <c r="Y42" s="227">
        <v>-104</v>
      </c>
      <c r="Z42" s="227">
        <v>-105</v>
      </c>
      <c r="AA42" s="27">
        <f t="shared" ref="AA42:AF44" si="18">Z42</f>
        <v>-105</v>
      </c>
      <c r="AB42" s="27">
        <f t="shared" si="18"/>
        <v>-105</v>
      </c>
      <c r="AC42" s="27">
        <f t="shared" si="18"/>
        <v>-105</v>
      </c>
      <c r="AD42" s="27">
        <f t="shared" si="18"/>
        <v>-105</v>
      </c>
      <c r="AE42" s="27">
        <f t="shared" si="18"/>
        <v>-105</v>
      </c>
      <c r="AF42" s="27">
        <f t="shared" si="18"/>
        <v>-105</v>
      </c>
      <c r="AG42" s="213"/>
      <c r="AH42" s="1374"/>
      <c r="AI42" s="1624"/>
      <c r="AJ42" s="1624"/>
      <c r="AK42" s="1624"/>
      <c r="AL42" s="1624"/>
      <c r="AM42" s="1624"/>
      <c r="AN42" s="1624"/>
      <c r="AO42" s="1624"/>
      <c r="AP42" s="1624"/>
      <c r="AQ42" s="213"/>
      <c r="AR42" s="213"/>
      <c r="AS42" s="213"/>
    </row>
    <row r="43" spans="1:45">
      <c r="A43" s="19" t="s">
        <v>876</v>
      </c>
      <c r="B43" s="213"/>
      <c r="C43" s="213"/>
      <c r="D43" s="213"/>
      <c r="E43" s="213"/>
      <c r="F43" s="213"/>
      <c r="G43" s="213"/>
      <c r="H43" s="363">
        <v>-2</v>
      </c>
      <c r="I43" s="363">
        <v>-4</v>
      </c>
      <c r="J43" s="363">
        <v>-577</v>
      </c>
      <c r="K43" s="363">
        <v>-13</v>
      </c>
      <c r="L43" s="363">
        <v>-451</v>
      </c>
      <c r="M43" s="363">
        <v>-653</v>
      </c>
      <c r="N43" s="363">
        <v>-213</v>
      </c>
      <c r="O43" s="363">
        <v>-150</v>
      </c>
      <c r="P43" s="227">
        <v>-1636</v>
      </c>
      <c r="Q43" s="227">
        <v>-4108</v>
      </c>
      <c r="R43" s="227">
        <v>-4385</v>
      </c>
      <c r="S43" s="227">
        <v>-805</v>
      </c>
      <c r="T43" s="227">
        <v>-1255</v>
      </c>
      <c r="U43" s="227">
        <v>-1033</v>
      </c>
      <c r="V43" s="227">
        <v>-1244</v>
      </c>
      <c r="W43" s="227">
        <v>-1788</v>
      </c>
      <c r="X43" s="227">
        <v>-5848</v>
      </c>
      <c r="Y43" s="227">
        <v>-4735</v>
      </c>
      <c r="Z43" s="227">
        <v>-8803</v>
      </c>
      <c r="AA43" s="27">
        <f t="shared" si="18"/>
        <v>-8803</v>
      </c>
      <c r="AB43" s="27">
        <f t="shared" si="18"/>
        <v>-8803</v>
      </c>
      <c r="AC43" s="27">
        <f t="shared" si="18"/>
        <v>-8803</v>
      </c>
      <c r="AD43" s="27">
        <f t="shared" si="18"/>
        <v>-8803</v>
      </c>
      <c r="AE43" s="27">
        <f t="shared" si="18"/>
        <v>-8803</v>
      </c>
      <c r="AF43" s="27">
        <f t="shared" si="18"/>
        <v>-8803</v>
      </c>
      <c r="AG43" s="213"/>
      <c r="AH43" s="1374"/>
      <c r="AI43" s="1624"/>
      <c r="AJ43" s="1624"/>
      <c r="AK43" s="1624"/>
      <c r="AL43" s="1624"/>
      <c r="AM43" s="1624"/>
      <c r="AN43" s="1624"/>
      <c r="AO43" s="1624"/>
      <c r="AP43" s="1624"/>
      <c r="AQ43" s="213"/>
      <c r="AR43" s="213"/>
      <c r="AS43" s="213"/>
    </row>
    <row r="44" spans="1:45">
      <c r="A44" s="19" t="s">
        <v>1300</v>
      </c>
      <c r="B44" s="213"/>
      <c r="C44" s="213"/>
      <c r="D44" s="213"/>
      <c r="E44" s="213"/>
      <c r="F44" s="213"/>
      <c r="G44" s="213"/>
      <c r="H44" s="4"/>
      <c r="I44" s="4"/>
      <c r="J44" s="4"/>
      <c r="K44" s="4"/>
      <c r="L44" s="4"/>
      <c r="M44" s="4"/>
      <c r="N44" s="4"/>
      <c r="O44" s="4"/>
      <c r="P44" s="27"/>
      <c r="Q44" s="27"/>
      <c r="R44" s="27"/>
      <c r="S44" s="227">
        <v>-9090</v>
      </c>
      <c r="T44" s="227">
        <v>-10453</v>
      </c>
      <c r="U44" s="227">
        <v>-10923</v>
      </c>
      <c r="V44" s="227">
        <v>-9838</v>
      </c>
      <c r="W44" s="227">
        <v>-10141</v>
      </c>
      <c r="X44" s="227">
        <v>-12756</v>
      </c>
      <c r="Y44" s="227">
        <v>-15029</v>
      </c>
      <c r="Z44" s="227">
        <v>-16421</v>
      </c>
      <c r="AA44" s="27">
        <f>Z44</f>
        <v>-16421</v>
      </c>
      <c r="AB44" s="27">
        <f t="shared" si="18"/>
        <v>-16421</v>
      </c>
      <c r="AC44" s="27">
        <f t="shared" si="18"/>
        <v>-16421</v>
      </c>
      <c r="AD44" s="27">
        <f t="shared" si="18"/>
        <v>-16421</v>
      </c>
      <c r="AE44" s="27">
        <f t="shared" si="18"/>
        <v>-16421</v>
      </c>
      <c r="AF44" s="27">
        <f t="shared" si="18"/>
        <v>-16421</v>
      </c>
      <c r="AG44" s="213"/>
      <c r="AH44" s="1374"/>
      <c r="AI44" s="1624"/>
      <c r="AJ44" s="1624"/>
      <c r="AK44" s="1624"/>
      <c r="AL44" s="1624"/>
      <c r="AM44" s="1624"/>
      <c r="AN44" s="1624"/>
      <c r="AO44" s="1624"/>
      <c r="AP44" s="1624"/>
      <c r="AQ44" s="213"/>
      <c r="AR44" s="213"/>
      <c r="AS44" s="213"/>
    </row>
    <row r="45" spans="1:45">
      <c r="A45" s="1355" t="s">
        <v>1959</v>
      </c>
      <c r="B45" s="213"/>
      <c r="C45" s="213"/>
      <c r="D45" s="213"/>
      <c r="E45" s="213"/>
      <c r="F45" s="213"/>
      <c r="G45" s="213"/>
      <c r="H45" s="4"/>
      <c r="I45" s="4"/>
      <c r="J45" s="4"/>
      <c r="K45" s="4"/>
      <c r="L45" s="4"/>
      <c r="M45" s="4"/>
      <c r="N45" s="4"/>
      <c r="O45" s="4"/>
      <c r="P45" s="27"/>
      <c r="Q45" s="27"/>
      <c r="R45" s="27"/>
      <c r="S45" s="227"/>
      <c r="T45" s="227"/>
      <c r="U45" s="227"/>
      <c r="V45" s="227"/>
      <c r="W45" s="227"/>
      <c r="X45" s="227"/>
      <c r="Y45" s="227"/>
      <c r="Z45" s="227"/>
      <c r="AA45" s="27"/>
      <c r="AB45" s="27"/>
      <c r="AC45" s="27"/>
      <c r="AD45" s="27"/>
      <c r="AE45" s="27"/>
      <c r="AF45" s="27"/>
      <c r="AG45" s="213"/>
      <c r="AH45" s="1374"/>
      <c r="AI45" s="1624"/>
      <c r="AJ45" s="1624"/>
      <c r="AK45" s="1624"/>
      <c r="AL45" s="1624"/>
      <c r="AM45" s="1624"/>
      <c r="AN45" s="1624"/>
      <c r="AO45" s="1624"/>
      <c r="AP45" s="1624"/>
      <c r="AQ45" s="213"/>
      <c r="AR45" s="213"/>
      <c r="AS45" s="213"/>
    </row>
    <row r="46" spans="1:45">
      <c r="A46" s="19" t="s">
        <v>776</v>
      </c>
      <c r="B46" s="213"/>
      <c r="C46" s="213"/>
      <c r="D46" s="213"/>
      <c r="E46" s="213"/>
      <c r="F46" s="213"/>
      <c r="G46" s="213"/>
      <c r="H46" s="361">
        <f t="shared" ref="H46:N46" si="19">H47-SUM(H38:H43)</f>
        <v>-150</v>
      </c>
      <c r="I46" s="361">
        <f t="shared" si="19"/>
        <v>-591</v>
      </c>
      <c r="J46" s="361">
        <f t="shared" si="19"/>
        <v>-195</v>
      </c>
      <c r="K46" s="361">
        <f t="shared" si="19"/>
        <v>0</v>
      </c>
      <c r="L46" s="361">
        <f t="shared" si="19"/>
        <v>0</v>
      </c>
      <c r="M46" s="361">
        <f t="shared" si="19"/>
        <v>0</v>
      </c>
      <c r="N46" s="361">
        <f t="shared" si="19"/>
        <v>-26</v>
      </c>
      <c r="O46" s="361">
        <f>-64+3</f>
        <v>-61</v>
      </c>
      <c r="P46" s="227">
        <v>-125</v>
      </c>
      <c r="Q46" s="227">
        <v>-122</v>
      </c>
      <c r="R46" s="27">
        <f>-357-794</f>
        <v>-1151</v>
      </c>
      <c r="S46" s="227">
        <v>-144</v>
      </c>
      <c r="T46" s="227">
        <v>-113</v>
      </c>
      <c r="U46" s="227">
        <v>-115</v>
      </c>
      <c r="V46" s="227">
        <v>-59</v>
      </c>
      <c r="W46" s="227">
        <v>-62</v>
      </c>
      <c r="X46" s="227">
        <v>-125</v>
      </c>
      <c r="Y46" s="227">
        <v>-140</v>
      </c>
      <c r="Z46" s="227">
        <v>-148</v>
      </c>
      <c r="AA46" s="27">
        <f t="shared" ref="AA46:AF46" si="20">Z46</f>
        <v>-148</v>
      </c>
      <c r="AB46" s="27">
        <f t="shared" si="20"/>
        <v>-148</v>
      </c>
      <c r="AC46" s="27">
        <f t="shared" si="20"/>
        <v>-148</v>
      </c>
      <c r="AD46" s="27">
        <f t="shared" si="20"/>
        <v>-148</v>
      </c>
      <c r="AE46" s="27">
        <f t="shared" si="20"/>
        <v>-148</v>
      </c>
      <c r="AF46" s="27">
        <f t="shared" si="20"/>
        <v>-148</v>
      </c>
      <c r="AG46" s="213"/>
      <c r="AH46" s="1374"/>
      <c r="AI46" s="1624"/>
      <c r="AJ46" s="1624"/>
      <c r="AK46" s="1624"/>
      <c r="AL46" s="1624"/>
      <c r="AM46" s="1624"/>
      <c r="AN46" s="1624"/>
      <c r="AO46" s="1624"/>
      <c r="AP46" s="1624"/>
      <c r="AQ46" s="213"/>
      <c r="AR46" s="213"/>
      <c r="AS46" s="213"/>
    </row>
    <row r="47" spans="1:45">
      <c r="A47" s="214" t="s">
        <v>875</v>
      </c>
      <c r="B47" s="57"/>
      <c r="C47" s="57"/>
      <c r="D47" s="57"/>
      <c r="E47" s="57"/>
      <c r="F47" s="57"/>
      <c r="G47" s="57"/>
      <c r="H47" s="280">
        <v>-8363</v>
      </c>
      <c r="I47" s="281">
        <f>-8338-452</f>
        <v>-8790</v>
      </c>
      <c r="J47" s="281">
        <f>-9972-39</f>
        <v>-10011</v>
      </c>
      <c r="K47" s="280">
        <v>-9408</v>
      </c>
      <c r="L47" s="280">
        <v>-9441</v>
      </c>
      <c r="M47" s="280">
        <v>-11155</v>
      </c>
      <c r="N47" s="280">
        <v>-11142</v>
      </c>
      <c r="O47" s="281">
        <v>-11746</v>
      </c>
      <c r="P47" s="280">
        <v>-14585</v>
      </c>
      <c r="Q47" s="280">
        <v>-17649</v>
      </c>
      <c r="R47" s="281">
        <f t="shared" ref="R47:V47" si="21">SUM(R38:R46)</f>
        <v>-18460</v>
      </c>
      <c r="S47" s="281">
        <f t="shared" si="21"/>
        <v>-16977</v>
      </c>
      <c r="T47" s="281">
        <f t="shared" si="21"/>
        <v>-21091</v>
      </c>
      <c r="U47" s="281">
        <f t="shared" si="21"/>
        <v>-22876</v>
      </c>
      <c r="V47" s="281">
        <f t="shared" si="21"/>
        <v>-19026</v>
      </c>
      <c r="W47" s="281">
        <f>SUM(W38:W40,W42:W44,W46)</f>
        <v>-19828</v>
      </c>
      <c r="X47" s="281">
        <f t="shared" ref="X47:AF47" si="22">SUM(X38:X40,X42:X44,X46)</f>
        <v>-27427</v>
      </c>
      <c r="Y47" s="281">
        <f t="shared" si="22"/>
        <v>-30777</v>
      </c>
      <c r="Z47" s="281">
        <f t="shared" si="22"/>
        <v>-37440</v>
      </c>
      <c r="AA47" s="281">
        <f t="shared" si="22"/>
        <v>-38599.988301825586</v>
      </c>
      <c r="AB47" s="281">
        <f t="shared" si="22"/>
        <v>-40164.131989819485</v>
      </c>
      <c r="AC47" s="281">
        <f t="shared" si="22"/>
        <v>-41910.061155575349</v>
      </c>
      <c r="AD47" s="281">
        <f t="shared" si="22"/>
        <v>-43117.700379950664</v>
      </c>
      <c r="AE47" s="281">
        <f t="shared" si="22"/>
        <v>-44083.419572037252</v>
      </c>
      <c r="AF47" s="281">
        <f t="shared" si="22"/>
        <v>-44879.477671882298</v>
      </c>
      <c r="AG47" s="213"/>
      <c r="AH47" s="1374"/>
      <c r="AI47" s="1624"/>
      <c r="AJ47" s="1624"/>
      <c r="AK47" s="1624"/>
      <c r="AL47" s="1624"/>
      <c r="AM47" s="1624"/>
      <c r="AN47" s="1624"/>
      <c r="AO47" s="1624"/>
      <c r="AP47" s="1624"/>
      <c r="AQ47" s="213"/>
      <c r="AR47" s="213"/>
      <c r="AS47" s="213"/>
    </row>
    <row r="48" spans="1:45">
      <c r="A48" s="19"/>
      <c r="B48" s="213"/>
      <c r="C48" s="213"/>
      <c r="D48" s="213"/>
      <c r="E48" s="213"/>
      <c r="F48" s="213"/>
      <c r="G48" s="213"/>
      <c r="H48" s="4"/>
      <c r="I48" s="4"/>
      <c r="J48" s="4"/>
      <c r="K48" s="4"/>
      <c r="L48" s="4"/>
      <c r="M48" s="4"/>
      <c r="N48" s="4"/>
      <c r="O48" s="27"/>
      <c r="P48" s="27"/>
      <c r="Q48" s="27"/>
      <c r="R48" s="27"/>
      <c r="S48" s="27"/>
      <c r="T48" s="27"/>
      <c r="U48" s="27"/>
      <c r="V48" s="27"/>
      <c r="W48" s="27"/>
      <c r="X48" s="27"/>
      <c r="Y48" s="27"/>
      <c r="Z48" s="27"/>
      <c r="AA48" s="27"/>
      <c r="AB48" s="27"/>
      <c r="AC48" s="27"/>
      <c r="AD48" s="27"/>
      <c r="AE48" s="27"/>
      <c r="AF48" s="27"/>
      <c r="AG48" s="213"/>
      <c r="AH48" s="1374"/>
      <c r="AI48" s="1624"/>
      <c r="AJ48" s="1624"/>
      <c r="AK48" s="1624"/>
      <c r="AL48" s="1624"/>
      <c r="AM48" s="1624"/>
      <c r="AN48" s="1624"/>
      <c r="AO48" s="1624"/>
      <c r="AP48" s="1624"/>
      <c r="AQ48" s="213"/>
      <c r="AR48" s="213"/>
      <c r="AS48" s="213"/>
    </row>
    <row r="49" spans="1:45">
      <c r="A49" s="19" t="s">
        <v>874</v>
      </c>
      <c r="B49" s="213"/>
      <c r="C49" s="213"/>
      <c r="D49" s="213"/>
      <c r="E49" s="213"/>
      <c r="F49" s="213"/>
      <c r="G49" s="213"/>
      <c r="H49" s="363">
        <v>83</v>
      </c>
      <c r="I49" s="363">
        <v>83</v>
      </c>
      <c r="J49" s="363">
        <v>83</v>
      </c>
      <c r="K49" s="363">
        <v>83</v>
      </c>
      <c r="L49" s="363">
        <v>83</v>
      </c>
      <c r="M49" s="363">
        <v>83</v>
      </c>
      <c r="N49" s="363">
        <v>83</v>
      </c>
      <c r="O49" s="27">
        <f>N49</f>
        <v>83</v>
      </c>
      <c r="P49" s="27">
        <f>O49</f>
        <v>83</v>
      </c>
      <c r="Q49" s="227">
        <v>83</v>
      </c>
      <c r="R49" s="27">
        <f>Q49</f>
        <v>83</v>
      </c>
      <c r="S49" s="227">
        <v>83</v>
      </c>
      <c r="T49" s="227">
        <v>87</v>
      </c>
      <c r="U49" s="227">
        <v>85</v>
      </c>
      <c r="V49" s="227">
        <v>85</v>
      </c>
      <c r="W49" s="227">
        <v>85</v>
      </c>
      <c r="X49" s="227">
        <v>85</v>
      </c>
      <c r="Y49" s="227">
        <v>85</v>
      </c>
      <c r="Z49" s="227">
        <v>85</v>
      </c>
      <c r="AA49" s="27">
        <f t="shared" ref="AA49:AF49" si="23">Z49</f>
        <v>85</v>
      </c>
      <c r="AB49" s="27">
        <f t="shared" si="23"/>
        <v>85</v>
      </c>
      <c r="AC49" s="27">
        <f t="shared" si="23"/>
        <v>85</v>
      </c>
      <c r="AD49" s="27">
        <f t="shared" si="23"/>
        <v>85</v>
      </c>
      <c r="AE49" s="27">
        <f t="shared" si="23"/>
        <v>85</v>
      </c>
      <c r="AF49" s="27">
        <f t="shared" si="23"/>
        <v>85</v>
      </c>
      <c r="AG49" s="213"/>
      <c r="AH49" s="1374"/>
      <c r="AI49" s="1624"/>
      <c r="AJ49" s="1624"/>
      <c r="AK49" s="1624"/>
      <c r="AL49" s="1624"/>
      <c r="AM49" s="1624"/>
      <c r="AN49" s="1624"/>
      <c r="AO49" s="1624"/>
      <c r="AP49" s="1624"/>
      <c r="AQ49" s="213"/>
      <c r="AR49" s="213"/>
      <c r="AS49" s="213"/>
    </row>
    <row r="50" spans="1:45">
      <c r="A50" s="19" t="s">
        <v>873</v>
      </c>
      <c r="B50" s="213"/>
      <c r="C50" s="213"/>
      <c r="D50" s="213"/>
      <c r="E50" s="213"/>
      <c r="F50" s="213"/>
      <c r="G50" s="213"/>
      <c r="H50" s="363">
        <v>4296</v>
      </c>
      <c r="I50" s="363">
        <v>4189</v>
      </c>
      <c r="J50" s="363">
        <v>3902</v>
      </c>
      <c r="K50" s="363">
        <v>3619</v>
      </c>
      <c r="L50" s="363">
        <v>4214</v>
      </c>
      <c r="M50" s="363">
        <v>4387</v>
      </c>
      <c r="N50" s="363">
        <v>4444</v>
      </c>
      <c r="O50" s="27">
        <f>5138-1</f>
        <v>5137</v>
      </c>
      <c r="P50" s="227">
        <v>6246</v>
      </c>
      <c r="Q50" s="227">
        <v>5927</v>
      </c>
      <c r="R50" s="227">
        <v>4495</v>
      </c>
      <c r="S50" s="227">
        <v>4686</v>
      </c>
      <c r="T50" s="227">
        <v>10585</v>
      </c>
      <c r="U50" s="227">
        <v>9839</v>
      </c>
      <c r="V50" s="227">
        <v>11912</v>
      </c>
      <c r="W50" s="227">
        <v>12713</v>
      </c>
      <c r="X50" s="227">
        <v>12785</v>
      </c>
      <c r="Y50" s="227">
        <v>8048</v>
      </c>
      <c r="Z50" s="227">
        <v>10758</v>
      </c>
      <c r="AA50" s="327">
        <f>Z50+'Income Statement'!Z92+'Income Statement'!Z94-'Income Statement'!Z95-'Income Statement'!AA83+'Cashflow Statement'!AA43+'Cashflow Statement'!AA47</f>
        <v>7634.1663630000003</v>
      </c>
      <c r="AB50" s="327">
        <f>AA50+'Income Statement'!AA92+'Income Statement'!AA94-'Income Statement'!AA95-'Income Statement'!AB83+'Cashflow Statement'!AB43+'Cashflow Statement'!AB47</f>
        <v>8364.4913337558555</v>
      </c>
      <c r="AC50" s="327">
        <f>AB50+'Income Statement'!AB92+'Income Statement'!AB94-'Income Statement'!AB95-'Income Statement'!AC83+'Cashflow Statement'!AC43+'Cashflow Statement'!AC47</f>
        <v>9495.7192849596704</v>
      </c>
      <c r="AD50" s="327">
        <f>AC50+'Income Statement'!AC92+'Income Statement'!AC94-'Income Statement'!AC95-'Income Statement'!AD83+'Cashflow Statement'!AD43+'Cashflow Statement'!AD47</f>
        <v>11244.7840958795</v>
      </c>
      <c r="AE50" s="327">
        <f>AD50+'Income Statement'!AD92+'Income Statement'!AD94-'Income Statement'!AD95-'Income Statement'!AE83+'Cashflow Statement'!AE43+'Cashflow Statement'!AE47</f>
        <v>14582.234216496418</v>
      </c>
      <c r="AF50" s="327">
        <f>AE50+'Income Statement'!AE92+'Income Statement'!AE94-'Income Statement'!AE95-'Income Statement'!AF83+'Cashflow Statement'!AF43+'Cashflow Statement'!AF47</f>
        <v>18124.038541124657</v>
      </c>
      <c r="AG50" s="213"/>
      <c r="AH50" s="1374"/>
      <c r="AI50" s="1624"/>
      <c r="AJ50" s="1624"/>
      <c r="AK50" s="1624"/>
      <c r="AL50" s="1624"/>
      <c r="AM50" s="1624"/>
      <c r="AN50" s="1624"/>
      <c r="AO50" s="1624"/>
      <c r="AP50" s="1624"/>
      <c r="AQ50" s="213"/>
      <c r="AR50" s="213"/>
      <c r="AS50" s="213"/>
    </row>
    <row r="51" spans="1:45">
      <c r="A51" s="19" t="s">
        <v>872</v>
      </c>
      <c r="B51" s="213"/>
      <c r="C51" s="213"/>
      <c r="D51" s="213"/>
      <c r="E51" s="213"/>
      <c r="F51" s="213"/>
      <c r="G51" s="213"/>
      <c r="H51" s="363">
        <v>27</v>
      </c>
      <c r="I51" s="363">
        <v>27</v>
      </c>
      <c r="J51" s="363">
        <v>-15</v>
      </c>
      <c r="K51" s="363">
        <v>10</v>
      </c>
      <c r="L51" s="363">
        <v>26</v>
      </c>
      <c r="M51" s="363">
        <v>20</v>
      </c>
      <c r="N51" s="363">
        <v>25</v>
      </c>
      <c r="O51" s="227">
        <v>29</v>
      </c>
      <c r="P51" s="227">
        <v>50</v>
      </c>
      <c r="Q51" s="227">
        <v>41</v>
      </c>
      <c r="R51" s="227">
        <v>35</v>
      </c>
      <c r="S51" s="227">
        <v>28</v>
      </c>
      <c r="T51" s="227">
        <v>0</v>
      </c>
      <c r="U51" s="227">
        <v>0</v>
      </c>
      <c r="V51" s="27"/>
      <c r="W51" s="27"/>
      <c r="X51" s="27"/>
      <c r="Y51" s="27">
        <f>X51</f>
        <v>0</v>
      </c>
      <c r="Z51" s="27">
        <v>0</v>
      </c>
      <c r="AA51" s="27">
        <f t="shared" ref="AA51:AF51" si="24">Z51</f>
        <v>0</v>
      </c>
      <c r="AB51" s="27">
        <f t="shared" si="24"/>
        <v>0</v>
      </c>
      <c r="AC51" s="27">
        <f t="shared" si="24"/>
        <v>0</v>
      </c>
      <c r="AD51" s="27">
        <f t="shared" si="24"/>
        <v>0</v>
      </c>
      <c r="AE51" s="27">
        <f t="shared" si="24"/>
        <v>0</v>
      </c>
      <c r="AF51" s="27">
        <f t="shared" si="24"/>
        <v>0</v>
      </c>
      <c r="AG51" s="213"/>
      <c r="AH51" s="1374"/>
      <c r="AI51" s="1624"/>
      <c r="AJ51" s="1624"/>
      <c r="AK51" s="1624"/>
      <c r="AL51" s="1624"/>
      <c r="AM51" s="1624"/>
      <c r="AN51" s="1624"/>
      <c r="AO51" s="1624"/>
      <c r="AP51" s="1624"/>
      <c r="AQ51" s="213"/>
      <c r="AR51" s="213"/>
      <c r="AS51" s="213"/>
    </row>
    <row r="52" spans="1:45">
      <c r="A52" s="19" t="s">
        <v>871</v>
      </c>
      <c r="B52" s="213"/>
      <c r="C52" s="213"/>
      <c r="D52" s="213"/>
      <c r="E52" s="213"/>
      <c r="F52" s="213"/>
      <c r="G52" s="213"/>
      <c r="H52" s="363">
        <v>9</v>
      </c>
      <c r="I52" s="363">
        <v>39</v>
      </c>
      <c r="J52" s="363">
        <v>-205</v>
      </c>
      <c r="K52" s="363">
        <v>641</v>
      </c>
      <c r="L52" s="363">
        <v>207</v>
      </c>
      <c r="M52" s="361">
        <f>'Cashflow Statement'!M4</f>
        <v>478</v>
      </c>
      <c r="N52" s="361">
        <f>'Cashflow Statement'!N4</f>
        <v>1282</v>
      </c>
      <c r="O52" s="27">
        <f>'Cashflow Statement'!O4</f>
        <v>1255</v>
      </c>
      <c r="P52" s="227">
        <v>-126</v>
      </c>
      <c r="Q52" s="227">
        <v>-424</v>
      </c>
      <c r="R52" s="27">
        <f>'Cashflow Statement'!R4</f>
        <v>1908</v>
      </c>
      <c r="S52" s="227">
        <v>4550</v>
      </c>
      <c r="T52" s="227">
        <v>1283</v>
      </c>
      <c r="U52" s="227">
        <v>2447</v>
      </c>
      <c r="V52" s="227">
        <v>352</v>
      </c>
      <c r="W52" s="227">
        <v>43</v>
      </c>
      <c r="X52" s="227">
        <v>-2459</v>
      </c>
      <c r="Y52" s="227">
        <v>3444</v>
      </c>
      <c r="Z52" s="227">
        <v>-667</v>
      </c>
      <c r="AA52" s="327">
        <f>'Cashflow Statement'!AA4</f>
        <v>3378.8787103292052</v>
      </c>
      <c r="AB52" s="327">
        <f>'Cashflow Statement'!AB4</f>
        <v>4177.9453046421168</v>
      </c>
      <c r="AC52" s="327">
        <f>'Cashflow Statement'!AC4</f>
        <v>5045.033570944749</v>
      </c>
      <c r="AD52" s="327">
        <f>'Cashflow Statement'!AD4</f>
        <v>5614.2336011980487</v>
      </c>
      <c r="AE52" s="327">
        <f>'Cashflow Statement'!AE4</f>
        <v>5957.9815659522574</v>
      </c>
      <c r="AF52" s="327">
        <f>'Cashflow Statement'!AF4</f>
        <v>6311.1175278224646</v>
      </c>
      <c r="AG52" s="213"/>
      <c r="AH52" s="1374"/>
      <c r="AI52" s="1624"/>
      <c r="AJ52" s="1624"/>
      <c r="AK52" s="1624"/>
      <c r="AL52" s="1624"/>
      <c r="AM52" s="1624"/>
      <c r="AN52" s="1624"/>
      <c r="AO52" s="1624"/>
      <c r="AP52" s="1624"/>
      <c r="AQ52" s="213"/>
      <c r="AR52" s="213"/>
      <c r="AS52" s="213"/>
    </row>
    <row r="53" spans="1:45">
      <c r="A53" s="19" t="s">
        <v>870</v>
      </c>
      <c r="B53" s="213"/>
      <c r="C53" s="213"/>
      <c r="D53" s="213"/>
      <c r="E53" s="213"/>
      <c r="F53" s="213"/>
      <c r="G53" s="213"/>
      <c r="H53" s="363">
        <v>173</v>
      </c>
      <c r="I53" s="363">
        <v>167</v>
      </c>
      <c r="J53" s="363">
        <v>141</v>
      </c>
      <c r="K53" s="363">
        <v>148</v>
      </c>
      <c r="L53" s="363">
        <v>175</v>
      </c>
      <c r="M53" s="363">
        <v>154</v>
      </c>
      <c r="N53" s="363">
        <v>163</v>
      </c>
      <c r="O53" s="227">
        <v>178</v>
      </c>
      <c r="P53" s="227">
        <v>225</v>
      </c>
      <c r="Q53" s="227">
        <v>266</v>
      </c>
      <c r="R53" s="227">
        <v>288</v>
      </c>
      <c r="S53" s="227">
        <v>301</v>
      </c>
      <c r="T53" s="227">
        <v>346</v>
      </c>
      <c r="U53" s="227">
        <v>377</v>
      </c>
      <c r="V53" s="227">
        <v>401</v>
      </c>
      <c r="W53" s="227">
        <v>429</v>
      </c>
      <c r="X53" s="227">
        <v>455</v>
      </c>
      <c r="Y53" s="227">
        <v>511</v>
      </c>
      <c r="Z53" s="227">
        <v>549</v>
      </c>
      <c r="AA53" s="327">
        <f>Z53+'Income Statement'!AA95</f>
        <v>651.88746416730805</v>
      </c>
      <c r="AB53" s="327">
        <f>AA53+'Income Statement'!AB95</f>
        <v>766.47488713182213</v>
      </c>
      <c r="AC53" s="327">
        <f>AB53+'Income Statement'!AC95</f>
        <v>893.17767088556843</v>
      </c>
      <c r="AD53" s="327">
        <f>AC53+'Income Statement'!AD95</f>
        <v>1030.6014885411905</v>
      </c>
      <c r="AE53" s="327">
        <f>AD53+'Income Statement'!AE95</f>
        <v>1174.7736870658905</v>
      </c>
      <c r="AF53" s="327">
        <f>AE53+'Income Statement'!AF95</f>
        <v>1325.9246948514501</v>
      </c>
      <c r="AG53" s="213"/>
      <c r="AH53" s="1374"/>
      <c r="AI53" s="1624"/>
      <c r="AJ53" s="1624"/>
      <c r="AK53" s="1624"/>
      <c r="AL53" s="1624"/>
      <c r="AM53" s="1624"/>
      <c r="AN53" s="1624"/>
      <c r="AO53" s="1624"/>
      <c r="AP53" s="1624"/>
      <c r="AQ53" s="213"/>
      <c r="AR53" s="213"/>
      <c r="AS53" s="213"/>
    </row>
    <row r="54" spans="1:45">
      <c r="A54" s="214" t="s">
        <v>869</v>
      </c>
      <c r="B54" s="57"/>
      <c r="C54" s="57"/>
      <c r="D54" s="57"/>
      <c r="E54" s="57"/>
      <c r="F54" s="57"/>
      <c r="G54" s="57"/>
      <c r="H54" s="281">
        <f>SUM(H49:H53)-76</f>
        <v>4512</v>
      </c>
      <c r="I54" s="281">
        <f>SUM(I49:I53)</f>
        <v>4505</v>
      </c>
      <c r="J54" s="281">
        <f>SUM(J49:J53)-32</f>
        <v>3874</v>
      </c>
      <c r="K54" s="281">
        <f t="shared" ref="K54:P54" si="25">SUM(K49:K53)</f>
        <v>4501</v>
      </c>
      <c r="L54" s="281">
        <f t="shared" si="25"/>
        <v>4705</v>
      </c>
      <c r="M54" s="281">
        <f t="shared" si="25"/>
        <v>5122</v>
      </c>
      <c r="N54" s="281">
        <f t="shared" si="25"/>
        <v>5997</v>
      </c>
      <c r="O54" s="281">
        <v>6813</v>
      </c>
      <c r="P54" s="281">
        <f t="shared" si="25"/>
        <v>6478</v>
      </c>
      <c r="Q54" s="280">
        <v>5893</v>
      </c>
      <c r="R54" s="281">
        <f t="shared" ref="R54:AF54" si="26">SUM(R49:R53)</f>
        <v>6809</v>
      </c>
      <c r="S54" s="281">
        <f t="shared" si="26"/>
        <v>9648</v>
      </c>
      <c r="T54" s="281">
        <f t="shared" si="26"/>
        <v>12301</v>
      </c>
      <c r="U54" s="281">
        <f t="shared" si="26"/>
        <v>12748</v>
      </c>
      <c r="V54" s="281">
        <f t="shared" si="26"/>
        <v>12750</v>
      </c>
      <c r="W54" s="281">
        <f t="shared" si="26"/>
        <v>13270</v>
      </c>
      <c r="X54" s="281">
        <f t="shared" si="26"/>
        <v>10866</v>
      </c>
      <c r="Y54" s="281">
        <f t="shared" si="26"/>
        <v>12088</v>
      </c>
      <c r="Z54" s="281">
        <f t="shared" si="26"/>
        <v>10725</v>
      </c>
      <c r="AA54" s="281">
        <f t="shared" si="26"/>
        <v>11749.932537496514</v>
      </c>
      <c r="AB54" s="281">
        <f t="shared" si="26"/>
        <v>13393.911525529795</v>
      </c>
      <c r="AC54" s="281">
        <f t="shared" si="26"/>
        <v>15518.930526789987</v>
      </c>
      <c r="AD54" s="281">
        <f t="shared" si="26"/>
        <v>17974.61918561874</v>
      </c>
      <c r="AE54" s="281">
        <f t="shared" si="26"/>
        <v>21799.989469514567</v>
      </c>
      <c r="AF54" s="281">
        <f t="shared" si="26"/>
        <v>25846.080763798571</v>
      </c>
      <c r="AG54" s="213"/>
      <c r="AH54" s="1374"/>
      <c r="AI54" s="1624"/>
      <c r="AJ54" s="1624"/>
      <c r="AK54" s="1624"/>
      <c r="AL54" s="1624"/>
      <c r="AM54" s="1624"/>
      <c r="AN54" s="1624"/>
      <c r="AO54" s="1624"/>
      <c r="AP54" s="1624"/>
      <c r="AQ54" s="213"/>
      <c r="AR54" s="213"/>
      <c r="AS54" s="213"/>
    </row>
    <row r="55" spans="1:45">
      <c r="A55" s="19"/>
      <c r="B55" s="213"/>
      <c r="C55" s="213"/>
      <c r="D55" s="213"/>
      <c r="E55" s="213"/>
      <c r="F55" s="213"/>
      <c r="G55" s="213"/>
      <c r="H55" s="213"/>
      <c r="I55" s="213"/>
      <c r="J55" s="213"/>
      <c r="K55" s="213"/>
      <c r="L55" s="213"/>
      <c r="M55" s="213"/>
      <c r="N55" s="213"/>
      <c r="O55" s="213"/>
      <c r="P55" s="213"/>
      <c r="Q55" s="213"/>
      <c r="R55" s="213"/>
      <c r="S55" s="213"/>
      <c r="T55" s="213"/>
      <c r="U55" s="213"/>
      <c r="V55" s="213"/>
      <c r="W55" s="213"/>
      <c r="X55" s="287"/>
      <c r="Y55" s="287"/>
      <c r="Z55" s="287"/>
      <c r="AA55" s="19"/>
      <c r="AB55" s="19"/>
      <c r="AC55" s="19"/>
      <c r="AD55" s="19"/>
      <c r="AE55" s="19"/>
      <c r="AF55" s="19"/>
      <c r="AG55" s="213"/>
      <c r="AH55" s="1374"/>
      <c r="AI55" s="1624"/>
      <c r="AJ55" s="1624"/>
      <c r="AK55" s="1624"/>
      <c r="AL55" s="1624"/>
      <c r="AM55" s="1624"/>
      <c r="AN55" s="1624"/>
      <c r="AO55" s="1624"/>
      <c r="AP55" s="1624"/>
      <c r="AQ55" s="213"/>
      <c r="AR55" s="213"/>
      <c r="AS55" s="213"/>
    </row>
    <row r="56" spans="1:45">
      <c r="A56" s="19" t="s">
        <v>868</v>
      </c>
      <c r="B56" s="213"/>
      <c r="C56" s="213"/>
      <c r="D56" s="213"/>
      <c r="E56" s="213"/>
      <c r="F56" s="213"/>
      <c r="G56" s="213"/>
      <c r="H56" s="284">
        <f t="shared" ref="H56:AE56" si="27">H14+H27+H36+H47-H54</f>
        <v>0</v>
      </c>
      <c r="I56" s="284">
        <f t="shared" si="27"/>
        <v>0</v>
      </c>
      <c r="J56" s="284">
        <f t="shared" si="27"/>
        <v>0</v>
      </c>
      <c r="K56" s="284">
        <f t="shared" si="27"/>
        <v>0</v>
      </c>
      <c r="L56" s="284">
        <f t="shared" si="27"/>
        <v>0</v>
      </c>
      <c r="M56" s="284">
        <f t="shared" si="27"/>
        <v>0</v>
      </c>
      <c r="N56" s="284">
        <f t="shared" si="27"/>
        <v>0</v>
      </c>
      <c r="O56" s="352">
        <f t="shared" si="27"/>
        <v>0</v>
      </c>
      <c r="P56" s="352">
        <f t="shared" si="27"/>
        <v>0</v>
      </c>
      <c r="Q56" s="352">
        <f t="shared" si="27"/>
        <v>0</v>
      </c>
      <c r="R56" s="352">
        <f t="shared" si="27"/>
        <v>0</v>
      </c>
      <c r="S56" s="352">
        <f t="shared" si="27"/>
        <v>0</v>
      </c>
      <c r="T56" s="352">
        <f t="shared" si="27"/>
        <v>0</v>
      </c>
      <c r="U56" s="352">
        <f t="shared" si="27"/>
        <v>0</v>
      </c>
      <c r="V56" s="352">
        <f t="shared" si="27"/>
        <v>0</v>
      </c>
      <c r="W56" s="352">
        <f t="shared" si="27"/>
        <v>0</v>
      </c>
      <c r="X56" s="352">
        <f t="shared" si="27"/>
        <v>0</v>
      </c>
      <c r="Y56" s="352">
        <f t="shared" si="27"/>
        <v>0</v>
      </c>
      <c r="Z56" s="352">
        <f t="shared" si="27"/>
        <v>0</v>
      </c>
      <c r="AA56" s="352">
        <f t="shared" si="27"/>
        <v>0</v>
      </c>
      <c r="AB56" s="352">
        <f t="shared" si="27"/>
        <v>0</v>
      </c>
      <c r="AC56" s="352">
        <f t="shared" si="27"/>
        <v>0</v>
      </c>
      <c r="AD56" s="352">
        <f t="shared" si="27"/>
        <v>0</v>
      </c>
      <c r="AE56" s="352">
        <f t="shared" si="27"/>
        <v>0</v>
      </c>
      <c r="AF56" s="352">
        <f>AF14+AF27+AF36+AF47-AF54</f>
        <v>0</v>
      </c>
      <c r="AG56" s="213"/>
      <c r="AH56" s="1374"/>
      <c r="AI56" s="1624"/>
      <c r="AJ56" s="1624"/>
      <c r="AK56" s="1624"/>
      <c r="AL56" s="1624"/>
      <c r="AM56" s="1624"/>
      <c r="AN56" s="1624"/>
      <c r="AO56" s="1624"/>
      <c r="AP56" s="1624"/>
      <c r="AQ56" s="213"/>
      <c r="AR56" s="213"/>
      <c r="AS56" s="213"/>
    </row>
    <row r="58" spans="1:45">
      <c r="A58" s="282" t="s">
        <v>850</v>
      </c>
      <c r="B58" s="283"/>
      <c r="C58" s="283"/>
      <c r="D58" s="283"/>
      <c r="E58" s="283"/>
      <c r="F58" s="283"/>
      <c r="G58" s="283"/>
      <c r="H58" s="283"/>
      <c r="I58" s="283"/>
      <c r="J58" s="283"/>
      <c r="K58" s="283"/>
      <c r="L58" s="283"/>
      <c r="M58" s="283"/>
      <c r="N58" s="283"/>
      <c r="O58" s="283"/>
      <c r="P58" s="283"/>
      <c r="Q58" s="283"/>
      <c r="R58" s="283"/>
      <c r="S58" s="283"/>
      <c r="T58" s="283"/>
      <c r="U58" s="283"/>
      <c r="V58" s="283"/>
      <c r="W58" s="283"/>
      <c r="X58" s="283"/>
      <c r="Y58" s="283"/>
      <c r="Z58" s="283"/>
      <c r="AA58" s="740"/>
      <c r="AB58" s="740"/>
      <c r="AC58" s="740"/>
      <c r="AD58" s="740"/>
      <c r="AE58" s="740"/>
      <c r="AF58" s="740"/>
      <c r="AG58" s="213"/>
      <c r="AH58" s="1374"/>
      <c r="AI58" s="1624"/>
      <c r="AJ58" s="1624"/>
      <c r="AK58" s="1624"/>
      <c r="AL58" s="1624"/>
      <c r="AM58" s="1624"/>
      <c r="AN58" s="1624"/>
      <c r="AO58" s="1624"/>
      <c r="AP58" s="1624"/>
      <c r="AQ58" s="213"/>
      <c r="AR58" s="213"/>
      <c r="AS58" s="213"/>
    </row>
    <row r="59" spans="1:45">
      <c r="A59" s="358" t="s">
        <v>648</v>
      </c>
      <c r="B59" s="361"/>
      <c r="C59" s="361"/>
      <c r="D59" s="361"/>
      <c r="E59" s="361"/>
      <c r="F59" s="361"/>
      <c r="G59" s="361"/>
      <c r="H59" s="27">
        <f>H18</f>
        <v>3240</v>
      </c>
      <c r="I59" s="27">
        <f t="shared" ref="I59:AF59" si="28">I18</f>
        <v>3240</v>
      </c>
      <c r="J59" s="27">
        <f t="shared" si="28"/>
        <v>3673</v>
      </c>
      <c r="K59" s="27">
        <f t="shared" si="28"/>
        <v>3382</v>
      </c>
      <c r="L59" s="27">
        <f t="shared" si="28"/>
        <v>3508</v>
      </c>
      <c r="M59" s="27">
        <f t="shared" si="28"/>
        <v>3799</v>
      </c>
      <c r="N59" s="27">
        <f t="shared" si="28"/>
        <v>4131</v>
      </c>
      <c r="O59" s="27">
        <f t="shared" si="28"/>
        <v>3998</v>
      </c>
      <c r="P59" s="27">
        <f t="shared" si="28"/>
        <v>4265</v>
      </c>
      <c r="Q59" s="27">
        <f t="shared" si="28"/>
        <v>4518</v>
      </c>
      <c r="R59" s="27">
        <f t="shared" si="28"/>
        <v>4247</v>
      </c>
      <c r="S59" s="27">
        <f t="shared" si="28"/>
        <v>3954</v>
      </c>
      <c r="T59" s="27">
        <f t="shared" si="28"/>
        <v>5558</v>
      </c>
      <c r="U59" s="27">
        <f t="shared" si="28"/>
        <v>6312</v>
      </c>
      <c r="V59" s="27">
        <f t="shared" si="28"/>
        <v>5190</v>
      </c>
      <c r="W59" s="27">
        <f t="shared" si="28"/>
        <v>5063</v>
      </c>
      <c r="X59" s="27">
        <f t="shared" si="28"/>
        <v>6408</v>
      </c>
      <c r="Y59" s="27">
        <f t="shared" si="28"/>
        <v>7903</v>
      </c>
      <c r="Z59" s="27">
        <f t="shared" si="28"/>
        <v>9491</v>
      </c>
      <c r="AA59" s="27">
        <f t="shared" si="28"/>
        <v>10049.084193765748</v>
      </c>
      <c r="AB59" s="27">
        <f t="shared" si="28"/>
        <v>10129.828478723583</v>
      </c>
      <c r="AC59" s="27">
        <f t="shared" si="28"/>
        <v>10839.540118158493</v>
      </c>
      <c r="AD59" s="27">
        <f t="shared" si="28"/>
        <v>11756.734465785312</v>
      </c>
      <c r="AE59" s="27">
        <f t="shared" si="28"/>
        <v>12471.109842128253</v>
      </c>
      <c r="AF59" s="27">
        <f t="shared" si="28"/>
        <v>13146.626724810252</v>
      </c>
      <c r="AG59" s="213"/>
      <c r="AH59" s="1374"/>
      <c r="AI59" s="1624"/>
      <c r="AJ59" s="1624"/>
      <c r="AK59" s="1624"/>
      <c r="AL59" s="1624"/>
      <c r="AM59" s="1624"/>
      <c r="AN59" s="1624"/>
      <c r="AO59" s="1624"/>
      <c r="AP59" s="1624"/>
      <c r="AQ59" s="213"/>
      <c r="AR59" s="213"/>
      <c r="AS59" s="213"/>
    </row>
    <row r="60" spans="1:45">
      <c r="A60" s="358" t="s">
        <v>849</v>
      </c>
      <c r="B60" s="361"/>
      <c r="C60" s="361"/>
      <c r="D60" s="361"/>
      <c r="E60" s="361"/>
      <c r="F60" s="361"/>
      <c r="G60" s="361"/>
      <c r="H60" s="27">
        <f>H20</f>
        <v>4218</v>
      </c>
      <c r="I60" s="27">
        <f t="shared" ref="I60:AF60" si="29">I20</f>
        <v>3926</v>
      </c>
      <c r="J60" s="27">
        <f t="shared" si="29"/>
        <v>3881</v>
      </c>
      <c r="K60" s="27">
        <f t="shared" si="29"/>
        <v>4158</v>
      </c>
      <c r="L60" s="27">
        <f t="shared" si="29"/>
        <v>4219</v>
      </c>
      <c r="M60" s="27">
        <f t="shared" si="29"/>
        <v>5005</v>
      </c>
      <c r="N60" s="27">
        <f t="shared" si="29"/>
        <v>5025</v>
      </c>
      <c r="O60" s="27">
        <f t="shared" si="29"/>
        <v>4967</v>
      </c>
      <c r="P60" s="27">
        <f t="shared" si="29"/>
        <v>5827</v>
      </c>
      <c r="Q60" s="27">
        <f t="shared" si="29"/>
        <v>6515</v>
      </c>
      <c r="R60" s="27">
        <f t="shared" si="29"/>
        <v>6252</v>
      </c>
      <c r="S60" s="27">
        <f t="shared" si="29"/>
        <v>4952</v>
      </c>
      <c r="T60" s="27">
        <f t="shared" si="29"/>
        <v>6580</v>
      </c>
      <c r="U60" s="27">
        <f t="shared" si="29"/>
        <v>7639</v>
      </c>
      <c r="V60" s="27">
        <f t="shared" si="29"/>
        <v>5769</v>
      </c>
      <c r="W60" s="27">
        <f t="shared" si="29"/>
        <v>6504</v>
      </c>
      <c r="X60" s="27">
        <f t="shared" si="29"/>
        <v>7904</v>
      </c>
      <c r="Y60" s="27">
        <f t="shared" si="29"/>
        <v>9417</v>
      </c>
      <c r="Z60" s="27">
        <f t="shared" si="29"/>
        <v>10572</v>
      </c>
      <c r="AA60" s="27">
        <f t="shared" si="29"/>
        <v>11039.659451814905</v>
      </c>
      <c r="AB60" s="27">
        <f t="shared" si="29"/>
        <v>12295.046216050665</v>
      </c>
      <c r="AC60" s="27">
        <f t="shared" si="29"/>
        <v>13385.851023776366</v>
      </c>
      <c r="AD60" s="27">
        <f t="shared" si="29"/>
        <v>14178.225618460461</v>
      </c>
      <c r="AE60" s="27">
        <f t="shared" si="29"/>
        <v>14874.466402287771</v>
      </c>
      <c r="AF60" s="27">
        <f t="shared" si="29"/>
        <v>15594.480836005698</v>
      </c>
      <c r="AG60" s="213"/>
      <c r="AH60" s="1374"/>
      <c r="AI60" s="1624"/>
      <c r="AJ60" s="1624"/>
      <c r="AK60" s="1624"/>
      <c r="AL60" s="1624"/>
      <c r="AM60" s="1624"/>
      <c r="AN60" s="1624"/>
      <c r="AO60" s="1624"/>
      <c r="AP60" s="1624"/>
      <c r="AQ60" s="213"/>
      <c r="AR60" s="213"/>
      <c r="AS60" s="213"/>
    </row>
    <row r="61" spans="1:45">
      <c r="A61" s="358" t="s">
        <v>848</v>
      </c>
      <c r="B61" s="361"/>
      <c r="C61" s="361"/>
      <c r="D61" s="361"/>
      <c r="E61" s="361"/>
      <c r="F61" s="361"/>
      <c r="G61" s="361"/>
      <c r="H61" s="27">
        <f>'Balance Sheet'!H22</f>
        <v>68</v>
      </c>
      <c r="I61" s="27">
        <f>'Balance Sheet'!I22</f>
        <v>27</v>
      </c>
      <c r="J61" s="27">
        <f>'Balance Sheet'!J22</f>
        <v>127</v>
      </c>
      <c r="K61" s="27">
        <f>'Balance Sheet'!K22</f>
        <v>145</v>
      </c>
      <c r="L61" s="27">
        <f>'Balance Sheet'!L22</f>
        <v>146</v>
      </c>
      <c r="M61" s="27">
        <f>'Balance Sheet'!M22</f>
        <v>215</v>
      </c>
      <c r="N61" s="27">
        <f>'Balance Sheet'!N22</f>
        <v>421</v>
      </c>
      <c r="O61" s="27">
        <f>'Balance Sheet'!O22</f>
        <v>392</v>
      </c>
      <c r="P61" s="27">
        <f>'Balance Sheet'!P22</f>
        <v>452</v>
      </c>
      <c r="Q61" s="27">
        <f>'Balance Sheet'!Q22</f>
        <v>623</v>
      </c>
      <c r="R61" s="27">
        <f>'Balance Sheet'!R22</f>
        <v>513</v>
      </c>
      <c r="S61" s="27">
        <f>'Balance Sheet'!S22</f>
        <v>596</v>
      </c>
      <c r="T61" s="27">
        <f>'Balance Sheet'!T22</f>
        <v>752</v>
      </c>
      <c r="U61" s="27">
        <f>'Balance Sheet'!U22</f>
        <v>458</v>
      </c>
      <c r="V61" s="27">
        <f>'Balance Sheet'!V22</f>
        <v>481</v>
      </c>
      <c r="W61" s="27">
        <f>'Balance Sheet'!W22</f>
        <v>555</v>
      </c>
      <c r="X61" s="27">
        <f>'Balance Sheet'!X22</f>
        <v>358</v>
      </c>
      <c r="Y61" s="27">
        <f>'Balance Sheet'!Y22</f>
        <v>422</v>
      </c>
      <c r="Z61" s="27">
        <f>'Balance Sheet'!Z22</f>
        <v>364</v>
      </c>
      <c r="AA61" s="27">
        <f>'Balance Sheet'!AA22</f>
        <v>364</v>
      </c>
      <c r="AB61" s="27">
        <f>'Balance Sheet'!AB22</f>
        <v>364</v>
      </c>
      <c r="AC61" s="27">
        <f>'Balance Sheet'!AC22</f>
        <v>364</v>
      </c>
      <c r="AD61" s="27">
        <f>'Balance Sheet'!AD22</f>
        <v>364</v>
      </c>
      <c r="AE61" s="27">
        <f>'Balance Sheet'!AE22</f>
        <v>364</v>
      </c>
      <c r="AF61" s="27">
        <f>'Balance Sheet'!AF22</f>
        <v>364</v>
      </c>
      <c r="AG61" s="213"/>
      <c r="AH61" s="1374"/>
      <c r="AI61" s="1624"/>
      <c r="AJ61" s="1624"/>
      <c r="AK61" s="1624"/>
      <c r="AL61" s="1624"/>
      <c r="AM61" s="1624"/>
      <c r="AN61" s="1624"/>
      <c r="AO61" s="1624"/>
      <c r="AP61" s="1624"/>
      <c r="AQ61" s="213"/>
      <c r="AR61" s="213"/>
      <c r="AS61" s="213"/>
    </row>
    <row r="62" spans="1:45">
      <c r="A62" s="358" t="s">
        <v>1314</v>
      </c>
      <c r="B62" s="361"/>
      <c r="C62" s="361"/>
      <c r="D62" s="361"/>
      <c r="E62" s="361"/>
      <c r="F62" s="361"/>
      <c r="G62" s="361"/>
      <c r="H62" s="27"/>
      <c r="I62" s="27"/>
      <c r="J62" s="27"/>
      <c r="K62" s="27"/>
      <c r="L62" s="27"/>
      <c r="M62" s="27"/>
      <c r="N62" s="27"/>
      <c r="O62" s="27"/>
      <c r="P62" s="27"/>
      <c r="Q62" s="27"/>
      <c r="R62" s="27"/>
      <c r="S62" s="27">
        <f>'Balance Sheet'!S25</f>
        <v>1366</v>
      </c>
      <c r="T62" s="27">
        <f>'Balance Sheet'!T25</f>
        <v>1544</v>
      </c>
      <c r="U62" s="27">
        <f>'Balance Sheet'!U25</f>
        <v>1743</v>
      </c>
      <c r="V62" s="27">
        <f>'Balance Sheet'!V25</f>
        <v>1695</v>
      </c>
      <c r="W62" s="27">
        <f>'Balance Sheet'!W25</f>
        <v>1853</v>
      </c>
      <c r="X62" s="27">
        <f>'Balance Sheet'!X25</f>
        <v>1982</v>
      </c>
      <c r="Y62" s="27">
        <f>'Balance Sheet'!Y25</f>
        <v>2157</v>
      </c>
      <c r="Z62" s="27">
        <f>'Balance Sheet'!Z25</f>
        <v>2503</v>
      </c>
      <c r="AA62" s="27">
        <f>AA76*'Income Statement'!AA$41</f>
        <v>2799.2100305518716</v>
      </c>
      <c r="AB62" s="27">
        <f>AB76*'Income Statement'!AB$41</f>
        <v>3117.5252139149861</v>
      </c>
      <c r="AC62" s="27">
        <f>AC76*'Income Statement'!AC$41</f>
        <v>3447.1420406046395</v>
      </c>
      <c r="AD62" s="27">
        <f>AD76*'Income Statement'!AD$41</f>
        <v>3738.8240825219759</v>
      </c>
      <c r="AE62" s="27">
        <f>AE76*'Income Statement'!AE$41</f>
        <v>3922.4240533404809</v>
      </c>
      <c r="AF62" s="27">
        <f>AF76*'Income Statement'!AF$41</f>
        <v>4112.2931792093013</v>
      </c>
      <c r="AG62" s="213"/>
      <c r="AH62" s="1374"/>
      <c r="AI62" s="1624"/>
      <c r="AJ62" s="1624"/>
      <c r="AK62" s="1624"/>
      <c r="AL62" s="1624"/>
      <c r="AM62" s="1624"/>
      <c r="AN62" s="1624"/>
      <c r="AO62" s="1624"/>
      <c r="AP62" s="1624"/>
      <c r="AQ62" s="213"/>
      <c r="AR62" s="213"/>
      <c r="AS62" s="213"/>
    </row>
    <row r="63" spans="1:45">
      <c r="A63" s="358" t="s">
        <v>776</v>
      </c>
      <c r="B63" s="361"/>
      <c r="C63" s="361"/>
      <c r="D63" s="361"/>
      <c r="E63" s="361"/>
      <c r="F63" s="361"/>
      <c r="G63" s="361"/>
      <c r="H63" s="27">
        <f>'Balance Sheet'!H26</f>
        <v>151</v>
      </c>
      <c r="I63" s="27">
        <f>'Balance Sheet'!I26-779</f>
        <v>363</v>
      </c>
      <c r="J63" s="27">
        <f>'Balance Sheet'!J26-61</f>
        <v>203</v>
      </c>
      <c r="K63" s="27">
        <f>'Balance Sheet'!K26</f>
        <v>0</v>
      </c>
      <c r="L63" s="27">
        <f>'Balance Sheet'!L26</f>
        <v>0</v>
      </c>
      <c r="M63" s="27">
        <f>'Balance Sheet'!M26</f>
        <v>0</v>
      </c>
      <c r="N63" s="27">
        <f>'Balance Sheet'!N26</f>
        <v>0</v>
      </c>
      <c r="O63" s="27">
        <f>'Balance Sheet'!O26</f>
        <v>-15</v>
      </c>
      <c r="P63" s="27">
        <f>'Balance Sheet'!P26</f>
        <v>0</v>
      </c>
      <c r="Q63" s="27">
        <f>'Balance Sheet'!Q26</f>
        <v>0</v>
      </c>
      <c r="R63" s="27">
        <f>'Balance Sheet'!R26-3234</f>
        <v>0</v>
      </c>
      <c r="S63" s="27">
        <f>'Balance Sheet'!S26</f>
        <v>0</v>
      </c>
      <c r="T63" s="27">
        <f>'Balance Sheet'!T26</f>
        <v>0</v>
      </c>
      <c r="U63" s="27">
        <f>'Balance Sheet'!U26</f>
        <v>0</v>
      </c>
      <c r="V63" s="27">
        <f>'Balance Sheet'!V26</f>
        <v>0</v>
      </c>
      <c r="W63" s="27">
        <f>'Balance Sheet'!W26</f>
        <v>0</v>
      </c>
      <c r="X63" s="27">
        <f>'Balance Sheet'!X26</f>
        <v>212</v>
      </c>
      <c r="Y63" s="27">
        <f>'Balance Sheet'!Y26</f>
        <v>0</v>
      </c>
      <c r="Z63" s="27">
        <f>'Balance Sheet'!Z26</f>
        <v>0</v>
      </c>
      <c r="AA63" s="27">
        <f>'Balance Sheet'!AA26</f>
        <v>0</v>
      </c>
      <c r="AB63" s="27">
        <f>'Balance Sheet'!AB26</f>
        <v>0</v>
      </c>
      <c r="AC63" s="27">
        <f>'Balance Sheet'!AC26</f>
        <v>0</v>
      </c>
      <c r="AD63" s="27">
        <f>'Balance Sheet'!AD26</f>
        <v>0</v>
      </c>
      <c r="AE63" s="27">
        <f>'Balance Sheet'!AE26</f>
        <v>0</v>
      </c>
      <c r="AF63" s="27">
        <f>'Balance Sheet'!AF26</f>
        <v>0</v>
      </c>
      <c r="AG63" s="213"/>
      <c r="AH63" s="1374"/>
      <c r="AI63" s="1624"/>
      <c r="AJ63" s="1624"/>
      <c r="AK63" s="1624"/>
      <c r="AL63" s="1624"/>
      <c r="AM63" s="1624"/>
      <c r="AN63" s="1624"/>
      <c r="AO63" s="1624"/>
      <c r="AP63" s="1624"/>
      <c r="AQ63" s="213"/>
      <c r="AR63" s="213"/>
      <c r="AS63" s="213"/>
    </row>
    <row r="64" spans="1:45">
      <c r="A64" s="4" t="s">
        <v>847</v>
      </c>
      <c r="B64" s="361"/>
      <c r="C64" s="361"/>
      <c r="D64" s="361"/>
      <c r="E64" s="361"/>
      <c r="F64" s="361"/>
      <c r="G64" s="361"/>
      <c r="H64" s="27">
        <f t="shared" ref="H64:AF64" si="30">SUM(H59:H63)</f>
        <v>7677</v>
      </c>
      <c r="I64" s="27">
        <f t="shared" si="30"/>
        <v>7556</v>
      </c>
      <c r="J64" s="27">
        <f t="shared" si="30"/>
        <v>7884</v>
      </c>
      <c r="K64" s="27">
        <f t="shared" si="30"/>
        <v>7685</v>
      </c>
      <c r="L64" s="27">
        <f t="shared" si="30"/>
        <v>7873</v>
      </c>
      <c r="M64" s="27">
        <f t="shared" si="30"/>
        <v>9019</v>
      </c>
      <c r="N64" s="27">
        <f t="shared" si="30"/>
        <v>9577</v>
      </c>
      <c r="O64" s="27">
        <f t="shared" si="30"/>
        <v>9342</v>
      </c>
      <c r="P64" s="27">
        <f t="shared" si="30"/>
        <v>10544</v>
      </c>
      <c r="Q64" s="27">
        <f t="shared" si="30"/>
        <v>11656</v>
      </c>
      <c r="R64" s="27">
        <f t="shared" si="30"/>
        <v>11012</v>
      </c>
      <c r="S64" s="27">
        <f t="shared" si="30"/>
        <v>10868</v>
      </c>
      <c r="T64" s="27">
        <f t="shared" si="30"/>
        <v>14434</v>
      </c>
      <c r="U64" s="27">
        <f t="shared" si="30"/>
        <v>16152</v>
      </c>
      <c r="V64" s="27">
        <f t="shared" si="30"/>
        <v>13135</v>
      </c>
      <c r="W64" s="27">
        <f t="shared" si="30"/>
        <v>13975</v>
      </c>
      <c r="X64" s="27">
        <f t="shared" si="30"/>
        <v>16864</v>
      </c>
      <c r="Y64" s="27">
        <f t="shared" si="30"/>
        <v>19899</v>
      </c>
      <c r="Z64" s="27">
        <f t="shared" si="30"/>
        <v>22930</v>
      </c>
      <c r="AA64" s="27">
        <f t="shared" si="30"/>
        <v>24251.953676132525</v>
      </c>
      <c r="AB64" s="27">
        <f t="shared" si="30"/>
        <v>25906.399908689233</v>
      </c>
      <c r="AC64" s="27">
        <f t="shared" si="30"/>
        <v>28036.533182539497</v>
      </c>
      <c r="AD64" s="27">
        <f t="shared" si="30"/>
        <v>30037.784166767749</v>
      </c>
      <c r="AE64" s="27">
        <f t="shared" si="30"/>
        <v>31632.000297756505</v>
      </c>
      <c r="AF64" s="27">
        <f t="shared" si="30"/>
        <v>33217.400740025252</v>
      </c>
      <c r="AG64" s="213"/>
      <c r="AH64" s="1374"/>
      <c r="AI64" s="1624"/>
      <c r="AJ64" s="1624"/>
      <c r="AK64" s="1624"/>
      <c r="AL64" s="1624"/>
      <c r="AM64" s="1624"/>
      <c r="AN64" s="1624"/>
      <c r="AO64" s="1624"/>
      <c r="AP64" s="1624"/>
      <c r="AQ64" s="213"/>
      <c r="AR64" s="213"/>
      <c r="AS64" s="213"/>
    </row>
    <row r="65" spans="1:45">
      <c r="A65" s="4"/>
      <c r="B65" s="361"/>
      <c r="C65" s="361"/>
      <c r="D65" s="361"/>
      <c r="E65" s="361"/>
      <c r="F65" s="361"/>
      <c r="G65" s="361"/>
      <c r="H65" s="27"/>
      <c r="I65" s="27"/>
      <c r="J65" s="27"/>
      <c r="K65" s="27"/>
      <c r="L65" s="27"/>
      <c r="M65" s="27"/>
      <c r="N65" s="27"/>
      <c r="O65" s="27"/>
      <c r="P65" s="27"/>
      <c r="Q65" s="27"/>
      <c r="R65" s="27"/>
      <c r="S65" s="27"/>
      <c r="T65" s="27"/>
      <c r="U65" s="27"/>
      <c r="V65" s="27"/>
      <c r="W65" s="27"/>
      <c r="X65" s="27"/>
      <c r="Y65" s="27"/>
      <c r="Z65" s="27"/>
      <c r="AA65" s="27"/>
      <c r="AB65" s="27"/>
      <c r="AC65" s="27"/>
      <c r="AD65" s="27"/>
      <c r="AE65" s="27"/>
      <c r="AF65" s="27"/>
      <c r="AG65" s="213"/>
      <c r="AH65" s="1374"/>
      <c r="AI65" s="1624"/>
      <c r="AJ65" s="1624"/>
      <c r="AK65" s="1624"/>
      <c r="AL65" s="1624"/>
      <c r="AM65" s="1624"/>
      <c r="AN65" s="1624"/>
      <c r="AO65" s="1624"/>
      <c r="AP65" s="1624"/>
      <c r="AQ65" s="213"/>
      <c r="AR65" s="213"/>
      <c r="AS65" s="213"/>
    </row>
    <row r="66" spans="1:45">
      <c r="A66" s="358" t="s">
        <v>846</v>
      </c>
      <c r="B66" s="361"/>
      <c r="C66" s="361"/>
      <c r="D66" s="361"/>
      <c r="E66" s="361"/>
      <c r="F66" s="361"/>
      <c r="G66" s="361"/>
      <c r="H66" s="27">
        <f>H40</f>
        <v>-6390</v>
      </c>
      <c r="I66" s="27">
        <f t="shared" ref="I66:AF66" si="31">I40</f>
        <v>-6517</v>
      </c>
      <c r="J66" s="27">
        <f t="shared" si="31"/>
        <v>-6786</v>
      </c>
      <c r="K66" s="27">
        <f t="shared" si="31"/>
        <v>-6936</v>
      </c>
      <c r="L66" s="27">
        <f t="shared" si="31"/>
        <v>-7236</v>
      </c>
      <c r="M66" s="27">
        <f t="shared" si="31"/>
        <v>-8348</v>
      </c>
      <c r="N66" s="27">
        <f t="shared" si="31"/>
        <v>-8767</v>
      </c>
      <c r="O66" s="27">
        <f t="shared" si="31"/>
        <v>-8668</v>
      </c>
      <c r="P66" s="27">
        <f t="shared" si="31"/>
        <v>-9638</v>
      </c>
      <c r="Q66" s="27">
        <f t="shared" si="31"/>
        <v>-10602</v>
      </c>
      <c r="R66" s="27">
        <f t="shared" si="31"/>
        <v>-10242</v>
      </c>
      <c r="S66" s="27">
        <f t="shared" si="31"/>
        <v>-4409</v>
      </c>
      <c r="T66" s="27">
        <f t="shared" si="31"/>
        <v>-5650</v>
      </c>
      <c r="U66" s="27">
        <f t="shared" si="31"/>
        <v>-6164</v>
      </c>
      <c r="V66" s="27">
        <f t="shared" si="31"/>
        <v>-4353</v>
      </c>
      <c r="W66" s="27">
        <f t="shared" si="31"/>
        <v>-4950</v>
      </c>
      <c r="X66" s="27">
        <f t="shared" si="31"/>
        <v>-6298</v>
      </c>
      <c r="Y66" s="27">
        <f t="shared" si="31"/>
        <v>-8097</v>
      </c>
      <c r="Z66" s="27">
        <f t="shared" si="31"/>
        <v>-9802</v>
      </c>
      <c r="AA66" s="27">
        <f t="shared" si="31"/>
        <v>-10961.988301825588</v>
      </c>
      <c r="AB66" s="27">
        <f t="shared" si="31"/>
        <v>-12526.131989819483</v>
      </c>
      <c r="AC66" s="27">
        <f t="shared" si="31"/>
        <v>-14272.061155575348</v>
      </c>
      <c r="AD66" s="27">
        <f t="shared" si="31"/>
        <v>-15479.700379950664</v>
      </c>
      <c r="AE66" s="27">
        <f t="shared" si="31"/>
        <v>-16445.419572037255</v>
      </c>
      <c r="AF66" s="27">
        <f t="shared" si="31"/>
        <v>-17241.477671882301</v>
      </c>
      <c r="AG66" s="213"/>
      <c r="AH66" s="1374"/>
      <c r="AI66" s="1624"/>
      <c r="AJ66" s="1624"/>
      <c r="AK66" s="1624"/>
      <c r="AL66" s="1624"/>
      <c r="AM66" s="1624"/>
      <c r="AN66" s="1624"/>
      <c r="AO66" s="1624"/>
      <c r="AP66" s="1624"/>
      <c r="AQ66" s="213"/>
      <c r="AR66" s="213"/>
      <c r="AS66" s="213"/>
    </row>
    <row r="67" spans="1:45">
      <c r="A67" s="358" t="s">
        <v>845</v>
      </c>
      <c r="B67" s="361"/>
      <c r="C67" s="361"/>
      <c r="D67" s="361"/>
      <c r="E67" s="361"/>
      <c r="F67" s="361"/>
      <c r="G67" s="361"/>
      <c r="H67" s="27">
        <f>'Balance Sheet'!H38</f>
        <v>-1101</v>
      </c>
      <c r="I67" s="27">
        <f>'Balance Sheet'!I38</f>
        <v>-1133</v>
      </c>
      <c r="J67" s="27">
        <f>'Balance Sheet'!J38</f>
        <v>-1278</v>
      </c>
      <c r="K67" s="27">
        <f>'Balance Sheet'!K38</f>
        <v>-1039</v>
      </c>
      <c r="L67" s="27">
        <f>'Balance Sheet'!L38</f>
        <v>-1114</v>
      </c>
      <c r="M67" s="27">
        <f>'Balance Sheet'!M38</f>
        <v>-1064</v>
      </c>
      <c r="N67" s="27">
        <f>'Balance Sheet'!N38</f>
        <v>-1064</v>
      </c>
      <c r="O67" s="27">
        <f>'Balance Sheet'!O38</f>
        <v>-1217</v>
      </c>
      <c r="P67" s="27">
        <f>'Balance Sheet'!P38</f>
        <v>-1459</v>
      </c>
      <c r="Q67" s="27">
        <f>'Balance Sheet'!Q38</f>
        <v>-1654</v>
      </c>
      <c r="R67" s="27">
        <f>'Balance Sheet'!R38</f>
        <v>-1558</v>
      </c>
      <c r="S67" s="27">
        <f>'Balance Sheet'!S38</f>
        <v>-925</v>
      </c>
      <c r="T67" s="27">
        <f>'Balance Sheet'!T38</f>
        <v>-1189</v>
      </c>
      <c r="U67" s="27">
        <f>'Balance Sheet'!U38</f>
        <v>-990</v>
      </c>
      <c r="V67" s="27">
        <f>'Balance Sheet'!V38</f>
        <v>-905</v>
      </c>
      <c r="W67" s="27">
        <f>'Balance Sheet'!W38</f>
        <v>-1058</v>
      </c>
      <c r="X67" s="27">
        <f>'Balance Sheet'!X38</f>
        <v>-1018</v>
      </c>
      <c r="Y67" s="27">
        <f>'Balance Sheet'!Y38</f>
        <v>-1064</v>
      </c>
      <c r="Z67" s="27">
        <f>'Balance Sheet'!Z38</f>
        <v>-1173</v>
      </c>
      <c r="AA67" s="27">
        <f>'Balance Sheet'!AA38</f>
        <v>-1173</v>
      </c>
      <c r="AB67" s="27">
        <f>'Balance Sheet'!AB38</f>
        <v>-1173</v>
      </c>
      <c r="AC67" s="27">
        <f>'Balance Sheet'!AC38</f>
        <v>-1173</v>
      </c>
      <c r="AD67" s="27">
        <f>'Balance Sheet'!AD38</f>
        <v>-1173</v>
      </c>
      <c r="AE67" s="27">
        <f>'Balance Sheet'!AE38</f>
        <v>-1173</v>
      </c>
      <c r="AF67" s="27">
        <f>'Balance Sheet'!AF38</f>
        <v>-1173</v>
      </c>
      <c r="AG67" s="213"/>
      <c r="AH67" s="1374"/>
      <c r="AI67" s="1624"/>
      <c r="AJ67" s="1624"/>
      <c r="AK67" s="1624"/>
      <c r="AL67" s="1624"/>
      <c r="AM67" s="1624"/>
      <c r="AN67" s="1624"/>
      <c r="AO67" s="1624"/>
      <c r="AP67" s="1624"/>
      <c r="AQ67" s="213"/>
      <c r="AR67" s="213"/>
      <c r="AS67" s="213"/>
    </row>
    <row r="68" spans="1:45">
      <c r="A68" s="358" t="s">
        <v>844</v>
      </c>
      <c r="B68" s="361"/>
      <c r="C68" s="361"/>
      <c r="D68" s="361"/>
      <c r="E68" s="361"/>
      <c r="F68" s="361"/>
      <c r="G68" s="361"/>
      <c r="H68" s="27">
        <f>'Balance Sheet'!H42</f>
        <v>-21</v>
      </c>
      <c r="I68" s="27">
        <f>'Balance Sheet'!I42</f>
        <v>-43</v>
      </c>
      <c r="J68" s="27">
        <f>'Balance Sheet'!J42</f>
        <v>-39</v>
      </c>
      <c r="K68" s="27">
        <f>'Balance Sheet'!K42</f>
        <v>-53</v>
      </c>
      <c r="L68" s="27">
        <f>'Balance Sheet'!L42</f>
        <v>-72</v>
      </c>
      <c r="M68" s="27">
        <f>'Balance Sheet'!M42</f>
        <v>-92</v>
      </c>
      <c r="N68" s="27">
        <f>'Balance Sheet'!N42</f>
        <v>-156</v>
      </c>
      <c r="O68" s="27">
        <f>'Balance Sheet'!O42</f>
        <v>-202</v>
      </c>
      <c r="P68" s="27">
        <f>'Balance Sheet'!P42</f>
        <v>-220</v>
      </c>
      <c r="Q68" s="27">
        <f>'Balance Sheet'!Q42</f>
        <v>-287</v>
      </c>
      <c r="R68" s="27">
        <f>'Balance Sheet'!R42</f>
        <v>-179</v>
      </c>
      <c r="S68" s="27">
        <f>'Balance Sheet'!S42</f>
        <v>-214</v>
      </c>
      <c r="T68" s="27">
        <f>'Balance Sheet'!T42</f>
        <v>-210</v>
      </c>
      <c r="U68" s="27">
        <f>'Balance Sheet'!U42</f>
        <v>-111</v>
      </c>
      <c r="V68" s="27">
        <f>'Balance Sheet'!V42</f>
        <v>-118</v>
      </c>
      <c r="W68" s="27">
        <f>'Balance Sheet'!W42</f>
        <v>-109</v>
      </c>
      <c r="X68" s="27">
        <f>'Balance Sheet'!X42</f>
        <v>-105</v>
      </c>
      <c r="Y68" s="27">
        <f>'Balance Sheet'!Y42</f>
        <v>-104</v>
      </c>
      <c r="Z68" s="27">
        <f>'Balance Sheet'!Z42</f>
        <v>-105</v>
      </c>
      <c r="AA68" s="27">
        <f>'Balance Sheet'!AA42</f>
        <v>-105</v>
      </c>
      <c r="AB68" s="27">
        <f>'Balance Sheet'!AB42</f>
        <v>-105</v>
      </c>
      <c r="AC68" s="27">
        <f>'Balance Sheet'!AC42</f>
        <v>-105</v>
      </c>
      <c r="AD68" s="27">
        <f>'Balance Sheet'!AD42</f>
        <v>-105</v>
      </c>
      <c r="AE68" s="27">
        <f>'Balance Sheet'!AE42</f>
        <v>-105</v>
      </c>
      <c r="AF68" s="27">
        <f>'Balance Sheet'!AF42</f>
        <v>-105</v>
      </c>
      <c r="AG68" s="213"/>
      <c r="AH68" s="1374"/>
      <c r="AI68" s="1624"/>
      <c r="AJ68" s="1624"/>
      <c r="AK68" s="1624"/>
      <c r="AL68" s="1624"/>
      <c r="AM68" s="1624"/>
      <c r="AN68" s="1624"/>
      <c r="AO68" s="1624"/>
      <c r="AP68" s="1624"/>
      <c r="AQ68" s="213"/>
      <c r="AR68" s="213"/>
      <c r="AS68" s="213"/>
    </row>
    <row r="69" spans="1:45">
      <c r="A69" s="358" t="s">
        <v>1302</v>
      </c>
      <c r="B69" s="361"/>
      <c r="C69" s="361"/>
      <c r="D69" s="361"/>
      <c r="E69" s="361"/>
      <c r="F69" s="361"/>
      <c r="G69" s="361"/>
      <c r="H69" s="27"/>
      <c r="I69" s="27"/>
      <c r="J69" s="27"/>
      <c r="K69" s="27"/>
      <c r="L69" s="27"/>
      <c r="M69" s="27"/>
      <c r="N69" s="27"/>
      <c r="O69" s="27"/>
      <c r="P69" s="27"/>
      <c r="Q69" s="27"/>
      <c r="R69" s="27"/>
      <c r="S69" s="27">
        <f>'Balance Sheet'!S44</f>
        <v>-9090</v>
      </c>
      <c r="T69" s="27">
        <f>'Balance Sheet'!T44</f>
        <v>-10453</v>
      </c>
      <c r="U69" s="27">
        <f>'Balance Sheet'!U44</f>
        <v>-10923</v>
      </c>
      <c r="V69" s="27">
        <f>'Balance Sheet'!V44</f>
        <v>-9838</v>
      </c>
      <c r="W69" s="27">
        <f>'Balance Sheet'!W44</f>
        <v>-10141</v>
      </c>
      <c r="X69" s="27">
        <f>'Balance Sheet'!X44</f>
        <v>-12756</v>
      </c>
      <c r="Y69" s="27">
        <f>'Balance Sheet'!Y44</f>
        <v>-15029</v>
      </c>
      <c r="Z69" s="27">
        <f>'Balance Sheet'!Z44</f>
        <v>-16421</v>
      </c>
      <c r="AA69" s="27">
        <f>AA44</f>
        <v>-16421</v>
      </c>
      <c r="AB69" s="27">
        <f t="shared" ref="AB69:AF69" si="32">AB44</f>
        <v>-16421</v>
      </c>
      <c r="AC69" s="27">
        <f t="shared" si="32"/>
        <v>-16421</v>
      </c>
      <c r="AD69" s="27">
        <f t="shared" si="32"/>
        <v>-16421</v>
      </c>
      <c r="AE69" s="27">
        <f t="shared" si="32"/>
        <v>-16421</v>
      </c>
      <c r="AF69" s="27">
        <f t="shared" si="32"/>
        <v>-16421</v>
      </c>
      <c r="AG69" s="213"/>
      <c r="AH69" s="1374"/>
      <c r="AI69" s="1624" t="s">
        <v>1716</v>
      </c>
      <c r="AJ69" s="1624"/>
      <c r="AK69" s="1624"/>
      <c r="AL69" s="1624"/>
      <c r="AM69" s="1624"/>
      <c r="AN69" s="1624"/>
      <c r="AO69" s="1624"/>
      <c r="AP69" s="1624"/>
      <c r="AQ69" s="213"/>
      <c r="AR69" s="213"/>
      <c r="AS69" s="213"/>
    </row>
    <row r="70" spans="1:45">
      <c r="A70" s="358" t="s">
        <v>776</v>
      </c>
      <c r="B70" s="361"/>
      <c r="C70" s="361"/>
      <c r="D70" s="361"/>
      <c r="E70" s="361"/>
      <c r="F70" s="361"/>
      <c r="G70" s="361"/>
      <c r="H70" s="27">
        <f>'Balance Sheet'!H46+'Balance Sheet'!H43</f>
        <v>-152</v>
      </c>
      <c r="I70" s="27">
        <f>'Balance Sheet'!I46+'Balance Sheet'!I43+452</f>
        <v>-143</v>
      </c>
      <c r="J70" s="27">
        <f>'Balance Sheet'!J46+'Balance Sheet'!J43+39</f>
        <v>-733</v>
      </c>
      <c r="K70" s="27">
        <f>'Balance Sheet'!K46+'Balance Sheet'!K43</f>
        <v>-13</v>
      </c>
      <c r="L70" s="27">
        <f>'Balance Sheet'!L46+'Balance Sheet'!L43</f>
        <v>-451</v>
      </c>
      <c r="M70" s="27">
        <f>'Balance Sheet'!M46+'Balance Sheet'!M43</f>
        <v>-653</v>
      </c>
      <c r="N70" s="27">
        <f>'Balance Sheet'!N46+'Balance Sheet'!N43</f>
        <v>-239</v>
      </c>
      <c r="O70" s="27">
        <f>'Balance Sheet'!O46+'Balance Sheet'!O43</f>
        <v>-211</v>
      </c>
      <c r="P70" s="27">
        <f>'Balance Sheet'!P46+'Balance Sheet'!P43</f>
        <v>-1761</v>
      </c>
      <c r="Q70" s="27">
        <f>'Balance Sheet'!Q46+'Balance Sheet'!Q43</f>
        <v>-4230</v>
      </c>
      <c r="R70" s="27">
        <f>'Balance Sheet'!R46+'Balance Sheet'!R43+794</f>
        <v>-4742</v>
      </c>
      <c r="S70" s="27">
        <f>'Balance Sheet'!S46+'Balance Sheet'!S43+794</f>
        <v>-155</v>
      </c>
      <c r="T70" s="27">
        <f>'Balance Sheet'!T46+'Balance Sheet'!T43</f>
        <v>-1368</v>
      </c>
      <c r="U70" s="27">
        <f>'Balance Sheet'!U46+'Balance Sheet'!U43</f>
        <v>-1148</v>
      </c>
      <c r="V70" s="27">
        <f>'Balance Sheet'!V46+'Balance Sheet'!V43</f>
        <v>-1303</v>
      </c>
      <c r="W70" s="27">
        <f>'Balance Sheet'!W46+'Balance Sheet'!W43</f>
        <v>-1850</v>
      </c>
      <c r="X70" s="27">
        <f>'Balance Sheet'!X46+'Balance Sheet'!X43</f>
        <v>-5973</v>
      </c>
      <c r="Y70" s="27">
        <f>'Balance Sheet'!Y46+'Balance Sheet'!Y43</f>
        <v>-4875</v>
      </c>
      <c r="Z70" s="27">
        <f>'Balance Sheet'!Z46+'Balance Sheet'!Z43</f>
        <v>-8951</v>
      </c>
      <c r="AA70" s="27">
        <f>'Balance Sheet'!AA46+'Balance Sheet'!AA43</f>
        <v>-8951</v>
      </c>
      <c r="AB70" s="27">
        <f>'Balance Sheet'!AB46+'Balance Sheet'!AB43</f>
        <v>-8951</v>
      </c>
      <c r="AC70" s="27">
        <f>'Balance Sheet'!AC46+'Balance Sheet'!AC43</f>
        <v>-8951</v>
      </c>
      <c r="AD70" s="27">
        <f>'Balance Sheet'!AD46+'Balance Sheet'!AD43</f>
        <v>-8951</v>
      </c>
      <c r="AE70" s="27">
        <f>'Balance Sheet'!AE46+'Balance Sheet'!AE43</f>
        <v>-8951</v>
      </c>
      <c r="AF70" s="27">
        <f>'Balance Sheet'!AF46+'Balance Sheet'!AF43</f>
        <v>-8951</v>
      </c>
      <c r="AG70" s="213"/>
      <c r="AH70" s="1374"/>
      <c r="AI70" s="1624"/>
      <c r="AJ70" s="1624"/>
      <c r="AK70" s="1624"/>
      <c r="AL70" s="1624"/>
      <c r="AM70" s="1624"/>
      <c r="AN70" s="1624"/>
      <c r="AO70" s="1624"/>
      <c r="AP70" s="1624"/>
      <c r="AQ70" s="213"/>
      <c r="AR70" s="213"/>
      <c r="AS70" s="213"/>
    </row>
    <row r="71" spans="1:45">
      <c r="A71" s="4" t="s">
        <v>843</v>
      </c>
      <c r="B71" s="361"/>
      <c r="C71" s="361"/>
      <c r="D71" s="361"/>
      <c r="E71" s="361"/>
      <c r="F71" s="361"/>
      <c r="G71" s="361"/>
      <c r="H71" s="27">
        <f t="shared" ref="H71:AF71" si="33">SUM(H66:H70)</f>
        <v>-7664</v>
      </c>
      <c r="I71" s="27">
        <f t="shared" si="33"/>
        <v>-7836</v>
      </c>
      <c r="J71" s="27">
        <f t="shared" si="33"/>
        <v>-8836</v>
      </c>
      <c r="K71" s="27">
        <f t="shared" si="33"/>
        <v>-8041</v>
      </c>
      <c r="L71" s="27">
        <f t="shared" si="33"/>
        <v>-8873</v>
      </c>
      <c r="M71" s="27">
        <f t="shared" si="33"/>
        <v>-10157</v>
      </c>
      <c r="N71" s="27">
        <f t="shared" si="33"/>
        <v>-10226</v>
      </c>
      <c r="O71" s="27">
        <f t="shared" si="33"/>
        <v>-10298</v>
      </c>
      <c r="P71" s="27">
        <f t="shared" si="33"/>
        <v>-13078</v>
      </c>
      <c r="Q71" s="27">
        <f t="shared" si="33"/>
        <v>-16773</v>
      </c>
      <c r="R71" s="27">
        <f t="shared" si="33"/>
        <v>-16721</v>
      </c>
      <c r="S71" s="27">
        <f t="shared" si="33"/>
        <v>-14793</v>
      </c>
      <c r="T71" s="27">
        <f t="shared" si="33"/>
        <v>-18870</v>
      </c>
      <c r="U71" s="27">
        <f t="shared" si="33"/>
        <v>-19336</v>
      </c>
      <c r="V71" s="27">
        <f t="shared" si="33"/>
        <v>-16517</v>
      </c>
      <c r="W71" s="27">
        <f t="shared" si="33"/>
        <v>-18108</v>
      </c>
      <c r="X71" s="27">
        <f t="shared" si="33"/>
        <v>-26150</v>
      </c>
      <c r="Y71" s="27">
        <f t="shared" si="33"/>
        <v>-29169</v>
      </c>
      <c r="Z71" s="27">
        <f t="shared" si="33"/>
        <v>-36452</v>
      </c>
      <c r="AA71" s="27">
        <f t="shared" si="33"/>
        <v>-37611.988301825586</v>
      </c>
      <c r="AB71" s="27">
        <f t="shared" si="33"/>
        <v>-39176.131989819485</v>
      </c>
      <c r="AC71" s="27">
        <f t="shared" si="33"/>
        <v>-40922.061155575349</v>
      </c>
      <c r="AD71" s="27">
        <f t="shared" si="33"/>
        <v>-42129.700379950664</v>
      </c>
      <c r="AE71" s="27">
        <f t="shared" si="33"/>
        <v>-43095.419572037252</v>
      </c>
      <c r="AF71" s="27">
        <f t="shared" si="33"/>
        <v>-43891.477671882298</v>
      </c>
      <c r="AG71" s="213"/>
      <c r="AH71" s="1374"/>
      <c r="AI71" s="1624"/>
      <c r="AJ71" s="1624"/>
      <c r="AK71" s="1624"/>
      <c r="AL71" s="1624"/>
      <c r="AM71" s="1624"/>
      <c r="AN71" s="1624"/>
      <c r="AO71" s="1624"/>
      <c r="AP71" s="1624"/>
      <c r="AQ71" s="213"/>
      <c r="AR71" s="213"/>
      <c r="AS71" s="213"/>
    </row>
    <row r="72" spans="1:45">
      <c r="A72" s="4"/>
      <c r="B72" s="361"/>
      <c r="C72" s="361"/>
      <c r="D72" s="361"/>
      <c r="E72" s="361"/>
      <c r="F72" s="361"/>
      <c r="G72" s="361"/>
      <c r="H72" s="361"/>
      <c r="I72" s="361"/>
      <c r="J72" s="361"/>
      <c r="K72" s="361"/>
      <c r="L72" s="361"/>
      <c r="M72" s="361"/>
      <c r="N72" s="361"/>
      <c r="O72" s="361"/>
      <c r="P72" s="361"/>
      <c r="Q72" s="361"/>
      <c r="R72" s="361"/>
      <c r="S72" s="361">
        <f t="shared" ref="S72:AF72" si="34">SUM(S66:S69)+SUM(S59:S62)</f>
        <v>-3770</v>
      </c>
      <c r="T72" s="361">
        <f t="shared" si="34"/>
        <v>-3068</v>
      </c>
      <c r="U72" s="361">
        <f t="shared" si="34"/>
        <v>-2036</v>
      </c>
      <c r="V72" s="361">
        <f t="shared" si="34"/>
        <v>-2079</v>
      </c>
      <c r="W72" s="361">
        <f t="shared" si="34"/>
        <v>-2283</v>
      </c>
      <c r="X72" s="361">
        <f t="shared" si="34"/>
        <v>-3525</v>
      </c>
      <c r="Y72" s="361">
        <f t="shared" si="34"/>
        <v>-4395</v>
      </c>
      <c r="Z72" s="361">
        <f t="shared" si="34"/>
        <v>-4571</v>
      </c>
      <c r="AA72" s="361">
        <f t="shared" si="34"/>
        <v>-4409.0346256930607</v>
      </c>
      <c r="AB72" s="361">
        <f t="shared" si="34"/>
        <v>-4318.7320811302525</v>
      </c>
      <c r="AC72" s="361">
        <f t="shared" si="34"/>
        <v>-3934.5279730358525</v>
      </c>
      <c r="AD72" s="361">
        <f t="shared" si="34"/>
        <v>-3140.9162131829144</v>
      </c>
      <c r="AE72" s="361">
        <f t="shared" si="34"/>
        <v>-2512.4192742807463</v>
      </c>
      <c r="AF72" s="361">
        <f t="shared" si="34"/>
        <v>-1723.0769318570456</v>
      </c>
      <c r="AG72" s="213"/>
      <c r="AH72" s="1374"/>
      <c r="AI72" s="1624"/>
      <c r="AJ72" s="1624"/>
      <c r="AK72" s="1624"/>
      <c r="AL72" s="1624"/>
      <c r="AM72" s="1624"/>
      <c r="AN72" s="1624"/>
      <c r="AO72" s="1624"/>
      <c r="AP72" s="1624"/>
      <c r="AQ72" s="213"/>
      <c r="AR72" s="213"/>
      <c r="AS72" s="213"/>
    </row>
    <row r="73" spans="1:45">
      <c r="A73" s="295" t="s">
        <v>795</v>
      </c>
      <c r="B73" s="1456"/>
      <c r="C73" s="1456"/>
      <c r="D73" s="1456"/>
      <c r="E73" s="1456"/>
      <c r="F73" s="1456"/>
      <c r="G73" s="1456"/>
      <c r="H73" s="281">
        <f t="shared" ref="H73:AF73" si="35">H71+H64</f>
        <v>13</v>
      </c>
      <c r="I73" s="281">
        <f t="shared" si="35"/>
        <v>-280</v>
      </c>
      <c r="J73" s="281">
        <f t="shared" si="35"/>
        <v>-952</v>
      </c>
      <c r="K73" s="281">
        <f t="shared" si="35"/>
        <v>-356</v>
      </c>
      <c r="L73" s="281">
        <f t="shared" si="35"/>
        <v>-1000</v>
      </c>
      <c r="M73" s="281">
        <f t="shared" si="35"/>
        <v>-1138</v>
      </c>
      <c r="N73" s="281">
        <f t="shared" si="35"/>
        <v>-649</v>
      </c>
      <c r="O73" s="281">
        <f t="shared" si="35"/>
        <v>-956</v>
      </c>
      <c r="P73" s="281">
        <f t="shared" si="35"/>
        <v>-2534</v>
      </c>
      <c r="Q73" s="281">
        <f t="shared" si="35"/>
        <v>-5117</v>
      </c>
      <c r="R73" s="281">
        <f t="shared" si="35"/>
        <v>-5709</v>
      </c>
      <c r="S73" s="281">
        <f t="shared" si="35"/>
        <v>-3925</v>
      </c>
      <c r="T73" s="281">
        <f t="shared" si="35"/>
        <v>-4436</v>
      </c>
      <c r="U73" s="281">
        <f t="shared" si="35"/>
        <v>-3184</v>
      </c>
      <c r="V73" s="281">
        <f t="shared" si="35"/>
        <v>-3382</v>
      </c>
      <c r="W73" s="281">
        <f t="shared" si="35"/>
        <v>-4133</v>
      </c>
      <c r="X73" s="281">
        <f t="shared" si="35"/>
        <v>-9286</v>
      </c>
      <c r="Y73" s="281">
        <f t="shared" si="35"/>
        <v>-9270</v>
      </c>
      <c r="Z73" s="281">
        <f t="shared" si="35"/>
        <v>-13522</v>
      </c>
      <c r="AA73" s="281">
        <f t="shared" si="35"/>
        <v>-13360.034625693061</v>
      </c>
      <c r="AB73" s="281">
        <f t="shared" si="35"/>
        <v>-13269.732081130252</v>
      </c>
      <c r="AC73" s="281">
        <f t="shared" si="35"/>
        <v>-12885.527973035852</v>
      </c>
      <c r="AD73" s="281">
        <f t="shared" si="35"/>
        <v>-12091.916213182914</v>
      </c>
      <c r="AE73" s="281">
        <f t="shared" si="35"/>
        <v>-11463.419274280746</v>
      </c>
      <c r="AF73" s="281">
        <f t="shared" si="35"/>
        <v>-10674.076931857046</v>
      </c>
      <c r="AG73" s="213"/>
      <c r="AH73" s="1374"/>
      <c r="AI73" s="1624"/>
      <c r="AJ73" s="1624"/>
      <c r="AK73" s="1624"/>
      <c r="AL73" s="1624"/>
      <c r="AM73" s="1624"/>
      <c r="AN73" s="1624"/>
      <c r="AO73" s="1624"/>
      <c r="AP73" s="1624"/>
      <c r="AQ73" s="213"/>
      <c r="AR73" s="213"/>
      <c r="AS73" s="213"/>
    </row>
    <row r="74" spans="1:45">
      <c r="A74" s="358" t="s">
        <v>1554</v>
      </c>
      <c r="B74" s="361"/>
      <c r="C74" s="361"/>
      <c r="D74" s="361"/>
      <c r="E74" s="361"/>
      <c r="F74" s="361"/>
      <c r="G74" s="361"/>
      <c r="H74" s="27">
        <f>H73-115</f>
        <v>-102</v>
      </c>
      <c r="I74" s="27">
        <f t="shared" ref="I74:AF74" si="36">I73-H73</f>
        <v>-293</v>
      </c>
      <c r="J74" s="27">
        <f t="shared" si="36"/>
        <v>-672</v>
      </c>
      <c r="K74" s="27">
        <f t="shared" si="36"/>
        <v>596</v>
      </c>
      <c r="L74" s="27">
        <f t="shared" si="36"/>
        <v>-644</v>
      </c>
      <c r="M74" s="27">
        <f t="shared" si="36"/>
        <v>-138</v>
      </c>
      <c r="N74" s="27">
        <f t="shared" si="36"/>
        <v>489</v>
      </c>
      <c r="O74" s="27">
        <f t="shared" si="36"/>
        <v>-307</v>
      </c>
      <c r="P74" s="27">
        <f t="shared" si="36"/>
        <v>-1578</v>
      </c>
      <c r="Q74" s="27">
        <f t="shared" si="36"/>
        <v>-2583</v>
      </c>
      <c r="R74" s="27">
        <f t="shared" si="36"/>
        <v>-592</v>
      </c>
      <c r="S74" s="27">
        <f t="shared" si="36"/>
        <v>1784</v>
      </c>
      <c r="T74" s="27">
        <f t="shared" si="36"/>
        <v>-511</v>
      </c>
      <c r="U74" s="27">
        <f t="shared" si="36"/>
        <v>1252</v>
      </c>
      <c r="V74" s="27">
        <f t="shared" si="36"/>
        <v>-198</v>
      </c>
      <c r="W74" s="27">
        <f t="shared" si="36"/>
        <v>-751</v>
      </c>
      <c r="X74" s="27">
        <f t="shared" si="36"/>
        <v>-5153</v>
      </c>
      <c r="Y74" s="27">
        <f t="shared" si="36"/>
        <v>16</v>
      </c>
      <c r="Z74" s="27">
        <f t="shared" si="36"/>
        <v>-4252</v>
      </c>
      <c r="AA74" s="27">
        <f t="shared" si="36"/>
        <v>161.96537430693934</v>
      </c>
      <c r="AB74" s="27">
        <f t="shared" si="36"/>
        <v>90.30254456280818</v>
      </c>
      <c r="AC74" s="27">
        <f t="shared" si="36"/>
        <v>384.2041080944</v>
      </c>
      <c r="AD74" s="27">
        <f t="shared" si="36"/>
        <v>793.61175985293812</v>
      </c>
      <c r="AE74" s="27">
        <f t="shared" si="36"/>
        <v>628.49693890216804</v>
      </c>
      <c r="AF74" s="27">
        <f t="shared" si="36"/>
        <v>789.34234242370076</v>
      </c>
      <c r="AG74" s="213"/>
      <c r="AH74" s="1374"/>
      <c r="AI74" s="1624"/>
      <c r="AJ74" s="1624"/>
      <c r="AK74" s="1624"/>
      <c r="AL74" s="1624"/>
      <c r="AM74" s="1624"/>
      <c r="AN74" s="1624"/>
      <c r="AO74" s="1624"/>
      <c r="AP74" s="1624"/>
      <c r="AQ74" s="213"/>
      <c r="AR74" s="213"/>
      <c r="AS74" s="213"/>
    </row>
    <row r="75" spans="1:45">
      <c r="A75" s="4"/>
      <c r="B75" s="4"/>
      <c r="C75" s="4"/>
      <c r="D75" s="4"/>
      <c r="E75" s="4"/>
      <c r="F75" s="4"/>
      <c r="G75" s="4"/>
      <c r="H75" s="4"/>
      <c r="I75" s="4"/>
      <c r="J75" s="4"/>
      <c r="K75" s="4"/>
      <c r="L75" s="4"/>
      <c r="M75" s="4"/>
      <c r="N75" s="4"/>
      <c r="O75" s="4"/>
      <c r="P75" s="4"/>
      <c r="Q75" s="4"/>
      <c r="R75" s="4"/>
      <c r="S75" s="4"/>
      <c r="T75" s="361"/>
      <c r="U75" s="361"/>
      <c r="V75" s="361"/>
      <c r="W75" s="361"/>
      <c r="X75" s="361"/>
      <c r="Y75" s="361"/>
      <c r="Z75" s="361"/>
      <c r="AA75" s="361"/>
      <c r="AB75" s="361"/>
      <c r="AC75" s="361"/>
      <c r="AD75" s="361"/>
      <c r="AE75" s="361"/>
      <c r="AF75" s="361"/>
      <c r="AG75" s="213"/>
      <c r="AH75" s="1374"/>
      <c r="AI75" s="1624" t="s">
        <v>1566</v>
      </c>
      <c r="AJ75" s="1624"/>
      <c r="AK75" s="1624"/>
      <c r="AL75" s="1624"/>
      <c r="AM75" s="1624"/>
      <c r="AN75" s="1624"/>
      <c r="AO75" s="1624"/>
      <c r="AP75" s="1624"/>
      <c r="AQ75" s="213"/>
      <c r="AR75" s="213"/>
      <c r="AS75" s="213"/>
    </row>
    <row r="76" spans="1:45">
      <c r="A76" s="4" t="s">
        <v>1315</v>
      </c>
      <c r="B76" s="355"/>
      <c r="C76" s="355"/>
      <c r="D76" s="355"/>
      <c r="E76" s="355"/>
      <c r="F76" s="355"/>
      <c r="G76" s="355"/>
      <c r="H76" s="355"/>
      <c r="I76" s="355"/>
      <c r="J76" s="355"/>
      <c r="K76" s="355"/>
      <c r="L76" s="355"/>
      <c r="M76" s="355"/>
      <c r="N76" s="355"/>
      <c r="O76" s="355"/>
      <c r="P76" s="355"/>
      <c r="Q76" s="355"/>
      <c r="R76" s="355"/>
      <c r="S76" s="473">
        <f>S62/'Income Statement'!S$41</f>
        <v>8.3414753297508554E-2</v>
      </c>
      <c r="T76" s="473">
        <f>T62/'Income Statement'!T$41</f>
        <v>7.3436385255648037E-2</v>
      </c>
      <c r="U76" s="473">
        <f>U62/'Income Statement'!U$41</f>
        <v>6.9447764762132436E-2</v>
      </c>
      <c r="V76" s="473">
        <f>V62/'Income Statement'!V$41</f>
        <v>0.10191810474415249</v>
      </c>
      <c r="W76" s="473">
        <f>W62/'Income Statement'!W$41</f>
        <v>0.12244763100508822</v>
      </c>
      <c r="X76" s="473">
        <f>X62/'Income Statement'!X$41</f>
        <v>0.10152128258976592</v>
      </c>
      <c r="Y76" s="473">
        <f>Y62/'Income Statement'!Y$41</f>
        <v>9.1201217707496507E-2</v>
      </c>
      <c r="Z76" s="473">
        <f>Z62/'Income Statement'!Z$41</f>
        <v>9.0308846875451002E-2</v>
      </c>
      <c r="AA76" s="355">
        <f>Z76</f>
        <v>9.0308846875451002E-2</v>
      </c>
      <c r="AB76" s="355">
        <f t="shared" ref="AB76:AF76" si="37">AA76</f>
        <v>9.0308846875451002E-2</v>
      </c>
      <c r="AC76" s="355">
        <f t="shared" si="37"/>
        <v>9.0308846875451002E-2</v>
      </c>
      <c r="AD76" s="355">
        <f t="shared" si="37"/>
        <v>9.0308846875451002E-2</v>
      </c>
      <c r="AE76" s="355">
        <f t="shared" si="37"/>
        <v>9.0308846875451002E-2</v>
      </c>
      <c r="AF76" s="355">
        <f t="shared" si="37"/>
        <v>9.0308846875451002E-2</v>
      </c>
      <c r="AG76" s="213"/>
      <c r="AH76" s="1374"/>
      <c r="AI76" s="1624"/>
      <c r="AJ76" s="1624"/>
      <c r="AK76" s="1624"/>
      <c r="AL76" s="1624"/>
      <c r="AM76" s="1624"/>
      <c r="AN76" s="1624"/>
      <c r="AO76" s="1624"/>
      <c r="AP76" s="1624"/>
      <c r="AQ76" s="213"/>
      <c r="AR76" s="213"/>
      <c r="AS76" s="213"/>
    </row>
    <row r="77" spans="1:45">
      <c r="A77" s="4" t="s">
        <v>1316</v>
      </c>
      <c r="B77" s="355"/>
      <c r="C77" s="355"/>
      <c r="D77" s="355"/>
      <c r="E77" s="355"/>
      <c r="F77" s="355"/>
      <c r="G77" s="355"/>
      <c r="H77" s="355"/>
      <c r="I77" s="355"/>
      <c r="J77" s="355"/>
      <c r="K77" s="355"/>
      <c r="L77" s="355"/>
      <c r="M77" s="355"/>
      <c r="N77" s="355"/>
      <c r="O77" s="355"/>
      <c r="P77" s="355"/>
      <c r="Q77" s="355"/>
      <c r="R77" s="355"/>
      <c r="S77" s="473">
        <f>S69/'Income Statement'!S$41</f>
        <v>-0.55508060576453344</v>
      </c>
      <c r="T77" s="473">
        <f>T69/'Income Statement'!T$41</f>
        <v>-0.49717003567181928</v>
      </c>
      <c r="U77" s="473">
        <f>U69/'Income Statement'!U$41</f>
        <v>-0.4352139612718145</v>
      </c>
      <c r="V77" s="473">
        <f>V69/'Income Statement'!V$41</f>
        <v>-0.59154590824364139</v>
      </c>
      <c r="W77" s="473">
        <f>W69/'Income Statement'!W$41</f>
        <v>-0.67012489261878017</v>
      </c>
      <c r="X77" s="473">
        <f>X69/'Income Statement'!X$41</f>
        <v>-0.65338318905905857</v>
      </c>
      <c r="Y77" s="473">
        <f>Y69/'Income Statement'!Y$41</f>
        <v>-0.63544881823178723</v>
      </c>
      <c r="Z77" s="473">
        <f>Z69/'Income Statement'!Z$41</f>
        <v>-0.59247366142300473</v>
      </c>
      <c r="AA77" s="1457">
        <v>-0.54</v>
      </c>
      <c r="AB77" s="1457">
        <f>AA77+0.025</f>
        <v>-0.51500000000000001</v>
      </c>
      <c r="AC77" s="1457">
        <f>AB77+0.025</f>
        <v>-0.49</v>
      </c>
      <c r="AD77" s="1457">
        <f>AC77+0.025</f>
        <v>-0.46499999999999997</v>
      </c>
      <c r="AE77" s="1457">
        <f>AD77+0.025</f>
        <v>-0.43999999999999995</v>
      </c>
      <c r="AF77" s="1457">
        <f>AE77+0.025</f>
        <v>-0.41499999999999992</v>
      </c>
      <c r="AG77" s="213"/>
      <c r="AH77" s="1374"/>
      <c r="AI77" s="1624" t="s">
        <v>1598</v>
      </c>
      <c r="AJ77" s="1624"/>
      <c r="AK77" s="1624"/>
      <c r="AL77" s="1624"/>
      <c r="AM77" s="1624"/>
      <c r="AN77" s="1624"/>
      <c r="AO77" s="1624"/>
      <c r="AP77" s="1624"/>
      <c r="AQ77" s="213"/>
      <c r="AR77" s="213"/>
      <c r="AS77" s="213"/>
    </row>
    <row r="78" spans="1:45">
      <c r="A78" s="4"/>
      <c r="B78" s="355"/>
      <c r="C78" s="355"/>
      <c r="D78" s="355"/>
      <c r="E78" s="355"/>
      <c r="F78" s="355"/>
      <c r="G78" s="355"/>
      <c r="H78" s="355"/>
      <c r="I78" s="355"/>
      <c r="J78" s="355"/>
      <c r="K78" s="355"/>
      <c r="L78" s="355"/>
      <c r="M78" s="355"/>
      <c r="N78" s="355"/>
      <c r="O78" s="355"/>
      <c r="P78" s="355"/>
      <c r="Q78" s="365"/>
      <c r="R78" s="365"/>
      <c r="S78" s="365"/>
      <c r="T78" s="365"/>
      <c r="U78" s="365"/>
      <c r="V78" s="365"/>
      <c r="W78" s="365"/>
      <c r="X78" s="365"/>
      <c r="Y78" s="365"/>
      <c r="Z78" s="365"/>
      <c r="AA78" s="365"/>
      <c r="AB78" s="365"/>
      <c r="AC78" s="365"/>
      <c r="AD78" s="365"/>
      <c r="AE78" s="365"/>
      <c r="AF78" s="365"/>
      <c r="AG78" s="213"/>
      <c r="AH78" s="1374"/>
      <c r="AI78" s="1624"/>
      <c r="AJ78" s="1624"/>
      <c r="AK78" s="1624"/>
      <c r="AL78" s="1624"/>
      <c r="AM78" s="1624"/>
      <c r="AN78" s="1624"/>
      <c r="AO78" s="1624"/>
      <c r="AP78" s="1624"/>
      <c r="AQ78" s="213"/>
      <c r="AR78" s="213"/>
      <c r="AS78" s="213"/>
    </row>
    <row r="79" spans="1:45">
      <c r="A79" s="358" t="s">
        <v>1309</v>
      </c>
      <c r="B79" s="4"/>
      <c r="C79" s="4"/>
      <c r="D79" s="4"/>
      <c r="E79" s="4"/>
      <c r="F79" s="4"/>
      <c r="G79" s="4"/>
      <c r="H79" s="4"/>
      <c r="I79" s="27"/>
      <c r="J79" s="27"/>
      <c r="K79" s="27"/>
      <c r="L79" s="27"/>
      <c r="M79" s="27"/>
      <c r="N79" s="27"/>
      <c r="O79" s="27"/>
      <c r="P79" s="27"/>
      <c r="Q79" s="27"/>
      <c r="R79" s="27"/>
      <c r="S79" s="27"/>
      <c r="T79" s="27"/>
      <c r="U79" s="227">
        <v>-800</v>
      </c>
      <c r="V79" s="227">
        <v>0</v>
      </c>
      <c r="W79" s="227">
        <v>0</v>
      </c>
      <c r="X79" s="227">
        <v>0</v>
      </c>
      <c r="Y79" s="1458"/>
      <c r="Z79" s="1458"/>
      <c r="AA79" s="355"/>
      <c r="AB79" s="355"/>
      <c r="AC79" s="355"/>
      <c r="AD79" s="355"/>
      <c r="AE79" s="355"/>
      <c r="AF79" s="355"/>
      <c r="AG79" s="213"/>
      <c r="AH79" s="1374"/>
      <c r="AI79" s="1624"/>
      <c r="AJ79" s="1624"/>
      <c r="AK79" s="1624"/>
      <c r="AL79" s="1624"/>
      <c r="AM79" s="1624"/>
      <c r="AN79" s="1624"/>
      <c r="AO79" s="1624"/>
      <c r="AP79" s="1624"/>
      <c r="AQ79" s="213"/>
      <c r="AR79" s="213"/>
      <c r="AS79" s="213"/>
    </row>
    <row r="80" spans="1:45">
      <c r="A80" s="4" t="s">
        <v>842</v>
      </c>
      <c r="B80" s="4"/>
      <c r="C80" s="4"/>
      <c r="D80" s="4"/>
      <c r="E80" s="4"/>
      <c r="F80" s="4"/>
      <c r="G80" s="4"/>
      <c r="H80" s="4"/>
      <c r="I80" s="27">
        <f t="shared" ref="I80:AF80" si="38">I60-H60</f>
        <v>-292</v>
      </c>
      <c r="J80" s="27">
        <f t="shared" si="38"/>
        <v>-45</v>
      </c>
      <c r="K80" s="27">
        <f t="shared" si="38"/>
        <v>277</v>
      </c>
      <c r="L80" s="27">
        <f t="shared" si="38"/>
        <v>61</v>
      </c>
      <c r="M80" s="27">
        <f t="shared" si="38"/>
        <v>786</v>
      </c>
      <c r="N80" s="27">
        <f t="shared" si="38"/>
        <v>20</v>
      </c>
      <c r="O80" s="27">
        <f t="shared" si="38"/>
        <v>-58</v>
      </c>
      <c r="P80" s="27">
        <f t="shared" si="38"/>
        <v>860</v>
      </c>
      <c r="Q80" s="27">
        <f t="shared" si="38"/>
        <v>688</v>
      </c>
      <c r="R80" s="27">
        <f t="shared" si="38"/>
        <v>-263</v>
      </c>
      <c r="S80" s="27">
        <f t="shared" si="38"/>
        <v>-1300</v>
      </c>
      <c r="T80" s="27">
        <f t="shared" si="38"/>
        <v>1628</v>
      </c>
      <c r="U80" s="27">
        <f t="shared" si="38"/>
        <v>1059</v>
      </c>
      <c r="V80" s="27">
        <f t="shared" si="38"/>
        <v>-1870</v>
      </c>
      <c r="W80" s="27">
        <f t="shared" si="38"/>
        <v>735</v>
      </c>
      <c r="X80" s="27">
        <f t="shared" si="38"/>
        <v>1400</v>
      </c>
      <c r="Y80" s="27">
        <f t="shared" si="38"/>
        <v>1513</v>
      </c>
      <c r="Z80" s="27">
        <f t="shared" si="38"/>
        <v>1155</v>
      </c>
      <c r="AA80" s="27">
        <f t="shared" si="38"/>
        <v>467.65945181490497</v>
      </c>
      <c r="AB80" s="27">
        <f t="shared" si="38"/>
        <v>1255.38676423576</v>
      </c>
      <c r="AC80" s="27">
        <f t="shared" si="38"/>
        <v>1090.8048077257008</v>
      </c>
      <c r="AD80" s="27">
        <f t="shared" si="38"/>
        <v>792.37459468409543</v>
      </c>
      <c r="AE80" s="27">
        <f t="shared" si="38"/>
        <v>696.24078382731022</v>
      </c>
      <c r="AF80" s="27">
        <f t="shared" si="38"/>
        <v>720.01443371792629</v>
      </c>
      <c r="AG80" s="213"/>
      <c r="AH80" s="1374"/>
      <c r="AI80" s="1624"/>
      <c r="AJ80" s="1624"/>
      <c r="AK80" s="1624"/>
      <c r="AL80" s="1624"/>
      <c r="AM80" s="1624"/>
      <c r="AN80" s="1624"/>
      <c r="AO80" s="1624"/>
      <c r="AP80" s="1624"/>
      <c r="AQ80" s="213"/>
      <c r="AR80" s="213"/>
      <c r="AS80" s="213"/>
    </row>
    <row r="81" spans="1:45">
      <c r="A81" s="4" t="s">
        <v>841</v>
      </c>
      <c r="B81" s="4"/>
      <c r="C81" s="4"/>
      <c r="D81" s="4"/>
      <c r="E81" s="4"/>
      <c r="F81" s="4"/>
      <c r="G81" s="4"/>
      <c r="H81" s="4"/>
      <c r="I81" s="27">
        <f t="shared" ref="I81:AF81" si="39">I66-H66</f>
        <v>-127</v>
      </c>
      <c r="J81" s="27">
        <f t="shared" si="39"/>
        <v>-269</v>
      </c>
      <c r="K81" s="27">
        <f t="shared" si="39"/>
        <v>-150</v>
      </c>
      <c r="L81" s="27">
        <f t="shared" si="39"/>
        <v>-300</v>
      </c>
      <c r="M81" s="27">
        <f t="shared" si="39"/>
        <v>-1112</v>
      </c>
      <c r="N81" s="27">
        <f t="shared" si="39"/>
        <v>-419</v>
      </c>
      <c r="O81" s="27">
        <f t="shared" si="39"/>
        <v>99</v>
      </c>
      <c r="P81" s="27">
        <f t="shared" si="39"/>
        <v>-970</v>
      </c>
      <c r="Q81" s="27">
        <f t="shared" si="39"/>
        <v>-964</v>
      </c>
      <c r="R81" s="27">
        <f t="shared" si="39"/>
        <v>360</v>
      </c>
      <c r="S81" s="27">
        <f t="shared" si="39"/>
        <v>5833</v>
      </c>
      <c r="T81" s="27">
        <f t="shared" si="39"/>
        <v>-1241</v>
      </c>
      <c r="U81" s="27">
        <f t="shared" si="39"/>
        <v>-514</v>
      </c>
      <c r="V81" s="27">
        <f t="shared" si="39"/>
        <v>1811</v>
      </c>
      <c r="W81" s="27">
        <f t="shared" si="39"/>
        <v>-597</v>
      </c>
      <c r="X81" s="27">
        <f t="shared" si="39"/>
        <v>-1348</v>
      </c>
      <c r="Y81" s="27">
        <f t="shared" si="39"/>
        <v>-1799</v>
      </c>
      <c r="Z81" s="27">
        <f t="shared" si="39"/>
        <v>-1705</v>
      </c>
      <c r="AA81" s="27">
        <f t="shared" si="39"/>
        <v>-1159.9883018255878</v>
      </c>
      <c r="AB81" s="27">
        <f t="shared" si="39"/>
        <v>-1564.1436879938956</v>
      </c>
      <c r="AC81" s="27">
        <f t="shared" si="39"/>
        <v>-1745.9291657558642</v>
      </c>
      <c r="AD81" s="27">
        <f t="shared" si="39"/>
        <v>-1207.6392243753162</v>
      </c>
      <c r="AE81" s="27">
        <f t="shared" si="39"/>
        <v>-965.71919208659165</v>
      </c>
      <c r="AF81" s="27">
        <f t="shared" si="39"/>
        <v>-796.05809984504594</v>
      </c>
      <c r="AG81" s="213"/>
      <c r="AH81" s="1374"/>
      <c r="AI81" s="1624"/>
      <c r="AJ81" s="1624"/>
      <c r="AK81" s="1624"/>
      <c r="AL81" s="1624"/>
      <c r="AM81" s="1624"/>
      <c r="AN81" s="1624"/>
      <c r="AO81" s="1624"/>
      <c r="AP81" s="1624"/>
      <c r="AQ81" s="213"/>
      <c r="AR81" s="213"/>
      <c r="AS81" s="213"/>
    </row>
    <row r="82" spans="1:45">
      <c r="A82" s="4" t="s">
        <v>1317</v>
      </c>
      <c r="B82" s="4"/>
      <c r="C82" s="4"/>
      <c r="D82" s="4"/>
      <c r="E82" s="4"/>
      <c r="F82" s="4"/>
      <c r="G82" s="4"/>
      <c r="H82" s="4"/>
      <c r="I82" s="27"/>
      <c r="J82" s="27"/>
      <c r="K82" s="27"/>
      <c r="L82" s="27"/>
      <c r="M82" s="27"/>
      <c r="N82" s="27"/>
      <c r="O82" s="27"/>
      <c r="P82" s="27"/>
      <c r="Q82" s="27"/>
      <c r="R82" s="27"/>
      <c r="S82" s="27"/>
      <c r="T82" s="27">
        <f t="shared" ref="T82:AF82" si="40">T62-S62</f>
        <v>178</v>
      </c>
      <c r="U82" s="27">
        <f t="shared" si="40"/>
        <v>199</v>
      </c>
      <c r="V82" s="27">
        <f t="shared" si="40"/>
        <v>-48</v>
      </c>
      <c r="W82" s="27">
        <f t="shared" si="40"/>
        <v>158</v>
      </c>
      <c r="X82" s="27">
        <f t="shared" si="40"/>
        <v>129</v>
      </c>
      <c r="Y82" s="27">
        <f t="shared" si="40"/>
        <v>175</v>
      </c>
      <c r="Z82" s="27">
        <f t="shared" si="40"/>
        <v>346</v>
      </c>
      <c r="AA82" s="27">
        <f t="shared" si="40"/>
        <v>296.21003055187157</v>
      </c>
      <c r="AB82" s="27">
        <f t="shared" si="40"/>
        <v>318.31518336311456</v>
      </c>
      <c r="AC82" s="27">
        <f t="shared" si="40"/>
        <v>329.61682668965341</v>
      </c>
      <c r="AD82" s="27">
        <f t="shared" si="40"/>
        <v>291.68204191733639</v>
      </c>
      <c r="AE82" s="27">
        <f t="shared" si="40"/>
        <v>183.59997081850497</v>
      </c>
      <c r="AF82" s="27">
        <f t="shared" si="40"/>
        <v>189.86912586882045</v>
      </c>
      <c r="AG82" s="213"/>
      <c r="AH82" s="1374"/>
      <c r="AI82" s="1624"/>
      <c r="AJ82" s="1624"/>
      <c r="AK82" s="1624"/>
      <c r="AL82" s="1624"/>
      <c r="AM82" s="1624"/>
      <c r="AN82" s="1624"/>
      <c r="AO82" s="1624"/>
      <c r="AP82" s="1624"/>
      <c r="AQ82" s="213"/>
      <c r="AR82" s="213"/>
      <c r="AS82" s="213"/>
    </row>
    <row r="83" spans="1:45">
      <c r="A83" s="4" t="s">
        <v>1318</v>
      </c>
      <c r="B83" s="4"/>
      <c r="C83" s="4"/>
      <c r="D83" s="4"/>
      <c r="E83" s="4"/>
      <c r="F83" s="4"/>
      <c r="G83" s="4"/>
      <c r="H83" s="4"/>
      <c r="I83" s="27"/>
      <c r="J83" s="27"/>
      <c r="K83" s="27"/>
      <c r="L83" s="27"/>
      <c r="M83" s="27"/>
      <c r="N83" s="27"/>
      <c r="O83" s="27"/>
      <c r="P83" s="27"/>
      <c r="Q83" s="27"/>
      <c r="R83" s="27"/>
      <c r="S83" s="27"/>
      <c r="T83" s="27">
        <f t="shared" ref="T83:AF83" si="41">T69-S69</f>
        <v>-1363</v>
      </c>
      <c r="U83" s="27">
        <f t="shared" si="41"/>
        <v>-470</v>
      </c>
      <c r="V83" s="27">
        <f t="shared" si="41"/>
        <v>1085</v>
      </c>
      <c r="W83" s="27">
        <f t="shared" si="41"/>
        <v>-303</v>
      </c>
      <c r="X83" s="27">
        <f t="shared" si="41"/>
        <v>-2615</v>
      </c>
      <c r="Y83" s="27">
        <f t="shared" si="41"/>
        <v>-2273</v>
      </c>
      <c r="Z83" s="27">
        <f t="shared" si="41"/>
        <v>-1392</v>
      </c>
      <c r="AA83" s="27">
        <f t="shared" si="41"/>
        <v>0</v>
      </c>
      <c r="AB83" s="27">
        <f t="shared" si="41"/>
        <v>0</v>
      </c>
      <c r="AC83" s="27">
        <f t="shared" si="41"/>
        <v>0</v>
      </c>
      <c r="AD83" s="27">
        <f t="shared" si="41"/>
        <v>0</v>
      </c>
      <c r="AE83" s="27">
        <f t="shared" si="41"/>
        <v>0</v>
      </c>
      <c r="AF83" s="27">
        <f t="shared" si="41"/>
        <v>0</v>
      </c>
      <c r="AG83" s="213"/>
      <c r="AH83" s="1374"/>
      <c r="AI83" s="1624"/>
      <c r="AJ83" s="1624"/>
      <c r="AK83" s="1624"/>
      <c r="AL83" s="1624"/>
      <c r="AM83" s="1624"/>
      <c r="AN83" s="1624"/>
      <c r="AO83" s="1624"/>
      <c r="AP83" s="1624"/>
      <c r="AQ83" s="213"/>
      <c r="AR83" s="213"/>
      <c r="AS83" s="213"/>
    </row>
    <row r="84" spans="1:45">
      <c r="A84" s="4"/>
      <c r="B84" s="4"/>
      <c r="C84" s="4"/>
      <c r="D84" s="4"/>
      <c r="E84" s="4"/>
      <c r="F84" s="4"/>
      <c r="G84" s="4"/>
      <c r="H84" s="4"/>
      <c r="I84" s="355"/>
      <c r="J84" s="355"/>
      <c r="K84" s="355"/>
      <c r="L84" s="355"/>
      <c r="M84" s="355"/>
      <c r="N84" s="355"/>
      <c r="O84" s="355"/>
      <c r="P84" s="355"/>
      <c r="Q84" s="355"/>
      <c r="R84" s="355"/>
      <c r="S84" s="355"/>
      <c r="T84" s="355"/>
      <c r="U84" s="355"/>
      <c r="V84" s="365"/>
      <c r="W84" s="365"/>
      <c r="X84" s="213"/>
      <c r="Y84" s="213"/>
      <c r="Z84" s="213"/>
      <c r="AA84" s="259">
        <f>'Cashflow Statement'!AA57</f>
        <v>3518.6013391781835</v>
      </c>
      <c r="AB84" s="259">
        <f>'Cashflow Statement'!AB57</f>
        <v>4206.2766698938904</v>
      </c>
      <c r="AC84" s="259">
        <f>'Cashflow Statement'!AC57</f>
        <v>4875.4879954339885</v>
      </c>
      <c r="AD84" s="259">
        <f>'Cashflow Statement'!AD57</f>
        <v>5449.6205658951149</v>
      </c>
      <c r="AE84" s="259">
        <f>'Cashflow Statement'!AE57</f>
        <v>6106.2307315687576</v>
      </c>
      <c r="AF84" s="259">
        <f>'Cashflow Statement'!AF57</f>
        <v>6582.9644679664161</v>
      </c>
      <c r="AG84" s="213"/>
      <c r="AH84" s="1374"/>
      <c r="AI84" s="1624"/>
      <c r="AJ84" s="1624"/>
      <c r="AK84" s="1624"/>
      <c r="AL84" s="1624"/>
      <c r="AM84" s="1624"/>
      <c r="AN84" s="1624"/>
      <c r="AO84" s="1624"/>
      <c r="AP84" s="1624"/>
      <c r="AQ84" s="213"/>
      <c r="AR84" s="213"/>
      <c r="AS84" s="213"/>
    </row>
    <row r="85" spans="1:45">
      <c r="A85" s="4" t="s">
        <v>1819</v>
      </c>
      <c r="B85" s="361"/>
      <c r="C85" s="361"/>
      <c r="D85" s="361"/>
      <c r="E85" s="361"/>
      <c r="F85" s="361"/>
      <c r="G85" s="361"/>
      <c r="H85" s="27"/>
      <c r="I85" s="27"/>
      <c r="J85" s="27"/>
      <c r="K85" s="27"/>
      <c r="L85" s="27"/>
      <c r="M85" s="27"/>
      <c r="N85" s="27"/>
      <c r="O85" s="27"/>
      <c r="P85" s="27"/>
      <c r="Q85" s="27"/>
      <c r="R85" s="27"/>
      <c r="S85" s="27"/>
      <c r="T85" s="227">
        <v>3905</v>
      </c>
      <c r="U85" s="227">
        <v>4313</v>
      </c>
      <c r="V85" s="227">
        <v>4142</v>
      </c>
      <c r="W85" s="227">
        <v>4450</v>
      </c>
      <c r="X85" s="227">
        <v>5101</v>
      </c>
      <c r="Y85" s="227">
        <v>5818</v>
      </c>
      <c r="Z85" s="227">
        <v>6459</v>
      </c>
      <c r="AA85" s="27"/>
      <c r="AB85" s="27"/>
      <c r="AC85" s="27"/>
      <c r="AD85" s="27"/>
      <c r="AE85" s="27"/>
      <c r="AF85" s="27"/>
      <c r="AG85" s="213"/>
      <c r="AH85" s="1374"/>
      <c r="AI85" s="1624"/>
      <c r="AJ85" s="1624"/>
      <c r="AK85" s="1624"/>
      <c r="AL85" s="1624"/>
      <c r="AM85" s="1624"/>
      <c r="AN85" s="1624"/>
      <c r="AO85" s="1624"/>
      <c r="AP85" s="1624"/>
      <c r="AQ85" s="213"/>
      <c r="AR85" s="213"/>
      <c r="AS85" s="213"/>
    </row>
    <row r="86" spans="1:45">
      <c r="A86" s="358" t="s">
        <v>1820</v>
      </c>
      <c r="B86" s="4"/>
      <c r="C86" s="4"/>
      <c r="D86" s="4"/>
      <c r="E86" s="4"/>
      <c r="F86" s="4"/>
      <c r="G86" s="4"/>
      <c r="H86" s="4"/>
      <c r="I86" s="355"/>
      <c r="J86" s="355"/>
      <c r="K86" s="355"/>
      <c r="L86" s="355"/>
      <c r="M86" s="355"/>
      <c r="N86" s="355"/>
      <c r="O86" s="355"/>
      <c r="P86" s="355"/>
      <c r="Q86" s="355"/>
      <c r="R86" s="355"/>
      <c r="S86" s="355"/>
      <c r="T86" s="355"/>
      <c r="U86" s="259"/>
      <c r="V86" s="259">
        <v>3600</v>
      </c>
      <c r="W86" s="259"/>
      <c r="X86" s="259"/>
      <c r="Y86" s="1459"/>
      <c r="Z86" s="1459"/>
      <c r="AA86" s="259"/>
      <c r="AB86" s="259"/>
      <c r="AC86" s="259"/>
      <c r="AD86" s="259"/>
      <c r="AE86" s="259"/>
      <c r="AF86" s="259"/>
      <c r="AG86" s="213"/>
      <c r="AH86" s="1374"/>
      <c r="AI86" s="1624"/>
      <c r="AJ86" s="1624"/>
      <c r="AK86" s="1624"/>
      <c r="AL86" s="1624"/>
      <c r="AM86" s="1624"/>
      <c r="AN86" s="1624"/>
      <c r="AO86" s="1624"/>
      <c r="AP86" s="1624"/>
      <c r="AQ86" s="213"/>
      <c r="AR86" s="213"/>
      <c r="AS86" s="213"/>
    </row>
    <row r="87" spans="1:45">
      <c r="A87" s="358" t="s">
        <v>1821</v>
      </c>
      <c r="B87" s="4"/>
      <c r="C87" s="4"/>
      <c r="D87" s="4"/>
      <c r="E87" s="4"/>
      <c r="F87" s="4"/>
      <c r="G87" s="4"/>
      <c r="H87" s="4"/>
      <c r="I87" s="355"/>
      <c r="J87" s="355"/>
      <c r="K87" s="355"/>
      <c r="L87" s="355"/>
      <c r="M87" s="355"/>
      <c r="N87" s="355"/>
      <c r="O87" s="355"/>
      <c r="P87" s="355"/>
      <c r="Q87" s="355"/>
      <c r="R87" s="355"/>
      <c r="S87" s="355"/>
      <c r="T87" s="355"/>
      <c r="U87" s="259"/>
      <c r="V87" s="259">
        <f>V85-V86</f>
        <v>542</v>
      </c>
      <c r="W87" s="259">
        <f>V87*1.1</f>
        <v>596.20000000000005</v>
      </c>
      <c r="X87" s="259">
        <f>W87*1.1</f>
        <v>655.82</v>
      </c>
      <c r="Y87" s="259">
        <f>X87*1.1</f>
        <v>721.40200000000016</v>
      </c>
      <c r="Z87" s="259">
        <f>Y87*1.1</f>
        <v>793.54220000000021</v>
      </c>
      <c r="AA87" s="259">
        <f>Z87*1.1</f>
        <v>872.89642000000026</v>
      </c>
      <c r="AB87" s="259"/>
      <c r="AC87" s="259"/>
      <c r="AD87" s="259"/>
      <c r="AE87" s="259"/>
      <c r="AF87" s="259"/>
      <c r="AG87" s="213"/>
      <c r="AH87" s="1374"/>
      <c r="AI87" s="1624"/>
      <c r="AJ87" s="1624"/>
      <c r="AK87" s="1624"/>
      <c r="AL87" s="1624"/>
      <c r="AM87" s="1624"/>
      <c r="AN87" s="1624"/>
      <c r="AO87" s="1624"/>
      <c r="AP87" s="1624"/>
      <c r="AQ87" s="213"/>
      <c r="AR87" s="213"/>
      <c r="AS87" s="213"/>
    </row>
    <row r="88" spans="1:45">
      <c r="A88" s="282" t="s">
        <v>829</v>
      </c>
      <c r="B88" s="305">
        <f t="shared" ref="B88:H88" si="42">B2</f>
        <v>2000</v>
      </c>
      <c r="C88" s="305">
        <f t="shared" si="42"/>
        <v>2001</v>
      </c>
      <c r="D88" s="305">
        <f t="shared" si="42"/>
        <v>2002</v>
      </c>
      <c r="E88" s="305">
        <f t="shared" si="42"/>
        <v>2003</v>
      </c>
      <c r="F88" s="305">
        <f t="shared" si="42"/>
        <v>2004</v>
      </c>
      <c r="G88" s="305">
        <f t="shared" si="42"/>
        <v>2005</v>
      </c>
      <c r="H88" s="305">
        <f t="shared" si="42"/>
        <v>2006</v>
      </c>
      <c r="I88" s="305">
        <f>I2</f>
        <v>2007</v>
      </c>
      <c r="J88" s="305">
        <f t="shared" ref="J88:Z88" si="43">J2</f>
        <v>2008</v>
      </c>
      <c r="K88" s="305">
        <f t="shared" si="43"/>
        <v>2009</v>
      </c>
      <c r="L88" s="305">
        <f t="shared" si="43"/>
        <v>2010</v>
      </c>
      <c r="M88" s="305">
        <f t="shared" si="43"/>
        <v>2011</v>
      </c>
      <c r="N88" s="305">
        <f t="shared" si="43"/>
        <v>2012</v>
      </c>
      <c r="O88" s="305">
        <f t="shared" si="43"/>
        <v>2013</v>
      </c>
      <c r="P88" s="305">
        <f t="shared" si="43"/>
        <v>2014</v>
      </c>
      <c r="Q88" s="305">
        <f t="shared" si="43"/>
        <v>2015</v>
      </c>
      <c r="R88" s="305">
        <f t="shared" si="43"/>
        <v>2016</v>
      </c>
      <c r="S88" s="305">
        <f t="shared" si="43"/>
        <v>2017</v>
      </c>
      <c r="T88" s="305">
        <f t="shared" si="43"/>
        <v>2018</v>
      </c>
      <c r="U88" s="305">
        <f t="shared" si="43"/>
        <v>2019</v>
      </c>
      <c r="V88" s="305">
        <f t="shared" si="43"/>
        <v>2020</v>
      </c>
      <c r="W88" s="305">
        <f t="shared" si="43"/>
        <v>2021</v>
      </c>
      <c r="X88" s="305">
        <f t="shared" si="43"/>
        <v>2022</v>
      </c>
      <c r="Y88" s="305">
        <f t="shared" si="43"/>
        <v>2023</v>
      </c>
      <c r="Z88" s="305">
        <f t="shared" si="43"/>
        <v>2024</v>
      </c>
      <c r="AA88" s="1307">
        <f>Z88+1</f>
        <v>2025</v>
      </c>
      <c r="AB88" s="1307">
        <f t="shared" ref="AB88:AF88" si="44">AA88+1</f>
        <v>2026</v>
      </c>
      <c r="AC88" s="1307">
        <f t="shared" si="44"/>
        <v>2027</v>
      </c>
      <c r="AD88" s="1307">
        <f t="shared" si="44"/>
        <v>2028</v>
      </c>
      <c r="AE88" s="1307">
        <f t="shared" si="44"/>
        <v>2029</v>
      </c>
      <c r="AF88" s="1307">
        <f t="shared" si="44"/>
        <v>2030</v>
      </c>
      <c r="AG88" s="213"/>
      <c r="AH88" s="1374"/>
      <c r="AI88" s="1624"/>
      <c r="AJ88" s="1624"/>
      <c r="AK88" s="1624"/>
      <c r="AL88" s="1624"/>
      <c r="AM88" s="1624"/>
      <c r="AN88" s="1624"/>
      <c r="AO88" s="1624"/>
      <c r="AP88" s="1624"/>
      <c r="AQ88" s="213"/>
      <c r="AR88" s="213"/>
      <c r="AS88" s="213"/>
    </row>
    <row r="89" spans="1:45">
      <c r="A89" s="19" t="str">
        <f>A30</f>
        <v>Borrowings subject to specific conditions</v>
      </c>
      <c r="B89" s="19"/>
      <c r="C89" s="19"/>
      <c r="D89" s="19"/>
      <c r="E89" s="19"/>
      <c r="F89" s="19"/>
      <c r="G89" s="19"/>
      <c r="H89" s="19"/>
      <c r="I89" s="287">
        <f t="shared" ref="I89:Q89" si="45">I30</f>
        <v>-590</v>
      </c>
      <c r="J89" s="287">
        <f t="shared" si="45"/>
        <v>-698</v>
      </c>
      <c r="K89" s="287">
        <f t="shared" si="45"/>
        <v>-696</v>
      </c>
      <c r="L89" s="287">
        <f t="shared" si="45"/>
        <v>-701</v>
      </c>
      <c r="M89" s="287">
        <f t="shared" si="45"/>
        <v>-682</v>
      </c>
      <c r="N89" s="287">
        <f t="shared" si="45"/>
        <v>-670</v>
      </c>
      <c r="O89" s="287">
        <f t="shared" si="45"/>
        <v>-670</v>
      </c>
      <c r="P89" s="287">
        <f t="shared" si="45"/>
        <v>-713</v>
      </c>
      <c r="Q89" s="287">
        <f t="shared" si="45"/>
        <v>-708</v>
      </c>
      <c r="R89" s="287">
        <f t="shared" ref="R89:AF89" si="46">R30</f>
        <v>-699</v>
      </c>
      <c r="S89" s="287">
        <f t="shared" si="46"/>
        <v>-569</v>
      </c>
      <c r="T89" s="287">
        <f t="shared" si="46"/>
        <v>-585</v>
      </c>
      <c r="U89" s="287">
        <f t="shared" si="46"/>
        <v>-505</v>
      </c>
      <c r="V89" s="287">
        <f t="shared" si="46"/>
        <v>-426</v>
      </c>
      <c r="W89" s="287">
        <f t="shared" si="46"/>
        <v>-327</v>
      </c>
      <c r="X89" s="287">
        <f t="shared" si="46"/>
        <v>-302</v>
      </c>
      <c r="Y89" s="287">
        <f t="shared" si="46"/>
        <v>-292</v>
      </c>
      <c r="Z89" s="287">
        <f t="shared" si="46"/>
        <v>-287</v>
      </c>
      <c r="AA89" s="287">
        <f t="shared" si="46"/>
        <v>-287</v>
      </c>
      <c r="AB89" s="287">
        <f t="shared" si="46"/>
        <v>-287</v>
      </c>
      <c r="AC89" s="287">
        <f t="shared" si="46"/>
        <v>-287</v>
      </c>
      <c r="AD89" s="287">
        <f t="shared" si="46"/>
        <v>-287</v>
      </c>
      <c r="AE89" s="287">
        <f t="shared" si="46"/>
        <v>-287</v>
      </c>
      <c r="AF89" s="287">
        <f t="shared" si="46"/>
        <v>-287</v>
      </c>
      <c r="AG89" s="213"/>
      <c r="AH89" s="1374"/>
      <c r="AI89" s="1624"/>
      <c r="AJ89" s="1624"/>
      <c r="AK89" s="1624"/>
      <c r="AL89" s="1624"/>
      <c r="AM89" s="1624"/>
      <c r="AN89" s="1624"/>
      <c r="AO89" s="1624"/>
      <c r="AP89" s="1624"/>
      <c r="AQ89" s="213"/>
      <c r="AR89" s="213"/>
      <c r="AS89" s="213"/>
    </row>
    <row r="90" spans="1:45">
      <c r="A90" s="19" t="str">
        <f>A31</f>
        <v>Non-current interest-bearing financial liabilities</v>
      </c>
      <c r="B90" s="19"/>
      <c r="C90" s="19"/>
      <c r="D90" s="19"/>
      <c r="E90" s="19"/>
      <c r="F90" s="19"/>
      <c r="G90" s="19"/>
      <c r="H90" s="19"/>
      <c r="I90" s="287">
        <f t="shared" ref="I90:Q90" si="47">I31</f>
        <v>-397</v>
      </c>
      <c r="J90" s="287">
        <f t="shared" si="47"/>
        <v>-418</v>
      </c>
      <c r="K90" s="287">
        <f t="shared" si="47"/>
        <v>-1208</v>
      </c>
      <c r="L90" s="287">
        <f t="shared" si="47"/>
        <v>-1483</v>
      </c>
      <c r="M90" s="287">
        <f t="shared" si="47"/>
        <v>-1447</v>
      </c>
      <c r="N90" s="287">
        <f t="shared" si="47"/>
        <v>-2259</v>
      </c>
      <c r="O90" s="287">
        <f t="shared" si="47"/>
        <v>-1301</v>
      </c>
      <c r="P90" s="287">
        <f t="shared" si="47"/>
        <v>-1658</v>
      </c>
      <c r="Q90" s="287">
        <f t="shared" si="47"/>
        <v>-1752</v>
      </c>
      <c r="R90" s="287">
        <f t="shared" ref="R90:AF90" si="48">R31</f>
        <v>-2392</v>
      </c>
      <c r="S90" s="287">
        <f t="shared" si="48"/>
        <v>-3246</v>
      </c>
      <c r="T90" s="287">
        <f t="shared" si="48"/>
        <v>-3384</v>
      </c>
      <c r="U90" s="287">
        <f t="shared" si="48"/>
        <v>-3239</v>
      </c>
      <c r="V90" s="287">
        <f t="shared" si="48"/>
        <v>-4082</v>
      </c>
      <c r="W90" s="287">
        <f t="shared" si="48"/>
        <v>-5094</v>
      </c>
      <c r="X90" s="287">
        <f t="shared" si="48"/>
        <v>-5378</v>
      </c>
      <c r="Y90" s="287">
        <f t="shared" si="48"/>
        <v>-4691</v>
      </c>
      <c r="Z90" s="287">
        <f t="shared" si="48"/>
        <v>-3788</v>
      </c>
      <c r="AA90" s="287">
        <f t="shared" si="48"/>
        <v>-3788</v>
      </c>
      <c r="AB90" s="287">
        <f t="shared" si="48"/>
        <v>-3788</v>
      </c>
      <c r="AC90" s="287">
        <f t="shared" si="48"/>
        <v>-3788</v>
      </c>
      <c r="AD90" s="287">
        <f t="shared" si="48"/>
        <v>-3788</v>
      </c>
      <c r="AE90" s="287">
        <f t="shared" si="48"/>
        <v>-3788</v>
      </c>
      <c r="AF90" s="287">
        <f t="shared" si="48"/>
        <v>-3788</v>
      </c>
      <c r="AG90" s="213"/>
      <c r="AH90" s="1374"/>
      <c r="AI90" s="1624"/>
      <c r="AJ90" s="1624"/>
      <c r="AK90" s="1624"/>
      <c r="AL90" s="1624"/>
      <c r="AM90" s="1624"/>
      <c r="AN90" s="1624"/>
      <c r="AO90" s="1624"/>
      <c r="AP90" s="1624"/>
      <c r="AQ90" s="213"/>
      <c r="AR90" s="213"/>
      <c r="AS90" s="213"/>
    </row>
    <row r="91" spans="1:45">
      <c r="A91" s="19" t="str">
        <f>A39</f>
        <v>Interest-bearing current financial liabilities</v>
      </c>
      <c r="B91" s="19"/>
      <c r="C91" s="19"/>
      <c r="D91" s="19"/>
      <c r="E91" s="19"/>
      <c r="F91" s="19"/>
      <c r="G91" s="19"/>
      <c r="H91" s="19"/>
      <c r="I91" s="287">
        <f t="shared" ref="I91:Q91" si="49">I39</f>
        <v>-502</v>
      </c>
      <c r="J91" s="287">
        <f t="shared" si="49"/>
        <v>-1136</v>
      </c>
      <c r="K91" s="287">
        <f t="shared" si="49"/>
        <v>-1367</v>
      </c>
      <c r="L91" s="287">
        <f t="shared" si="49"/>
        <v>-568</v>
      </c>
      <c r="M91" s="287">
        <f t="shared" si="49"/>
        <v>-998</v>
      </c>
      <c r="N91" s="287">
        <f t="shared" si="49"/>
        <v>-916</v>
      </c>
      <c r="O91" s="287">
        <f t="shared" si="49"/>
        <v>-1435</v>
      </c>
      <c r="P91" s="287">
        <f t="shared" si="49"/>
        <v>-1507</v>
      </c>
      <c r="Q91" s="287">
        <f t="shared" si="49"/>
        <v>-876</v>
      </c>
      <c r="R91" s="287">
        <f t="shared" ref="R91:AF91" si="50">R39</f>
        <v>-945</v>
      </c>
      <c r="S91" s="287">
        <f t="shared" si="50"/>
        <v>-1390</v>
      </c>
      <c r="T91" s="287">
        <f t="shared" si="50"/>
        <v>-2221</v>
      </c>
      <c r="U91" s="287">
        <f t="shared" si="50"/>
        <v>-3540</v>
      </c>
      <c r="V91" s="287">
        <f t="shared" si="50"/>
        <v>-2509</v>
      </c>
      <c r="W91" s="287">
        <f t="shared" si="50"/>
        <v>-1720</v>
      </c>
      <c r="X91" s="287">
        <f t="shared" si="50"/>
        <v>-1277</v>
      </c>
      <c r="Y91" s="287">
        <f t="shared" si="50"/>
        <v>-1608</v>
      </c>
      <c r="Z91" s="287">
        <f t="shared" si="50"/>
        <v>-988</v>
      </c>
      <c r="AA91" s="287">
        <f t="shared" si="50"/>
        <v>-988</v>
      </c>
      <c r="AB91" s="287">
        <f t="shared" si="50"/>
        <v>-988</v>
      </c>
      <c r="AC91" s="287">
        <f t="shared" si="50"/>
        <v>-988</v>
      </c>
      <c r="AD91" s="287">
        <f t="shared" si="50"/>
        <v>-988</v>
      </c>
      <c r="AE91" s="287">
        <f t="shared" si="50"/>
        <v>-988</v>
      </c>
      <c r="AF91" s="287">
        <f t="shared" si="50"/>
        <v>-988</v>
      </c>
      <c r="AG91" s="213"/>
      <c r="AH91" s="1374"/>
      <c r="AI91" s="1624"/>
      <c r="AJ91" s="1624"/>
      <c r="AK91" s="1624"/>
      <c r="AL91" s="1624"/>
      <c r="AM91" s="1624"/>
      <c r="AN91" s="1624"/>
      <c r="AO91" s="1624"/>
      <c r="AP91" s="1624"/>
      <c r="AQ91" s="213"/>
      <c r="AR91" s="213"/>
      <c r="AS91" s="213"/>
    </row>
    <row r="92" spans="1:45">
      <c r="A92" s="19" t="str">
        <f>A23</f>
        <v>Cash and Cash equivalents</v>
      </c>
      <c r="B92" s="19"/>
      <c r="C92" s="19"/>
      <c r="D92" s="19"/>
      <c r="E92" s="19"/>
      <c r="F92" s="19"/>
      <c r="G92" s="19"/>
      <c r="H92" s="19"/>
      <c r="I92" s="287">
        <f t="shared" ref="I92:Q92" si="51">I23</f>
        <v>730</v>
      </c>
      <c r="J92" s="287">
        <f t="shared" si="51"/>
        <v>919</v>
      </c>
      <c r="K92" s="287">
        <f t="shared" si="51"/>
        <v>2080</v>
      </c>
      <c r="L92" s="287">
        <f t="shared" si="51"/>
        <v>2062</v>
      </c>
      <c r="M92" s="287">
        <f t="shared" si="51"/>
        <v>1431</v>
      </c>
      <c r="N92" s="287">
        <f t="shared" si="51"/>
        <v>2193</v>
      </c>
      <c r="O92" s="287">
        <f t="shared" si="51"/>
        <v>1547</v>
      </c>
      <c r="P92" s="287">
        <f t="shared" si="51"/>
        <v>1633</v>
      </c>
      <c r="Q92" s="287">
        <f t="shared" si="51"/>
        <v>1845</v>
      </c>
      <c r="R92" s="287">
        <f t="shared" ref="R92:AF92" si="52">R23</f>
        <v>1926</v>
      </c>
      <c r="S92" s="287">
        <f t="shared" si="52"/>
        <v>4914</v>
      </c>
      <c r="T92" s="287">
        <f t="shared" si="52"/>
        <v>2330</v>
      </c>
      <c r="U92" s="287">
        <f t="shared" si="52"/>
        <v>2632</v>
      </c>
      <c r="V92" s="287">
        <f t="shared" si="52"/>
        <v>3747</v>
      </c>
      <c r="W92" s="287">
        <f t="shared" si="52"/>
        <v>5247</v>
      </c>
      <c r="X92" s="287">
        <f t="shared" si="52"/>
        <v>6687</v>
      </c>
      <c r="Y92" s="287">
        <f t="shared" si="52"/>
        <v>6676</v>
      </c>
      <c r="Z92" s="287">
        <f t="shared" si="52"/>
        <v>6514</v>
      </c>
      <c r="AA92" s="287">
        <f t="shared" si="52"/>
        <v>7231.7677021781838</v>
      </c>
      <c r="AB92" s="287">
        <f t="shared" si="52"/>
        <v>8445.4906324987242</v>
      </c>
      <c r="AC92" s="287">
        <f t="shared" si="52"/>
        <v>9930.261274494409</v>
      </c>
      <c r="AD92" s="287">
        <f t="shared" si="52"/>
        <v>11739.913080364604</v>
      </c>
      <c r="AE92" s="287">
        <f t="shared" si="52"/>
        <v>15225.360331352229</v>
      </c>
      <c r="AF92" s="287">
        <f t="shared" si="52"/>
        <v>19048.147557994624</v>
      </c>
      <c r="AG92" s="213"/>
      <c r="AH92" s="1374"/>
      <c r="AI92" s="1624"/>
      <c r="AJ92" s="1624"/>
      <c r="AK92" s="1624"/>
      <c r="AL92" s="1624"/>
      <c r="AM92" s="1624"/>
      <c r="AN92" s="1624"/>
      <c r="AO92" s="1624"/>
      <c r="AP92" s="1624"/>
      <c r="AQ92" s="213"/>
      <c r="AR92" s="213"/>
      <c r="AS92" s="213"/>
    </row>
    <row r="93" spans="1:45">
      <c r="A93" s="214" t="s">
        <v>2020</v>
      </c>
      <c r="B93" s="284"/>
      <c r="C93" s="284"/>
      <c r="D93" s="284"/>
      <c r="E93" s="284"/>
      <c r="F93" s="284"/>
      <c r="G93" s="284"/>
      <c r="H93" s="287"/>
      <c r="I93" s="287">
        <f t="shared" ref="I93" si="53">SUM(I89:I92)</f>
        <v>-759</v>
      </c>
      <c r="J93" s="287">
        <f t="shared" ref="J93" si="54">SUM(J89:J92)</f>
        <v>-1333</v>
      </c>
      <c r="K93" s="287">
        <f t="shared" ref="K93" si="55">SUM(K89:K92)</f>
        <v>-1191</v>
      </c>
      <c r="L93" s="287">
        <f t="shared" ref="L93" si="56">SUM(L89:L92)</f>
        <v>-690</v>
      </c>
      <c r="M93" s="287">
        <f t="shared" ref="M93" si="57">SUM(M89:M92)</f>
        <v>-1696</v>
      </c>
      <c r="N93" s="287">
        <f t="shared" ref="N93" si="58">SUM(N89:N92)</f>
        <v>-1652</v>
      </c>
      <c r="O93" s="287">
        <f t="shared" ref="O93" si="59">SUM(O89:O92)</f>
        <v>-1859</v>
      </c>
      <c r="P93" s="287">
        <f t="shared" ref="P93" si="60">SUM(P89:P92)</f>
        <v>-2245</v>
      </c>
      <c r="Q93" s="287">
        <f t="shared" ref="Q93" si="61">SUM(Q89:Q92)</f>
        <v>-1491</v>
      </c>
      <c r="R93" s="287">
        <f t="shared" ref="R93:Z93" si="62">SUM(R89:R92)</f>
        <v>-2110</v>
      </c>
      <c r="S93" s="287">
        <f t="shared" si="62"/>
        <v>-291</v>
      </c>
      <c r="T93" s="287">
        <f t="shared" si="62"/>
        <v>-3860</v>
      </c>
      <c r="U93" s="287">
        <f t="shared" si="62"/>
        <v>-4652</v>
      </c>
      <c r="V93" s="287">
        <f t="shared" si="62"/>
        <v>-3270</v>
      </c>
      <c r="W93" s="287">
        <f t="shared" si="62"/>
        <v>-1894</v>
      </c>
      <c r="X93" s="287">
        <f t="shared" si="62"/>
        <v>-270</v>
      </c>
      <c r="Y93" s="287">
        <f t="shared" si="62"/>
        <v>85</v>
      </c>
      <c r="Z93" s="287">
        <f t="shared" si="62"/>
        <v>1451</v>
      </c>
      <c r="AA93" s="287">
        <f>SUM(AA89:AA92)</f>
        <v>2168.7677021781838</v>
      </c>
      <c r="AB93" s="287">
        <f t="shared" ref="AB93:AF93" si="63">SUM(AB89:AB92)</f>
        <v>3382.4906324987242</v>
      </c>
      <c r="AC93" s="287">
        <f t="shared" si="63"/>
        <v>4867.261274494409</v>
      </c>
      <c r="AD93" s="287">
        <f t="shared" si="63"/>
        <v>6676.913080364604</v>
      </c>
      <c r="AE93" s="287">
        <f t="shared" si="63"/>
        <v>10162.360331352229</v>
      </c>
      <c r="AF93" s="287">
        <f t="shared" si="63"/>
        <v>13985.147557994624</v>
      </c>
      <c r="AG93" s="213"/>
      <c r="AH93" s="1374"/>
      <c r="AI93" s="1624"/>
      <c r="AJ93" s="1624"/>
      <c r="AK93" s="1624"/>
      <c r="AL93" s="1624"/>
      <c r="AM93" s="1624"/>
      <c r="AN93" s="1624"/>
      <c r="AO93" s="1624"/>
      <c r="AP93" s="1624"/>
      <c r="AQ93" s="213"/>
      <c r="AR93" s="213"/>
      <c r="AS93" s="213"/>
    </row>
    <row r="94" spans="1:45">
      <c r="A94" s="214" t="s">
        <v>2021</v>
      </c>
      <c r="B94" s="284"/>
      <c r="C94" s="284"/>
      <c r="D94" s="284"/>
      <c r="E94" s="284"/>
      <c r="F94" s="284"/>
      <c r="G94" s="284"/>
      <c r="H94" s="287"/>
      <c r="I94" s="287">
        <f t="shared" ref="I94" si="64">AVERAGE(H93:I93)</f>
        <v>-759</v>
      </c>
      <c r="J94" s="287">
        <f t="shared" ref="J94" si="65">AVERAGE(I93:J93)</f>
        <v>-1046</v>
      </c>
      <c r="K94" s="287">
        <f t="shared" ref="K94" si="66">AVERAGE(J93:K93)</f>
        <v>-1262</v>
      </c>
      <c r="L94" s="287">
        <f t="shared" ref="L94" si="67">AVERAGE(K93:L93)</f>
        <v>-940.5</v>
      </c>
      <c r="M94" s="287">
        <f t="shared" ref="M94" si="68">AVERAGE(L93:M93)</f>
        <v>-1193</v>
      </c>
      <c r="N94" s="287">
        <f t="shared" ref="N94" si="69">AVERAGE(M93:N93)</f>
        <v>-1674</v>
      </c>
      <c r="O94" s="287">
        <f t="shared" ref="O94" si="70">AVERAGE(N93:O93)</f>
        <v>-1755.5</v>
      </c>
      <c r="P94" s="287">
        <f t="shared" ref="P94" si="71">AVERAGE(O93:P93)</f>
        <v>-2052</v>
      </c>
      <c r="Q94" s="287">
        <f t="shared" ref="Q94" si="72">AVERAGE(P93:Q93)</f>
        <v>-1868</v>
      </c>
      <c r="R94" s="287">
        <f t="shared" ref="R94:AF94" si="73">AVERAGE(Q93:R93)</f>
        <v>-1800.5</v>
      </c>
      <c r="S94" s="287">
        <f t="shared" si="73"/>
        <v>-1200.5</v>
      </c>
      <c r="T94" s="287">
        <f t="shared" si="73"/>
        <v>-2075.5</v>
      </c>
      <c r="U94" s="287">
        <f t="shared" si="73"/>
        <v>-4256</v>
      </c>
      <c r="V94" s="287">
        <f t="shared" si="73"/>
        <v>-3961</v>
      </c>
      <c r="W94" s="287">
        <f t="shared" si="73"/>
        <v>-2582</v>
      </c>
      <c r="X94" s="287">
        <f t="shared" si="73"/>
        <v>-1082</v>
      </c>
      <c r="Y94" s="287">
        <f t="shared" si="73"/>
        <v>-92.5</v>
      </c>
      <c r="Z94" s="287">
        <f t="shared" si="73"/>
        <v>768</v>
      </c>
      <c r="AA94" s="287">
        <f t="shared" si="73"/>
        <v>1809.8838510890919</v>
      </c>
      <c r="AB94" s="287">
        <f t="shared" si="73"/>
        <v>2775.629167338454</v>
      </c>
      <c r="AC94" s="287">
        <f t="shared" si="73"/>
        <v>4124.8759534965666</v>
      </c>
      <c r="AD94" s="287">
        <f t="shared" si="73"/>
        <v>5772.0871774295065</v>
      </c>
      <c r="AE94" s="287">
        <f t="shared" si="73"/>
        <v>8419.6367058584165</v>
      </c>
      <c r="AF94" s="287">
        <f t="shared" si="73"/>
        <v>12073.753944673426</v>
      </c>
      <c r="AG94" s="213"/>
      <c r="AH94" s="1374"/>
      <c r="AI94" s="1624"/>
      <c r="AJ94" s="1624"/>
      <c r="AK94" s="1624"/>
      <c r="AL94" s="1624"/>
      <c r="AM94" s="1624"/>
      <c r="AN94" s="1624"/>
      <c r="AO94" s="1624"/>
      <c r="AP94" s="1624"/>
      <c r="AQ94" s="213"/>
      <c r="AR94" s="213"/>
      <c r="AS94" s="213"/>
    </row>
    <row r="95" spans="1:45">
      <c r="A95" s="19"/>
      <c r="B95" s="19"/>
      <c r="C95" s="19"/>
      <c r="D95" s="19"/>
      <c r="E95" s="19"/>
      <c r="F95" s="19"/>
      <c r="G95" s="19"/>
      <c r="H95" s="287"/>
      <c r="I95" s="287"/>
      <c r="J95" s="287"/>
      <c r="K95" s="287"/>
      <c r="L95" s="287"/>
      <c r="M95" s="287"/>
      <c r="N95" s="287"/>
      <c r="O95" s="287"/>
      <c r="P95" s="287"/>
      <c r="Q95" s="287"/>
      <c r="R95" s="287"/>
      <c r="S95" s="287"/>
      <c r="T95" s="287"/>
      <c r="U95" s="287"/>
      <c r="V95" s="287"/>
      <c r="W95" s="287"/>
      <c r="X95" s="287"/>
      <c r="Y95" s="287"/>
      <c r="Z95" s="287"/>
      <c r="AA95" s="287"/>
      <c r="AB95" s="287"/>
      <c r="AC95" s="287"/>
      <c r="AD95" s="287"/>
      <c r="AE95" s="287"/>
      <c r="AF95" s="287"/>
      <c r="AG95" s="213"/>
      <c r="AH95" s="1374"/>
      <c r="AI95" s="1624"/>
      <c r="AJ95" s="1624"/>
      <c r="AK95" s="1624"/>
      <c r="AL95" s="1624"/>
      <c r="AM95" s="1624"/>
      <c r="AN95" s="1624"/>
      <c r="AO95" s="1624"/>
      <c r="AP95" s="1624"/>
      <c r="AQ95" s="213"/>
      <c r="AR95" s="213"/>
      <c r="AS95" s="213"/>
    </row>
    <row r="96" spans="1:45">
      <c r="A96" s="19" t="s">
        <v>689</v>
      </c>
      <c r="B96" s="284"/>
      <c r="C96" s="284"/>
      <c r="D96" s="284"/>
      <c r="E96" s="284"/>
      <c r="F96" s="284"/>
      <c r="G96" s="284"/>
      <c r="H96" s="287"/>
      <c r="I96" s="287"/>
      <c r="J96" s="287"/>
      <c r="K96" s="287"/>
      <c r="L96" s="287"/>
      <c r="M96" s="287"/>
      <c r="N96" s="287"/>
      <c r="O96" s="287"/>
      <c r="P96" s="287"/>
      <c r="Q96" s="287"/>
      <c r="R96" s="287">
        <f>'Income Statement'!R193</f>
        <v>3130</v>
      </c>
      <c r="S96" s="287">
        <f>'Income Statement'!S193</f>
        <v>2980</v>
      </c>
      <c r="T96" s="287">
        <f>'Income Statement'!T193</f>
        <v>4232</v>
      </c>
      <c r="U96" s="287">
        <f>'Income Statement'!U193</f>
        <v>5283</v>
      </c>
      <c r="V96" s="287">
        <f>'Income Statement'!V193</f>
        <v>3133</v>
      </c>
      <c r="W96" s="287">
        <f>'Income Statement'!W193</f>
        <v>3185</v>
      </c>
      <c r="X96" s="287">
        <f>'Income Statement'!X193</f>
        <v>3781</v>
      </c>
      <c r="Y96" s="287">
        <f>'Income Statement'!Y193</f>
        <v>4502</v>
      </c>
      <c r="Z96" s="287">
        <f>'Income Statement'!Z193</f>
        <v>5525</v>
      </c>
      <c r="AA96" s="327">
        <f>'Income Statement'!AA193</f>
        <v>6751.4506385284967</v>
      </c>
      <c r="AB96" s="327">
        <f>'Income Statement'!AB193</f>
        <v>7834.0759669331374</v>
      </c>
      <c r="AC96" s="327">
        <f>'Income Statement'!AC193</f>
        <v>8780.144933085101</v>
      </c>
      <c r="AD96" s="327">
        <f>'Income Statement'!AD193</f>
        <v>9703.0962541788213</v>
      </c>
      <c r="AE96" s="327">
        <f>'Income Statement'!AE193</f>
        <v>10252.46559529691</v>
      </c>
      <c r="AF96" s="327">
        <f>'Income Statement'!AF193</f>
        <v>10799.17645372028</v>
      </c>
      <c r="AG96" s="213"/>
      <c r="AH96" s="1374"/>
      <c r="AI96" s="1624"/>
      <c r="AJ96" s="1624"/>
      <c r="AK96" s="1624"/>
      <c r="AL96" s="1624"/>
      <c r="AM96" s="1624"/>
      <c r="AN96" s="1624"/>
      <c r="AO96" s="1624"/>
      <c r="AP96" s="1624"/>
      <c r="AQ96" s="213"/>
      <c r="AR96" s="213"/>
      <c r="AS96" s="213"/>
    </row>
    <row r="97" spans="1:45">
      <c r="A97" s="19"/>
      <c r="B97" s="19"/>
      <c r="C97" s="19"/>
      <c r="D97" s="19"/>
      <c r="E97" s="19"/>
      <c r="F97" s="19"/>
      <c r="G97" s="19"/>
      <c r="H97" s="19"/>
      <c r="I97" s="19"/>
      <c r="J97" s="19"/>
      <c r="K97" s="19"/>
      <c r="L97" s="19"/>
      <c r="M97" s="19"/>
      <c r="N97" s="19"/>
      <c r="O97" s="19"/>
      <c r="P97" s="19"/>
      <c r="Q97" s="19"/>
      <c r="R97" s="19"/>
      <c r="S97" s="19"/>
      <c r="T97" s="19"/>
      <c r="U97" s="19"/>
      <c r="V97" s="19"/>
      <c r="W97" s="19"/>
      <c r="X97" s="19"/>
      <c r="Y97" s="19"/>
      <c r="Z97" s="19"/>
      <c r="AA97" s="19"/>
      <c r="AB97" s="19"/>
      <c r="AC97" s="19"/>
      <c r="AD97" s="19"/>
      <c r="AE97" s="19"/>
      <c r="AF97" s="19"/>
      <c r="AG97" s="213"/>
      <c r="AH97" s="1374"/>
      <c r="AI97" s="1624"/>
      <c r="AJ97" s="1624"/>
      <c r="AK97" s="1624"/>
      <c r="AL97" s="1624"/>
      <c r="AM97" s="1624"/>
      <c r="AN97" s="1624"/>
      <c r="AO97" s="1624"/>
      <c r="AP97" s="1624"/>
      <c r="AQ97" s="213"/>
      <c r="AR97" s="213"/>
      <c r="AS97" s="213"/>
    </row>
    <row r="98" spans="1:45">
      <c r="A98" s="19" t="s">
        <v>2042</v>
      </c>
      <c r="B98" s="366"/>
      <c r="C98" s="366"/>
      <c r="D98" s="366"/>
      <c r="E98" s="366"/>
      <c r="F98" s="366"/>
      <c r="G98" s="366"/>
      <c r="H98" s="366"/>
      <c r="I98" s="366"/>
      <c r="J98" s="366"/>
      <c r="K98" s="366"/>
      <c r="L98" s="366"/>
      <c r="M98" s="366"/>
      <c r="N98" s="366"/>
      <c r="O98" s="366"/>
      <c r="P98" s="366"/>
      <c r="Q98" s="366"/>
      <c r="R98" s="366">
        <f t="shared" ref="R98:AF98" si="74">R93/R96</f>
        <v>-0.67412140575079871</v>
      </c>
      <c r="S98" s="366">
        <f t="shared" si="74"/>
        <v>-9.7651006711409402E-2</v>
      </c>
      <c r="T98" s="366">
        <f t="shared" si="74"/>
        <v>-0.91209829867674863</v>
      </c>
      <c r="U98" s="366">
        <f t="shared" si="74"/>
        <v>-0.88056028771531325</v>
      </c>
      <c r="V98" s="366">
        <f t="shared" si="74"/>
        <v>-1.043728056176189</v>
      </c>
      <c r="W98" s="366">
        <f t="shared" si="74"/>
        <v>-0.59466248037676606</v>
      </c>
      <c r="X98" s="366">
        <f t="shared" si="74"/>
        <v>-7.1409679978841581E-2</v>
      </c>
      <c r="Y98" s="366">
        <f t="shared" si="74"/>
        <v>1.8880497556641493E-2</v>
      </c>
      <c r="Z98" s="366">
        <f t="shared" si="74"/>
        <v>0.26262443438914029</v>
      </c>
      <c r="AA98" s="366">
        <f t="shared" si="74"/>
        <v>0.32122988351594828</v>
      </c>
      <c r="AB98" s="366">
        <f t="shared" si="74"/>
        <v>0.43176638148211527</v>
      </c>
      <c r="AC98" s="366">
        <f t="shared" si="74"/>
        <v>0.55434862540295082</v>
      </c>
      <c r="AD98" s="366">
        <f t="shared" si="74"/>
        <v>0.68812190515878535</v>
      </c>
      <c r="AE98" s="366">
        <f t="shared" si="74"/>
        <v>0.99121135661396276</v>
      </c>
      <c r="AF98" s="366">
        <f t="shared" si="74"/>
        <v>1.2950198209954045</v>
      </c>
      <c r="AG98" s="213"/>
      <c r="AH98" s="1374"/>
      <c r="AI98" s="1624"/>
      <c r="AJ98" s="1624"/>
      <c r="AK98" s="1624"/>
      <c r="AL98" s="1624"/>
      <c r="AM98" s="1624"/>
      <c r="AN98" s="1624"/>
      <c r="AO98" s="1624"/>
      <c r="AP98" s="1624"/>
      <c r="AQ98" s="213"/>
      <c r="AR98" s="213"/>
      <c r="AS98" s="213"/>
    </row>
    <row r="99" spans="1:45">
      <c r="A99" s="19" t="s">
        <v>2043</v>
      </c>
      <c r="B99" s="366"/>
      <c r="C99" s="366"/>
      <c r="D99" s="366"/>
      <c r="E99" s="366"/>
      <c r="F99" s="366"/>
      <c r="G99" s="366"/>
      <c r="H99" s="366"/>
      <c r="I99" s="366"/>
      <c r="J99" s="366"/>
      <c r="K99" s="366"/>
      <c r="L99" s="366"/>
      <c r="M99" s="366"/>
      <c r="N99" s="366"/>
      <c r="O99" s="366"/>
      <c r="P99" s="366"/>
      <c r="Q99" s="366"/>
      <c r="R99" s="366">
        <f t="shared" ref="R99:AF99" si="75">R94/R96</f>
        <v>-0.57523961661341849</v>
      </c>
      <c r="S99" s="366">
        <f t="shared" si="75"/>
        <v>-0.40285234899328859</v>
      </c>
      <c r="T99" s="366">
        <f t="shared" si="75"/>
        <v>-0.49043005671077505</v>
      </c>
      <c r="U99" s="366">
        <f t="shared" si="75"/>
        <v>-0.80560287715313272</v>
      </c>
      <c r="V99" s="366">
        <f t="shared" si="75"/>
        <v>-1.2642834344079157</v>
      </c>
      <c r="W99" s="366">
        <f t="shared" si="75"/>
        <v>-0.81067503924646778</v>
      </c>
      <c r="X99" s="366">
        <f t="shared" si="75"/>
        <v>-0.28616768050780217</v>
      </c>
      <c r="Y99" s="366">
        <f t="shared" si="75"/>
        <v>-2.0546423811639271E-2</v>
      </c>
      <c r="Z99" s="366">
        <f t="shared" si="75"/>
        <v>0.13900452488687784</v>
      </c>
      <c r="AA99" s="366">
        <f t="shared" si="75"/>
        <v>0.26807332942058842</v>
      </c>
      <c r="AB99" s="366">
        <f t="shared" si="75"/>
        <v>0.35430204902966361</v>
      </c>
      <c r="AC99" s="366">
        <f t="shared" si="75"/>
        <v>0.46979588434278829</v>
      </c>
      <c r="AD99" s="366">
        <f t="shared" si="75"/>
        <v>0.59487065017454077</v>
      </c>
      <c r="AE99" s="366">
        <f t="shared" si="75"/>
        <v>0.82123042770518906</v>
      </c>
      <c r="AF99" s="366">
        <f t="shared" si="75"/>
        <v>1.1180254342926361</v>
      </c>
      <c r="AG99" s="213"/>
      <c r="AH99" s="1374"/>
      <c r="AI99" s="1624"/>
      <c r="AJ99" s="1624"/>
      <c r="AK99" s="1624"/>
      <c r="AL99" s="1624"/>
      <c r="AM99" s="1624"/>
      <c r="AN99" s="1624"/>
      <c r="AO99" s="1624"/>
      <c r="AP99" s="1624"/>
      <c r="AQ99" s="213"/>
      <c r="AR99" s="213"/>
      <c r="AS99" s="213"/>
    </row>
    <row r="100" spans="1:45">
      <c r="R100" s="366"/>
    </row>
    <row r="101" spans="1:45">
      <c r="A101" s="282" t="s">
        <v>1981</v>
      </c>
      <c r="B101" s="305">
        <f>B2</f>
        <v>2000</v>
      </c>
      <c r="C101" s="305">
        <f t="shared" ref="C101:Z101" si="76">C2</f>
        <v>2001</v>
      </c>
      <c r="D101" s="305">
        <f t="shared" si="76"/>
        <v>2002</v>
      </c>
      <c r="E101" s="305">
        <f t="shared" si="76"/>
        <v>2003</v>
      </c>
      <c r="F101" s="305">
        <f t="shared" si="76"/>
        <v>2004</v>
      </c>
      <c r="G101" s="305">
        <f t="shared" si="76"/>
        <v>2005</v>
      </c>
      <c r="H101" s="305">
        <f t="shared" si="76"/>
        <v>2006</v>
      </c>
      <c r="I101" s="305">
        <f t="shared" si="76"/>
        <v>2007</v>
      </c>
      <c r="J101" s="305">
        <f t="shared" si="76"/>
        <v>2008</v>
      </c>
      <c r="K101" s="305">
        <f t="shared" si="76"/>
        <v>2009</v>
      </c>
      <c r="L101" s="305">
        <f t="shared" si="76"/>
        <v>2010</v>
      </c>
      <c r="M101" s="305">
        <f t="shared" si="76"/>
        <v>2011</v>
      </c>
      <c r="N101" s="305">
        <f t="shared" si="76"/>
        <v>2012</v>
      </c>
      <c r="O101" s="305">
        <f t="shared" si="76"/>
        <v>2013</v>
      </c>
      <c r="P101" s="305">
        <f t="shared" si="76"/>
        <v>2014</v>
      </c>
      <c r="Q101" s="305">
        <f t="shared" si="76"/>
        <v>2015</v>
      </c>
      <c r="R101" s="305">
        <f t="shared" si="76"/>
        <v>2016</v>
      </c>
      <c r="S101" s="305">
        <f t="shared" si="76"/>
        <v>2017</v>
      </c>
      <c r="T101" s="305">
        <f t="shared" si="76"/>
        <v>2018</v>
      </c>
      <c r="U101" s="305">
        <f t="shared" si="76"/>
        <v>2019</v>
      </c>
      <c r="V101" s="305">
        <f t="shared" si="76"/>
        <v>2020</v>
      </c>
      <c r="W101" s="305">
        <f t="shared" si="76"/>
        <v>2021</v>
      </c>
      <c r="X101" s="305">
        <f t="shared" si="76"/>
        <v>2022</v>
      </c>
      <c r="Y101" s="305">
        <f t="shared" si="76"/>
        <v>2023</v>
      </c>
      <c r="Z101" s="305">
        <f t="shared" si="76"/>
        <v>2024</v>
      </c>
      <c r="AA101" s="1307">
        <f>Z101+1</f>
        <v>2025</v>
      </c>
      <c r="AB101" s="1307">
        <f t="shared" ref="AB101" si="77">AA101+1</f>
        <v>2026</v>
      </c>
      <c r="AC101" s="1307">
        <f t="shared" ref="AC101" si="78">AB101+1</f>
        <v>2027</v>
      </c>
      <c r="AD101" s="1307">
        <f t="shared" ref="AD101" si="79">AC101+1</f>
        <v>2028</v>
      </c>
      <c r="AE101" s="1307">
        <f t="shared" ref="AE101" si="80">AD101+1</f>
        <v>2029</v>
      </c>
      <c r="AF101" s="1307">
        <f t="shared" ref="AF101" si="81">AE101+1</f>
        <v>2030</v>
      </c>
      <c r="AG101" s="213"/>
      <c r="AH101" s="1374"/>
      <c r="AI101" s="1624"/>
      <c r="AJ101" s="1624"/>
      <c r="AK101" s="1624"/>
      <c r="AL101" s="1624"/>
      <c r="AM101" s="1624"/>
      <c r="AN101" s="1624"/>
      <c r="AO101" s="1624"/>
      <c r="AP101" s="1624"/>
      <c r="AQ101" s="213"/>
      <c r="AR101" s="213"/>
      <c r="AS101" s="213"/>
    </row>
    <row r="102" spans="1:45">
      <c r="A102" s="19" t="s">
        <v>2025</v>
      </c>
      <c r="B102" s="213"/>
      <c r="C102" s="213"/>
      <c r="D102" s="213"/>
      <c r="E102" s="213"/>
      <c r="F102" s="213"/>
      <c r="G102" s="213"/>
      <c r="H102" s="213"/>
      <c r="I102" s="213"/>
      <c r="J102" s="213"/>
      <c r="K102" s="213"/>
      <c r="L102" s="213"/>
      <c r="M102" s="213"/>
      <c r="N102" s="213"/>
      <c r="O102" s="213"/>
      <c r="P102" s="213"/>
      <c r="Q102" s="213"/>
      <c r="R102" s="213"/>
      <c r="S102" s="259">
        <f>'Income Statement'!S70</f>
        <v>2192</v>
      </c>
      <c r="T102" s="259">
        <f>'Income Statement'!T70</f>
        <v>3023</v>
      </c>
      <c r="U102" s="259">
        <f>'Income Statement'!U70</f>
        <v>3820</v>
      </c>
      <c r="V102" s="259">
        <f>'Income Statement'!V70</f>
        <v>1686</v>
      </c>
      <c r="W102" s="259">
        <f>'Income Statement'!W70</f>
        <v>1805</v>
      </c>
      <c r="X102" s="259">
        <f>'Income Statement'!X70</f>
        <v>2408</v>
      </c>
      <c r="Y102" s="259">
        <f>'Income Statement'!Y70</f>
        <v>3166</v>
      </c>
      <c r="Z102" s="259">
        <f>'Income Statement'!Z70</f>
        <v>4119</v>
      </c>
      <c r="AA102" s="259">
        <f>'Income Statement'!AA70</f>
        <v>5179.0617839715924</v>
      </c>
      <c r="AB102" s="259">
        <f>'Income Statement'!AB70</f>
        <v>6014.912862687469</v>
      </c>
      <c r="AC102" s="259">
        <f>'Income Statement'!AC70</f>
        <v>6844.9823785453691</v>
      </c>
      <c r="AD102" s="259">
        <f>'Income Statement'!AD70</f>
        <v>7604.1887309951189</v>
      </c>
      <c r="AE102" s="259">
        <f>'Income Statement'!AE70</f>
        <v>8050.4884032810423</v>
      </c>
      <c r="AF102" s="259">
        <f>'Income Statement'!AF70</f>
        <v>8490.6102037785913</v>
      </c>
    </row>
    <row r="103" spans="1:45">
      <c r="A103" s="19" t="s">
        <v>1982</v>
      </c>
      <c r="B103" s="213"/>
      <c r="C103" s="213"/>
      <c r="D103" s="213"/>
      <c r="E103" s="213"/>
      <c r="F103" s="213"/>
      <c r="G103" s="213"/>
      <c r="H103" s="213"/>
      <c r="I103" s="213"/>
      <c r="J103" s="213"/>
      <c r="K103" s="213"/>
      <c r="L103" s="213"/>
      <c r="M103" s="213"/>
      <c r="N103" s="213"/>
      <c r="O103" s="213"/>
      <c r="P103" s="213"/>
      <c r="Q103" s="213"/>
      <c r="R103" s="213"/>
      <c r="S103" s="259">
        <f>'Income Statement'!S88</f>
        <v>-485</v>
      </c>
      <c r="T103" s="259">
        <f>'Income Statement'!T88</f>
        <v>-638</v>
      </c>
      <c r="U103" s="259">
        <f>'Income Statement'!U88</f>
        <v>-1012</v>
      </c>
      <c r="V103" s="259">
        <f>'Income Statement'!V88</f>
        <v>-334</v>
      </c>
      <c r="W103" s="259">
        <f>'Income Statement'!W88</f>
        <v>-412</v>
      </c>
      <c r="X103" s="259">
        <f>'Income Statement'!X88</f>
        <v>-557</v>
      </c>
      <c r="Y103" s="259">
        <f>'Income Statement'!Y88</f>
        <v>-724</v>
      </c>
      <c r="Z103" s="259">
        <f>'Income Statement'!Z88</f>
        <v>-987</v>
      </c>
      <c r="AA103" s="259">
        <f>'Income Statement'!AA88</f>
        <v>-1693.7749708709096</v>
      </c>
      <c r="AB103" s="259">
        <f>'Income Statement'!AB88</f>
        <v>-1535.4602688534235</v>
      </c>
      <c r="AC103" s="259">
        <f>'Income Statement'!AC88</f>
        <v>-1747.2082279386809</v>
      </c>
      <c r="AD103" s="259">
        <f>'Income Statement'!AD88</f>
        <v>-1943.1275063694834</v>
      </c>
      <c r="AE103" s="259">
        <f>'Income Statement'!AE88</f>
        <v>-2061.5384339449183</v>
      </c>
      <c r="AF103" s="259">
        <f>'Income Statement'!AF88</f>
        <v>-2183.1988295973056</v>
      </c>
    </row>
    <row r="104" spans="1:45">
      <c r="A104" s="214" t="s">
        <v>1983</v>
      </c>
      <c r="B104" s="57"/>
      <c r="C104" s="57"/>
      <c r="D104" s="57"/>
      <c r="E104" s="57"/>
      <c r="F104" s="57"/>
      <c r="G104" s="57"/>
      <c r="H104" s="57"/>
      <c r="I104" s="57"/>
      <c r="J104" s="57"/>
      <c r="K104" s="57"/>
      <c r="L104" s="57"/>
      <c r="M104" s="57"/>
      <c r="N104" s="57"/>
      <c r="O104" s="57"/>
      <c r="P104" s="57"/>
      <c r="Q104" s="57"/>
      <c r="R104" s="57"/>
      <c r="S104" s="273">
        <f t="shared" ref="S104" si="82">S102+S103</f>
        <v>1707</v>
      </c>
      <c r="T104" s="273">
        <f t="shared" ref="T104" si="83">T102+T103</f>
        <v>2385</v>
      </c>
      <c r="U104" s="273">
        <f t="shared" ref="U104:V104" si="84">U102+U103</f>
        <v>2808</v>
      </c>
      <c r="V104" s="273">
        <f t="shared" si="84"/>
        <v>1352</v>
      </c>
      <c r="W104" s="273">
        <f>W102+W103</f>
        <v>1393</v>
      </c>
      <c r="X104" s="273">
        <f t="shared" ref="X104:AF104" si="85">X102+X103</f>
        <v>1851</v>
      </c>
      <c r="Y104" s="273">
        <f t="shared" si="85"/>
        <v>2442</v>
      </c>
      <c r="Z104" s="273">
        <f t="shared" si="85"/>
        <v>3132</v>
      </c>
      <c r="AA104" s="273">
        <f t="shared" si="85"/>
        <v>3485.2868131006826</v>
      </c>
      <c r="AB104" s="273">
        <f t="shared" si="85"/>
        <v>4479.4525938340457</v>
      </c>
      <c r="AC104" s="273">
        <f t="shared" si="85"/>
        <v>5097.7741506066886</v>
      </c>
      <c r="AD104" s="273">
        <f t="shared" si="85"/>
        <v>5661.0612246256351</v>
      </c>
      <c r="AE104" s="273">
        <f t="shared" si="85"/>
        <v>5988.949969336124</v>
      </c>
      <c r="AF104" s="273">
        <f t="shared" si="85"/>
        <v>6307.4113741812853</v>
      </c>
    </row>
    <row r="105" spans="1:45">
      <c r="A105" s="19" t="s">
        <v>1373</v>
      </c>
      <c r="B105" s="213"/>
      <c r="C105" s="213"/>
      <c r="D105" s="213"/>
      <c r="E105" s="213"/>
      <c r="F105" s="213"/>
      <c r="G105" s="213"/>
      <c r="H105" s="287"/>
      <c r="I105" s="287"/>
      <c r="J105" s="287"/>
      <c r="K105" s="287"/>
      <c r="L105" s="287"/>
      <c r="M105" s="287"/>
      <c r="N105" s="287"/>
      <c r="O105" s="287"/>
      <c r="P105" s="287"/>
      <c r="Q105" s="287"/>
      <c r="R105" s="287"/>
      <c r="S105" s="289">
        <f t="shared" ref="S105" si="86">SUM(S106:S110)</f>
        <v>9655.5770171149125</v>
      </c>
      <c r="T105" s="289">
        <f t="shared" ref="T105" si="87">SUM(T106:T110)</f>
        <v>16863.94621026895</v>
      </c>
      <c r="U105" s="289">
        <f t="shared" ref="U105:V105" si="88">SUM(U106:U110)</f>
        <v>17361.594132029342</v>
      </c>
      <c r="V105" s="289">
        <f t="shared" si="88"/>
        <v>15820.435207823961</v>
      </c>
      <c r="W105" s="289">
        <f>SUM(W106:W110)</f>
        <v>14910.457212713936</v>
      </c>
      <c r="X105" s="289">
        <f t="shared" ref="X105:AF105" si="89">SUM(X106:X110)</f>
        <v>9568.3251833740796</v>
      </c>
      <c r="Y105" s="289">
        <f t="shared" si="89"/>
        <v>10312.770171149146</v>
      </c>
      <c r="Z105" s="289">
        <f t="shared" si="89"/>
        <v>6466.0904645476767</v>
      </c>
      <c r="AA105" s="289">
        <f t="shared" si="89"/>
        <v>7111.3142702086479</v>
      </c>
      <c r="AB105" s="289">
        <f t="shared" si="89"/>
        <v>7344.7996925252592</v>
      </c>
      <c r="AC105" s="289">
        <f t="shared" si="89"/>
        <v>7851.8927096159241</v>
      </c>
      <c r="AD105" s="289">
        <f t="shared" si="89"/>
        <v>8507.4943786888034</v>
      </c>
      <c r="AE105" s="289">
        <f t="shared" si="89"/>
        <v>8890.4927651112812</v>
      </c>
      <c r="AF105" s="289">
        <f t="shared" si="89"/>
        <v>9154.9284526521078</v>
      </c>
    </row>
    <row r="106" spans="1:45">
      <c r="A106" s="19" t="s">
        <v>1376</v>
      </c>
      <c r="B106" s="213"/>
      <c r="C106" s="213"/>
      <c r="D106" s="213"/>
      <c r="E106" s="213"/>
      <c r="F106" s="213"/>
      <c r="G106" s="213"/>
      <c r="H106" s="287">
        <f>H4+H5-'Cashflow Statement'!H7</f>
        <v>4368</v>
      </c>
      <c r="I106" s="287">
        <f>I4+I5-'Cashflow Statement'!I7</f>
        <v>4310</v>
      </c>
      <c r="J106" s="287">
        <f>J4+J5-'Cashflow Statement'!J7</f>
        <v>4601</v>
      </c>
      <c r="K106" s="287">
        <f>K4+K5-'Cashflow Statement'!K7</f>
        <v>5044</v>
      </c>
      <c r="L106" s="287">
        <f>L4+L5-'Cashflow Statement'!L7</f>
        <v>5113</v>
      </c>
      <c r="M106" s="287">
        <f>M4+M5-'Cashflow Statement'!M7</f>
        <v>6283</v>
      </c>
      <c r="N106" s="287">
        <f>N4+N5-'Cashflow Statement'!N7</f>
        <v>6569</v>
      </c>
      <c r="O106" s="287">
        <f>O4+O5-'Cashflow Statement'!O7</f>
        <v>7441</v>
      </c>
      <c r="P106" s="287">
        <f>P4+P5-'Cashflow Statement'!P7</f>
        <v>8504</v>
      </c>
      <c r="Q106" s="287">
        <f>Q4+Q5-'Cashflow Statement'!Q7</f>
        <v>8501.547677261613</v>
      </c>
      <c r="R106" s="287">
        <f>R4+R5-'Cashflow Statement'!R7</f>
        <v>6640.836185819071</v>
      </c>
      <c r="S106" s="287">
        <f>S4+S5-'Cashflow Statement'!S7</f>
        <v>6991.5770171149143</v>
      </c>
      <c r="T106" s="287">
        <f>T4+T5-'Cashflow Statement'!T7</f>
        <v>14261.946210268949</v>
      </c>
      <c r="U106" s="287">
        <f>U4+U5-'Cashflow Statement'!U7</f>
        <v>13869.59413202934</v>
      </c>
      <c r="V106" s="287">
        <f>V4+V5-'Cashflow Statement'!V7</f>
        <v>12936.435207823961</v>
      </c>
      <c r="W106" s="287">
        <f>W4+W5-'Cashflow Statement'!W7</f>
        <v>12687.457212713936</v>
      </c>
      <c r="X106" s="287">
        <f>X4+X5-'Cashflow Statement'!X7</f>
        <v>12331.325183374083</v>
      </c>
      <c r="Y106" s="287">
        <f>Y4+Y5-'Cashflow Statement'!Y7</f>
        <v>11797.770171149145</v>
      </c>
      <c r="Z106" s="287">
        <f>Z4+Z5-'Cashflow Statement'!Z7</f>
        <v>12107.090464547677</v>
      </c>
      <c r="AA106" s="287">
        <f>AA4+AA5-'Cashflow Statement'!AA7</f>
        <v>11868.298869780632</v>
      </c>
      <c r="AB106" s="287">
        <f>AB4+AB5-'Cashflow Statement'!AB7</f>
        <v>11387.907033878704</v>
      </c>
      <c r="AC106" s="287">
        <f>AC4+AC5-'Cashflow Statement'!AC7</f>
        <v>11007.975149025224</v>
      </c>
      <c r="AD106" s="287">
        <f>AD4+AD5-'Cashflow Statement'!AD7</f>
        <v>10480.328238574211</v>
      </c>
      <c r="AE106" s="287">
        <f>AE4+AE5-'Cashflow Statement'!AE7</f>
        <v>9929.2672190374415</v>
      </c>
      <c r="AF106" s="287">
        <f>AF4+AF5-'Cashflow Statement'!AF7</f>
        <v>9317.3940857848374</v>
      </c>
    </row>
    <row r="107" spans="1:45">
      <c r="A107" s="19" t="s">
        <v>897</v>
      </c>
      <c r="B107" s="213"/>
      <c r="C107" s="213"/>
      <c r="D107" s="213"/>
      <c r="E107" s="213"/>
      <c r="F107" s="213"/>
      <c r="G107" s="213"/>
      <c r="H107" s="287">
        <f>H6</f>
        <v>1826</v>
      </c>
      <c r="I107" s="287">
        <f t="shared" ref="I107:AF107" si="90">I6</f>
        <v>1847</v>
      </c>
      <c r="J107" s="287">
        <f t="shared" si="90"/>
        <v>2107</v>
      </c>
      <c r="K107" s="287">
        <f t="shared" si="90"/>
        <v>2201</v>
      </c>
      <c r="L107" s="287">
        <f t="shared" si="90"/>
        <v>2253</v>
      </c>
      <c r="M107" s="287">
        <f t="shared" si="90"/>
        <v>2486</v>
      </c>
      <c r="N107" s="287">
        <f t="shared" si="90"/>
        <v>2604</v>
      </c>
      <c r="O107" s="287">
        <f t="shared" si="90"/>
        <v>2642</v>
      </c>
      <c r="P107" s="287">
        <f t="shared" si="90"/>
        <v>2928</v>
      </c>
      <c r="Q107" s="287">
        <f t="shared" si="90"/>
        <v>3272</v>
      </c>
      <c r="R107" s="287">
        <f t="shared" si="90"/>
        <v>3169</v>
      </c>
      <c r="S107" s="287">
        <f t="shared" si="90"/>
        <v>3518</v>
      </c>
      <c r="T107" s="287">
        <f t="shared" si="90"/>
        <v>4454</v>
      </c>
      <c r="U107" s="287">
        <f t="shared" si="90"/>
        <v>4398</v>
      </c>
      <c r="V107" s="287">
        <f t="shared" si="90"/>
        <v>4055</v>
      </c>
      <c r="W107" s="287">
        <f t="shared" si="90"/>
        <v>3937</v>
      </c>
      <c r="X107" s="287">
        <f t="shared" si="90"/>
        <v>3847</v>
      </c>
      <c r="Y107" s="287">
        <f t="shared" si="90"/>
        <v>4121</v>
      </c>
      <c r="Z107" s="287">
        <f t="shared" si="90"/>
        <v>4629</v>
      </c>
      <c r="AA107" s="287">
        <f t="shared" si="90"/>
        <v>5647.2600566729488</v>
      </c>
      <c r="AB107" s="287">
        <f t="shared" si="90"/>
        <v>6589.1499536917963</v>
      </c>
      <c r="AC107" s="287">
        <f t="shared" si="90"/>
        <v>7421.5875742312001</v>
      </c>
      <c r="AD107" s="287">
        <f t="shared" si="90"/>
        <v>8102.9064358194846</v>
      </c>
      <c r="AE107" s="287">
        <f t="shared" si="90"/>
        <v>8592.0688736950724</v>
      </c>
      <c r="AF107" s="287">
        <f t="shared" si="90"/>
        <v>8868.9044779336273</v>
      </c>
    </row>
    <row r="108" spans="1:45">
      <c r="A108" s="19" t="s">
        <v>2067</v>
      </c>
      <c r="B108" s="213"/>
      <c r="C108" s="213"/>
      <c r="D108" s="213"/>
      <c r="E108" s="213"/>
      <c r="F108" s="213"/>
      <c r="G108" s="213"/>
      <c r="H108" s="287">
        <f>H27-H23</f>
        <v>8182</v>
      </c>
      <c r="I108" s="287">
        <f t="shared" ref="I108:AF108" si="91">I27-I23</f>
        <v>8568</v>
      </c>
      <c r="J108" s="287">
        <f t="shared" si="91"/>
        <v>8191</v>
      </c>
      <c r="K108" s="287">
        <f t="shared" si="91"/>
        <v>7823</v>
      </c>
      <c r="L108" s="287">
        <f t="shared" si="91"/>
        <v>8111</v>
      </c>
      <c r="M108" s="287">
        <f t="shared" si="91"/>
        <v>9379</v>
      </c>
      <c r="N108" s="287">
        <f t="shared" si="91"/>
        <v>10338</v>
      </c>
      <c r="O108" s="287">
        <f t="shared" si="91"/>
        <v>10404</v>
      </c>
      <c r="P108" s="287">
        <f t="shared" si="91"/>
        <v>11142</v>
      </c>
      <c r="Q108" s="287">
        <f t="shared" si="91"/>
        <v>12276</v>
      </c>
      <c r="R108" s="287">
        <f t="shared" si="91"/>
        <v>14985</v>
      </c>
      <c r="S108" s="287">
        <f t="shared" si="91"/>
        <v>13808</v>
      </c>
      <c r="T108" s="287">
        <f t="shared" si="91"/>
        <v>15829</v>
      </c>
      <c r="U108" s="287">
        <f t="shared" si="91"/>
        <v>17440</v>
      </c>
      <c r="V108" s="287">
        <f t="shared" si="91"/>
        <v>14441</v>
      </c>
      <c r="W108" s="287">
        <f t="shared" si="91"/>
        <v>15336</v>
      </c>
      <c r="X108" s="287">
        <f t="shared" si="91"/>
        <v>18310</v>
      </c>
      <c r="Y108" s="287">
        <f t="shared" si="91"/>
        <v>22499</v>
      </c>
      <c r="Z108" s="287">
        <f t="shared" si="91"/>
        <v>25009</v>
      </c>
      <c r="AA108" s="287">
        <f t="shared" si="91"/>
        <v>26034.743645580653</v>
      </c>
      <c r="AB108" s="287">
        <f t="shared" si="91"/>
        <v>27370.874694774247</v>
      </c>
      <c r="AC108" s="287">
        <f t="shared" si="91"/>
        <v>29171.391141934855</v>
      </c>
      <c r="AD108" s="287">
        <f t="shared" si="91"/>
        <v>30880.960084245773</v>
      </c>
      <c r="AE108" s="287">
        <f t="shared" si="91"/>
        <v>32291.576244416025</v>
      </c>
      <c r="AF108" s="287">
        <f t="shared" si="91"/>
        <v>33687.107560815944</v>
      </c>
    </row>
    <row r="109" spans="1:45">
      <c r="A109" s="19" t="s">
        <v>2068</v>
      </c>
      <c r="B109" s="213"/>
      <c r="C109" s="213"/>
      <c r="D109" s="213"/>
      <c r="E109" s="213"/>
      <c r="F109" s="213"/>
      <c r="G109" s="213"/>
      <c r="H109" s="287">
        <f>H47-H39-H38</f>
        <v>-6563</v>
      </c>
      <c r="I109" s="287">
        <f t="shared" ref="I109:AF109" si="92">I47-I39-I38</f>
        <v>-7155</v>
      </c>
      <c r="J109" s="287">
        <f t="shared" si="92"/>
        <v>-7597</v>
      </c>
      <c r="K109" s="287">
        <f t="shared" si="92"/>
        <v>-7002</v>
      </c>
      <c r="L109" s="287">
        <f t="shared" si="92"/>
        <v>-7759</v>
      </c>
      <c r="M109" s="287">
        <f t="shared" si="92"/>
        <v>-9093</v>
      </c>
      <c r="N109" s="287">
        <f t="shared" si="92"/>
        <v>-9162</v>
      </c>
      <c r="O109" s="287">
        <f t="shared" si="92"/>
        <v>-9094</v>
      </c>
      <c r="P109" s="287">
        <f t="shared" si="92"/>
        <v>-11619</v>
      </c>
      <c r="Q109" s="287">
        <f t="shared" si="92"/>
        <v>-15119</v>
      </c>
      <c r="R109" s="287">
        <f t="shared" si="92"/>
        <v>-15957</v>
      </c>
      <c r="S109" s="287">
        <f t="shared" si="92"/>
        <v>-14662</v>
      </c>
      <c r="T109" s="287">
        <f t="shared" si="92"/>
        <v>-17681</v>
      </c>
      <c r="U109" s="287">
        <f t="shared" si="92"/>
        <v>-18346</v>
      </c>
      <c r="V109" s="287">
        <f t="shared" si="92"/>
        <v>-15612</v>
      </c>
      <c r="W109" s="287">
        <f t="shared" si="92"/>
        <v>-17050</v>
      </c>
      <c r="X109" s="287">
        <f t="shared" si="92"/>
        <v>-25132</v>
      </c>
      <c r="Y109" s="287">
        <f t="shared" si="92"/>
        <v>-28105</v>
      </c>
      <c r="Z109" s="287">
        <f t="shared" si="92"/>
        <v>-35279</v>
      </c>
      <c r="AA109" s="287">
        <f t="shared" si="92"/>
        <v>-36438.988301825586</v>
      </c>
      <c r="AB109" s="287">
        <f t="shared" si="92"/>
        <v>-38003.131989819485</v>
      </c>
      <c r="AC109" s="287">
        <f t="shared" si="92"/>
        <v>-39749.061155575349</v>
      </c>
      <c r="AD109" s="287">
        <f t="shared" si="92"/>
        <v>-40956.700379950664</v>
      </c>
      <c r="AE109" s="287">
        <f t="shared" si="92"/>
        <v>-41922.419572037252</v>
      </c>
      <c r="AF109" s="287">
        <f t="shared" si="92"/>
        <v>-42718.477671882298</v>
      </c>
    </row>
    <row r="110" spans="1:45">
      <c r="A110" s="19" t="s">
        <v>1984</v>
      </c>
      <c r="B110" s="213"/>
      <c r="C110" s="213"/>
      <c r="D110" s="213"/>
      <c r="E110" s="213"/>
      <c r="F110" s="213"/>
      <c r="G110" s="213"/>
      <c r="H110" s="287">
        <f>H26</f>
        <v>151</v>
      </c>
      <c r="I110" s="287">
        <f t="shared" ref="I110:AF110" si="93">I26</f>
        <v>1142</v>
      </c>
      <c r="J110" s="287">
        <f t="shared" si="93"/>
        <v>264</v>
      </c>
      <c r="K110" s="287">
        <f t="shared" si="93"/>
        <v>0</v>
      </c>
      <c r="L110" s="287">
        <f t="shared" si="93"/>
        <v>0</v>
      </c>
      <c r="M110" s="287">
        <f t="shared" si="93"/>
        <v>0</v>
      </c>
      <c r="N110" s="287">
        <f t="shared" si="93"/>
        <v>0</v>
      </c>
      <c r="O110" s="287">
        <f t="shared" si="93"/>
        <v>-15</v>
      </c>
      <c r="P110" s="287">
        <f t="shared" si="93"/>
        <v>0</v>
      </c>
      <c r="Q110" s="287">
        <f t="shared" si="93"/>
        <v>0</v>
      </c>
      <c r="R110" s="287">
        <f t="shared" si="93"/>
        <v>3234</v>
      </c>
      <c r="S110" s="287">
        <f t="shared" si="93"/>
        <v>0</v>
      </c>
      <c r="T110" s="287">
        <f t="shared" si="93"/>
        <v>0</v>
      </c>
      <c r="U110" s="287">
        <f t="shared" si="93"/>
        <v>0</v>
      </c>
      <c r="V110" s="287">
        <f t="shared" si="93"/>
        <v>0</v>
      </c>
      <c r="W110" s="287">
        <f t="shared" si="93"/>
        <v>0</v>
      </c>
      <c r="X110" s="287">
        <f t="shared" si="93"/>
        <v>212</v>
      </c>
      <c r="Y110" s="287">
        <f t="shared" si="93"/>
        <v>0</v>
      </c>
      <c r="Z110" s="287">
        <f t="shared" si="93"/>
        <v>0</v>
      </c>
      <c r="AA110" s="287">
        <f t="shared" si="93"/>
        <v>0</v>
      </c>
      <c r="AB110" s="287">
        <f t="shared" si="93"/>
        <v>0</v>
      </c>
      <c r="AC110" s="287">
        <f t="shared" si="93"/>
        <v>0</v>
      </c>
      <c r="AD110" s="287">
        <f t="shared" si="93"/>
        <v>0</v>
      </c>
      <c r="AE110" s="287">
        <f t="shared" si="93"/>
        <v>0</v>
      </c>
      <c r="AF110" s="287">
        <f t="shared" si="93"/>
        <v>0</v>
      </c>
    </row>
    <row r="111" spans="1:45">
      <c r="A111" s="214" t="s">
        <v>1985</v>
      </c>
      <c r="B111" s="213"/>
      <c r="C111" s="213"/>
      <c r="D111" s="213"/>
      <c r="E111" s="213"/>
      <c r="F111" s="213"/>
      <c r="G111" s="213"/>
      <c r="H111" s="287"/>
      <c r="I111" s="287"/>
      <c r="J111" s="287"/>
      <c r="K111" s="287"/>
      <c r="L111" s="287"/>
      <c r="M111" s="287"/>
      <c r="N111" s="287"/>
      <c r="O111" s="287"/>
      <c r="P111" s="287"/>
      <c r="Q111" s="287"/>
      <c r="R111" s="287"/>
      <c r="S111" s="1469">
        <f t="shared" ref="S111:V111" si="94">S104/S105</f>
        <v>0.17678902016671519</v>
      </c>
      <c r="T111" s="1469">
        <f t="shared" si="94"/>
        <v>0.14142597291657061</v>
      </c>
      <c r="U111" s="1469">
        <f t="shared" si="94"/>
        <v>0.16173630017186572</v>
      </c>
      <c r="V111" s="1469">
        <f t="shared" si="94"/>
        <v>8.5459090236112562E-2</v>
      </c>
      <c r="W111" s="1469">
        <f>W104/W105</f>
        <v>9.3424365204053478E-2</v>
      </c>
      <c r="X111" s="1469">
        <f>X104/AVERAGE(W105:X105)</f>
        <v>0.15123301233282016</v>
      </c>
      <c r="Y111" s="1469">
        <f t="shared" ref="Y111:AF111" si="95">Y104/AVERAGE(X105:Y105)</f>
        <v>0.24566050878523762</v>
      </c>
      <c r="Z111" s="1469">
        <f t="shared" si="95"/>
        <v>0.37332689841129113</v>
      </c>
      <c r="AA111" s="1469">
        <f>AA104/AVERAGE(Z105:AA105)</f>
        <v>0.51339514158826227</v>
      </c>
      <c r="AB111" s="1469">
        <f t="shared" si="95"/>
        <v>0.61973122311867856</v>
      </c>
      <c r="AC111" s="1469">
        <f t="shared" si="95"/>
        <v>0.67090574918637202</v>
      </c>
      <c r="AD111" s="1469">
        <f t="shared" si="95"/>
        <v>0.69208720278679747</v>
      </c>
      <c r="AE111" s="1469">
        <f t="shared" si="95"/>
        <v>0.68846469650028863</v>
      </c>
      <c r="AF111" s="1469">
        <f t="shared" si="95"/>
        <v>0.69905947864186757</v>
      </c>
    </row>
    <row r="112" spans="1:45">
      <c r="B112" s="213"/>
      <c r="C112" s="213"/>
      <c r="D112" s="213"/>
      <c r="E112" s="213"/>
      <c r="F112" s="213"/>
      <c r="G112" s="213"/>
      <c r="H112" s="213"/>
      <c r="I112" s="213"/>
      <c r="J112" s="213"/>
      <c r="K112" s="213"/>
      <c r="L112" s="213"/>
      <c r="M112" s="213"/>
      <c r="N112" s="213"/>
      <c r="O112" s="213"/>
      <c r="P112" s="213"/>
      <c r="Q112" s="213"/>
      <c r="R112" s="213"/>
      <c r="S112" s="213"/>
      <c r="T112" s="213"/>
      <c r="U112" s="213"/>
      <c r="V112" s="213"/>
      <c r="W112" s="213"/>
      <c r="X112" s="213"/>
      <c r="Y112" s="213"/>
      <c r="Z112" s="213"/>
      <c r="AA112" s="213"/>
      <c r="AB112" s="213"/>
      <c r="AC112" s="213"/>
      <c r="AD112" s="213"/>
      <c r="AE112" s="213"/>
      <c r="AF112" s="213"/>
    </row>
    <row r="113" spans="1:32">
      <c r="A113" s="282" t="s">
        <v>1351</v>
      </c>
      <c r="B113" s="282">
        <f>B2</f>
        <v>2000</v>
      </c>
      <c r="C113" s="282">
        <f t="shared" ref="C113:Z113" si="96">C2</f>
        <v>2001</v>
      </c>
      <c r="D113" s="282">
        <f t="shared" si="96"/>
        <v>2002</v>
      </c>
      <c r="E113" s="282">
        <f t="shared" si="96"/>
        <v>2003</v>
      </c>
      <c r="F113" s="282">
        <f t="shared" si="96"/>
        <v>2004</v>
      </c>
      <c r="G113" s="282">
        <f t="shared" si="96"/>
        <v>2005</v>
      </c>
      <c r="H113" s="282">
        <f t="shared" si="96"/>
        <v>2006</v>
      </c>
      <c r="I113" s="282">
        <f t="shared" si="96"/>
        <v>2007</v>
      </c>
      <c r="J113" s="282">
        <f t="shared" si="96"/>
        <v>2008</v>
      </c>
      <c r="K113" s="282">
        <f t="shared" si="96"/>
        <v>2009</v>
      </c>
      <c r="L113" s="282">
        <f t="shared" si="96"/>
        <v>2010</v>
      </c>
      <c r="M113" s="282">
        <f t="shared" si="96"/>
        <v>2011</v>
      </c>
      <c r="N113" s="282">
        <f t="shared" si="96"/>
        <v>2012</v>
      </c>
      <c r="O113" s="282">
        <f t="shared" si="96"/>
        <v>2013</v>
      </c>
      <c r="P113" s="282">
        <f t="shared" si="96"/>
        <v>2014</v>
      </c>
      <c r="Q113" s="282">
        <f t="shared" si="96"/>
        <v>2015</v>
      </c>
      <c r="R113" s="282">
        <f t="shared" si="96"/>
        <v>2016</v>
      </c>
      <c r="S113" s="282">
        <f t="shared" si="96"/>
        <v>2017</v>
      </c>
      <c r="T113" s="282">
        <f t="shared" si="96"/>
        <v>2018</v>
      </c>
      <c r="U113" s="282">
        <f t="shared" si="96"/>
        <v>2019</v>
      </c>
      <c r="V113" s="282">
        <f t="shared" si="96"/>
        <v>2020</v>
      </c>
      <c r="W113" s="282">
        <f t="shared" si="96"/>
        <v>2021</v>
      </c>
      <c r="X113" s="282">
        <f t="shared" si="96"/>
        <v>2022</v>
      </c>
      <c r="Y113" s="282">
        <f t="shared" si="96"/>
        <v>2023</v>
      </c>
      <c r="Z113" s="282">
        <f t="shared" si="96"/>
        <v>2024</v>
      </c>
      <c r="AA113" s="1307">
        <f>Z113+1</f>
        <v>2025</v>
      </c>
      <c r="AB113" s="1307">
        <f t="shared" ref="AB113" si="97">AA113+1</f>
        <v>2026</v>
      </c>
      <c r="AC113" s="1307">
        <f t="shared" ref="AC113" si="98">AB113+1</f>
        <v>2027</v>
      </c>
      <c r="AD113" s="1307">
        <f t="shared" ref="AD113" si="99">AC113+1</f>
        <v>2028</v>
      </c>
      <c r="AE113" s="1307">
        <f t="shared" ref="AE113" si="100">AD113+1</f>
        <v>2029</v>
      </c>
      <c r="AF113" s="1307">
        <f t="shared" ref="AF113" si="101">AE113+1</f>
        <v>2030</v>
      </c>
    </row>
    <row r="114" spans="1:32">
      <c r="A114" s="214" t="s">
        <v>1356</v>
      </c>
      <c r="B114" s="213"/>
      <c r="C114" s="213"/>
      <c r="D114" s="213"/>
      <c r="E114" s="213"/>
      <c r="F114" s="213"/>
      <c r="G114" s="213"/>
      <c r="H114" s="213"/>
      <c r="I114" s="213"/>
      <c r="J114" s="213"/>
      <c r="K114" s="213"/>
      <c r="L114" s="213"/>
      <c r="M114" s="213"/>
      <c r="N114" s="213"/>
      <c r="O114" s="213"/>
      <c r="P114" s="213"/>
      <c r="Q114" s="213"/>
      <c r="R114" s="213"/>
      <c r="S114" s="213"/>
      <c r="T114" s="213"/>
      <c r="U114" s="213"/>
      <c r="V114" s="213"/>
      <c r="W114" s="213"/>
      <c r="X114" s="213"/>
      <c r="Y114" s="1263"/>
      <c r="Z114" s="213"/>
      <c r="AA114" s="371"/>
      <c r="AB114" s="213"/>
      <c r="AC114" s="213"/>
      <c r="AD114" s="213"/>
      <c r="AE114" s="213"/>
      <c r="AF114" s="213"/>
    </row>
    <row r="115" spans="1:32">
      <c r="A115" s="19" t="s">
        <v>1352</v>
      </c>
      <c r="B115" s="213"/>
      <c r="C115" s="213"/>
      <c r="D115" s="213"/>
      <c r="E115" s="213"/>
      <c r="F115" s="213"/>
      <c r="G115" s="213"/>
      <c r="H115" s="213"/>
      <c r="I115" s="213"/>
      <c r="J115" s="213"/>
      <c r="K115" s="213"/>
      <c r="L115" s="213"/>
      <c r="M115" s="213"/>
      <c r="N115" s="213"/>
      <c r="O115" s="213"/>
      <c r="P115" s="213"/>
      <c r="Q115" s="213"/>
      <c r="R115" s="213"/>
      <c r="S115" s="213"/>
      <c r="T115" s="213"/>
      <c r="U115" s="292">
        <v>608</v>
      </c>
      <c r="V115" s="19">
        <f>608-V117</f>
        <v>494</v>
      </c>
      <c r="W115" s="19">
        <f>609-W117</f>
        <v>512</v>
      </c>
      <c r="X115" s="19">
        <f>587-X117</f>
        <v>481</v>
      </c>
      <c r="Y115" s="19">
        <f>580-Y117</f>
        <v>469</v>
      </c>
      <c r="Z115" s="292">
        <v>530</v>
      </c>
      <c r="AA115" s="300">
        <f>AA116*'Income Statement'!AA9</f>
        <v>601.37871907141323</v>
      </c>
      <c r="AB115" s="300">
        <f>AB116*'Income Statement'!AB9</f>
        <v>669.76514779328772</v>
      </c>
      <c r="AC115" s="300">
        <f>AC116*'Income Statement'!AC9</f>
        <v>740.57960717843332</v>
      </c>
      <c r="AD115" s="300">
        <f>AD116*'Income Statement'!AD9</f>
        <v>803.24420570082407</v>
      </c>
      <c r="AE115" s="300">
        <f>AE116*'Income Statement'!AE9</f>
        <v>842.68858967604615</v>
      </c>
      <c r="AF115" s="300">
        <f>AF116*'Income Statement'!AF9</f>
        <v>883.47983094052859</v>
      </c>
    </row>
    <row r="116" spans="1:32">
      <c r="A116" s="19" t="s">
        <v>1353</v>
      </c>
      <c r="B116" s="213"/>
      <c r="C116" s="213"/>
      <c r="D116" s="213"/>
      <c r="E116" s="213"/>
      <c r="F116" s="213"/>
      <c r="G116" s="213"/>
      <c r="H116" s="213"/>
      <c r="I116" s="213"/>
      <c r="J116" s="213"/>
      <c r="K116" s="213"/>
      <c r="L116" s="213"/>
      <c r="M116" s="213"/>
      <c r="N116" s="213"/>
      <c r="O116" s="213"/>
      <c r="P116" s="213"/>
      <c r="Q116" s="213"/>
      <c r="R116" s="213"/>
      <c r="S116" s="213"/>
      <c r="T116" s="213"/>
      <c r="U116" s="380">
        <f>U115/'Income Statement'!U$9</f>
        <v>2.4675324675324677E-2</v>
      </c>
      <c r="V116" s="380">
        <f>V115/'Income Statement'!V$9</f>
        <v>2.9943023396775365E-2</v>
      </c>
      <c r="W116" s="380">
        <f>W115/'Income Statement'!W$9</f>
        <v>3.3558366651373142E-2</v>
      </c>
      <c r="X116" s="380">
        <f>X115/'Income Statement'!X$9</f>
        <v>2.5269240872077752E-2</v>
      </c>
      <c r="Y116" s="380">
        <f>Y115/'Income Statement'!Y$9</f>
        <v>2.0216388637441268E-2</v>
      </c>
      <c r="Z116" s="380">
        <f>Z115/'Income Statement'!Z$9</f>
        <v>1.9401837683493794E-2</v>
      </c>
      <c r="AA116" s="330">
        <f t="shared" ref="AA116:AF116" si="102">Z116</f>
        <v>1.9401837683493794E-2</v>
      </c>
      <c r="AB116" s="330">
        <f t="shared" si="102"/>
        <v>1.9401837683493794E-2</v>
      </c>
      <c r="AC116" s="330">
        <f t="shared" si="102"/>
        <v>1.9401837683493794E-2</v>
      </c>
      <c r="AD116" s="330">
        <f t="shared" si="102"/>
        <v>1.9401837683493794E-2</v>
      </c>
      <c r="AE116" s="330">
        <f t="shared" si="102"/>
        <v>1.9401837683493794E-2</v>
      </c>
      <c r="AF116" s="330">
        <f t="shared" si="102"/>
        <v>1.9401837683493794E-2</v>
      </c>
    </row>
    <row r="117" spans="1:32">
      <c r="A117" s="19" t="s">
        <v>1354</v>
      </c>
      <c r="B117" s="213"/>
      <c r="C117" s="213"/>
      <c r="D117" s="213"/>
      <c r="E117" s="213"/>
      <c r="F117" s="213"/>
      <c r="G117" s="213"/>
      <c r="H117" s="213"/>
      <c r="I117" s="213"/>
      <c r="J117" s="213"/>
      <c r="K117" s="213"/>
      <c r="L117" s="213"/>
      <c r="M117" s="213"/>
      <c r="N117" s="213"/>
      <c r="O117" s="213"/>
      <c r="P117" s="213"/>
      <c r="Q117" s="213"/>
      <c r="R117" s="213"/>
      <c r="S117" s="213"/>
      <c r="T117" s="213"/>
      <c r="U117" s="292">
        <v>121</v>
      </c>
      <c r="V117" s="292">
        <v>114</v>
      </c>
      <c r="W117" s="292">
        <v>97</v>
      </c>
      <c r="X117" s="292">
        <v>106</v>
      </c>
      <c r="Y117" s="292">
        <v>111</v>
      </c>
      <c r="Z117" s="292">
        <v>125</v>
      </c>
      <c r="AA117" s="300">
        <f>AA118*'Income Statement'!AA9</f>
        <v>141.83460355457859</v>
      </c>
      <c r="AB117" s="300">
        <f>AB118*'Income Statement'!AB9</f>
        <v>157.96347825313393</v>
      </c>
      <c r="AC117" s="300">
        <f>AC118*'Income Statement'!AC9</f>
        <v>174.66500169302674</v>
      </c>
      <c r="AD117" s="300">
        <f>AD118*'Income Statement'!AD9</f>
        <v>189.44438813698682</v>
      </c>
      <c r="AE117" s="300">
        <f>AE118*'Income Statement'!AE9</f>
        <v>198.74730888585998</v>
      </c>
      <c r="AF117" s="300">
        <f>AF118*'Income Statement'!AF9</f>
        <v>208.36788465578505</v>
      </c>
    </row>
    <row r="118" spans="1:32">
      <c r="A118" s="19" t="s">
        <v>1353</v>
      </c>
      <c r="B118" s="213"/>
      <c r="C118" s="213"/>
      <c r="D118" s="213"/>
      <c r="E118" s="213"/>
      <c r="F118" s="213"/>
      <c r="G118" s="213"/>
      <c r="H118" s="213"/>
      <c r="I118" s="213"/>
      <c r="J118" s="213"/>
      <c r="K118" s="213"/>
      <c r="L118" s="213"/>
      <c r="M118" s="213"/>
      <c r="N118" s="213"/>
      <c r="O118" s="213"/>
      <c r="P118" s="213"/>
      <c r="Q118" s="213"/>
      <c r="R118" s="213"/>
      <c r="S118" s="213"/>
      <c r="T118" s="213"/>
      <c r="U118" s="380">
        <f>U117/'Income Statement'!U$9</f>
        <v>4.9107142857142856E-3</v>
      </c>
      <c r="V118" s="380">
        <f>V117/'Income Statement'!V$9</f>
        <v>6.9099284761789306E-3</v>
      </c>
      <c r="W118" s="380">
        <f>W117/'Income Statement'!W$9</f>
        <v>6.3577374319984271E-3</v>
      </c>
      <c r="X118" s="380">
        <f>X117/'Income Statement'!X$9</f>
        <v>5.568689256632519E-3</v>
      </c>
      <c r="Y118" s="380">
        <f>Y117/'Income Statement'!Y$9</f>
        <v>4.7846889952153108E-3</v>
      </c>
      <c r="Z118" s="380">
        <f>Z117/'Income Statement'!Z$9</f>
        <v>4.5759051140315558E-3</v>
      </c>
      <c r="AA118" s="330">
        <f t="shared" ref="AA118:AF118" si="103">Z118</f>
        <v>4.5759051140315558E-3</v>
      </c>
      <c r="AB118" s="330">
        <f t="shared" si="103"/>
        <v>4.5759051140315558E-3</v>
      </c>
      <c r="AC118" s="330">
        <f t="shared" si="103"/>
        <v>4.5759051140315558E-3</v>
      </c>
      <c r="AD118" s="330">
        <f t="shared" si="103"/>
        <v>4.5759051140315558E-3</v>
      </c>
      <c r="AE118" s="330">
        <f t="shared" si="103"/>
        <v>4.5759051140315558E-3</v>
      </c>
      <c r="AF118" s="330">
        <f t="shared" si="103"/>
        <v>4.5759051140315558E-3</v>
      </c>
    </row>
    <row r="119" spans="1:32">
      <c r="A119" s="19" t="s">
        <v>1355</v>
      </c>
      <c r="B119" s="213"/>
      <c r="C119" s="213"/>
      <c r="D119" s="213"/>
      <c r="E119" s="213"/>
      <c r="F119" s="213"/>
      <c r="G119" s="213"/>
      <c r="H119" s="213"/>
      <c r="I119" s="213"/>
      <c r="J119" s="213"/>
      <c r="K119" s="213"/>
      <c r="L119" s="213"/>
      <c r="M119" s="213"/>
      <c r="N119" s="213"/>
      <c r="O119" s="213"/>
      <c r="P119" s="213"/>
      <c r="Q119" s="213"/>
      <c r="R119" s="213"/>
      <c r="S119" s="213"/>
      <c r="T119" s="213"/>
      <c r="U119" s="287">
        <f t="shared" ref="U119:AF119" si="104">SUM(U115,U117)</f>
        <v>729</v>
      </c>
      <c r="V119" s="287">
        <f t="shared" si="104"/>
        <v>608</v>
      </c>
      <c r="W119" s="287">
        <f t="shared" si="104"/>
        <v>609</v>
      </c>
      <c r="X119" s="287">
        <f t="shared" si="104"/>
        <v>587</v>
      </c>
      <c r="Y119" s="287">
        <f t="shared" si="104"/>
        <v>580</v>
      </c>
      <c r="Z119" s="287">
        <f t="shared" si="104"/>
        <v>655</v>
      </c>
      <c r="AA119" s="287">
        <f t="shared" si="104"/>
        <v>743.21332262599185</v>
      </c>
      <c r="AB119" s="287">
        <f t="shared" si="104"/>
        <v>827.7286260464216</v>
      </c>
      <c r="AC119" s="287">
        <f t="shared" si="104"/>
        <v>915.24460887146006</v>
      </c>
      <c r="AD119" s="287">
        <f t="shared" si="104"/>
        <v>992.68859383781091</v>
      </c>
      <c r="AE119" s="287">
        <f t="shared" si="104"/>
        <v>1041.435898561906</v>
      </c>
      <c r="AF119" s="287">
        <f t="shared" si="104"/>
        <v>1091.8477155963137</v>
      </c>
    </row>
    <row r="120" spans="1:32">
      <c r="A120" s="214" t="s">
        <v>1357</v>
      </c>
      <c r="B120" s="213"/>
      <c r="C120" s="213"/>
      <c r="D120" s="213"/>
      <c r="E120" s="213"/>
      <c r="F120" s="213"/>
      <c r="G120" s="213"/>
      <c r="H120" s="213"/>
      <c r="I120" s="213"/>
      <c r="J120" s="213"/>
      <c r="K120" s="213"/>
      <c r="L120" s="213"/>
      <c r="M120" s="213"/>
      <c r="N120" s="213"/>
      <c r="O120" s="213"/>
      <c r="P120" s="213"/>
      <c r="Q120" s="213"/>
      <c r="R120" s="213"/>
      <c r="S120" s="213"/>
      <c r="T120" s="213"/>
      <c r="U120" s="19"/>
      <c r="V120" s="19"/>
      <c r="W120" s="19"/>
      <c r="X120" s="4"/>
      <c r="Y120" s="4"/>
      <c r="Z120" s="4"/>
      <c r="AA120" s="4"/>
      <c r="AB120" s="4"/>
      <c r="AC120" s="4"/>
      <c r="AD120" s="4"/>
      <c r="AE120" s="4"/>
      <c r="AF120" s="4"/>
    </row>
    <row r="121" spans="1:32">
      <c r="A121" s="19" t="s">
        <v>1358</v>
      </c>
      <c r="B121" s="213"/>
      <c r="C121" s="213"/>
      <c r="D121" s="213"/>
      <c r="E121" s="213"/>
      <c r="F121" s="213"/>
      <c r="G121" s="213"/>
      <c r="H121" s="213"/>
      <c r="I121" s="213"/>
      <c r="J121" s="213"/>
      <c r="K121" s="213"/>
      <c r="L121" s="213"/>
      <c r="M121" s="213"/>
      <c r="N121" s="213"/>
      <c r="O121" s="213"/>
      <c r="P121" s="213"/>
      <c r="Q121" s="213"/>
      <c r="R121" s="213"/>
      <c r="S121" s="213"/>
      <c r="T121" s="213"/>
      <c r="U121" s="292">
        <v>125</v>
      </c>
      <c r="V121" s="292">
        <v>129</v>
      </c>
      <c r="W121" s="292">
        <v>115</v>
      </c>
      <c r="X121" s="292">
        <f t="shared" ref="X121:AF121" si="105">W121</f>
        <v>115</v>
      </c>
      <c r="Y121" s="292">
        <f t="shared" si="105"/>
        <v>115</v>
      </c>
      <c r="Z121" s="292">
        <f t="shared" si="105"/>
        <v>115</v>
      </c>
      <c r="AA121" s="287">
        <f t="shared" si="105"/>
        <v>115</v>
      </c>
      <c r="AB121" s="287">
        <f t="shared" si="105"/>
        <v>115</v>
      </c>
      <c r="AC121" s="287">
        <f t="shared" si="105"/>
        <v>115</v>
      </c>
      <c r="AD121" s="287">
        <f t="shared" si="105"/>
        <v>115</v>
      </c>
      <c r="AE121" s="287">
        <f t="shared" si="105"/>
        <v>115</v>
      </c>
      <c r="AF121" s="287">
        <f t="shared" si="105"/>
        <v>115</v>
      </c>
    </row>
    <row r="122" spans="1:32">
      <c r="A122" s="19" t="s">
        <v>1359</v>
      </c>
      <c r="B122" s="213"/>
      <c r="C122" s="213"/>
      <c r="D122" s="213"/>
      <c r="E122" s="213"/>
      <c r="F122" s="213"/>
      <c r="G122" s="213"/>
      <c r="H122" s="213"/>
      <c r="I122" s="213"/>
      <c r="J122" s="213"/>
      <c r="K122" s="213"/>
      <c r="L122" s="213"/>
      <c r="M122" s="213"/>
      <c r="N122" s="213"/>
      <c r="O122" s="213"/>
      <c r="P122" s="213"/>
      <c r="Q122" s="213"/>
      <c r="R122" s="213"/>
      <c r="S122" s="213"/>
      <c r="T122" s="213"/>
      <c r="U122" s="292">
        <v>10</v>
      </c>
      <c r="V122" s="292">
        <v>8</v>
      </c>
      <c r="W122" s="292">
        <v>8</v>
      </c>
      <c r="X122" s="292">
        <f t="shared" ref="X122:AF122" si="106">W122</f>
        <v>8</v>
      </c>
      <c r="Y122" s="292">
        <f t="shared" si="106"/>
        <v>8</v>
      </c>
      <c r="Z122" s="292">
        <f t="shared" si="106"/>
        <v>8</v>
      </c>
      <c r="AA122" s="287">
        <f t="shared" si="106"/>
        <v>8</v>
      </c>
      <c r="AB122" s="287">
        <f t="shared" si="106"/>
        <v>8</v>
      </c>
      <c r="AC122" s="287">
        <f t="shared" si="106"/>
        <v>8</v>
      </c>
      <c r="AD122" s="287">
        <f t="shared" si="106"/>
        <v>8</v>
      </c>
      <c r="AE122" s="287">
        <f t="shared" si="106"/>
        <v>8</v>
      </c>
      <c r="AF122" s="287">
        <f t="shared" si="106"/>
        <v>8</v>
      </c>
    </row>
    <row r="123" spans="1:32">
      <c r="A123" s="19"/>
      <c r="B123" s="213"/>
      <c r="C123" s="213"/>
      <c r="D123" s="213"/>
      <c r="E123" s="213"/>
      <c r="F123" s="213"/>
      <c r="G123" s="213"/>
      <c r="H123" s="213"/>
      <c r="I123" s="213"/>
      <c r="J123" s="213"/>
      <c r="K123" s="213"/>
      <c r="L123" s="213"/>
      <c r="M123" s="213"/>
      <c r="N123" s="213"/>
      <c r="O123" s="213"/>
      <c r="P123" s="213"/>
      <c r="Q123" s="213"/>
      <c r="R123" s="213"/>
      <c r="S123" s="213"/>
      <c r="T123" s="213"/>
      <c r="U123" s="19"/>
      <c r="V123" s="19"/>
      <c r="W123" s="19"/>
      <c r="X123" s="4"/>
      <c r="Y123" s="19"/>
      <c r="Z123" s="19"/>
      <c r="AA123" s="4"/>
      <c r="AB123" s="4"/>
      <c r="AC123" s="4"/>
      <c r="AD123" s="4"/>
      <c r="AE123" s="4"/>
      <c r="AF123" s="4"/>
    </row>
    <row r="124" spans="1:32">
      <c r="A124" s="19" t="s">
        <v>1360</v>
      </c>
      <c r="B124" s="213"/>
      <c r="C124" s="213"/>
      <c r="D124" s="213"/>
      <c r="E124" s="213"/>
      <c r="F124" s="213"/>
      <c r="G124" s="213"/>
      <c r="H124" s="213"/>
      <c r="I124" s="213"/>
      <c r="J124" s="213"/>
      <c r="K124" s="213"/>
      <c r="L124" s="213"/>
      <c r="M124" s="213"/>
      <c r="N124" s="213"/>
      <c r="O124" s="213"/>
      <c r="P124" s="213"/>
      <c r="Q124" s="213"/>
      <c r="R124" s="213"/>
      <c r="S124" s="213"/>
      <c r="T124" s="213"/>
      <c r="U124" s="292">
        <v>112</v>
      </c>
      <c r="V124" s="359">
        <v>111</v>
      </c>
      <c r="W124" s="359">
        <v>101</v>
      </c>
      <c r="X124" s="359">
        <v>103</v>
      </c>
      <c r="Y124" s="359">
        <v>106</v>
      </c>
      <c r="Z124" s="359">
        <v>124</v>
      </c>
      <c r="AA124" s="300">
        <f>AA125*'Income Statement'!AA9</f>
        <v>140.69992672614194</v>
      </c>
      <c r="AB124" s="300">
        <f>AB125*'Income Statement'!AB9</f>
        <v>156.69977042710883</v>
      </c>
      <c r="AC124" s="300">
        <f>AC125*'Income Statement'!AC9</f>
        <v>173.26768167948251</v>
      </c>
      <c r="AD124" s="300">
        <f>AD125*'Income Statement'!AD9</f>
        <v>187.92883303189092</v>
      </c>
      <c r="AE124" s="300">
        <f>AE125*'Income Statement'!AE9</f>
        <v>197.15733041477307</v>
      </c>
      <c r="AF124" s="300">
        <f>AF125*'Income Statement'!AF9</f>
        <v>206.70094157853876</v>
      </c>
    </row>
    <row r="125" spans="1:32">
      <c r="A125" s="19"/>
      <c r="B125" s="213"/>
      <c r="C125" s="213"/>
      <c r="D125" s="213"/>
      <c r="E125" s="213"/>
      <c r="F125" s="213"/>
      <c r="G125" s="213"/>
      <c r="H125" s="213"/>
      <c r="I125" s="213"/>
      <c r="J125" s="213"/>
      <c r="K125" s="213"/>
      <c r="L125" s="213"/>
      <c r="M125" s="213"/>
      <c r="N125" s="213"/>
      <c r="O125" s="213"/>
      <c r="P125" s="213"/>
      <c r="Q125" s="213"/>
      <c r="R125" s="213"/>
      <c r="S125" s="213"/>
      <c r="T125" s="213"/>
      <c r="U125" s="380">
        <f>U124/'Income Statement'!U9</f>
        <v>4.5454545454545452E-3</v>
      </c>
      <c r="V125" s="380">
        <f>V124/'Income Statement'!V9</f>
        <v>6.7280882531215907E-3</v>
      </c>
      <c r="W125" s="380">
        <f>W124/'Income Statement'!W9</f>
        <v>6.6199121714622796E-3</v>
      </c>
      <c r="X125" s="380">
        <f>X124/'Income Statement'!X9</f>
        <v>5.4110848437089569E-3</v>
      </c>
      <c r="Y125" s="380">
        <f>Y124/'Income Statement'!Y9</f>
        <v>4.569162463899306E-3</v>
      </c>
      <c r="Z125" s="380">
        <f>Z124/'Income Statement'!Z9</f>
        <v>4.5392978731193028E-3</v>
      </c>
      <c r="AA125" s="330">
        <f t="shared" ref="AA125:AF125" si="107">Z125</f>
        <v>4.5392978731193028E-3</v>
      </c>
      <c r="AB125" s="330">
        <f t="shared" si="107"/>
        <v>4.5392978731193028E-3</v>
      </c>
      <c r="AC125" s="330">
        <f t="shared" si="107"/>
        <v>4.5392978731193028E-3</v>
      </c>
      <c r="AD125" s="330">
        <f t="shared" si="107"/>
        <v>4.5392978731193028E-3</v>
      </c>
      <c r="AE125" s="330">
        <f t="shared" si="107"/>
        <v>4.5392978731193028E-3</v>
      </c>
      <c r="AF125" s="330">
        <f t="shared" si="107"/>
        <v>4.5392978731193028E-3</v>
      </c>
    </row>
    <row r="126" spans="1:32">
      <c r="A126" s="282" t="s">
        <v>815</v>
      </c>
      <c r="B126" s="282">
        <f>B2</f>
        <v>2000</v>
      </c>
      <c r="C126" s="282">
        <f t="shared" ref="C126:Z126" si="108">C2</f>
        <v>2001</v>
      </c>
      <c r="D126" s="282">
        <f t="shared" si="108"/>
        <v>2002</v>
      </c>
      <c r="E126" s="282">
        <f t="shared" si="108"/>
        <v>2003</v>
      </c>
      <c r="F126" s="282">
        <f t="shared" si="108"/>
        <v>2004</v>
      </c>
      <c r="G126" s="282">
        <f t="shared" si="108"/>
        <v>2005</v>
      </c>
      <c r="H126" s="282">
        <f t="shared" si="108"/>
        <v>2006</v>
      </c>
      <c r="I126" s="282">
        <f t="shared" si="108"/>
        <v>2007</v>
      </c>
      <c r="J126" s="282">
        <f t="shared" si="108"/>
        <v>2008</v>
      </c>
      <c r="K126" s="282">
        <f t="shared" si="108"/>
        <v>2009</v>
      </c>
      <c r="L126" s="282">
        <f t="shared" si="108"/>
        <v>2010</v>
      </c>
      <c r="M126" s="282">
        <f t="shared" si="108"/>
        <v>2011</v>
      </c>
      <c r="N126" s="282">
        <f t="shared" si="108"/>
        <v>2012</v>
      </c>
      <c r="O126" s="282">
        <f t="shared" si="108"/>
        <v>2013</v>
      </c>
      <c r="P126" s="282">
        <f t="shared" si="108"/>
        <v>2014</v>
      </c>
      <c r="Q126" s="282">
        <f t="shared" si="108"/>
        <v>2015</v>
      </c>
      <c r="R126" s="282">
        <f t="shared" si="108"/>
        <v>2016</v>
      </c>
      <c r="S126" s="282">
        <f t="shared" si="108"/>
        <v>2017</v>
      </c>
      <c r="T126" s="282">
        <f t="shared" si="108"/>
        <v>2018</v>
      </c>
      <c r="U126" s="282">
        <f t="shared" si="108"/>
        <v>2019</v>
      </c>
      <c r="V126" s="282">
        <f t="shared" si="108"/>
        <v>2020</v>
      </c>
      <c r="W126" s="282">
        <f t="shared" si="108"/>
        <v>2021</v>
      </c>
      <c r="X126" s="282">
        <f t="shared" si="108"/>
        <v>2022</v>
      </c>
      <c r="Y126" s="282">
        <f t="shared" si="108"/>
        <v>2023</v>
      </c>
      <c r="Z126" s="282">
        <f t="shared" si="108"/>
        <v>2024</v>
      </c>
      <c r="AA126" s="1307">
        <f>Z126+1</f>
        <v>2025</v>
      </c>
      <c r="AB126" s="1307">
        <f t="shared" ref="AB126" si="109">AA126+1</f>
        <v>2026</v>
      </c>
      <c r="AC126" s="1307">
        <f t="shared" ref="AC126" si="110">AB126+1</f>
        <v>2027</v>
      </c>
      <c r="AD126" s="1307">
        <f t="shared" ref="AD126" si="111">AC126+1</f>
        <v>2028</v>
      </c>
      <c r="AE126" s="1307">
        <f t="shared" ref="AE126" si="112">AD126+1</f>
        <v>2029</v>
      </c>
      <c r="AF126" s="1307">
        <f t="shared" ref="AF126" si="113">AE126+1</f>
        <v>2030</v>
      </c>
    </row>
    <row r="127" spans="1:32">
      <c r="A127" s="19" t="s">
        <v>814</v>
      </c>
      <c r="B127" s="292"/>
      <c r="C127" s="292"/>
      <c r="D127" s="292"/>
      <c r="E127" s="292"/>
      <c r="F127" s="292"/>
      <c r="G127" s="292"/>
      <c r="H127" s="293">
        <v>5404</v>
      </c>
      <c r="I127" s="293">
        <v>5591</v>
      </c>
      <c r="J127" s="293">
        <v>6187</v>
      </c>
      <c r="K127" s="293">
        <v>7048</v>
      </c>
      <c r="L127" s="293">
        <v>7339</v>
      </c>
      <c r="M127" s="293">
        <v>8923</v>
      </c>
      <c r="N127" s="287">
        <f t="shared" ref="N127:AF127" si="114">N128+N129</f>
        <v>9631</v>
      </c>
      <c r="O127" s="287">
        <f t="shared" si="114"/>
        <v>11067</v>
      </c>
      <c r="P127" s="287">
        <f t="shared" si="114"/>
        <v>12560</v>
      </c>
      <c r="Q127" s="287">
        <f t="shared" si="114"/>
        <v>12935</v>
      </c>
      <c r="R127" s="287">
        <f t="shared" si="114"/>
        <v>10635</v>
      </c>
      <c r="S127" s="287">
        <f t="shared" si="114"/>
        <v>11199</v>
      </c>
      <c r="T127" s="287">
        <f t="shared" si="114"/>
        <v>19703</v>
      </c>
      <c r="U127" s="287">
        <f t="shared" si="114"/>
        <v>20172</v>
      </c>
      <c r="V127" s="287">
        <f t="shared" si="114"/>
        <v>20181</v>
      </c>
      <c r="W127" s="287">
        <f t="shared" si="114"/>
        <v>20761</v>
      </c>
      <c r="X127" s="287">
        <f t="shared" si="114"/>
        <v>21110</v>
      </c>
      <c r="Y127" s="287">
        <f t="shared" si="114"/>
        <v>21196</v>
      </c>
      <c r="Z127" s="287">
        <f t="shared" si="114"/>
        <v>22300</v>
      </c>
      <c r="AA127" s="287">
        <f t="shared" si="114"/>
        <v>23022</v>
      </c>
      <c r="AB127" s="287">
        <f t="shared" si="114"/>
        <v>23744</v>
      </c>
      <c r="AC127" s="287">
        <f t="shared" si="114"/>
        <v>24466</v>
      </c>
      <c r="AD127" s="287">
        <f t="shared" si="114"/>
        <v>25188</v>
      </c>
      <c r="AE127" s="287">
        <f t="shared" si="114"/>
        <v>25910</v>
      </c>
      <c r="AF127" s="287">
        <f t="shared" si="114"/>
        <v>26632</v>
      </c>
    </row>
    <row r="128" spans="1:32">
      <c r="A128" s="291" t="s">
        <v>813</v>
      </c>
      <c r="B128" s="19"/>
      <c r="C128" s="19"/>
      <c r="D128" s="19"/>
      <c r="E128" s="19"/>
      <c r="F128" s="19"/>
      <c r="G128" s="19"/>
      <c r="H128" s="287"/>
      <c r="I128" s="287"/>
      <c r="J128" s="287"/>
      <c r="K128" s="287"/>
      <c r="L128" s="287"/>
      <c r="M128" s="287">
        <f>M127-M129</f>
        <v>3126</v>
      </c>
      <c r="N128" s="293">
        <v>3078</v>
      </c>
      <c r="O128" s="293">
        <v>3399</v>
      </c>
      <c r="P128" s="293">
        <v>3420</v>
      </c>
      <c r="Q128" s="293">
        <v>3590</v>
      </c>
      <c r="R128" s="293">
        <v>1864</v>
      </c>
      <c r="S128" s="287">
        <f>'Balance Sheet'!S4</f>
        <v>1831</v>
      </c>
      <c r="T128" s="287">
        <f>'Balance Sheet'!T4</f>
        <v>5173</v>
      </c>
      <c r="U128" s="287">
        <f>'Balance Sheet'!U4</f>
        <v>5199</v>
      </c>
      <c r="V128" s="287">
        <f>'Balance Sheet'!V4</f>
        <v>5060</v>
      </c>
      <c r="W128" s="287">
        <f>'Balance Sheet'!W4</f>
        <v>5068</v>
      </c>
      <c r="X128" s="287">
        <f>'Balance Sheet'!X4</f>
        <v>4994</v>
      </c>
      <c r="Y128" s="287">
        <f>'Balance Sheet'!Y4</f>
        <v>4706</v>
      </c>
      <c r="Z128" s="287">
        <f>'Balance Sheet'!Z4</f>
        <v>4937</v>
      </c>
      <c r="AA128" s="287">
        <f>'Balance Sheet'!AA4</f>
        <v>5109</v>
      </c>
      <c r="AB128" s="287">
        <f>'Balance Sheet'!AB4</f>
        <v>5281</v>
      </c>
      <c r="AC128" s="287">
        <f>'Balance Sheet'!AC4</f>
        <v>5453</v>
      </c>
      <c r="AD128" s="287">
        <f>'Balance Sheet'!AD4</f>
        <v>5625</v>
      </c>
      <c r="AE128" s="287">
        <f>'Balance Sheet'!AE4</f>
        <v>5797</v>
      </c>
      <c r="AF128" s="287">
        <f>'Balance Sheet'!AF4</f>
        <v>5969</v>
      </c>
    </row>
    <row r="129" spans="1:32">
      <c r="A129" s="291" t="s">
        <v>812</v>
      </c>
      <c r="B129" s="19"/>
      <c r="C129" s="19"/>
      <c r="D129" s="19"/>
      <c r="E129" s="19"/>
      <c r="F129" s="19"/>
      <c r="G129" s="19"/>
      <c r="H129" s="287"/>
      <c r="I129" s="287"/>
      <c r="J129" s="287"/>
      <c r="K129" s="287"/>
      <c r="L129" s="287"/>
      <c r="M129" s="293">
        <v>5797</v>
      </c>
      <c r="N129" s="293">
        <v>6553</v>
      </c>
      <c r="O129" s="293">
        <v>7668</v>
      </c>
      <c r="P129" s="293">
        <v>9140</v>
      </c>
      <c r="Q129" s="293">
        <v>9345</v>
      </c>
      <c r="R129" s="293">
        <v>8771</v>
      </c>
      <c r="S129" s="293">
        <v>9368</v>
      </c>
      <c r="T129" s="293">
        <v>14530</v>
      </c>
      <c r="U129" s="293">
        <v>14973</v>
      </c>
      <c r="V129" s="293">
        <v>15121</v>
      </c>
      <c r="W129" s="293">
        <v>15693</v>
      </c>
      <c r="X129" s="293">
        <v>16116</v>
      </c>
      <c r="Y129" s="293">
        <v>16490</v>
      </c>
      <c r="Z129" s="293">
        <v>17363</v>
      </c>
      <c r="AA129" s="287">
        <f>Z129-'Cashflow Statement'!AA26</f>
        <v>17913</v>
      </c>
      <c r="AB129" s="287">
        <f>AA129-'Cashflow Statement'!AB26</f>
        <v>18463</v>
      </c>
      <c r="AC129" s="287">
        <f>AB129-'Cashflow Statement'!AC26</f>
        <v>19013</v>
      </c>
      <c r="AD129" s="287">
        <f>AC129-'Cashflow Statement'!AD26</f>
        <v>19563</v>
      </c>
      <c r="AE129" s="287">
        <f>AD129-'Cashflow Statement'!AE26</f>
        <v>20113</v>
      </c>
      <c r="AF129" s="287">
        <f>AE129-'Cashflow Statement'!AF26</f>
        <v>20663</v>
      </c>
    </row>
    <row r="130" spans="1:32">
      <c r="A130" s="19" t="s">
        <v>811</v>
      </c>
      <c r="B130" s="292"/>
      <c r="C130" s="292"/>
      <c r="D130" s="292"/>
      <c r="E130" s="292"/>
      <c r="F130" s="292"/>
      <c r="G130" s="292"/>
      <c r="H130" s="293">
        <v>759</v>
      </c>
      <c r="I130" s="293">
        <v>1049</v>
      </c>
      <c r="J130" s="293">
        <v>1319</v>
      </c>
      <c r="K130" s="293">
        <v>1705</v>
      </c>
      <c r="L130" s="293">
        <v>1911</v>
      </c>
      <c r="M130" s="293">
        <v>2299</v>
      </c>
      <c r="N130" s="293">
        <v>2681</v>
      </c>
      <c r="O130" s="293">
        <v>3048</v>
      </c>
      <c r="P130" s="293">
        <v>3604</v>
      </c>
      <c r="Q130" s="293">
        <v>4024</v>
      </c>
      <c r="R130" s="293">
        <v>3593</v>
      </c>
      <c r="S130" s="293">
        <v>3914</v>
      </c>
      <c r="T130" s="293">
        <v>4773</v>
      </c>
      <c r="U130" s="293">
        <v>5494</v>
      </c>
      <c r="V130" s="293">
        <v>6445</v>
      </c>
      <c r="W130" s="293">
        <v>7311</v>
      </c>
      <c r="X130" s="293">
        <v>8020</v>
      </c>
      <c r="Y130" s="293">
        <v>8660</v>
      </c>
      <c r="Z130" s="293">
        <v>9416</v>
      </c>
      <c r="AA130" s="287">
        <f>Z130+'Cashflow Statement'!AA7</f>
        <v>10284.850565109684</v>
      </c>
      <c r="AB130" s="287">
        <f>AA130+'Cashflow Statement'!AB7</f>
        <v>11320.47176561549</v>
      </c>
      <c r="AC130" s="287">
        <f>AB130+'Cashflow Statement'!AC7</f>
        <v>12389.248308295133</v>
      </c>
      <c r="AD130" s="287">
        <f>AC130+'Cashflow Statement'!AD7</f>
        <v>13548.46003486046</v>
      </c>
      <c r="AE130" s="287">
        <f>AD130+'Cashflow Statement'!AE7</f>
        <v>14764.596407911507</v>
      </c>
      <c r="AF130" s="287">
        <f>AE130+'Cashflow Statement'!AF7</f>
        <v>16039.601161063334</v>
      </c>
    </row>
    <row r="131" spans="1:32">
      <c r="A131" s="19" t="s">
        <v>1376</v>
      </c>
      <c r="B131" s="19"/>
      <c r="C131" s="19"/>
      <c r="D131" s="19"/>
      <c r="E131" s="19"/>
      <c r="F131" s="19"/>
      <c r="G131" s="19"/>
      <c r="H131" s="287">
        <f t="shared" ref="H131:AF131" si="115">H127-H130</f>
        <v>4645</v>
      </c>
      <c r="I131" s="287">
        <f t="shared" si="115"/>
        <v>4542</v>
      </c>
      <c r="J131" s="287">
        <f t="shared" si="115"/>
        <v>4868</v>
      </c>
      <c r="K131" s="287">
        <f t="shared" si="115"/>
        <v>5343</v>
      </c>
      <c r="L131" s="287">
        <f t="shared" si="115"/>
        <v>5428</v>
      </c>
      <c r="M131" s="287">
        <f t="shared" si="115"/>
        <v>6624</v>
      </c>
      <c r="N131" s="287">
        <f t="shared" si="115"/>
        <v>6950</v>
      </c>
      <c r="O131" s="287">
        <f t="shared" si="115"/>
        <v>8019</v>
      </c>
      <c r="P131" s="287">
        <f t="shared" si="115"/>
        <v>8956</v>
      </c>
      <c r="Q131" s="287">
        <f t="shared" si="115"/>
        <v>8911</v>
      </c>
      <c r="R131" s="287">
        <f t="shared" si="115"/>
        <v>7042</v>
      </c>
      <c r="S131" s="287">
        <f t="shared" si="115"/>
        <v>7285</v>
      </c>
      <c r="T131" s="287">
        <f t="shared" si="115"/>
        <v>14930</v>
      </c>
      <c r="U131" s="287">
        <f t="shared" si="115"/>
        <v>14678</v>
      </c>
      <c r="V131" s="287">
        <f t="shared" si="115"/>
        <v>13736</v>
      </c>
      <c r="W131" s="287">
        <f t="shared" si="115"/>
        <v>13450</v>
      </c>
      <c r="X131" s="287">
        <f t="shared" si="115"/>
        <v>13090</v>
      </c>
      <c r="Y131" s="287">
        <f t="shared" si="115"/>
        <v>12536</v>
      </c>
      <c r="Z131" s="287">
        <f t="shared" si="115"/>
        <v>12884</v>
      </c>
      <c r="AA131" s="287">
        <f t="shared" si="115"/>
        <v>12737.149434890316</v>
      </c>
      <c r="AB131" s="287">
        <f t="shared" si="115"/>
        <v>12423.52823438451</v>
      </c>
      <c r="AC131" s="287">
        <f t="shared" si="115"/>
        <v>12076.751691704867</v>
      </c>
      <c r="AD131" s="287">
        <f t="shared" si="115"/>
        <v>11639.53996513954</v>
      </c>
      <c r="AE131" s="287">
        <f t="shared" si="115"/>
        <v>11145.403592088493</v>
      </c>
      <c r="AF131" s="287">
        <f t="shared" si="115"/>
        <v>10592.398838936666</v>
      </c>
    </row>
    <row r="132" spans="1:32">
      <c r="A132" s="19" t="s">
        <v>810</v>
      </c>
      <c r="B132" s="292"/>
      <c r="C132" s="292"/>
      <c r="D132" s="292"/>
      <c r="E132" s="292"/>
      <c r="F132" s="292"/>
      <c r="G132" s="292"/>
      <c r="H132" s="293">
        <v>4871</v>
      </c>
      <c r="I132" s="293">
        <v>4881</v>
      </c>
      <c r="J132" s="293">
        <v>5238</v>
      </c>
      <c r="K132" s="293">
        <v>5436</v>
      </c>
      <c r="L132" s="293">
        <v>5750</v>
      </c>
      <c r="M132" s="293">
        <v>6434</v>
      </c>
      <c r="N132" s="293">
        <v>6768</v>
      </c>
      <c r="O132" s="293">
        <v>6510</v>
      </c>
      <c r="P132" s="293">
        <v>7299</v>
      </c>
      <c r="Q132" s="293">
        <v>8105</v>
      </c>
      <c r="R132" s="293">
        <v>7385</v>
      </c>
      <c r="S132" s="293">
        <v>7889</v>
      </c>
      <c r="T132" s="293">
        <v>9636</v>
      </c>
      <c r="U132" s="293">
        <v>9934</v>
      </c>
      <c r="V132" s="293">
        <v>10006</v>
      </c>
      <c r="W132" s="293">
        <v>10490</v>
      </c>
      <c r="X132" s="293">
        <v>10619</v>
      </c>
      <c r="Y132" s="293">
        <v>11317</v>
      </c>
      <c r="Z132" s="293">
        <v>12251</v>
      </c>
      <c r="AA132" s="287">
        <f>Z132-'Cashflow Statement'!AA28-'Cashflow Statement'!AA31</f>
        <v>13972.798346120169</v>
      </c>
      <c r="AB132" s="287">
        <f>AA132-'Cashflow Statement'!AB28-'Cashflow Statement'!AB31</f>
        <v>15698.230146878879</v>
      </c>
      <c r="AC132" s="287">
        <f>AB132-'Cashflow Statement'!AC28-'Cashflow Statement'!AC31</f>
        <v>17397.053779278373</v>
      </c>
      <c r="AD132" s="287">
        <f>AC132-'Cashflow Statement'!AD28-'Cashflow Statement'!AD31</f>
        <v>19018.068437485032</v>
      </c>
      <c r="AE132" s="287">
        <f>AD132-'Cashflow Statement'!AE28-'Cashflow Statement'!AE31</f>
        <v>20493.071694325441</v>
      </c>
      <c r="AF132" s="287">
        <f>AE132-'Cashflow Statement'!AF28-'Cashflow Statement'!AF31</f>
        <v>21803.468795353856</v>
      </c>
    </row>
    <row r="133" spans="1:32">
      <c r="A133" s="19" t="s">
        <v>809</v>
      </c>
      <c r="B133" s="292"/>
      <c r="C133" s="292"/>
      <c r="D133" s="292"/>
      <c r="E133" s="292"/>
      <c r="F133" s="292"/>
      <c r="G133" s="292"/>
      <c r="H133" s="293">
        <v>3045</v>
      </c>
      <c r="I133" s="293">
        <v>3034</v>
      </c>
      <c r="J133" s="293">
        <v>3131</v>
      </c>
      <c r="K133" s="293">
        <v>3235</v>
      </c>
      <c r="L133" s="293">
        <v>3497</v>
      </c>
      <c r="M133" s="293">
        <v>3948</v>
      </c>
      <c r="N133" s="293">
        <v>4165</v>
      </c>
      <c r="O133" s="293">
        <v>4047</v>
      </c>
      <c r="P133" s="293">
        <v>4371</v>
      </c>
      <c r="Q133" s="293">
        <v>4743</v>
      </c>
      <c r="R133" s="293">
        <v>4216</v>
      </c>
      <c r="S133" s="293">
        <v>4371</v>
      </c>
      <c r="T133" s="293">
        <v>5182</v>
      </c>
      <c r="U133" s="293">
        <v>5536</v>
      </c>
      <c r="V133" s="293">
        <v>5951</v>
      </c>
      <c r="W133" s="293">
        <v>6553</v>
      </c>
      <c r="X133" s="293">
        <v>6772</v>
      </c>
      <c r="Y133" s="293">
        <v>7196</v>
      </c>
      <c r="Z133" s="293">
        <v>7622</v>
      </c>
      <c r="AA133" s="287">
        <f>Z133+'Cashflow Statement'!AA5</f>
        <v>8325.5382894472204</v>
      </c>
      <c r="AB133" s="287">
        <f>AA133+'Cashflow Statement'!AB5</f>
        <v>9109.0801931870828</v>
      </c>
      <c r="AC133" s="287">
        <f>AB133+'Cashflow Statement'!AC5</f>
        <v>9975.4662050471707</v>
      </c>
      <c r="AD133" s="287">
        <f>AC133+'Cashflow Statement'!AD5</f>
        <v>10915.162001665545</v>
      </c>
      <c r="AE133" s="287">
        <f>AD133+'Cashflow Statement'!AE5</f>
        <v>11901.002820630365</v>
      </c>
      <c r="AF133" s="287">
        <f>AE133+'Cashflow Statement'!AF5</f>
        <v>12934.564317420227</v>
      </c>
    </row>
    <row r="134" spans="1:32">
      <c r="A134" s="4" t="s">
        <v>643</v>
      </c>
      <c r="B134" s="4"/>
      <c r="C134" s="4"/>
      <c r="D134" s="4"/>
      <c r="E134" s="4"/>
      <c r="F134" s="4"/>
      <c r="G134" s="4"/>
      <c r="H134" s="27">
        <f>'Balance Sheet'!H6</f>
        <v>1826</v>
      </c>
      <c r="I134" s="27">
        <f>'Balance Sheet'!I6</f>
        <v>1847</v>
      </c>
      <c r="J134" s="27">
        <f>'Balance Sheet'!J6</f>
        <v>2107</v>
      </c>
      <c r="K134" s="27">
        <f>'Balance Sheet'!K6</f>
        <v>2201</v>
      </c>
      <c r="L134" s="27">
        <f>'Balance Sheet'!L6</f>
        <v>2253</v>
      </c>
      <c r="M134" s="27">
        <f>'Balance Sheet'!M6</f>
        <v>2486</v>
      </c>
      <c r="N134" s="27">
        <f>'Balance Sheet'!N6</f>
        <v>2604</v>
      </c>
      <c r="O134" s="27">
        <f>'Balance Sheet'!O6</f>
        <v>2642</v>
      </c>
      <c r="P134" s="27">
        <f>'Balance Sheet'!P6</f>
        <v>2928</v>
      </c>
      <c r="Q134" s="27">
        <f>'Balance Sheet'!Q6</f>
        <v>3272</v>
      </c>
      <c r="R134" s="27">
        <f>'Balance Sheet'!R6</f>
        <v>3169</v>
      </c>
      <c r="S134" s="27">
        <f>'Balance Sheet'!S6</f>
        <v>3518</v>
      </c>
      <c r="T134" s="27">
        <f>'Balance Sheet'!T6</f>
        <v>4454</v>
      </c>
      <c r="U134" s="27">
        <f>'Balance Sheet'!U6</f>
        <v>4398</v>
      </c>
      <c r="V134" s="27">
        <f>'Balance Sheet'!V6</f>
        <v>4055</v>
      </c>
      <c r="W134" s="27">
        <f>'Balance Sheet'!W6</f>
        <v>3937</v>
      </c>
      <c r="X134" s="27">
        <f>'Balance Sheet'!X6</f>
        <v>3847</v>
      </c>
      <c r="Y134" s="27">
        <f>'Balance Sheet'!Y6</f>
        <v>4121</v>
      </c>
      <c r="Z134" s="27">
        <f>'Balance Sheet'!Z6</f>
        <v>4629</v>
      </c>
      <c r="AA134" s="287">
        <f>'Balance Sheet'!AA6</f>
        <v>5647.2600566729488</v>
      </c>
      <c r="AB134" s="287">
        <f>'Balance Sheet'!AB6</f>
        <v>6589.1499536917963</v>
      </c>
      <c r="AC134" s="287">
        <f>'Balance Sheet'!AC6</f>
        <v>7421.5875742312001</v>
      </c>
      <c r="AD134" s="287">
        <f>'Balance Sheet'!AD6</f>
        <v>8102.9064358194846</v>
      </c>
      <c r="AE134" s="287">
        <f>'Balance Sheet'!AE6</f>
        <v>8592.0688736950724</v>
      </c>
      <c r="AF134" s="287">
        <f>'Balance Sheet'!AF6</f>
        <v>8868.9044779336273</v>
      </c>
    </row>
    <row r="135" spans="1:32">
      <c r="A135" s="4" t="s">
        <v>1373</v>
      </c>
      <c r="B135" s="361"/>
      <c r="C135" s="361"/>
      <c r="D135" s="361"/>
      <c r="E135" s="361"/>
      <c r="F135" s="361"/>
      <c r="G135" s="361"/>
      <c r="H135" s="27">
        <f>H131+H134+('Balance Sheet'!H27-'Balance Sheet'!H23)+'Balance Sheet'!H47-'Balance Sheet'!H39</f>
        <v>6989</v>
      </c>
      <c r="I135" s="27">
        <f>I131+I134+('Balance Sheet'!I27-'Balance Sheet'!I23)+'Balance Sheet'!I47-'Balance Sheet'!I39</f>
        <v>6669</v>
      </c>
      <c r="J135" s="27">
        <f>J131+J134+('Balance Sheet'!J27-'Balance Sheet'!J23)+'Balance Sheet'!J47-'Balance Sheet'!J39</f>
        <v>6291</v>
      </c>
      <c r="K135" s="27">
        <f>K131+K134+('Balance Sheet'!K27-'Balance Sheet'!K23)+'Balance Sheet'!K47-'Balance Sheet'!K39</f>
        <v>7326</v>
      </c>
      <c r="L135" s="27">
        <f>L131+L134+('Balance Sheet'!L27-'Balance Sheet'!L23)+'Balance Sheet'!L47-'Balance Sheet'!L39</f>
        <v>6919</v>
      </c>
      <c r="M135" s="27">
        <f>M131+M134+('Balance Sheet'!M27-'Balance Sheet'!M23)+'Balance Sheet'!M47-'Balance Sheet'!M39</f>
        <v>8332</v>
      </c>
      <c r="N135" s="27">
        <f>N131+N134+('Balance Sheet'!N27-'Balance Sheet'!N23)+'Balance Sheet'!N47-'Balance Sheet'!N39</f>
        <v>9666</v>
      </c>
      <c r="O135" s="27">
        <f>O131+O134+('Balance Sheet'!O27-'Balance Sheet'!O23)+'Balance Sheet'!O47-'Balance Sheet'!O39</f>
        <v>10754</v>
      </c>
      <c r="P135" s="27">
        <f>P131+P134+('Balance Sheet'!P27-'Balance Sheet'!P23)+'Balance Sheet'!P47-'Balance Sheet'!P39</f>
        <v>9948</v>
      </c>
      <c r="Q135" s="27">
        <f>Q131+Q134+('Balance Sheet'!Q27-'Balance Sheet'!Q23)+'Balance Sheet'!Q47-'Balance Sheet'!Q39</f>
        <v>7686</v>
      </c>
      <c r="R135" s="27">
        <f>R131+R134+('Balance Sheet'!R27-'Balance Sheet'!R23)+'Balance Sheet'!R47-'Balance Sheet'!R39</f>
        <v>7681</v>
      </c>
      <c r="S135" s="27">
        <f>S131+S134+('Balance Sheet'!S27-'Balance Sheet'!S23)+'Balance Sheet'!S47-'Balance Sheet'!S39</f>
        <v>9024</v>
      </c>
      <c r="T135" s="27">
        <f>T131+T134+('Balance Sheet'!T27-'Balance Sheet'!T23)+'Balance Sheet'!T47-'Balance Sheet'!T39</f>
        <v>16343</v>
      </c>
      <c r="U135" s="27">
        <f>U131+U134+('Balance Sheet'!U27-'Balance Sheet'!U23)+'Balance Sheet'!U47-'Balance Sheet'!U39</f>
        <v>17180</v>
      </c>
      <c r="V135" s="27">
        <f>V131+V134+('Balance Sheet'!V27-'Balance Sheet'!V23)+'Balance Sheet'!V47-'Balance Sheet'!V39</f>
        <v>15715</v>
      </c>
      <c r="W135" s="27">
        <f>W131+W134+('Balance Sheet'!W27-'Balance Sheet'!W23)+'Balance Sheet'!W47-'Balance Sheet'!W39</f>
        <v>14615</v>
      </c>
      <c r="X135" s="27">
        <f>X131+X134+('Balance Sheet'!X27-'Balance Sheet'!X23)+'Balance Sheet'!X47-'Balance Sheet'!X39</f>
        <v>9097</v>
      </c>
      <c r="Y135" s="27">
        <f>Y131+Y134+('Balance Sheet'!Y27-'Balance Sheet'!Y23)+'Balance Sheet'!Y47-'Balance Sheet'!Y39</f>
        <v>9987</v>
      </c>
      <c r="Z135" s="27">
        <f>Z131+Z134+('Balance Sheet'!Z27-'Balance Sheet'!Z23)+'Balance Sheet'!Z47-'Balance Sheet'!Z39</f>
        <v>6070</v>
      </c>
      <c r="AA135" s="27">
        <f>AA131+AA134+('Balance Sheet'!AA27-'Balance Sheet'!AA23)+'Balance Sheet'!AA47-'Balance Sheet'!AA39</f>
        <v>6807.1648353183336</v>
      </c>
      <c r="AB135" s="27">
        <f>AB131+AB134+('Balance Sheet'!AB27-'Balance Sheet'!AB23)+'Balance Sheet'!AB47-'Balance Sheet'!AB39</f>
        <v>7207.4208930310706</v>
      </c>
      <c r="AC135" s="27">
        <f>AC131+AC134+('Balance Sheet'!AC27-'Balance Sheet'!AC23)+'Balance Sheet'!AC47-'Balance Sheet'!AC39</f>
        <v>7747.6692522955782</v>
      </c>
      <c r="AD135" s="27">
        <f>AD131+AD134+('Balance Sheet'!AD27-'Balance Sheet'!AD23)+'Balance Sheet'!AD47-'Balance Sheet'!AD39</f>
        <v>8493.7061052541321</v>
      </c>
      <c r="AE135" s="27">
        <f>AE131+AE134+('Balance Sheet'!AE27-'Balance Sheet'!AE23)+'Balance Sheet'!AE47-'Balance Sheet'!AE39</f>
        <v>8933.6291381623378</v>
      </c>
      <c r="AF135" s="27">
        <f>AF131+AF134+('Balance Sheet'!AF27-'Balance Sheet'!AF23)+'Balance Sheet'!AF47-'Balance Sheet'!AF39</f>
        <v>9256.9332058039436</v>
      </c>
    </row>
    <row r="137" spans="1:32">
      <c r="A137" s="282" t="s">
        <v>2063</v>
      </c>
      <c r="B137" s="282"/>
      <c r="C137" s="282"/>
      <c r="D137" s="282"/>
      <c r="E137" s="282"/>
      <c r="F137" s="282"/>
      <c r="G137" s="282"/>
      <c r="H137" s="282"/>
      <c r="I137" s="282"/>
      <c r="J137" s="282"/>
      <c r="K137" s="282"/>
      <c r="L137" s="282"/>
      <c r="M137" s="282"/>
      <c r="N137" s="282"/>
      <c r="O137" s="282"/>
      <c r="P137" s="282"/>
      <c r="Q137" s="282"/>
      <c r="R137" s="282"/>
      <c r="S137" s="282"/>
      <c r="T137" s="282"/>
      <c r="U137" s="282"/>
      <c r="V137" s="282"/>
      <c r="W137" s="282">
        <v>2021</v>
      </c>
      <c r="X137" s="282">
        <f>W137+1</f>
        <v>2022</v>
      </c>
      <c r="Y137" s="282">
        <f t="shared" ref="Y137:Z137" si="116">X137+1</f>
        <v>2023</v>
      </c>
      <c r="Z137" s="282">
        <f t="shared" si="116"/>
        <v>2024</v>
      </c>
      <c r="AA137" s="1307">
        <f>Z137+1</f>
        <v>2025</v>
      </c>
      <c r="AB137" s="1307">
        <f t="shared" ref="AB137:AF137" si="117">AA137+1</f>
        <v>2026</v>
      </c>
      <c r="AC137" s="1307">
        <f t="shared" si="117"/>
        <v>2027</v>
      </c>
      <c r="AD137" s="1307">
        <f t="shared" si="117"/>
        <v>2028</v>
      </c>
      <c r="AE137" s="1307">
        <f t="shared" si="117"/>
        <v>2029</v>
      </c>
      <c r="AF137" s="1307">
        <f t="shared" si="117"/>
        <v>2030</v>
      </c>
    </row>
    <row r="138" spans="1:32">
      <c r="A138" s="4" t="s">
        <v>2064</v>
      </c>
      <c r="W138" s="293">
        <v>944</v>
      </c>
      <c r="X138" s="293">
        <v>653</v>
      </c>
      <c r="Y138" s="293">
        <v>686</v>
      </c>
      <c r="Z138" s="293">
        <v>705</v>
      </c>
      <c r="AA138" s="287">
        <f>Z138</f>
        <v>705</v>
      </c>
      <c r="AB138" s="287">
        <f t="shared" ref="AB138:AF138" si="118">AA138</f>
        <v>705</v>
      </c>
      <c r="AC138" s="287">
        <f t="shared" si="118"/>
        <v>705</v>
      </c>
      <c r="AD138" s="287">
        <f t="shared" si="118"/>
        <v>705</v>
      </c>
      <c r="AE138" s="287">
        <f t="shared" si="118"/>
        <v>705</v>
      </c>
      <c r="AF138" s="287">
        <f t="shared" si="118"/>
        <v>705</v>
      </c>
    </row>
    <row r="139" spans="1:32">
      <c r="A139" s="4" t="s">
        <v>2065</v>
      </c>
      <c r="W139" s="293">
        <v>-1005</v>
      </c>
      <c r="X139" s="293">
        <v>-677</v>
      </c>
      <c r="Y139" s="293">
        <v>-753</v>
      </c>
      <c r="Z139" s="293">
        <v>-728</v>
      </c>
      <c r="AA139" s="287">
        <f>Z139</f>
        <v>-728</v>
      </c>
      <c r="AB139" s="287">
        <f t="shared" ref="AB139:AF139" si="119">AA139</f>
        <v>-728</v>
      </c>
      <c r="AC139" s="287">
        <f t="shared" si="119"/>
        <v>-728</v>
      </c>
      <c r="AD139" s="287">
        <f t="shared" si="119"/>
        <v>-728</v>
      </c>
      <c r="AE139" s="287">
        <f t="shared" si="119"/>
        <v>-728</v>
      </c>
      <c r="AF139" s="287">
        <f t="shared" si="119"/>
        <v>-728</v>
      </c>
    </row>
    <row r="140" spans="1:32" ht="15">
      <c r="A140" s="295" t="s">
        <v>2066</v>
      </c>
      <c r="B140" s="1354"/>
      <c r="C140" s="1354"/>
      <c r="D140" s="1354"/>
      <c r="E140" s="1354"/>
      <c r="F140" s="1354"/>
      <c r="G140" s="1354"/>
      <c r="H140" s="1354"/>
      <c r="I140" s="1354"/>
      <c r="J140" s="1354"/>
      <c r="K140" s="1354"/>
      <c r="L140" s="1354"/>
      <c r="M140" s="1354"/>
      <c r="N140" s="1354"/>
      <c r="O140" s="1354"/>
      <c r="P140" s="1354"/>
      <c r="Q140" s="1354"/>
      <c r="R140" s="1354"/>
      <c r="S140" s="1354"/>
      <c r="T140" s="1354"/>
      <c r="U140" s="1354"/>
      <c r="V140" s="1354"/>
      <c r="W140" s="289">
        <f t="shared" ref="W140:AF140" si="120">SUM(W138:W139)</f>
        <v>-61</v>
      </c>
      <c r="X140" s="289">
        <f t="shared" si="120"/>
        <v>-24</v>
      </c>
      <c r="Y140" s="289">
        <f t="shared" si="120"/>
        <v>-67</v>
      </c>
      <c r="Z140" s="289">
        <f t="shared" si="120"/>
        <v>-23</v>
      </c>
      <c r="AA140" s="289">
        <f t="shared" si="120"/>
        <v>-23</v>
      </c>
      <c r="AB140" s="289">
        <f t="shared" si="120"/>
        <v>-23</v>
      </c>
      <c r="AC140" s="289">
        <f t="shared" si="120"/>
        <v>-23</v>
      </c>
      <c r="AD140" s="289">
        <f t="shared" si="120"/>
        <v>-23</v>
      </c>
      <c r="AE140" s="289">
        <f t="shared" si="120"/>
        <v>-23</v>
      </c>
      <c r="AF140" s="289">
        <f t="shared" si="120"/>
        <v>-23</v>
      </c>
    </row>
  </sheetData>
  <pageMargins left="0.7" right="0.7" top="0.75" bottom="0.75" header="0.3" footer="0.3"/>
  <customProperties>
    <customPr name="Qube.Worksheet.Visibility" r:id="rId1"/>
  </customProperties>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20">
    <tabColor theme="4" tint="0.89999084444715716"/>
    <pageSetUpPr fitToPage="1"/>
  </sheetPr>
  <dimension ref="A1:AF71"/>
  <sheetViews>
    <sheetView showGridLines="0" topLeftCell="A56" workbookViewId="0"/>
  </sheetViews>
  <sheetFormatPr defaultColWidth="9" defaultRowHeight="14.25"/>
  <cols>
    <col min="1" max="1" width="9" style="788"/>
    <col min="2" max="2" width="9.625" style="69" customWidth="1"/>
    <col min="3" max="3" width="20.25" style="69" customWidth="1"/>
    <col min="4" max="4" width="9" style="69" customWidth="1"/>
    <col min="5" max="8" width="9" style="788"/>
    <col min="9" max="9" width="36.5" style="703" customWidth="1"/>
    <col min="10" max="20" width="9" style="703"/>
    <col min="21" max="21" width="2.125" style="703" customWidth="1"/>
    <col min="22" max="22" width="27.5" style="703" customWidth="1"/>
    <col min="23" max="16384" width="9" style="703"/>
  </cols>
  <sheetData>
    <row r="1" spans="1:32">
      <c r="I1" s="789" t="s">
        <v>1645</v>
      </c>
      <c r="J1" s="790">
        <f>'Income Statement'!V112</f>
        <v>90</v>
      </c>
      <c r="K1" s="790">
        <f>'Income Statement'!W112</f>
        <v>107.66</v>
      </c>
      <c r="L1" s="790">
        <f>'Income Statement'!X112</f>
        <v>105.3</v>
      </c>
      <c r="M1" s="721">
        <f>135.8*0.5+154*0.5</f>
        <v>144.9</v>
      </c>
      <c r="N1" s="791">
        <v>171</v>
      </c>
      <c r="O1" s="791">
        <v>208</v>
      </c>
      <c r="P1" s="703">
        <v>240</v>
      </c>
      <c r="X1" s="792"/>
      <c r="Y1" s="792"/>
      <c r="Z1" s="792"/>
      <c r="AA1" s="792"/>
      <c r="AB1" s="792"/>
      <c r="AC1" s="792"/>
      <c r="AD1" s="792"/>
      <c r="AE1" s="792"/>
    </row>
    <row r="2" spans="1:32" s="792" customFormat="1" ht="15">
      <c r="A2" s="793"/>
      <c r="B2" s="1265" t="s">
        <v>1375</v>
      </c>
      <c r="C2" s="794"/>
      <c r="D2" s="795"/>
      <c r="E2" s="788"/>
      <c r="F2" s="57" t="s">
        <v>1361</v>
      </c>
      <c r="G2" s="57"/>
      <c r="H2" s="793"/>
      <c r="I2" s="794" t="s">
        <v>734</v>
      </c>
      <c r="J2" s="796">
        <v>2020</v>
      </c>
      <c r="K2" s="796">
        <f>J2+1</f>
        <v>2021</v>
      </c>
      <c r="L2" s="796">
        <f t="shared" ref="L2:T2" si="0">K2+1</f>
        <v>2022</v>
      </c>
      <c r="M2" s="796">
        <f t="shared" si="0"/>
        <v>2023</v>
      </c>
      <c r="N2" s="796">
        <f t="shared" si="0"/>
        <v>2024</v>
      </c>
      <c r="O2" s="1556">
        <f t="shared" si="0"/>
        <v>2025</v>
      </c>
      <c r="P2" s="1556">
        <f t="shared" si="0"/>
        <v>2026</v>
      </c>
      <c r="Q2" s="1556">
        <f t="shared" si="0"/>
        <v>2027</v>
      </c>
      <c r="R2" s="1556">
        <f t="shared" si="0"/>
        <v>2028</v>
      </c>
      <c r="S2" s="1556">
        <f t="shared" si="0"/>
        <v>2029</v>
      </c>
      <c r="T2" s="1556">
        <f t="shared" si="0"/>
        <v>2030</v>
      </c>
      <c r="U2" s="794"/>
      <c r="V2" s="794" t="s">
        <v>1134</v>
      </c>
      <c r="Y2" s="703"/>
      <c r="Z2" s="703"/>
      <c r="AA2" s="703"/>
      <c r="AB2" s="703"/>
      <c r="AC2" s="703"/>
      <c r="AD2" s="703"/>
      <c r="AE2" s="703"/>
    </row>
    <row r="3" spans="1:32" ht="15.75" thickBot="1">
      <c r="A3" s="797"/>
      <c r="B3" s="66" t="s">
        <v>1362</v>
      </c>
      <c r="C3" s="66"/>
      <c r="D3" s="163">
        <v>5.8000000000000003E-2</v>
      </c>
      <c r="F3" s="134">
        <v>12</v>
      </c>
      <c r="G3" s="1273">
        <v>2026</v>
      </c>
      <c r="H3" s="797"/>
      <c r="I3" s="703" t="s">
        <v>1280</v>
      </c>
      <c r="J3" s="798">
        <v>211.5</v>
      </c>
      <c r="K3" s="703">
        <f>J3</f>
        <v>211.5</v>
      </c>
      <c r="L3" s="703">
        <f t="shared" ref="L3:R3" si="1">K3</f>
        <v>211.5</v>
      </c>
      <c r="M3" s="703">
        <f t="shared" si="1"/>
        <v>211.5</v>
      </c>
      <c r="N3" s="703">
        <f t="shared" si="1"/>
        <v>211.5</v>
      </c>
      <c r="O3" s="703" t="str">
        <f>DCF!C35</f>
        <v>Error: RTD method of WorksheetFunction class failed</v>
      </c>
      <c r="P3" s="703" t="str">
        <f t="shared" si="1"/>
        <v>Error: RTD method of WorksheetFunction class failed</v>
      </c>
      <c r="Q3" s="703" t="str">
        <f t="shared" si="1"/>
        <v>Error: RTD method of WorksheetFunction class failed</v>
      </c>
      <c r="R3" s="703" t="str">
        <f t="shared" si="1"/>
        <v>Error: RTD method of WorksheetFunction class failed</v>
      </c>
      <c r="S3" s="703" t="str">
        <f t="shared" ref="S3:T3" si="2">R3</f>
        <v>Error: RTD method of WorksheetFunction class failed</v>
      </c>
      <c r="T3" s="703" t="str">
        <f t="shared" si="2"/>
        <v>Error: RTD method of WorksheetFunction class failed</v>
      </c>
      <c r="X3" s="799" t="s">
        <v>1437</v>
      </c>
      <c r="Y3" s="799"/>
      <c r="Z3" s="799"/>
      <c r="AA3" s="799"/>
      <c r="AB3" s="799"/>
      <c r="AC3" s="799"/>
      <c r="AD3" s="799"/>
      <c r="AE3" s="799"/>
    </row>
    <row r="4" spans="1:32">
      <c r="A4" s="800"/>
      <c r="B4" s="58" t="str" cm="1">
        <f t="array" ref="B4">_xlfn.IFS(AND(F3&gt;0,F4=0),"ROIC "&amp;F3&amp;"M "&amp;G3&amp;" GSe",AND(F3&gt;0,F4&gt;0),"ROIC "&amp;F3&amp;"M "&amp;G3&amp;"/"&amp;F4&amp;"M "&amp;G4&amp;" GSe",AND(F3=0,F4&gt;0),"ROIC "&amp;F4&amp;"M "&amp;G4&amp;" GSe")</f>
        <v>ROIC 12M 2026 GSe</v>
      </c>
      <c r="C4" s="59"/>
      <c r="D4" s="60">
        <f>(INDEX(OpMod!163:163,MATCH(Multiples!G3,OpMod!$8:$8,0))*Multiples!F3+INDEX(OpMod!163:163,MATCH(Multiples!G4,OpMod!$8:$8,0))*Multiples!F4)/12</f>
        <v>0.59567016760787428</v>
      </c>
      <c r="E4" s="800"/>
      <c r="F4" s="136">
        <f>12-F3</f>
        <v>0</v>
      </c>
      <c r="G4" s="137">
        <f>G3+1</f>
        <v>2027</v>
      </c>
      <c r="H4" s="800"/>
      <c r="I4" s="703" t="s">
        <v>1340</v>
      </c>
      <c r="J4" s="801">
        <f>'Income Statement'!V116/1000</f>
        <v>426.035732</v>
      </c>
      <c r="K4" s="801">
        <f>'Income Statement'!W116/1000</f>
        <v>426.65042499999998</v>
      </c>
      <c r="L4" s="801">
        <f>'Income Statement'!X116/1000</f>
        <v>426.680657</v>
      </c>
      <c r="M4" s="801">
        <f>'Income Statement'!Y116/1000</f>
        <v>417.79549200000002</v>
      </c>
      <c r="N4" s="801">
        <f>'Income Statement'!Z116/1000</f>
        <v>416.14953000000003</v>
      </c>
      <c r="O4" s="801">
        <f>'Income Statement'!AA116/1000</f>
        <v>411.66281068916015</v>
      </c>
      <c r="P4" s="801">
        <f>'Income Statement'!AB116/1000</f>
        <v>407.17609137832022</v>
      </c>
      <c r="Q4" s="801">
        <f>'Income Statement'!AC116/1000</f>
        <v>402.68937206748035</v>
      </c>
      <c r="R4" s="801">
        <f>'Income Statement'!AD116/1000</f>
        <v>398.20265275664048</v>
      </c>
      <c r="S4" s="801">
        <f>'Income Statement'!AE116/1000</f>
        <v>398.20265275664048</v>
      </c>
      <c r="T4" s="801">
        <f>'Income Statement'!AF116/1000</f>
        <v>398.20265275664048</v>
      </c>
      <c r="X4" s="802"/>
      <c r="Y4" s="802"/>
      <c r="Z4" s="802"/>
      <c r="AA4" s="803" t="s">
        <v>1608</v>
      </c>
      <c r="AB4" s="803"/>
      <c r="AC4" s="803"/>
      <c r="AD4" s="803"/>
      <c r="AE4" s="802"/>
    </row>
    <row r="5" spans="1:32">
      <c r="B5" s="58" t="s">
        <v>1363</v>
      </c>
      <c r="C5" s="59"/>
      <c r="D5" s="129">
        <v>0.09</v>
      </c>
      <c r="I5" s="703" t="s">
        <v>997</v>
      </c>
      <c r="J5" s="804">
        <f>J3*J4</f>
        <v>90106.557317999992</v>
      </c>
      <c r="K5" s="804">
        <f t="shared" ref="K5:P5" si="3">K3*K4</f>
        <v>90236.56488749999</v>
      </c>
      <c r="L5" s="804">
        <f t="shared" si="3"/>
        <v>90242.958955499998</v>
      </c>
      <c r="M5" s="804">
        <f t="shared" si="3"/>
        <v>88363.746557999999</v>
      </c>
      <c r="N5" s="804">
        <f t="shared" si="3"/>
        <v>88015.625595000005</v>
      </c>
      <c r="O5" s="804" t="e">
        <f t="shared" si="3"/>
        <v>#VALUE!</v>
      </c>
      <c r="P5" s="804" t="e">
        <f t="shared" si="3"/>
        <v>#VALUE!</v>
      </c>
      <c r="Q5" s="804" t="e">
        <f t="shared" ref="Q5:R5" si="4">Q3*Q4</f>
        <v>#VALUE!</v>
      </c>
      <c r="R5" s="804" t="e">
        <f t="shared" si="4"/>
        <v>#VALUE!</v>
      </c>
      <c r="S5" s="804" t="e">
        <f t="shared" ref="S5:T5" si="5">S3*S4</f>
        <v>#VALUE!</v>
      </c>
      <c r="T5" s="804" t="e">
        <f t="shared" si="5"/>
        <v>#VALUE!</v>
      </c>
      <c r="X5" s="802"/>
      <c r="Y5" s="805" t="e">
        <f>D20/D30-1</f>
        <v>#VALUE!</v>
      </c>
      <c r="Z5" s="802">
        <v>0.21</v>
      </c>
      <c r="AA5" s="802">
        <v>0.22</v>
      </c>
      <c r="AB5" s="802">
        <v>0.23</v>
      </c>
      <c r="AC5" s="802">
        <v>0.24</v>
      </c>
      <c r="AD5" s="802">
        <v>0.25</v>
      </c>
      <c r="AE5" s="802">
        <v>0.26</v>
      </c>
    </row>
    <row r="6" spans="1:32">
      <c r="A6" s="800"/>
      <c r="B6" s="534" t="str" cm="1">
        <f t="array" ref="B6">_xlfn.IFS(AND(F3&gt;0,F4=0),"ROIC/WACC "&amp;F3&amp;"M "&amp;G3&amp;" GSe",AND(F3&gt;0,F4&gt;0),"ROIC/WACC "&amp;F3&amp;"M "&amp;G3&amp;"/"&amp;F4&amp;"M "&amp;G4&amp;" GSe",AND(F3=0,F4&gt;0),"ROIC/WACC "&amp;F4&amp;"M "&amp;G4&amp;" GSe")</f>
        <v>ROIC/WACC 12M 2026 GSe</v>
      </c>
      <c r="C6" s="62"/>
      <c r="D6" s="63">
        <f>+D4/D5</f>
        <v>6.6185574178652704</v>
      </c>
      <c r="E6" s="800"/>
      <c r="F6" s="57" t="s">
        <v>1364</v>
      </c>
      <c r="G6" s="57"/>
      <c r="H6" s="800"/>
      <c r="I6" s="703" t="s">
        <v>756</v>
      </c>
      <c r="J6" s="804">
        <f t="shared" ref="J6:S6" si="6">J38</f>
        <v>95763.5213219289</v>
      </c>
      <c r="K6" s="804">
        <f t="shared" si="6"/>
        <v>94734.243365557573</v>
      </c>
      <c r="L6" s="804">
        <f t="shared" si="6"/>
        <v>94148.916915806651</v>
      </c>
      <c r="M6" s="804">
        <f t="shared" si="6"/>
        <v>91823.055315980309</v>
      </c>
      <c r="N6" s="804">
        <f t="shared" si="6"/>
        <v>91003.110112654787</v>
      </c>
      <c r="O6" s="804" t="e">
        <f t="shared" si="6"/>
        <v>#VALUE!</v>
      </c>
      <c r="P6" s="804" t="e">
        <f t="shared" si="6"/>
        <v>#VALUE!</v>
      </c>
      <c r="Q6" s="804" t="e">
        <f t="shared" si="6"/>
        <v>#VALUE!</v>
      </c>
      <c r="R6" s="804" t="e">
        <f t="shared" si="6"/>
        <v>#VALUE!</v>
      </c>
      <c r="S6" s="804" t="e">
        <f t="shared" si="6"/>
        <v>#VALUE!</v>
      </c>
      <c r="T6" s="804" t="e">
        <f t="shared" ref="T6" si="7">T38</f>
        <v>#VALUE!</v>
      </c>
      <c r="X6" s="802"/>
      <c r="Y6" s="802">
        <v>0.05</v>
      </c>
      <c r="Z6" s="806" t="e">
        <f t="dataTable" ref="Z6:AE13" dt2D="1" dtr="1" r1="D4" r2="D3" ca="1"/>
        <v>#VALUE!</v>
      </c>
      <c r="AA6" s="806" t="e">
        <v>#VALUE!</v>
      </c>
      <c r="AB6" s="807" t="e">
        <v>#VALUE!</v>
      </c>
      <c r="AC6" s="806" t="e">
        <v>#VALUE!</v>
      </c>
      <c r="AD6" s="806" t="e">
        <v>#VALUE!</v>
      </c>
      <c r="AE6" s="806" t="e">
        <v>#VALUE!</v>
      </c>
    </row>
    <row r="7" spans="1:32">
      <c r="B7" s="64"/>
      <c r="C7" s="65"/>
      <c r="D7" s="66"/>
      <c r="F7" s="134">
        <f>F3</f>
        <v>12</v>
      </c>
      <c r="G7" s="135">
        <f>G3-1</f>
        <v>2025</v>
      </c>
      <c r="I7" s="703" t="s">
        <v>621</v>
      </c>
      <c r="J7" s="804">
        <f t="shared" ref="J7:N7" si="8">J45</f>
        <v>2792</v>
      </c>
      <c r="K7" s="804">
        <f t="shared" si="8"/>
        <v>1544</v>
      </c>
      <c r="L7" s="804">
        <f t="shared" si="8"/>
        <v>-14</v>
      </c>
      <c r="M7" s="804">
        <f t="shared" si="8"/>
        <v>-374</v>
      </c>
      <c r="N7" s="804">
        <f t="shared" si="8"/>
        <v>-1738</v>
      </c>
      <c r="O7" s="804">
        <f>-'DCF Feed'!B8</f>
        <v>-2168.7677021781838</v>
      </c>
      <c r="P7" s="804">
        <f>-'DCF Feed'!C8</f>
        <v>-3382.4906324987242</v>
      </c>
      <c r="Q7" s="804">
        <f>-'DCF Feed'!D8</f>
        <v>-4867.261274494409</v>
      </c>
      <c r="R7" s="804">
        <f>-'DCF Feed'!E8</f>
        <v>-6676.913080364604</v>
      </c>
      <c r="S7" s="804">
        <f>-'DCF Feed'!F8</f>
        <v>-10162.360331352229</v>
      </c>
      <c r="T7" s="804">
        <f>-'DCF Feed'!G8</f>
        <v>-13985.147557994624</v>
      </c>
      <c r="X7" s="808"/>
      <c r="Y7" s="802">
        <f>+Y6+0.001</f>
        <v>5.1000000000000004E-2</v>
      </c>
      <c r="Z7" s="806" t="e">
        <v>#VALUE!</v>
      </c>
      <c r="AA7" s="806" t="e">
        <v>#VALUE!</v>
      </c>
      <c r="AB7" s="807" t="e">
        <v>#VALUE!</v>
      </c>
      <c r="AC7" s="806" t="e">
        <v>#VALUE!</v>
      </c>
      <c r="AD7" s="806" t="e">
        <v>#VALUE!</v>
      </c>
      <c r="AE7" s="806" t="e">
        <v>#VALUE!</v>
      </c>
    </row>
    <row r="8" spans="1:32" ht="15.75" thickBot="1">
      <c r="A8" s="797"/>
      <c r="B8" s="535" t="str" cm="1">
        <f t="array" ref="B8">_xlfn.IFS(AND(F3&gt;0,F4=0),"Invested Capital "&amp;F3&amp;"M "&amp;G3&amp;" GSe",AND(F3&gt;0,F4&gt;0),"Invested Capital "&amp;F3&amp;"M "&amp;G3&amp;"/"&amp;F4&amp;"M "&amp;G4&amp;" GSe",AND(F3=0,F4&gt;0),"Invested Capital "&amp;F4&amp;"M "&amp;G4&amp;" GSe")</f>
        <v>Invested Capital 12M 2026 GSe</v>
      </c>
      <c r="C8" s="165"/>
      <c r="D8" s="166">
        <f>(INDEX(OpMod!131:131,MATCH(Multiples!G3,OpMod!$8:$8,0))*Multiples!F3+INDEX(OpMod!131:131,MATCH(Multiples!G4,OpMod!$8:$8,0))*Multiples!F4)/12</f>
        <v>0</v>
      </c>
      <c r="E8" s="797"/>
      <c r="F8" s="136">
        <f>12-F7</f>
        <v>0</v>
      </c>
      <c r="G8" s="137">
        <f>G7+1</f>
        <v>2026</v>
      </c>
      <c r="H8" s="797"/>
      <c r="X8" s="808" t="s">
        <v>1435</v>
      </c>
      <c r="Y8" s="802">
        <f t="shared" ref="Y8:Y13" si="9">+Y7+0.001</f>
        <v>5.2000000000000005E-2</v>
      </c>
      <c r="Z8" s="806" t="e">
        <v>#VALUE!</v>
      </c>
      <c r="AA8" s="806" t="e">
        <v>#VALUE!</v>
      </c>
      <c r="AB8" s="807" t="e">
        <v>#VALUE!</v>
      </c>
      <c r="AC8" s="806" t="e">
        <v>#VALUE!</v>
      </c>
      <c r="AD8" s="806" t="e">
        <v>#VALUE!</v>
      </c>
      <c r="AE8" s="806" t="e">
        <v>#VALUE!</v>
      </c>
      <c r="AF8" s="809" t="s">
        <v>1607</v>
      </c>
    </row>
    <row r="9" spans="1:32" ht="15" thickBot="1">
      <c r="A9" s="800"/>
      <c r="B9" s="68" t="s">
        <v>1365</v>
      </c>
      <c r="D9" s="164" t="e">
        <f>+(D10/D8)/D6</f>
        <v>#DIV/0!</v>
      </c>
      <c r="E9" s="800"/>
      <c r="F9" s="800"/>
      <c r="G9" s="800"/>
      <c r="H9" s="800"/>
      <c r="I9" s="703" t="s">
        <v>791</v>
      </c>
      <c r="J9" s="801">
        <f>'Income Statement'!V9</f>
        <v>16498</v>
      </c>
      <c r="K9" s="801">
        <f>'Income Statement'!W9</f>
        <v>15257</v>
      </c>
      <c r="L9" s="801">
        <f>'Income Statement'!X9</f>
        <v>19035</v>
      </c>
      <c r="M9" s="801">
        <f>'Income Statement'!Y9</f>
        <v>23199</v>
      </c>
      <c r="N9" s="801">
        <f>'Income Statement'!Z9</f>
        <v>27317</v>
      </c>
      <c r="O9" s="801">
        <f>'Income Statement'!AA9</f>
        <v>30995.966922403386</v>
      </c>
      <c r="P9" s="801">
        <f>'Income Statement'!AB9</f>
        <v>34520.706683526871</v>
      </c>
      <c r="Q9" s="801">
        <f>'Income Statement'!AC9</f>
        <v>38170.59080998729</v>
      </c>
      <c r="R9" s="801">
        <f>'Income Statement'!AD9</f>
        <v>41400.418805904548</v>
      </c>
      <c r="S9" s="801">
        <f>'Income Statement'!AE9</f>
        <v>43433.441894680291</v>
      </c>
      <c r="T9" s="801">
        <f>'Income Statement'!AF9</f>
        <v>45535.88404113664</v>
      </c>
      <c r="V9" s="703" t="s">
        <v>300</v>
      </c>
      <c r="X9" s="808" t="s">
        <v>747</v>
      </c>
      <c r="Y9" s="802">
        <f t="shared" si="9"/>
        <v>5.3000000000000005E-2</v>
      </c>
      <c r="Z9" s="806" t="e">
        <v>#VALUE!</v>
      </c>
      <c r="AA9" s="806" t="e">
        <v>#VALUE!</v>
      </c>
      <c r="AB9" s="807" t="e">
        <v>#VALUE!</v>
      </c>
      <c r="AC9" s="806" t="e">
        <v>#VALUE!</v>
      </c>
      <c r="AD9" s="810" t="e">
        <v>#VALUE!</v>
      </c>
      <c r="AE9" s="806" t="e">
        <v>#VALUE!</v>
      </c>
    </row>
    <row r="10" spans="1:32">
      <c r="A10" s="800"/>
      <c r="B10" s="130" t="s">
        <v>1366</v>
      </c>
      <c r="C10" s="130"/>
      <c r="D10" s="1275">
        <f>+(D4-D3)/(D5-D3)*D8</f>
        <v>0</v>
      </c>
      <c r="E10" s="811"/>
      <c r="F10" s="800"/>
      <c r="G10" s="800"/>
      <c r="H10" s="800"/>
      <c r="I10" s="703" t="s">
        <v>2039</v>
      </c>
      <c r="J10" s="801">
        <f>'Income Statement'!V193</f>
        <v>3133</v>
      </c>
      <c r="K10" s="801">
        <f>'Income Statement'!W193</f>
        <v>3185</v>
      </c>
      <c r="L10" s="801">
        <f>'Income Statement'!X193</f>
        <v>3781</v>
      </c>
      <c r="M10" s="801">
        <f>'Income Statement'!Y193</f>
        <v>4502</v>
      </c>
      <c r="N10" s="801">
        <f>'Income Statement'!Z193</f>
        <v>5525</v>
      </c>
      <c r="O10" s="801">
        <f>'Income Statement'!AA193</f>
        <v>6751.4506385284967</v>
      </c>
      <c r="P10" s="801">
        <f>'Income Statement'!AB193</f>
        <v>7834.0759669331374</v>
      </c>
      <c r="Q10" s="801">
        <f>'Income Statement'!AC193</f>
        <v>8780.144933085101</v>
      </c>
      <c r="R10" s="801">
        <f>'Income Statement'!AD193</f>
        <v>9703.0962541788213</v>
      </c>
      <c r="S10" s="801">
        <f>'Income Statement'!AE193</f>
        <v>10252.46559529691</v>
      </c>
      <c r="T10" s="801">
        <f>'Income Statement'!AF193</f>
        <v>10799.17645372028</v>
      </c>
      <c r="V10" s="703" t="s">
        <v>307</v>
      </c>
      <c r="X10" s="808"/>
      <c r="Y10" s="802">
        <f t="shared" si="9"/>
        <v>5.4000000000000006E-2</v>
      </c>
      <c r="Z10" s="806" t="e">
        <v>#VALUE!</v>
      </c>
      <c r="AA10" s="806" t="e">
        <v>#VALUE!</v>
      </c>
      <c r="AB10" s="807" t="e">
        <v>#VALUE!</v>
      </c>
      <c r="AC10" s="806" t="e">
        <v>#VALUE!</v>
      </c>
      <c r="AD10" s="806" t="e">
        <v>#VALUE!</v>
      </c>
      <c r="AE10" s="806" t="e">
        <v>#VALUE!</v>
      </c>
    </row>
    <row r="11" spans="1:32">
      <c r="A11" s="800"/>
      <c r="D11" s="75"/>
      <c r="E11" s="800"/>
      <c r="F11" s="800"/>
      <c r="G11" s="800"/>
      <c r="H11" s="1016">
        <f>(R11/N11)^(0.25)-1</f>
        <v>0.16564223197746553</v>
      </c>
      <c r="I11" s="703" t="s">
        <v>1741</v>
      </c>
      <c r="J11" s="801">
        <f>'Income Statement'!V23</f>
        <v>1686</v>
      </c>
      <c r="K11" s="801">
        <f>'Income Statement'!W23</f>
        <v>1805</v>
      </c>
      <c r="L11" s="801">
        <f>'Income Statement'!X23</f>
        <v>2408</v>
      </c>
      <c r="M11" s="801">
        <f>'Income Statement'!Y23</f>
        <v>3166</v>
      </c>
      <c r="N11" s="801">
        <f>'Income Statement'!Z23</f>
        <v>4119</v>
      </c>
      <c r="O11" s="801">
        <f>'Income Statement'!AA23</f>
        <v>5179.0617839715915</v>
      </c>
      <c r="P11" s="801">
        <f>'Income Statement'!AB23</f>
        <v>6014.912862687469</v>
      </c>
      <c r="Q11" s="801">
        <f>'Income Statement'!AC23</f>
        <v>6844.98237854537</v>
      </c>
      <c r="R11" s="801">
        <f>'Income Statement'!AD23</f>
        <v>7604.1887309951226</v>
      </c>
      <c r="S11" s="801">
        <f>'Income Statement'!AE23</f>
        <v>8050.4884032810396</v>
      </c>
      <c r="T11" s="801">
        <f>'Income Statement'!AF23</f>
        <v>8490.6102037785913</v>
      </c>
      <c r="V11" s="703" t="s">
        <v>302</v>
      </c>
      <c r="X11" s="808"/>
      <c r="Y11" s="802">
        <f t="shared" si="9"/>
        <v>5.5000000000000007E-2</v>
      </c>
      <c r="Z11" s="807" t="e">
        <v>#VALUE!</v>
      </c>
      <c r="AA11" s="807" t="e">
        <v>#VALUE!</v>
      </c>
      <c r="AB11" s="807" t="e">
        <v>#VALUE!</v>
      </c>
      <c r="AC11" s="807" t="e">
        <v>#VALUE!</v>
      </c>
      <c r="AD11" s="807" t="e">
        <v>#VALUE!</v>
      </c>
      <c r="AE11" s="807" t="e">
        <v>#VALUE!</v>
      </c>
    </row>
    <row r="12" spans="1:32">
      <c r="A12" s="812"/>
      <c r="B12" s="68" t="str" cm="1">
        <f t="array" ref="B12">_xlfn.IFS(AND(F7&gt;0,F8=0),"Net debt (cash) "&amp;F7&amp;"M "&amp;G7&amp;" GSe",AND(F7&gt;0,F8&gt;0),"Net debt (cash) "&amp;F7&amp;"M "&amp;G7&amp;"/"&amp;F8&amp;"M "&amp;G8&amp;" GSe",AND(F7=0,F8&gt;0),"Net debt (cash) "&amp;F8&amp;"M "&amp;G8&amp;" GSe")</f>
        <v>Net debt (cash) 12M 2025 GSe</v>
      </c>
      <c r="D12" s="75">
        <f>(INDEX($L$27:$S$27,MATCH(Multiples!G7,$L$2:$S$2,0))*Multiples!F7+INDEX($L$27:$S$27,MATCH(Multiples!G8,$L$2:$S$2,0))*Multiples!F8)/12</f>
        <v>-2168.7677021781838</v>
      </c>
      <c r="E12" s="800"/>
      <c r="F12" s="800"/>
      <c r="G12" s="800"/>
      <c r="H12" s="1016">
        <f>(R12/N12)^(0.25)-1</f>
        <v>0.17991990562350191</v>
      </c>
      <c r="I12" s="703" t="s">
        <v>272</v>
      </c>
      <c r="J12" s="813">
        <f>'Income Statement'!V104</f>
        <v>1.9834017114789799</v>
      </c>
      <c r="K12" s="813">
        <f>'Income Statement'!W104</f>
        <v>1.7789739691458177</v>
      </c>
      <c r="L12" s="813">
        <f>'Income Statement'!X104</f>
        <v>2.760846972259162</v>
      </c>
      <c r="M12" s="813">
        <f>'Income Statement'!Y104</f>
        <v>4.8564430178198279</v>
      </c>
      <c r="N12" s="813">
        <f>'Income Statement'!Z104</f>
        <v>7.3747530124568437</v>
      </c>
      <c r="O12" s="813">
        <f>'Income Statement'!AA104</f>
        <v>8.4933208882291691</v>
      </c>
      <c r="P12" s="813">
        <f>'Income Statement'!AB104</f>
        <v>11.031574492477478</v>
      </c>
      <c r="Q12" s="813">
        <f>'Income Statement'!AC104</f>
        <v>12.701904383026944</v>
      </c>
      <c r="R12" s="813">
        <f>'Income Statement'!AD104</f>
        <v>14.294125521387324</v>
      </c>
      <c r="S12" s="813">
        <f>'Income Statement'!AE104</f>
        <v>15.169268867230878</v>
      </c>
      <c r="T12" s="813">
        <f>'Income Statement'!AF104</f>
        <v>16.068314554691664</v>
      </c>
      <c r="V12" s="703" t="s">
        <v>306</v>
      </c>
      <c r="X12" s="802"/>
      <c r="Y12" s="802">
        <f t="shared" si="9"/>
        <v>5.6000000000000008E-2</v>
      </c>
      <c r="Z12" s="806" t="e">
        <v>#VALUE!</v>
      </c>
      <c r="AA12" s="806" t="e">
        <v>#VALUE!</v>
      </c>
      <c r="AB12" s="807" t="e">
        <v>#VALUE!</v>
      </c>
      <c r="AC12" s="807" t="e">
        <v>#VALUE!</v>
      </c>
      <c r="AD12" s="807" t="e">
        <v>#VALUE!</v>
      </c>
      <c r="AE12" s="807" t="e">
        <v>#VALUE!</v>
      </c>
    </row>
    <row r="13" spans="1:32">
      <c r="A13" s="812"/>
      <c r="B13" s="69" t="str" cm="1">
        <f t="array" ref="B13">_xlfn.IFS(AND(F7&gt;0,F8=0),"Pension liabilities "&amp;F7&amp;"M "&amp;G7&amp;" GSe",AND(F7&gt;0,F8&gt;0),"Pension liabilities "&amp;F7&amp;"M "&amp;G7&amp;"/"&amp;F8&amp;"M "&amp;G8&amp;" GSe",AND(F7=0,F8&gt;0),"Pension liabilities "&amp;F8&amp;"M "&amp;G8&amp;" GSe")</f>
        <v>Pension liabilities 12M 2025 GSe</v>
      </c>
      <c r="D13" s="75">
        <f>(INDEX($L$28:$S$28,MATCH(Multiples!G7,$L$2:$S$2,0))*Multiples!F7+INDEX($L$28:$S$28,MATCH(Multiples!G8,$L$2:$S$2,0))*Multiples!F8)/12</f>
        <v>-23</v>
      </c>
      <c r="E13" s="800"/>
      <c r="F13" s="800"/>
      <c r="G13" s="800"/>
      <c r="H13" s="800"/>
      <c r="I13" s="703" t="s">
        <v>267</v>
      </c>
      <c r="J13" s="813">
        <f>'Income Statement'!V109</f>
        <v>0.43</v>
      </c>
      <c r="K13" s="813">
        <f>'Income Statement'!W109</f>
        <v>0.5</v>
      </c>
      <c r="L13" s="813">
        <f>'Income Statement'!X109</f>
        <v>1.35</v>
      </c>
      <c r="M13" s="813">
        <f>'Income Statement'!Y109</f>
        <v>2.2000000000000002</v>
      </c>
      <c r="N13" s="813">
        <f>'Income Statement'!Z109</f>
        <v>2.9</v>
      </c>
      <c r="O13" s="813">
        <f>'Income Statement'!AA109</f>
        <v>3.397328355291668</v>
      </c>
      <c r="P13" s="813">
        <f>'Income Statement'!AB109</f>
        <v>4.4126297969909913</v>
      </c>
      <c r="Q13" s="813">
        <f>'Income Statement'!AC109</f>
        <v>5.0807617532107781</v>
      </c>
      <c r="R13" s="813">
        <f>'Income Statement'!AD109</f>
        <v>5.7176502085549297</v>
      </c>
      <c r="S13" s="813">
        <f>'Income Statement'!AE109</f>
        <v>6.0677075468923514</v>
      </c>
      <c r="T13" s="813">
        <f>'Income Statement'!AF109</f>
        <v>6.427325821876666</v>
      </c>
      <c r="V13" s="703" t="s">
        <v>308</v>
      </c>
      <c r="X13" s="802"/>
      <c r="Y13" s="802">
        <f t="shared" si="9"/>
        <v>5.7000000000000009E-2</v>
      </c>
      <c r="Z13" s="806" t="e">
        <v>#VALUE!</v>
      </c>
      <c r="AA13" s="806" t="e">
        <v>#VALUE!</v>
      </c>
      <c r="AB13" s="807" t="e">
        <v>#VALUE!</v>
      </c>
      <c r="AC13" s="807" t="e">
        <v>#VALUE!</v>
      </c>
      <c r="AD13" s="807" t="e">
        <v>#VALUE!</v>
      </c>
      <c r="AE13" s="807" t="e">
        <v>#VALUE!</v>
      </c>
    </row>
    <row r="14" spans="1:32">
      <c r="A14" s="812"/>
      <c r="B14" s="69" t="str" cm="1">
        <f t="array" ref="B14">_xlfn.IFS(AND(F7&gt;0,F8=0),"Minority interests "&amp;F7&amp;"M "&amp;G7&amp;" GSe",AND(F7&gt;0,F8&gt;0),"Minority interests "&amp;F7&amp;"M "&amp;G7&amp;"/"&amp;F8&amp;"M "&amp;G8&amp;" GSe",AND(F7=0,F8&gt;0),"Minority interests "&amp;F8&amp;"M "&amp;G8&amp;" GSe")</f>
        <v>Minority interests 12M 2025 GSe</v>
      </c>
      <c r="D14" s="75" t="e">
        <f>(INDEX($L$29:$S$29,MATCH(Multiples!G7,$L$2:$S$2,0))*Multiples!F7+INDEX($L$29:$S$29,MATCH(Multiples!G8,$L$2:$S$2,0))*Multiples!F8)/12</f>
        <v>#VALUE!</v>
      </c>
      <c r="E14" s="800"/>
      <c r="F14" s="814"/>
      <c r="G14" s="800"/>
      <c r="H14" s="800"/>
      <c r="I14" s="703" t="s">
        <v>979</v>
      </c>
      <c r="J14" s="801">
        <f>'Cashflow Statement'!V57</f>
        <v>1073</v>
      </c>
      <c r="K14" s="801">
        <f>'Cashflow Statement'!W57</f>
        <v>1680</v>
      </c>
      <c r="L14" s="801">
        <f>'Cashflow Statement'!X57</f>
        <v>2666</v>
      </c>
      <c r="M14" s="801">
        <f>'Cashflow Statement'!Y57</f>
        <v>2945</v>
      </c>
      <c r="N14" s="801">
        <f>'Cashflow Statement'!Z57</f>
        <v>3189</v>
      </c>
      <c r="O14" s="801">
        <f>'Cashflow Statement'!AA57</f>
        <v>3518.6013391781835</v>
      </c>
      <c r="P14" s="801">
        <f>'Cashflow Statement'!AB57</f>
        <v>4206.2766698938904</v>
      </c>
      <c r="Q14" s="801">
        <f>'Cashflow Statement'!AC57</f>
        <v>4875.4879954339885</v>
      </c>
      <c r="R14" s="801">
        <f>'Cashflow Statement'!AD57</f>
        <v>5449.6205658951149</v>
      </c>
      <c r="S14" s="801">
        <f>'Cashflow Statement'!AE57</f>
        <v>6106.2307315687576</v>
      </c>
      <c r="T14" s="801">
        <f>'Cashflow Statement'!AF57</f>
        <v>6582.9644679664161</v>
      </c>
      <c r="X14" s="801"/>
      <c r="AA14" s="815"/>
    </row>
    <row r="15" spans="1:32">
      <c r="A15" s="816"/>
      <c r="B15" s="69" t="str" cm="1">
        <f t="array" ref="B15">_xlfn.IFS(AND(F7&gt;0,F8=0),"Other EV adj. "&amp;F7&amp;"M "&amp;G7&amp;" GSe",AND(F7&gt;0,F8&gt;0),"Other EV adj. "&amp;F7&amp;"M "&amp;G7&amp;"/"&amp;F8&amp;"M "&amp;G8&amp;" GSe",AND(F7=0,F8&gt;0),"Other EV adj. "&amp;F8&amp;"M "&amp;G8&amp;" GSe")</f>
        <v>Other EV adj. 12M 2025 GSe</v>
      </c>
      <c r="D15" s="75">
        <f>(INDEX($L$30:$S$30,MATCH(Multiples!G7,$L$2:$S$2,0))*Multiples!F7+INDEX($L$30:$S$30,MATCH(Multiples!G8,$L$2:$S$2,0))*Multiples!F8)/12</f>
        <v>-3210</v>
      </c>
      <c r="F15" s="1017" t="s">
        <v>1745</v>
      </c>
      <c r="G15" s="1019">
        <v>0.02</v>
      </c>
      <c r="I15" s="703" t="s">
        <v>1284</v>
      </c>
      <c r="J15" s="710">
        <f>J14/J4</f>
        <v>2.5185680904342549</v>
      </c>
      <c r="K15" s="710">
        <f t="shared" ref="K15:P15" si="10">K14/K4</f>
        <v>3.9376498921804663</v>
      </c>
      <c r="L15" s="710">
        <f t="shared" si="10"/>
        <v>6.2482326214286301</v>
      </c>
      <c r="M15" s="710">
        <f t="shared" si="10"/>
        <v>7.0489032466630821</v>
      </c>
      <c r="N15" s="710">
        <f t="shared" si="10"/>
        <v>7.6631109015069647</v>
      </c>
      <c r="O15" s="710">
        <f t="shared" si="10"/>
        <v>8.5472897910980397</v>
      </c>
      <c r="P15" s="710">
        <f t="shared" si="10"/>
        <v>10.330362609590711</v>
      </c>
      <c r="Q15" s="710">
        <f t="shared" ref="Q15:R15" si="11">Q14/Q4</f>
        <v>12.10731728628036</v>
      </c>
      <c r="R15" s="710">
        <f t="shared" si="11"/>
        <v>13.685545608922959</v>
      </c>
      <c r="S15" s="710">
        <f t="shared" ref="S15:T15" si="12">S14/S4</f>
        <v>15.33448029363217</v>
      </c>
      <c r="T15" s="710">
        <f t="shared" si="12"/>
        <v>16.531694157219896</v>
      </c>
      <c r="X15" s="801"/>
    </row>
    <row r="16" spans="1:32">
      <c r="B16" s="1274" t="str" cm="1">
        <f t="array" ref="B16">_xlfn.IFS(AND(F7&gt;0,F8=0),"EV Adjustments "&amp;F7&amp;"M "&amp;G7&amp;" GSe",AND(F7&gt;0,F8&gt;0),"EV Adjustments "&amp;F7&amp;"M "&amp;G7&amp;"/"&amp;F8&amp;"M "&amp;G8&amp;" GSe",AND(F7=0,F8&gt;0),"EV Adjustments "&amp;F8&amp;"M "&amp;G8&amp;" GSe")</f>
        <v>EV Adjustments 12M 2025 GSe</v>
      </c>
      <c r="C16" s="67"/>
      <c r="D16" s="1275" t="e">
        <f>SUM(D12:D15)</f>
        <v>#VALUE!</v>
      </c>
      <c r="F16" s="1017" t="s">
        <v>1746</v>
      </c>
      <c r="G16" s="1019">
        <v>2.5000000000000001E-2</v>
      </c>
    </row>
    <row r="17" spans="1:32">
      <c r="F17" s="1017" t="s">
        <v>272</v>
      </c>
      <c r="G17" s="1019">
        <v>0.15</v>
      </c>
      <c r="I17" s="703" t="s">
        <v>1288</v>
      </c>
      <c r="J17" s="817">
        <f t="shared" ref="J17:P17" si="13">J3/J12</f>
        <v>106.63497907455621</v>
      </c>
      <c r="K17" s="817">
        <f t="shared" si="13"/>
        <v>118.88875479249012</v>
      </c>
      <c r="L17" s="817">
        <f t="shared" si="13"/>
        <v>76.60692610823429</v>
      </c>
      <c r="M17" s="817">
        <f t="shared" si="13"/>
        <v>43.550392586495818</v>
      </c>
      <c r="N17" s="817">
        <f t="shared" si="13"/>
        <v>28.678926554252204</v>
      </c>
      <c r="O17" s="817" t="e">
        <f t="shared" si="13"/>
        <v>#VALUE!</v>
      </c>
      <c r="P17" s="817" t="e">
        <f t="shared" si="13"/>
        <v>#VALUE!</v>
      </c>
      <c r="Q17" s="817" t="e">
        <f t="shared" ref="Q17:R17" si="14">Q3/Q12</f>
        <v>#VALUE!</v>
      </c>
      <c r="R17" s="817" t="e">
        <f t="shared" si="14"/>
        <v>#VALUE!</v>
      </c>
      <c r="S17" s="817" t="e">
        <f t="shared" ref="S17:T17" si="15">S3/S12</f>
        <v>#VALUE!</v>
      </c>
      <c r="T17" s="817" t="e">
        <f t="shared" si="15"/>
        <v>#VALUE!</v>
      </c>
    </row>
    <row r="18" spans="1:32" ht="15.75" thickBot="1">
      <c r="B18" s="70" t="s">
        <v>1367</v>
      </c>
      <c r="C18" s="71"/>
      <c r="D18" s="1276" t="e">
        <f>+D10-D16</f>
        <v>#VALUE!</v>
      </c>
      <c r="F18" s="1018" t="s">
        <v>1747</v>
      </c>
      <c r="G18" s="1020">
        <f>SUM(G15:G17)</f>
        <v>0.19500000000000001</v>
      </c>
      <c r="I18" s="703" t="s">
        <v>1290</v>
      </c>
      <c r="J18" s="818">
        <f>J15/J3</f>
        <v>1.190812335902721E-2</v>
      </c>
      <c r="K18" s="818">
        <f t="shared" ref="K18:P18" si="16">K15/K3</f>
        <v>1.8617729986668871E-2</v>
      </c>
      <c r="L18" s="818">
        <f>L15/L3</f>
        <v>2.9542471023303214E-2</v>
      </c>
      <c r="M18" s="818">
        <f t="shared" si="16"/>
        <v>3.3328147738359723E-2</v>
      </c>
      <c r="N18" s="818">
        <f t="shared" si="16"/>
        <v>3.6232202844004559E-2</v>
      </c>
      <c r="O18" s="818" t="e">
        <f t="shared" si="16"/>
        <v>#VALUE!</v>
      </c>
      <c r="P18" s="818" t="e">
        <f t="shared" si="16"/>
        <v>#VALUE!</v>
      </c>
      <c r="Q18" s="818" t="e">
        <f t="shared" ref="Q18:R18" si="17">Q15/Q3</f>
        <v>#VALUE!</v>
      </c>
      <c r="R18" s="818" t="e">
        <f t="shared" si="17"/>
        <v>#VALUE!</v>
      </c>
      <c r="S18" s="818" t="e">
        <f t="shared" ref="S18:T18" si="18">S15/S3</f>
        <v>#VALUE!</v>
      </c>
      <c r="T18" s="818" t="e">
        <f t="shared" si="18"/>
        <v>#VALUE!</v>
      </c>
      <c r="X18" s="799" t="s">
        <v>1437</v>
      </c>
      <c r="Y18" s="799"/>
      <c r="Z18" s="799"/>
      <c r="AA18" s="799"/>
      <c r="AB18" s="799"/>
      <c r="AC18" s="799"/>
      <c r="AD18" s="799"/>
      <c r="AE18" s="799"/>
    </row>
    <row r="19" spans="1:32">
      <c r="B19" s="58" t="s">
        <v>1368</v>
      </c>
      <c r="D19" s="75" t="e">
        <f>(INDEX(OpMod!#REF!,MATCH(Multiples!G3,OpMod!$8:$8,0))*Multiples!F3+INDEX(OpMod!#REF!,MATCH(Multiples!G4,OpMod!$8:$8,0))*Multiples!F4)/12/1000</f>
        <v>#REF!</v>
      </c>
      <c r="E19" s="819"/>
      <c r="I19" s="703" t="s">
        <v>931</v>
      </c>
      <c r="J19" s="818">
        <f>J13/J3</f>
        <v>2.0330969267139481E-3</v>
      </c>
      <c r="K19" s="818">
        <f t="shared" ref="K19:P19" si="19">K13/K3</f>
        <v>2.3640661938534278E-3</v>
      </c>
      <c r="L19" s="818">
        <f t="shared" si="19"/>
        <v>6.3829787234042559E-3</v>
      </c>
      <c r="M19" s="818">
        <f t="shared" si="19"/>
        <v>1.0401891252955084E-2</v>
      </c>
      <c r="N19" s="818">
        <f t="shared" si="19"/>
        <v>1.3711583924349881E-2</v>
      </c>
      <c r="O19" s="818" t="e">
        <f t="shared" si="19"/>
        <v>#VALUE!</v>
      </c>
      <c r="P19" s="818" t="e">
        <f t="shared" si="19"/>
        <v>#VALUE!</v>
      </c>
      <c r="Q19" s="818" t="e">
        <f t="shared" ref="Q19:R19" si="20">Q13/Q3</f>
        <v>#VALUE!</v>
      </c>
      <c r="R19" s="818" t="e">
        <f t="shared" si="20"/>
        <v>#VALUE!</v>
      </c>
      <c r="S19" s="818" t="e">
        <f t="shared" ref="S19:T19" si="21">S13/S3</f>
        <v>#VALUE!</v>
      </c>
      <c r="T19" s="818" t="e">
        <f t="shared" si="21"/>
        <v>#VALUE!</v>
      </c>
      <c r="X19" s="802"/>
      <c r="Y19" s="802"/>
      <c r="Z19" s="802"/>
      <c r="AA19" s="803" t="s">
        <v>1436</v>
      </c>
      <c r="AB19" s="803"/>
      <c r="AC19" s="803"/>
      <c r="AD19" s="803"/>
      <c r="AE19" s="802"/>
    </row>
    <row r="20" spans="1:32">
      <c r="B20" s="162" t="s">
        <v>1377</v>
      </c>
      <c r="C20" s="162"/>
      <c r="D20" s="162" t="e">
        <f>ROUND(D18/D19,0)</f>
        <v>#VALUE!</v>
      </c>
      <c r="I20" s="703" t="s">
        <v>1289</v>
      </c>
      <c r="J20" s="817">
        <f t="shared" ref="J20:P20" si="22">J6/J9</f>
        <v>5.8045533593119707</v>
      </c>
      <c r="K20" s="817">
        <f t="shared" si="22"/>
        <v>6.2092313931675669</v>
      </c>
      <c r="L20" s="817">
        <f t="shared" si="22"/>
        <v>4.9460949259683034</v>
      </c>
      <c r="M20" s="817">
        <f t="shared" si="22"/>
        <v>3.9580609214181779</v>
      </c>
      <c r="N20" s="817">
        <f t="shared" si="22"/>
        <v>3.3313727756581906</v>
      </c>
      <c r="O20" s="817" t="e">
        <f t="shared" si="22"/>
        <v>#VALUE!</v>
      </c>
      <c r="P20" s="817" t="e">
        <f t="shared" si="22"/>
        <v>#VALUE!</v>
      </c>
      <c r="Q20" s="817" t="e">
        <f t="shared" ref="Q20:R20" si="23">Q6/Q9</f>
        <v>#VALUE!</v>
      </c>
      <c r="R20" s="817" t="e">
        <f t="shared" si="23"/>
        <v>#VALUE!</v>
      </c>
      <c r="S20" s="817" t="e">
        <f t="shared" ref="S20:T20" si="24">S6/S9</f>
        <v>#VALUE!</v>
      </c>
      <c r="T20" s="817" t="e">
        <f t="shared" si="24"/>
        <v>#VALUE!</v>
      </c>
      <c r="X20" s="802"/>
      <c r="Y20" s="805" t="e">
        <f>D20/D30-1</f>
        <v>#VALUE!</v>
      </c>
      <c r="Z20" s="802">
        <v>7.4999999999999997E-2</v>
      </c>
      <c r="AA20" s="802">
        <v>0.08</v>
      </c>
      <c r="AB20" s="802">
        <v>8.5000000000000006E-2</v>
      </c>
      <c r="AC20" s="802">
        <v>0.09</v>
      </c>
      <c r="AD20" s="802">
        <v>9.5000000000000001E-2</v>
      </c>
      <c r="AE20" s="802">
        <v>0.1</v>
      </c>
    </row>
    <row r="21" spans="1:32" ht="15" thickBot="1">
      <c r="A21" s="800"/>
      <c r="B21" s="788"/>
      <c r="C21" s="788"/>
      <c r="D21" s="788"/>
      <c r="E21" s="800"/>
      <c r="F21" s="814"/>
      <c r="G21" s="800"/>
      <c r="H21" s="800"/>
      <c r="I21" s="703" t="s">
        <v>1866</v>
      </c>
      <c r="J21" s="817">
        <f>J6/J11</f>
        <v>56.799241590705158</v>
      </c>
      <c r="K21" s="817">
        <f t="shared" ref="K21:S21" si="25">K6/K11</f>
        <v>52.484345354879544</v>
      </c>
      <c r="L21" s="817">
        <f t="shared" si="25"/>
        <v>39.098387423507745</v>
      </c>
      <c r="M21" s="817">
        <f t="shared" si="25"/>
        <v>29.002860175609701</v>
      </c>
      <c r="N21" s="817">
        <f t="shared" si="25"/>
        <v>22.093496021523375</v>
      </c>
      <c r="O21" s="817" t="e">
        <f t="shared" si="25"/>
        <v>#VALUE!</v>
      </c>
      <c r="P21" s="817" t="e">
        <f t="shared" si="25"/>
        <v>#VALUE!</v>
      </c>
      <c r="Q21" s="817" t="e">
        <f t="shared" si="25"/>
        <v>#VALUE!</v>
      </c>
      <c r="R21" s="817" t="e">
        <f t="shared" si="25"/>
        <v>#VALUE!</v>
      </c>
      <c r="S21" s="817" t="e">
        <f t="shared" si="25"/>
        <v>#VALUE!</v>
      </c>
      <c r="T21" s="817" t="e">
        <f t="shared" ref="T21" si="26">T6/T11</f>
        <v>#VALUE!</v>
      </c>
      <c r="X21" s="802"/>
      <c r="Y21" s="802">
        <v>0.05</v>
      </c>
      <c r="Z21" s="806" t="e">
        <f t="dataTable" ref="Z21:AE28" dt2D="1" dtr="1" r1="D5" r2="D3" ca="1"/>
        <v>#VALUE!</v>
      </c>
      <c r="AA21" s="806" t="e">
        <v>#VALUE!</v>
      </c>
      <c r="AB21" s="806" t="e">
        <v>#VALUE!</v>
      </c>
      <c r="AC21" s="807" t="e">
        <v>#VALUE!</v>
      </c>
      <c r="AD21" s="806" t="e">
        <v>#VALUE!</v>
      </c>
      <c r="AE21" s="806" t="e">
        <v>#VALUE!</v>
      </c>
    </row>
    <row r="22" spans="1:32" ht="15" thickBot="1">
      <c r="A22" s="820"/>
      <c r="B22" s="821" t="str" cm="1">
        <f t="array" ref="B22">_xlfn.IFS(AND(F3&gt;0,F4=0),"EBIT "&amp;F3&amp;"M "&amp;G3&amp;" GSe",AND(F3&gt;0,F4&gt;0),"EBIT "&amp;F3&amp;"M "&amp;G3&amp;"/"&amp;F4&amp;"M "&amp;G4&amp;" GSe",AND(F3=0,F4&gt;0),"EBIT "&amp;F4&amp;"M "&amp;G4&amp;" GSe")</f>
        <v>EBIT 12M 2026 GSe</v>
      </c>
      <c r="D22" s="75">
        <f>(INDEX($L$11:$S$11,MATCH(Multiples!G3,$L$2:$S$2,0))*Multiples!F3+INDEX($L$11:$S$11,MATCH(Multiples!G4,$L$2:$S$2,0))*Multiples!F4)/12</f>
        <v>6014.912862687469</v>
      </c>
      <c r="E22" s="820"/>
      <c r="F22" s="820"/>
      <c r="G22" s="820"/>
      <c r="H22" s="820"/>
      <c r="I22" s="703" t="s">
        <v>1341</v>
      </c>
      <c r="J22" s="817">
        <f t="shared" ref="J22:S22" si="27">J6/J10</f>
        <v>30.566077664196904</v>
      </c>
      <c r="K22" s="817">
        <f t="shared" si="27"/>
        <v>29.743875467992957</v>
      </c>
      <c r="L22" s="817">
        <f t="shared" si="27"/>
        <v>24.90053343448999</v>
      </c>
      <c r="M22" s="817">
        <f t="shared" si="27"/>
        <v>20.396058488667329</v>
      </c>
      <c r="N22" s="817">
        <f t="shared" si="27"/>
        <v>16.471151151611725</v>
      </c>
      <c r="O22" s="817" t="e">
        <f t="shared" si="27"/>
        <v>#VALUE!</v>
      </c>
      <c r="P22" s="817" t="e">
        <f t="shared" si="27"/>
        <v>#VALUE!</v>
      </c>
      <c r="Q22" s="817" t="e">
        <f t="shared" si="27"/>
        <v>#VALUE!</v>
      </c>
      <c r="R22" s="817" t="e">
        <f t="shared" si="27"/>
        <v>#VALUE!</v>
      </c>
      <c r="S22" s="817" t="e">
        <f t="shared" si="27"/>
        <v>#VALUE!</v>
      </c>
      <c r="T22" s="817" t="e">
        <f t="shared" ref="T22" si="28">T6/T10</f>
        <v>#VALUE!</v>
      </c>
      <c r="X22" s="808"/>
      <c r="Y22" s="802">
        <v>5.0599999999999999E-2</v>
      </c>
      <c r="Z22" s="806" t="e">
        <v>#VALUE!</v>
      </c>
      <c r="AA22" s="806" t="e">
        <v>#VALUE!</v>
      </c>
      <c r="AB22" s="806" t="e">
        <v>#VALUE!</v>
      </c>
      <c r="AC22" s="810" t="e">
        <v>#VALUE!</v>
      </c>
      <c r="AD22" s="822" t="e">
        <v>#VALUE!</v>
      </c>
      <c r="AE22" s="823" t="e">
        <v>#VALUE!</v>
      </c>
      <c r="AF22" s="809" t="s">
        <v>1439</v>
      </c>
    </row>
    <row r="23" spans="1:32" ht="15">
      <c r="A23" s="824"/>
      <c r="B23" s="72" t="s">
        <v>1378</v>
      </c>
      <c r="C23" s="73"/>
      <c r="D23" s="74">
        <f>D10/D22</f>
        <v>0</v>
      </c>
      <c r="E23" s="824"/>
      <c r="F23" s="824"/>
      <c r="G23" s="824"/>
      <c r="H23" s="824"/>
      <c r="I23" s="703" t="s">
        <v>1342</v>
      </c>
      <c r="J23" s="817">
        <f>J45/J10</f>
        <v>0.89115863389722316</v>
      </c>
      <c r="K23" s="817">
        <f t="shared" ref="K23:S23" si="29">K27/K10</f>
        <v>0.48477237048665622</v>
      </c>
      <c r="L23" s="817">
        <f t="shared" si="29"/>
        <v>-3.7027241470510446E-3</v>
      </c>
      <c r="M23" s="817">
        <f t="shared" si="29"/>
        <v>-8.3074189249222566E-2</v>
      </c>
      <c r="N23" s="817">
        <f t="shared" si="29"/>
        <v>-0.31457013574660636</v>
      </c>
      <c r="O23" s="817">
        <f t="shared" si="29"/>
        <v>-0.32122988351594828</v>
      </c>
      <c r="P23" s="817">
        <f t="shared" si="29"/>
        <v>-0.43176638148211527</v>
      </c>
      <c r="Q23" s="817">
        <f t="shared" si="29"/>
        <v>-0.55434862540295082</v>
      </c>
      <c r="R23" s="817">
        <f t="shared" si="29"/>
        <v>-0.68812190515878535</v>
      </c>
      <c r="S23" s="817">
        <f t="shared" si="29"/>
        <v>-0.99121135661396276</v>
      </c>
      <c r="T23" s="817">
        <f t="shared" ref="T23" si="30">T27/T10</f>
        <v>-1.2950198209954045</v>
      </c>
      <c r="X23" s="808" t="s">
        <v>1435</v>
      </c>
      <c r="Y23" s="802">
        <v>5.2000000000000005E-2</v>
      </c>
      <c r="Z23" s="806" t="e">
        <v>#VALUE!</v>
      </c>
      <c r="AA23" s="806" t="e">
        <v>#VALUE!</v>
      </c>
      <c r="AB23" s="806" t="e">
        <v>#VALUE!</v>
      </c>
      <c r="AC23" s="807" t="e">
        <v>#VALUE!</v>
      </c>
      <c r="AD23" s="806" t="e">
        <v>#VALUE!</v>
      </c>
      <c r="AE23" s="806" t="e">
        <v>#VALUE!</v>
      </c>
      <c r="AF23" s="825" t="s">
        <v>1440</v>
      </c>
    </row>
    <row r="24" spans="1:32">
      <c r="B24" s="821" t="str" cm="1">
        <f t="array" ref="B24">_xlfn.IFS(AND(F3&gt;0,F4=0),"EPS "&amp;F3&amp;"M "&amp;G3&amp;" GSe",AND(F3&gt;0,F4&gt;0),"EPS "&amp;F3&amp;"M "&amp;G3&amp;"/"&amp;F4&amp;"M "&amp;G4&amp;" GSe",AND(F3=0,F4&gt;0),"EPS "&amp;F4&amp;"M "&amp;G4&amp;" GSe")</f>
        <v>EPS 12M 2026 GSe</v>
      </c>
      <c r="D24" s="826">
        <f>(INDEX($L$12:$S$12,MATCH(Multiples!G3,$L$2:$S$2,0))*Multiples!F3+INDEX($L$12:$S$12,MATCH(Multiples!G4,$L$2:$S$2,0))*Multiples!F4)/12</f>
        <v>11.03157449247748</v>
      </c>
      <c r="J24" s="817">
        <f t="shared" ref="J24:S24" si="31">J6/J11</f>
        <v>56.799241590705158</v>
      </c>
      <c r="K24" s="817">
        <f t="shared" si="31"/>
        <v>52.484345354879544</v>
      </c>
      <c r="L24" s="817">
        <f t="shared" si="31"/>
        <v>39.098387423507745</v>
      </c>
      <c r="M24" s="817">
        <f t="shared" si="31"/>
        <v>29.002860175609701</v>
      </c>
      <c r="N24" s="817">
        <f t="shared" si="31"/>
        <v>22.093496021523375</v>
      </c>
      <c r="O24" s="817" t="e">
        <f t="shared" si="31"/>
        <v>#VALUE!</v>
      </c>
      <c r="P24" s="817" t="e">
        <f t="shared" si="31"/>
        <v>#VALUE!</v>
      </c>
      <c r="Q24" s="817" t="e">
        <f t="shared" si="31"/>
        <v>#VALUE!</v>
      </c>
      <c r="R24" s="817" t="e">
        <f t="shared" si="31"/>
        <v>#VALUE!</v>
      </c>
      <c r="S24" s="817" t="e">
        <f t="shared" si="31"/>
        <v>#VALUE!</v>
      </c>
      <c r="T24" s="817" t="e">
        <f t="shared" ref="T24" si="32">T6/T11</f>
        <v>#VALUE!</v>
      </c>
      <c r="X24" s="808" t="s">
        <v>747</v>
      </c>
      <c r="Y24" s="802">
        <v>5.3000000000000005E-2</v>
      </c>
      <c r="Z24" s="806" t="e">
        <v>#VALUE!</v>
      </c>
      <c r="AA24" s="806" t="e">
        <v>#VALUE!</v>
      </c>
      <c r="AB24" s="806" t="e">
        <v>#VALUE!</v>
      </c>
      <c r="AC24" s="807" t="e">
        <v>#VALUE!</v>
      </c>
      <c r="AD24" s="806" t="e">
        <v>#VALUE!</v>
      </c>
      <c r="AE24" s="806" t="e">
        <v>#VALUE!</v>
      </c>
    </row>
    <row r="25" spans="1:32">
      <c r="B25" s="72" t="s">
        <v>1640</v>
      </c>
      <c r="C25" s="73"/>
      <c r="D25" s="74" t="e">
        <f>D20/D24</f>
        <v>#VALUE!</v>
      </c>
      <c r="I25" s="1200" t="s">
        <v>1343</v>
      </c>
      <c r="J25" s="827"/>
      <c r="K25" s="827"/>
      <c r="L25" s="827"/>
      <c r="M25" s="827"/>
      <c r="N25" s="827"/>
      <c r="O25" s="827"/>
      <c r="P25" s="827"/>
      <c r="Q25" s="827"/>
      <c r="R25" s="827"/>
      <c r="S25" s="827"/>
      <c r="T25" s="827"/>
      <c r="U25" s="827"/>
      <c r="V25" s="827"/>
      <c r="X25" s="808"/>
      <c r="Y25" s="802">
        <v>5.4000000000000006E-2</v>
      </c>
      <c r="Z25" s="806" t="e">
        <v>#VALUE!</v>
      </c>
      <c r="AA25" s="806" t="e">
        <v>#VALUE!</v>
      </c>
      <c r="AB25" s="806" t="e">
        <v>#VALUE!</v>
      </c>
      <c r="AC25" s="807" t="e">
        <v>#VALUE!</v>
      </c>
      <c r="AD25" s="806" t="e">
        <v>#VALUE!</v>
      </c>
      <c r="AE25" s="806" t="e">
        <v>#VALUE!</v>
      </c>
    </row>
    <row r="26" spans="1:32">
      <c r="I26" s="703" t="s">
        <v>997</v>
      </c>
      <c r="J26" s="804">
        <f t="shared" ref="J26:S26" si="33">J5</f>
        <v>90106.557317999992</v>
      </c>
      <c r="K26" s="804">
        <f t="shared" si="33"/>
        <v>90236.56488749999</v>
      </c>
      <c r="L26" s="804">
        <f t="shared" si="33"/>
        <v>90242.958955499998</v>
      </c>
      <c r="M26" s="804">
        <f t="shared" si="33"/>
        <v>88363.746557999999</v>
      </c>
      <c r="N26" s="804">
        <f t="shared" si="33"/>
        <v>88015.625595000005</v>
      </c>
      <c r="O26" s="804" t="e">
        <f t="shared" si="33"/>
        <v>#VALUE!</v>
      </c>
      <c r="P26" s="804" t="e">
        <f t="shared" si="33"/>
        <v>#VALUE!</v>
      </c>
      <c r="Q26" s="804" t="e">
        <f t="shared" si="33"/>
        <v>#VALUE!</v>
      </c>
      <c r="R26" s="804" t="e">
        <f t="shared" si="33"/>
        <v>#VALUE!</v>
      </c>
      <c r="S26" s="804" t="e">
        <f t="shared" si="33"/>
        <v>#VALUE!</v>
      </c>
      <c r="T26" s="804" t="e">
        <f t="shared" ref="T26" si="34">T5</f>
        <v>#VALUE!</v>
      </c>
      <c r="V26" s="703" t="s">
        <v>1344</v>
      </c>
      <c r="X26" s="808"/>
      <c r="Y26" s="802">
        <v>5.5000000000000007E-2</v>
      </c>
      <c r="Z26" s="807" t="e">
        <v>#VALUE!</v>
      </c>
      <c r="AA26" s="807" t="e">
        <v>#VALUE!</v>
      </c>
      <c r="AB26" s="807" t="e">
        <v>#VALUE!</v>
      </c>
      <c r="AC26" s="807" t="e">
        <v>#VALUE!</v>
      </c>
      <c r="AD26" s="807" t="e">
        <v>#VALUE!</v>
      </c>
      <c r="AE26" s="807" t="e">
        <v>#VALUE!</v>
      </c>
    </row>
    <row r="27" spans="1:32" ht="15" thickBot="1">
      <c r="A27" s="800"/>
      <c r="B27" s="828" t="s">
        <v>1369</v>
      </c>
      <c r="C27" s="829"/>
      <c r="D27" s="830" t="e">
        <f>D20/D31-1</f>
        <v>#VALUE!</v>
      </c>
      <c r="E27" s="800"/>
      <c r="F27" s="800"/>
      <c r="G27" s="800"/>
      <c r="H27" s="800"/>
      <c r="I27" s="703" t="s">
        <v>1345</v>
      </c>
      <c r="J27" s="801">
        <f>J45</f>
        <v>2792</v>
      </c>
      <c r="K27" s="801">
        <f t="shared" ref="K27:N27" si="35">K45</f>
        <v>1544</v>
      </c>
      <c r="L27" s="801">
        <f t="shared" si="35"/>
        <v>-14</v>
      </c>
      <c r="M27" s="801">
        <f t="shared" si="35"/>
        <v>-374</v>
      </c>
      <c r="N27" s="801">
        <f t="shared" si="35"/>
        <v>-1738</v>
      </c>
      <c r="O27" s="801">
        <f>O7</f>
        <v>-2168.7677021781838</v>
      </c>
      <c r="P27" s="801">
        <f t="shared" ref="P27:T27" si="36">P7</f>
        <v>-3382.4906324987242</v>
      </c>
      <c r="Q27" s="801">
        <f t="shared" si="36"/>
        <v>-4867.261274494409</v>
      </c>
      <c r="R27" s="801">
        <f t="shared" si="36"/>
        <v>-6676.913080364604</v>
      </c>
      <c r="S27" s="801">
        <f t="shared" si="36"/>
        <v>-10162.360331352229</v>
      </c>
      <c r="T27" s="801">
        <f t="shared" si="36"/>
        <v>-13985.147557994624</v>
      </c>
      <c r="V27" s="703" t="s">
        <v>304</v>
      </c>
      <c r="X27" s="802"/>
      <c r="Y27" s="802">
        <v>5.6000000000000008E-2</v>
      </c>
      <c r="Z27" s="806" t="e">
        <v>#VALUE!</v>
      </c>
      <c r="AA27" s="806" t="e">
        <v>#VALUE!</v>
      </c>
      <c r="AB27" s="807" t="e">
        <v>#VALUE!</v>
      </c>
      <c r="AC27" s="807" t="e">
        <v>#VALUE!</v>
      </c>
      <c r="AD27" s="807" t="e">
        <v>#VALUE!</v>
      </c>
      <c r="AE27" s="807" t="e">
        <v>#VALUE!</v>
      </c>
    </row>
    <row r="28" spans="1:32" ht="15" thickBot="1">
      <c r="A28" s="800"/>
      <c r="B28" s="831" t="s">
        <v>1370</v>
      </c>
      <c r="C28" s="832"/>
      <c r="D28" s="833" t="e">
        <f>D20/D30-1</f>
        <v>#VALUE!</v>
      </c>
      <c r="E28" s="1016"/>
      <c r="F28" s="800"/>
      <c r="G28" s="800"/>
      <c r="H28" s="800"/>
      <c r="I28" s="703" t="s">
        <v>1346</v>
      </c>
      <c r="J28" s="801">
        <f>K28</f>
        <v>-61</v>
      </c>
      <c r="K28" s="801">
        <f>'Balance Sheet'!W140</f>
        <v>-61</v>
      </c>
      <c r="L28" s="801">
        <f>'Balance Sheet'!X140</f>
        <v>-24</v>
      </c>
      <c r="M28" s="801">
        <f>'Balance Sheet'!Y140</f>
        <v>-67</v>
      </c>
      <c r="N28" s="801">
        <f>'Balance Sheet'!Z140</f>
        <v>-23</v>
      </c>
      <c r="O28" s="801">
        <f>'Balance Sheet'!AA140</f>
        <v>-23</v>
      </c>
      <c r="P28" s="801">
        <f>'Balance Sheet'!AB140</f>
        <v>-23</v>
      </c>
      <c r="Q28" s="801">
        <f>'Balance Sheet'!AC140</f>
        <v>-23</v>
      </c>
      <c r="R28" s="801">
        <f>'Balance Sheet'!AD140</f>
        <v>-23</v>
      </c>
      <c r="S28" s="801">
        <f>'Balance Sheet'!AE140</f>
        <v>-23</v>
      </c>
      <c r="T28" s="801">
        <f>'Balance Sheet'!AF140</f>
        <v>-23</v>
      </c>
      <c r="V28" s="703" t="s">
        <v>214</v>
      </c>
      <c r="X28" s="802"/>
      <c r="Y28" s="802">
        <v>5.7000000000000009E-2</v>
      </c>
      <c r="Z28" s="806" t="e">
        <v>#VALUE!</v>
      </c>
      <c r="AA28" s="806" t="e">
        <v>#VALUE!</v>
      </c>
      <c r="AB28" s="807" t="e">
        <v>#VALUE!</v>
      </c>
      <c r="AC28" s="810" t="e">
        <v>#VALUE!</v>
      </c>
      <c r="AD28" s="807" t="e">
        <v>#VALUE!</v>
      </c>
      <c r="AE28" s="807" t="e">
        <v>#VALUE!</v>
      </c>
    </row>
    <row r="29" spans="1:32">
      <c r="A29" s="800"/>
      <c r="E29" s="61"/>
      <c r="F29" s="800"/>
      <c r="G29" s="800"/>
      <c r="H29" s="800"/>
      <c r="I29" s="703" t="s">
        <v>966</v>
      </c>
      <c r="J29" s="801">
        <f>'Balance Sheet'!V53*J26/SUM('Balance Sheet'!V49:V52)</f>
        <v>2925.9640039289011</v>
      </c>
      <c r="K29" s="801">
        <f>'Balance Sheet'!W53*K26/SUM('Balance Sheet'!W49:W52)</f>
        <v>3014.678478057589</v>
      </c>
      <c r="L29" s="801">
        <f>'Balance Sheet'!X53*L26/SUM('Balance Sheet'!X49:X52)</f>
        <v>3943.9579603066472</v>
      </c>
      <c r="M29" s="801">
        <f>'Balance Sheet'!Y53*M26/SUM('Balance Sheet'!Y49:Y52)</f>
        <v>3900.3087579803055</v>
      </c>
      <c r="N29" s="801">
        <f>'Balance Sheet'!Z53*N26/SUM('Balance Sheet'!Z49:Z52)</f>
        <v>4748.484517654776</v>
      </c>
      <c r="O29" s="801" t="e">
        <f>'Balance Sheet'!AA53*Multiples!O26/(SUM('Balance Sheet'!AA49:AA52))</f>
        <v>#VALUE!</v>
      </c>
      <c r="P29" s="801" t="e">
        <f>'Balance Sheet'!AB53*Multiples!P26/(SUM('Balance Sheet'!AB49:AB52))</f>
        <v>#VALUE!</v>
      </c>
      <c r="Q29" s="801" t="e">
        <f>'Balance Sheet'!AC53*Multiples!Q26/(SUM('Balance Sheet'!AC49:AC52))</f>
        <v>#VALUE!</v>
      </c>
      <c r="R29" s="801" t="e">
        <f>'Balance Sheet'!AD53*Multiples!R26/(SUM('Balance Sheet'!AD49:AD52))</f>
        <v>#VALUE!</v>
      </c>
      <c r="S29" s="801" t="e">
        <f>'Balance Sheet'!AE53*Multiples!S26/(SUM('Balance Sheet'!AE49:AE52))</f>
        <v>#VALUE!</v>
      </c>
      <c r="T29" s="801" t="e">
        <f>'Balance Sheet'!AF53*Multiples!T26/(SUM('Balance Sheet'!AF49:AF52))</f>
        <v>#VALUE!</v>
      </c>
      <c r="V29" s="703" t="s">
        <v>210</v>
      </c>
      <c r="AE29" s="834" t="s">
        <v>1438</v>
      </c>
    </row>
    <row r="30" spans="1:32" ht="15">
      <c r="A30" s="835"/>
      <c r="B30" s="69" t="s">
        <v>1371</v>
      </c>
      <c r="D30" s="69" t="s">
        <v>2099</v>
      </c>
      <c r="E30" s="836"/>
      <c r="F30" s="835"/>
      <c r="G30" s="837"/>
      <c r="H30" s="835"/>
      <c r="I30" s="703" t="s">
        <v>1347</v>
      </c>
      <c r="J30" s="801">
        <f t="shared" ref="J30:O30" si="37">SUM(J31:J37)</f>
        <v>-2900</v>
      </c>
      <c r="K30" s="801">
        <f t="shared" si="37"/>
        <v>-2858</v>
      </c>
      <c r="L30" s="801">
        <f t="shared" si="37"/>
        <v>-2240</v>
      </c>
      <c r="M30" s="801">
        <f t="shared" si="37"/>
        <v>-2194</v>
      </c>
      <c r="N30" s="801">
        <f t="shared" si="37"/>
        <v>-2211</v>
      </c>
      <c r="O30" s="801">
        <f t="shared" si="37"/>
        <v>-3210</v>
      </c>
      <c r="P30" s="801">
        <f t="shared" ref="P30:Q30" si="38">SUM(P31:P37)</f>
        <v>-3210</v>
      </c>
      <c r="Q30" s="801">
        <f t="shared" si="38"/>
        <v>-3210</v>
      </c>
      <c r="R30" s="801">
        <f t="shared" ref="R30:S30" si="39">SUM(R31:R37)</f>
        <v>-3210</v>
      </c>
      <c r="S30" s="801">
        <f t="shared" si="39"/>
        <v>-3210</v>
      </c>
      <c r="T30" s="801">
        <f t="shared" ref="T30" si="40">SUM(T31:T37)</f>
        <v>-3210</v>
      </c>
      <c r="V30" s="703" t="s">
        <v>305</v>
      </c>
    </row>
    <row r="31" spans="1:32">
      <c r="B31" s="69" t="s">
        <v>1372</v>
      </c>
      <c r="D31" s="840" t="s">
        <v>2099</v>
      </c>
      <c r="E31" s="841"/>
      <c r="I31" s="838" t="s">
        <v>750</v>
      </c>
      <c r="J31" s="839">
        <f>OpMod!X289</f>
        <v>209</v>
      </c>
      <c r="K31" s="839">
        <f>OpMod!Y289</f>
        <v>230</v>
      </c>
      <c r="L31" s="839">
        <f>OpMod!Z289</f>
        <v>1030</v>
      </c>
      <c r="M31" s="839">
        <f>OpMod!AA289</f>
        <v>1293</v>
      </c>
      <c r="N31" s="839">
        <f>OpMod!AB289</f>
        <v>1286</v>
      </c>
      <c r="O31" s="839">
        <f>OpMod!AC289</f>
        <v>0</v>
      </c>
      <c r="P31" s="839">
        <f>OpMod!AD289</f>
        <v>0</v>
      </c>
      <c r="Q31" s="839">
        <f>OpMod!AE289</f>
        <v>0</v>
      </c>
      <c r="R31" s="839">
        <f>OpMod!AF289</f>
        <v>0</v>
      </c>
      <c r="S31" s="839">
        <f>OpMod!AG289</f>
        <v>0</v>
      </c>
      <c r="T31" s="839">
        <f>OpMod!AH289</f>
        <v>0</v>
      </c>
    </row>
    <row r="32" spans="1:32" ht="15">
      <c r="A32" s="843"/>
      <c r="E32" s="843"/>
      <c r="F32" s="843"/>
      <c r="G32" s="844"/>
      <c r="H32" s="843"/>
      <c r="I32" s="842" t="s">
        <v>1086</v>
      </c>
      <c r="J32" s="801">
        <f>OpMod!X290</f>
        <v>-426</v>
      </c>
      <c r="K32" s="801">
        <f>OpMod!Y290</f>
        <v>-327</v>
      </c>
      <c r="L32" s="801">
        <f>OpMod!Z290</f>
        <v>-302</v>
      </c>
      <c r="M32" s="801">
        <f>OpMod!AA290</f>
        <v>-292</v>
      </c>
      <c r="N32" s="801">
        <f>OpMod!AB290</f>
        <v>-287</v>
      </c>
      <c r="O32" s="801">
        <v>0</v>
      </c>
      <c r="P32" s="801">
        <v>0</v>
      </c>
      <c r="Q32" s="801">
        <v>0</v>
      </c>
      <c r="R32" s="801">
        <v>0</v>
      </c>
      <c r="S32" s="801">
        <v>0</v>
      </c>
      <c r="T32" s="801">
        <v>0</v>
      </c>
    </row>
    <row r="33" spans="1:31" ht="15" thickBot="1">
      <c r="A33" s="811"/>
      <c r="E33" s="811"/>
      <c r="F33" s="811"/>
      <c r="G33" s="811"/>
      <c r="H33" s="811"/>
      <c r="I33" s="842" t="s">
        <v>1087</v>
      </c>
      <c r="J33" s="801">
        <f>OpMod!X291</f>
        <v>0</v>
      </c>
      <c r="K33" s="801">
        <f>OpMod!Y291</f>
        <v>0</v>
      </c>
      <c r="L33" s="801">
        <f>OpMod!Z291</f>
        <v>0</v>
      </c>
      <c r="M33" s="801">
        <f>OpMod!AA291</f>
        <v>0</v>
      </c>
      <c r="N33" s="801">
        <f>OpMod!AB291</f>
        <v>0</v>
      </c>
      <c r="O33" s="801">
        <f>OpMod!AC291</f>
        <v>0</v>
      </c>
      <c r="P33" s="801">
        <f>OpMod!AD291</f>
        <v>0</v>
      </c>
      <c r="Q33" s="801">
        <f>OpMod!AE291</f>
        <v>0</v>
      </c>
      <c r="R33" s="801">
        <f>OpMod!AF291</f>
        <v>0</v>
      </c>
      <c r="S33" s="801">
        <f>OpMod!AG291</f>
        <v>0</v>
      </c>
      <c r="T33" s="801">
        <f>OpMod!AH291</f>
        <v>0</v>
      </c>
      <c r="X33" s="799" t="s">
        <v>1437</v>
      </c>
      <c r="Y33" s="799"/>
      <c r="Z33" s="799"/>
      <c r="AA33" s="799"/>
      <c r="AB33" s="799"/>
      <c r="AC33" s="799"/>
      <c r="AD33" s="799"/>
      <c r="AE33" s="799"/>
    </row>
    <row r="34" spans="1:31">
      <c r="A34" s="820"/>
      <c r="E34" s="820"/>
      <c r="F34" s="820"/>
      <c r="G34" s="820"/>
      <c r="H34" s="820"/>
      <c r="I34" s="842" t="s">
        <v>1088</v>
      </c>
      <c r="J34" s="801">
        <f>OpMod!X292</f>
        <v>0</v>
      </c>
      <c r="K34" s="801">
        <f>OpMod!Y292</f>
        <v>0</v>
      </c>
      <c r="L34" s="801">
        <f>OpMod!Z292</f>
        <v>0</v>
      </c>
      <c r="M34" s="801">
        <f>OpMod!AA292</f>
        <v>0</v>
      </c>
      <c r="N34" s="801">
        <f>OpMod!AB292</f>
        <v>0</v>
      </c>
      <c r="O34" s="801">
        <f>OpMod!AC292</f>
        <v>0</v>
      </c>
      <c r="P34" s="801">
        <f>OpMod!AD292</f>
        <v>0</v>
      </c>
      <c r="Q34" s="801">
        <f>OpMod!AE292</f>
        <v>0</v>
      </c>
      <c r="R34" s="801">
        <f>OpMod!AF292</f>
        <v>0</v>
      </c>
      <c r="S34" s="801">
        <f>OpMod!AG292</f>
        <v>0</v>
      </c>
      <c r="T34" s="801">
        <f>OpMod!AH292</f>
        <v>0</v>
      </c>
      <c r="X34" s="802"/>
      <c r="Y34" s="802"/>
      <c r="Z34" s="802"/>
      <c r="AA34" s="803" t="s">
        <v>1374</v>
      </c>
      <c r="AB34" s="803"/>
      <c r="AC34" s="803"/>
      <c r="AD34" s="803"/>
      <c r="AE34" s="802"/>
    </row>
    <row r="35" spans="1:31">
      <c r="I35" s="842" t="s">
        <v>1089</v>
      </c>
      <c r="J35" s="801">
        <f>OpMod!X293</f>
        <v>-2683</v>
      </c>
      <c r="K35" s="801">
        <f>OpMod!Y293</f>
        <v>-2761</v>
      </c>
      <c r="L35" s="801">
        <f>OpMod!Z293</f>
        <v>-2968</v>
      </c>
      <c r="M35" s="801">
        <f>OpMod!AA293</f>
        <v>-3195</v>
      </c>
      <c r="N35" s="801">
        <f>OpMod!AB293</f>
        <v>-3210</v>
      </c>
      <c r="O35" s="801">
        <f>OpMod!AC293</f>
        <v>-3210</v>
      </c>
      <c r="P35" s="801">
        <f>OpMod!AD293</f>
        <v>-3210</v>
      </c>
      <c r="Q35" s="801">
        <f>OpMod!AE293</f>
        <v>-3210</v>
      </c>
      <c r="R35" s="801">
        <f>OpMod!AF293</f>
        <v>-3210</v>
      </c>
      <c r="S35" s="801">
        <f>OpMod!AG293</f>
        <v>-3210</v>
      </c>
      <c r="T35" s="801">
        <f>OpMod!AH293</f>
        <v>-3210</v>
      </c>
      <c r="X35" s="802"/>
      <c r="Y35" s="805" t="e">
        <f>D20/D30-1</f>
        <v>#VALUE!</v>
      </c>
      <c r="Z35" s="802">
        <v>0.16</v>
      </c>
      <c r="AA35" s="802">
        <v>0.18</v>
      </c>
      <c r="AB35" s="802">
        <v>0.20968442203144991</v>
      </c>
      <c r="AC35" s="802">
        <v>0.22</v>
      </c>
      <c r="AD35" s="802">
        <v>0.24</v>
      </c>
      <c r="AE35" s="802">
        <v>0.26</v>
      </c>
    </row>
    <row r="36" spans="1:31">
      <c r="I36" s="842" t="s">
        <v>1090</v>
      </c>
      <c r="J36" s="801">
        <f>OpMod!X294</f>
        <v>0</v>
      </c>
      <c r="K36" s="801">
        <f>OpMod!Y294</f>
        <v>0</v>
      </c>
      <c r="L36" s="801">
        <f>OpMod!Z294</f>
        <v>0</v>
      </c>
      <c r="M36" s="801">
        <f>OpMod!AA294</f>
        <v>0</v>
      </c>
      <c r="N36" s="801">
        <f>OpMod!AB294</f>
        <v>0</v>
      </c>
      <c r="O36" s="801">
        <f>OpMod!AC294</f>
        <v>0</v>
      </c>
      <c r="P36" s="801">
        <f>OpMod!AD294</f>
        <v>0</v>
      </c>
      <c r="Q36" s="801">
        <f>OpMod!AE294</f>
        <v>0</v>
      </c>
      <c r="R36" s="801">
        <f>OpMod!AF294</f>
        <v>0</v>
      </c>
      <c r="S36" s="801">
        <f>OpMod!AG294</f>
        <v>0</v>
      </c>
      <c r="T36" s="801">
        <f>OpMod!AH294</f>
        <v>0</v>
      </c>
      <c r="X36" s="802"/>
      <c r="Y36" s="802">
        <v>7.4999999999999997E-2</v>
      </c>
      <c r="Z36" s="806" t="e">
        <f t="dataTable" ref="Z36:AE43" dt2D="1" dtr="1" r1="D4" r2="D5" ca="1"/>
        <v>#VALUE!</v>
      </c>
      <c r="AA36" s="806" t="e">
        <v>#VALUE!</v>
      </c>
      <c r="AB36" s="806" t="e">
        <v>#VALUE!</v>
      </c>
      <c r="AC36" s="806" t="e">
        <v>#VALUE!</v>
      </c>
      <c r="AD36" s="806" t="e">
        <v>#VALUE!</v>
      </c>
      <c r="AE36" s="806" t="e">
        <v>#VALUE!</v>
      </c>
    </row>
    <row r="37" spans="1:31" ht="15" thickBot="1">
      <c r="I37" s="842" t="s">
        <v>1091</v>
      </c>
      <c r="J37" s="801">
        <f>OpMod!X295</f>
        <v>0</v>
      </c>
      <c r="K37" s="801">
        <f>OpMod!Y295</f>
        <v>0</v>
      </c>
      <c r="L37" s="801">
        <f>OpMod!Z295</f>
        <v>0</v>
      </c>
      <c r="M37" s="801">
        <f>OpMod!AA295</f>
        <v>0</v>
      </c>
      <c r="N37" s="801">
        <f>OpMod!AB295</f>
        <v>0</v>
      </c>
      <c r="O37" s="801">
        <f>OpMod!AC295</f>
        <v>0</v>
      </c>
      <c r="P37" s="801">
        <f>OpMod!AD295</f>
        <v>0</v>
      </c>
      <c r="Q37" s="801">
        <f>OpMod!AE295</f>
        <v>0</v>
      </c>
      <c r="R37" s="801">
        <f>OpMod!AF295</f>
        <v>0</v>
      </c>
      <c r="S37" s="801">
        <f>OpMod!AG295</f>
        <v>0</v>
      </c>
      <c r="T37" s="801">
        <f>OpMod!AH295</f>
        <v>0</v>
      </c>
      <c r="X37" s="808"/>
      <c r="Y37" s="802">
        <v>0.08</v>
      </c>
      <c r="Z37" s="806" t="e">
        <v>#VALUE!</v>
      </c>
      <c r="AA37" s="806" t="e">
        <v>#VALUE!</v>
      </c>
      <c r="AB37" s="806" t="e">
        <v>#VALUE!</v>
      </c>
      <c r="AC37" s="806" t="e">
        <v>#VALUE!</v>
      </c>
      <c r="AD37" s="806" t="e">
        <v>#VALUE!</v>
      </c>
      <c r="AE37" s="806" t="e">
        <v>#VALUE!</v>
      </c>
    </row>
    <row r="38" spans="1:31" ht="15" thickBot="1">
      <c r="I38" s="845" t="s">
        <v>1348</v>
      </c>
      <c r="J38" s="846">
        <f t="shared" ref="J38:N38" si="41">SUM(J26:J29)</f>
        <v>95763.5213219289</v>
      </c>
      <c r="K38" s="846">
        <f t="shared" si="41"/>
        <v>94734.243365557573</v>
      </c>
      <c r="L38" s="846">
        <f t="shared" si="41"/>
        <v>94148.916915806651</v>
      </c>
      <c r="M38" s="846">
        <f t="shared" si="41"/>
        <v>91823.055315980309</v>
      </c>
      <c r="N38" s="846">
        <f t="shared" si="41"/>
        <v>91003.110112654787</v>
      </c>
      <c r="O38" s="846" t="e">
        <f>SUM(O26:O29)</f>
        <v>#VALUE!</v>
      </c>
      <c r="P38" s="846" t="e">
        <f t="shared" ref="P38:T38" si="42">SUM(P26:P29)</f>
        <v>#VALUE!</v>
      </c>
      <c r="Q38" s="846" t="e">
        <f t="shared" si="42"/>
        <v>#VALUE!</v>
      </c>
      <c r="R38" s="846" t="e">
        <f t="shared" si="42"/>
        <v>#VALUE!</v>
      </c>
      <c r="S38" s="846" t="e">
        <f t="shared" si="42"/>
        <v>#VALUE!</v>
      </c>
      <c r="T38" s="846" t="e">
        <f t="shared" si="42"/>
        <v>#VALUE!</v>
      </c>
      <c r="V38" s="703" t="s">
        <v>1349</v>
      </c>
      <c r="X38" s="808"/>
      <c r="Y38" s="802">
        <v>8.5000000000000006E-2</v>
      </c>
      <c r="Z38" s="806" t="e">
        <v>#VALUE!</v>
      </c>
      <c r="AA38" s="810" t="e">
        <v>#VALUE!</v>
      </c>
      <c r="AB38" s="806" t="e">
        <v>#VALUE!</v>
      </c>
      <c r="AC38" s="806" t="e">
        <v>#VALUE!</v>
      </c>
      <c r="AD38" s="806" t="e">
        <v>#VALUE!</v>
      </c>
      <c r="AE38" s="806" t="e">
        <v>#VALUE!</v>
      </c>
    </row>
    <row r="39" spans="1:31" ht="15" thickBot="1">
      <c r="X39" s="808" t="s">
        <v>1436</v>
      </c>
      <c r="Y39" s="802">
        <v>0.09</v>
      </c>
      <c r="Z39" s="806" t="e">
        <v>#VALUE!</v>
      </c>
      <c r="AA39" s="806" t="e">
        <v>#VALUE!</v>
      </c>
      <c r="AB39" s="810" t="e">
        <v>#VALUE!</v>
      </c>
      <c r="AC39" s="806" t="e">
        <v>#VALUE!</v>
      </c>
      <c r="AD39" s="806" t="e">
        <v>#VALUE!</v>
      </c>
      <c r="AE39" s="806" t="e">
        <v>#VALUE!</v>
      </c>
    </row>
    <row r="40" spans="1:31">
      <c r="I40" s="827" t="s">
        <v>1350</v>
      </c>
      <c r="J40" s="827"/>
      <c r="K40" s="827"/>
      <c r="L40" s="827"/>
      <c r="M40" s="827"/>
      <c r="N40" s="827"/>
      <c r="O40" s="827"/>
      <c r="P40" s="827"/>
      <c r="Q40" s="827"/>
      <c r="R40" s="827"/>
      <c r="S40" s="827"/>
      <c r="T40" s="827"/>
      <c r="U40" s="827"/>
      <c r="V40" s="827"/>
      <c r="X40" s="808"/>
      <c r="Y40" s="802">
        <v>9.5000000000000001E-2</v>
      </c>
      <c r="Z40" s="806" t="e">
        <v>#VALUE!</v>
      </c>
      <c r="AA40" s="806" t="e">
        <v>#VALUE!</v>
      </c>
      <c r="AB40" s="806" t="e">
        <v>#VALUE!</v>
      </c>
      <c r="AC40" s="806" t="e">
        <v>#VALUE!</v>
      </c>
      <c r="AD40" s="806" t="e">
        <v>#VALUE!</v>
      </c>
      <c r="AE40" s="806" t="e">
        <v>#VALUE!</v>
      </c>
    </row>
    <row r="41" spans="1:31">
      <c r="I41" s="842" t="s">
        <v>760</v>
      </c>
      <c r="J41" s="801">
        <f>OpMod!X274</f>
        <v>3747</v>
      </c>
      <c r="K41" s="801">
        <f>OpMod!Y274</f>
        <v>5247</v>
      </c>
      <c r="L41" s="801">
        <f>OpMod!Z274</f>
        <v>6687</v>
      </c>
      <c r="M41" s="801">
        <f>OpMod!AA274</f>
        <v>6676</v>
      </c>
      <c r="N41" s="801">
        <f>OpMod!AB274</f>
        <v>6514</v>
      </c>
      <c r="O41" s="801">
        <f>OpMod!AC274</f>
        <v>7231.7677021781838</v>
      </c>
      <c r="P41" s="801">
        <f>OpMod!AD274</f>
        <v>8445.4906324987242</v>
      </c>
      <c r="Q41" s="801">
        <f>OpMod!AE274</f>
        <v>9930.261274494409</v>
      </c>
      <c r="R41" s="801">
        <f>OpMod!AF274</f>
        <v>11739.913080364604</v>
      </c>
      <c r="S41" s="801">
        <f>OpMod!AG274</f>
        <v>15225.360331352229</v>
      </c>
      <c r="T41" s="801">
        <f>OpMod!AH274</f>
        <v>19048.147557994624</v>
      </c>
      <c r="X41" s="808"/>
      <c r="Y41" s="802">
        <v>0.1</v>
      </c>
      <c r="Z41" s="807" t="e">
        <v>#VALUE!</v>
      </c>
      <c r="AA41" s="807" t="e">
        <v>#VALUE!</v>
      </c>
      <c r="AB41" s="807" t="e">
        <v>#VALUE!</v>
      </c>
      <c r="AC41" s="807" t="e">
        <v>#VALUE!</v>
      </c>
      <c r="AD41" s="807" t="e">
        <v>#VALUE!</v>
      </c>
      <c r="AE41" s="807" t="e">
        <v>#VALUE!</v>
      </c>
    </row>
    <row r="42" spans="1:31">
      <c r="I42" s="842" t="s">
        <v>759</v>
      </c>
      <c r="J42" s="801">
        <f>OpMod!X275</f>
        <v>-2509</v>
      </c>
      <c r="K42" s="801">
        <f>OpMod!Y275</f>
        <v>-1720</v>
      </c>
      <c r="L42" s="801">
        <f>OpMod!Z275</f>
        <v>-1277</v>
      </c>
      <c r="M42" s="801">
        <f>OpMod!AA275</f>
        <v>-1608</v>
      </c>
      <c r="N42" s="801">
        <f>OpMod!AB275</f>
        <v>-988</v>
      </c>
      <c r="O42" s="801">
        <f>OpMod!AC275</f>
        <v>-988</v>
      </c>
      <c r="P42" s="801">
        <f>OpMod!AD275</f>
        <v>-988</v>
      </c>
      <c r="Q42" s="801">
        <f>OpMod!AE275</f>
        <v>-988</v>
      </c>
      <c r="R42" s="801">
        <f>OpMod!AF275</f>
        <v>-988</v>
      </c>
      <c r="S42" s="801">
        <f>OpMod!AG275</f>
        <v>-988</v>
      </c>
      <c r="T42" s="801">
        <f>OpMod!AH275</f>
        <v>-988</v>
      </c>
      <c r="X42" s="802"/>
      <c r="Y42" s="802">
        <v>0.105</v>
      </c>
      <c r="Z42" s="806" t="e">
        <v>#VALUE!</v>
      </c>
      <c r="AA42" s="806" t="e">
        <v>#VALUE!</v>
      </c>
      <c r="AB42" s="807" t="e">
        <v>#VALUE!</v>
      </c>
      <c r="AC42" s="807" t="e">
        <v>#VALUE!</v>
      </c>
      <c r="AD42" s="807" t="e">
        <v>#VALUE!</v>
      </c>
      <c r="AE42" s="807" t="e">
        <v>#VALUE!</v>
      </c>
    </row>
    <row r="43" spans="1:31">
      <c r="I43" s="842" t="s">
        <v>758</v>
      </c>
      <c r="J43" s="801">
        <f>OpMod!X276</f>
        <v>-4082</v>
      </c>
      <c r="K43" s="801">
        <f>OpMod!Y276</f>
        <v>-5094</v>
      </c>
      <c r="L43" s="801">
        <f>OpMod!Z276</f>
        <v>-5378</v>
      </c>
      <c r="M43" s="801">
        <f>OpMod!AA276</f>
        <v>-4691</v>
      </c>
      <c r="N43" s="801">
        <f>OpMod!AB276</f>
        <v>-3788</v>
      </c>
      <c r="O43" s="801">
        <f>OpMod!AC276</f>
        <v>-3788</v>
      </c>
      <c r="P43" s="801">
        <f>OpMod!AD276</f>
        <v>-3788</v>
      </c>
      <c r="Q43" s="801">
        <f>OpMod!AE276</f>
        <v>-3788</v>
      </c>
      <c r="R43" s="801">
        <f>OpMod!AF276</f>
        <v>-3788</v>
      </c>
      <c r="S43" s="801">
        <f>OpMod!AG276</f>
        <v>-3788</v>
      </c>
      <c r="T43" s="801">
        <f>OpMod!AH276</f>
        <v>-3788</v>
      </c>
      <c r="X43" s="802"/>
      <c r="Y43" s="802">
        <v>0.11</v>
      </c>
      <c r="Z43" s="806" t="e">
        <v>#VALUE!</v>
      </c>
      <c r="AA43" s="806" t="e">
        <v>#VALUE!</v>
      </c>
      <c r="AB43" s="807" t="e">
        <v>#VALUE!</v>
      </c>
      <c r="AC43" s="807" t="e">
        <v>#VALUE!</v>
      </c>
      <c r="AD43" s="807" t="e">
        <v>#VALUE!</v>
      </c>
      <c r="AE43" s="807" t="e">
        <v>#VALUE!</v>
      </c>
    </row>
    <row r="44" spans="1:31">
      <c r="I44" s="842" t="s">
        <v>757</v>
      </c>
      <c r="J44" s="801">
        <f>OpMod!X277</f>
        <v>52</v>
      </c>
      <c r="K44" s="801">
        <f>OpMod!Y277</f>
        <v>23</v>
      </c>
      <c r="L44" s="801">
        <f>OpMod!Z277</f>
        <v>-18</v>
      </c>
      <c r="M44" s="801">
        <f>OpMod!AA277</f>
        <v>-3</v>
      </c>
      <c r="N44" s="801">
        <f>OpMod!AB277</f>
        <v>0</v>
      </c>
      <c r="O44" s="801">
        <f>OpMod!AC277</f>
        <v>0</v>
      </c>
      <c r="P44" s="801">
        <f>OpMod!AD277</f>
        <v>0</v>
      </c>
      <c r="Q44" s="801">
        <f>OpMod!AE277</f>
        <v>0</v>
      </c>
      <c r="R44" s="801">
        <f>OpMod!AF277</f>
        <v>0</v>
      </c>
      <c r="S44" s="801">
        <f>OpMod!AG277</f>
        <v>0</v>
      </c>
      <c r="T44" s="801">
        <f>OpMod!AH277</f>
        <v>0</v>
      </c>
    </row>
    <row r="45" spans="1:31">
      <c r="I45" s="845" t="s">
        <v>1339</v>
      </c>
      <c r="J45" s="846">
        <f>OpMod!X273</f>
        <v>2792</v>
      </c>
      <c r="K45" s="846">
        <f>OpMod!Y273</f>
        <v>1544</v>
      </c>
      <c r="L45" s="846">
        <f>OpMod!Z273</f>
        <v>-14</v>
      </c>
      <c r="M45" s="846">
        <f>OpMod!AA273</f>
        <v>-374</v>
      </c>
      <c r="N45" s="846">
        <f>OpMod!AB273</f>
        <v>-1738</v>
      </c>
      <c r="O45" s="846">
        <f>OpMod!AC273</f>
        <v>-2455.7677021781838</v>
      </c>
      <c r="P45" s="846">
        <f>OpMod!AD273</f>
        <v>-3669.4906324987242</v>
      </c>
      <c r="Q45" s="846">
        <f>OpMod!AE273</f>
        <v>-5154.261274494409</v>
      </c>
      <c r="R45" s="846">
        <f>OpMod!AF273</f>
        <v>-6963.913080364604</v>
      </c>
      <c r="S45" s="846">
        <f>OpMod!AG273</f>
        <v>-10449.360331352229</v>
      </c>
      <c r="T45" s="846">
        <f>OpMod!AH273</f>
        <v>-14272.147557994624</v>
      </c>
      <c r="V45" s="703" t="s">
        <v>304</v>
      </c>
    </row>
    <row r="47" spans="1:31">
      <c r="C47" s="848"/>
      <c r="D47" s="848"/>
      <c r="E47" s="849"/>
      <c r="I47" s="703" t="s">
        <v>1654</v>
      </c>
      <c r="J47" s="847">
        <v>8.9999999999999993E-3</v>
      </c>
      <c r="K47" s="847">
        <v>1.5100000000000001E-2</v>
      </c>
      <c r="L47" s="847">
        <v>3.8699999999999998E-2</v>
      </c>
      <c r="M47" s="847">
        <v>3.9E-2</v>
      </c>
      <c r="N47" s="847">
        <v>3.7499999999999999E-2</v>
      </c>
      <c r="O47" s="847">
        <v>3.7499999999999999E-2</v>
      </c>
      <c r="P47" s="847">
        <v>3.7499999999999999E-2</v>
      </c>
      <c r="Q47" s="847">
        <v>3.7499999999999999E-2</v>
      </c>
      <c r="R47" s="847">
        <v>3.7499999999999999E-2</v>
      </c>
      <c r="S47" s="847">
        <v>3.7499999999999999E-2</v>
      </c>
      <c r="T47" s="847">
        <v>3.7499999999999999E-2</v>
      </c>
    </row>
    <row r="48" spans="1:31" ht="15" thickBot="1">
      <c r="C48" s="848"/>
      <c r="D48" s="848"/>
      <c r="E48" s="849"/>
      <c r="I48" s="703" t="s">
        <v>1655</v>
      </c>
      <c r="J48" s="847">
        <v>0.04</v>
      </c>
      <c r="K48" s="847">
        <v>0.04</v>
      </c>
      <c r="L48" s="847">
        <v>0.04</v>
      </c>
      <c r="M48" s="847">
        <v>0.04</v>
      </c>
      <c r="N48" s="847">
        <v>0.04</v>
      </c>
      <c r="O48" s="847">
        <v>0.04</v>
      </c>
      <c r="P48" s="847">
        <v>0.04</v>
      </c>
      <c r="Q48" s="847">
        <v>0.04</v>
      </c>
      <c r="R48" s="847">
        <v>0.04</v>
      </c>
      <c r="S48" s="847">
        <v>0.04</v>
      </c>
      <c r="T48" s="847">
        <v>0.04</v>
      </c>
      <c r="X48" s="799" t="s">
        <v>1441</v>
      </c>
      <c r="Y48" s="799"/>
      <c r="Z48" s="799"/>
      <c r="AA48" s="799"/>
      <c r="AB48" s="799"/>
      <c r="AC48" s="799"/>
      <c r="AD48" s="799"/>
      <c r="AE48" s="799"/>
    </row>
    <row r="49" spans="3:32">
      <c r="C49" s="848"/>
      <c r="D49" s="848"/>
      <c r="E49" s="849"/>
      <c r="I49" s="703" t="s">
        <v>1656</v>
      </c>
      <c r="J49" s="850">
        <v>2</v>
      </c>
      <c r="K49" s="721">
        <f>J49</f>
        <v>2</v>
      </c>
      <c r="L49" s="721">
        <f t="shared" ref="L49:O49" si="43">K49</f>
        <v>2</v>
      </c>
      <c r="M49" s="721">
        <f t="shared" si="43"/>
        <v>2</v>
      </c>
      <c r="N49" s="721">
        <f t="shared" si="43"/>
        <v>2</v>
      </c>
      <c r="O49" s="721">
        <f t="shared" si="43"/>
        <v>2</v>
      </c>
      <c r="P49" s="721">
        <f t="shared" ref="P49" si="44">O49</f>
        <v>2</v>
      </c>
      <c r="Q49" s="721">
        <f t="shared" ref="Q49" si="45">P49</f>
        <v>2</v>
      </c>
      <c r="R49" s="721">
        <f t="shared" ref="R49" si="46">Q49</f>
        <v>2</v>
      </c>
      <c r="S49" s="721">
        <f t="shared" ref="S49:T49" si="47">R49</f>
        <v>2</v>
      </c>
      <c r="T49" s="721">
        <f t="shared" si="47"/>
        <v>2</v>
      </c>
      <c r="X49" s="802"/>
      <c r="Y49" s="802"/>
      <c r="Z49" s="802"/>
      <c r="AA49" s="803" t="s">
        <v>1436</v>
      </c>
      <c r="AB49" s="803"/>
      <c r="AC49" s="803"/>
      <c r="AD49" s="803"/>
      <c r="AE49" s="802"/>
    </row>
    <row r="50" spans="3:32">
      <c r="E50" s="849"/>
      <c r="I50" s="703" t="s">
        <v>1653</v>
      </c>
      <c r="J50" s="847">
        <f>J47+J49*J48</f>
        <v>8.8999999999999996E-2</v>
      </c>
      <c r="K50" s="847">
        <f t="shared" ref="K50:O50" si="48">K47+K49*K48</f>
        <v>9.5100000000000004E-2</v>
      </c>
      <c r="L50" s="847">
        <f t="shared" si="48"/>
        <v>0.1187</v>
      </c>
      <c r="M50" s="847">
        <f t="shared" si="48"/>
        <v>0.11899999999999999</v>
      </c>
      <c r="N50" s="847">
        <f t="shared" si="48"/>
        <v>0.11749999999999999</v>
      </c>
      <c r="O50" s="847">
        <f t="shared" si="48"/>
        <v>0.11749999999999999</v>
      </c>
      <c r="P50" s="847">
        <f t="shared" ref="P50:S50" si="49">P47+P49*P48</f>
        <v>0.11749999999999999</v>
      </c>
      <c r="Q50" s="847">
        <f t="shared" si="49"/>
        <v>0.11749999999999999</v>
      </c>
      <c r="R50" s="847">
        <f t="shared" si="49"/>
        <v>0.11749999999999999</v>
      </c>
      <c r="S50" s="847">
        <f t="shared" si="49"/>
        <v>0.11749999999999999</v>
      </c>
      <c r="T50" s="847">
        <f t="shared" ref="T50" si="50">T47+T49*T48</f>
        <v>0.11749999999999999</v>
      </c>
      <c r="X50" s="802"/>
      <c r="Y50" s="805" t="e">
        <f>D20/108.04-1</f>
        <v>#VALUE!</v>
      </c>
      <c r="Z50" s="802">
        <v>7.4999999999999997E-2</v>
      </c>
      <c r="AA50" s="802">
        <v>0.08</v>
      </c>
      <c r="AB50" s="802">
        <v>8.5000000000000006E-2</v>
      </c>
      <c r="AC50" s="802">
        <v>0.09</v>
      </c>
      <c r="AD50" s="802">
        <v>9.5000000000000001E-2</v>
      </c>
      <c r="AE50" s="802">
        <v>0.1</v>
      </c>
    </row>
    <row r="51" spans="3:32" ht="15" thickBot="1">
      <c r="J51" s="851"/>
      <c r="K51" s="851"/>
      <c r="L51" s="851"/>
      <c r="M51" s="851"/>
      <c r="N51" s="851"/>
      <c r="O51" s="851"/>
      <c r="P51" s="852">
        <f>((1+L57)*(1+M57)*(1+N57)*(1+O57))^0.25-1</f>
        <v>0.25629404077594553</v>
      </c>
      <c r="Q51" s="852">
        <f>((1+M57)*(1+N57)*(1+O57))^(1/3)-1</f>
        <v>0.21262625135445057</v>
      </c>
      <c r="R51" s="852"/>
      <c r="S51" s="852"/>
      <c r="T51" s="852"/>
      <c r="X51" s="802"/>
      <c r="Y51" s="802">
        <v>0.05</v>
      </c>
      <c r="Z51" s="806" t="e">
        <f t="dataTable" ref="Z51:AE58" dt2D="1" dtr="1" r1="D5" r2="D3"/>
        <v>#VALUE!</v>
      </c>
      <c r="AA51" s="806" t="e">
        <v>#VALUE!</v>
      </c>
      <c r="AB51" s="806" t="e">
        <v>#VALUE!</v>
      </c>
      <c r="AC51" s="807" t="e">
        <v>#VALUE!</v>
      </c>
      <c r="AD51" s="806" t="e">
        <v>#VALUE!</v>
      </c>
      <c r="AE51" s="806" t="e">
        <v>#VALUE!</v>
      </c>
    </row>
    <row r="52" spans="3:32" ht="15" thickBot="1">
      <c r="I52" s="796" t="s">
        <v>1652</v>
      </c>
      <c r="J52" s="796">
        <f>J2</f>
        <v>2020</v>
      </c>
      <c r="K52" s="796">
        <f>J52+1</f>
        <v>2021</v>
      </c>
      <c r="L52" s="796">
        <f t="shared" ref="L52:T52" si="51">K52+1</f>
        <v>2022</v>
      </c>
      <c r="M52" s="796">
        <f t="shared" si="51"/>
        <v>2023</v>
      </c>
      <c r="N52" s="796">
        <f t="shared" si="51"/>
        <v>2024</v>
      </c>
      <c r="O52" s="796">
        <f t="shared" si="51"/>
        <v>2025</v>
      </c>
      <c r="P52" s="796">
        <f t="shared" si="51"/>
        <v>2026</v>
      </c>
      <c r="Q52" s="796">
        <f t="shared" si="51"/>
        <v>2027</v>
      </c>
      <c r="R52" s="796">
        <f t="shared" si="51"/>
        <v>2028</v>
      </c>
      <c r="S52" s="796">
        <f t="shared" si="51"/>
        <v>2029</v>
      </c>
      <c r="T52" s="796">
        <f t="shared" si="51"/>
        <v>2030</v>
      </c>
      <c r="U52" s="796"/>
      <c r="V52" s="796"/>
      <c r="X52" s="808"/>
      <c r="Y52" s="802">
        <v>5.0599999999999999E-2</v>
      </c>
      <c r="Z52" s="806" t="e">
        <v>#VALUE!</v>
      </c>
      <c r="AA52" s="806" t="e">
        <v>#VALUE!</v>
      </c>
      <c r="AB52" s="806" t="e">
        <v>#VALUE!</v>
      </c>
      <c r="AC52" s="810" t="e">
        <v>#VALUE!</v>
      </c>
      <c r="AD52" s="822" t="e">
        <v>#VALUE!</v>
      </c>
      <c r="AE52" s="823" t="e">
        <v>#VALUE!</v>
      </c>
      <c r="AF52" s="809" t="s">
        <v>1442</v>
      </c>
    </row>
    <row r="53" spans="3:32">
      <c r="I53" s="703" t="s">
        <v>1650</v>
      </c>
      <c r="J53" s="847">
        <f t="shared" ref="J53:Q53" si="52">(L1/J1)^0.5-1</f>
        <v>8.1665382639196649E-2</v>
      </c>
      <c r="K53" s="847">
        <f t="shared" si="52"/>
        <v>0.16013092844356991</v>
      </c>
      <c r="L53" s="847">
        <f t="shared" si="52"/>
        <v>0.27433575792709508</v>
      </c>
      <c r="M53" s="847">
        <f t="shared" si="52"/>
        <v>0.19811215661162773</v>
      </c>
      <c r="N53" s="847">
        <f t="shared" si="52"/>
        <v>0.18469775551818479</v>
      </c>
      <c r="O53" s="847">
        <f t="shared" si="52"/>
        <v>-1</v>
      </c>
      <c r="P53" s="847">
        <f t="shared" si="52"/>
        <v>-1</v>
      </c>
      <c r="Q53" s="847" t="e">
        <f t="shared" si="52"/>
        <v>#DIV/0!</v>
      </c>
      <c r="R53" s="847" t="e">
        <f>(U1/R1)^0.5-1</f>
        <v>#DIV/0!</v>
      </c>
      <c r="S53" s="847" t="e">
        <f>(V1/S1)^0.5-1</f>
        <v>#DIV/0!</v>
      </c>
      <c r="T53" s="847" t="e">
        <f>(W1/T1)^0.5-1</f>
        <v>#DIV/0!</v>
      </c>
      <c r="X53" s="808" t="s">
        <v>1435</v>
      </c>
      <c r="Y53" s="802">
        <v>5.2000000000000005E-2</v>
      </c>
      <c r="Z53" s="806" t="e">
        <v>#VALUE!</v>
      </c>
      <c r="AA53" s="806" t="e">
        <v>#VALUE!</v>
      </c>
      <c r="AB53" s="806" t="e">
        <v>#VALUE!</v>
      </c>
      <c r="AC53" s="807" t="e">
        <v>#VALUE!</v>
      </c>
      <c r="AD53" s="806" t="e">
        <v>#VALUE!</v>
      </c>
      <c r="AE53" s="806" t="e">
        <v>#VALUE!</v>
      </c>
      <c r="AF53" s="825" t="s">
        <v>1440</v>
      </c>
    </row>
    <row r="54" spans="3:32">
      <c r="I54" s="703" t="s">
        <v>1649</v>
      </c>
      <c r="J54" s="853">
        <f t="shared" ref="J54:R54" si="53">K13/J1</f>
        <v>5.5555555555555558E-3</v>
      </c>
      <c r="K54" s="853">
        <f t="shared" si="53"/>
        <v>1.2539476128552853E-2</v>
      </c>
      <c r="L54" s="853">
        <f t="shared" si="53"/>
        <v>2.089268755935423E-2</v>
      </c>
      <c r="M54" s="853">
        <f t="shared" si="53"/>
        <v>2.0013802622498272E-2</v>
      </c>
      <c r="N54" s="853">
        <f t="shared" si="53"/>
        <v>1.9867417282407415E-2</v>
      </c>
      <c r="O54" s="853">
        <f t="shared" si="53"/>
        <v>2.1214566331687459E-2</v>
      </c>
      <c r="P54" s="853">
        <f t="shared" si="53"/>
        <v>2.1169840638378241E-2</v>
      </c>
      <c r="Q54" s="853" t="e">
        <f t="shared" si="53"/>
        <v>#DIV/0!</v>
      </c>
      <c r="R54" s="853" t="e">
        <f t="shared" si="53"/>
        <v>#DIV/0!</v>
      </c>
      <c r="S54" s="853" t="e">
        <f>U13/S1</f>
        <v>#DIV/0!</v>
      </c>
      <c r="T54" s="853" t="e">
        <f>V13/T1</f>
        <v>#VALUE!</v>
      </c>
      <c r="X54" s="808" t="s">
        <v>747</v>
      </c>
      <c r="Y54" s="802">
        <v>5.3000000000000005E-2</v>
      </c>
      <c r="Z54" s="806" t="e">
        <v>#VALUE!</v>
      </c>
      <c r="AA54" s="806" t="e">
        <v>#VALUE!</v>
      </c>
      <c r="AB54" s="806" t="e">
        <v>#VALUE!</v>
      </c>
      <c r="AC54" s="807" t="e">
        <v>#VALUE!</v>
      </c>
      <c r="AD54" s="806" t="e">
        <v>#VALUE!</v>
      </c>
      <c r="AE54" s="806" t="e">
        <v>#VALUE!</v>
      </c>
    </row>
    <row r="55" spans="3:32">
      <c r="I55" s="703" t="s">
        <v>1651</v>
      </c>
      <c r="J55" s="854">
        <v>0</v>
      </c>
      <c r="K55" s="854">
        <v>0</v>
      </c>
      <c r="L55" s="847">
        <f>OpMod!AA205/(OpMod!Z204*('Income Statement'!Y116/1000))</f>
        <v>0</v>
      </c>
      <c r="M55" s="847">
        <f>OpMod!AB205/(OpMod!AA204*('Income Statement'!Z116/1000))</f>
        <v>0</v>
      </c>
      <c r="N55" s="847">
        <f>OpMod!AC205/(OpMod!AB204*('Income Statement'!AA116/1000))</f>
        <v>1.5095781218775445E-2</v>
      </c>
      <c r="O55" s="847">
        <f>OpMod!AD205/(OpMod!AC204*('Income Statement'!AB116/1000))</f>
        <v>1.2279699387738218E-2</v>
      </c>
      <c r="P55" s="847">
        <f>OpMod!AE205/(OpMod!AD204*('Income Statement'!AC116/1000))</f>
        <v>1.0347098671301513E-2</v>
      </c>
      <c r="Q55" s="847">
        <f>OpMod!AF205/(OpMod!AE204*('Income Statement'!AD116/1000))</f>
        <v>9.3425748660486679E-3</v>
      </c>
      <c r="R55" s="847">
        <f>OpMod!AG205/(OpMod!AF204*('Income Statement'!AE116/1000))</f>
        <v>8.3415847018291668E-3</v>
      </c>
      <c r="S55" s="847">
        <f>OpMod!AH205/(OpMod!AG204*('Income Statement'!AF116/1000))</f>
        <v>7.441885208989021E-3</v>
      </c>
      <c r="T55" s="847" t="e">
        <f>OpMod!AI205/(OpMod!AH204*('Income Statement'!#REF!/1000))</f>
        <v>#REF!</v>
      </c>
      <c r="X55" s="808"/>
      <c r="Y55" s="802">
        <v>5.4000000000000006E-2</v>
      </c>
      <c r="Z55" s="806" t="e">
        <v>#VALUE!</v>
      </c>
      <c r="AA55" s="806" t="e">
        <v>#VALUE!</v>
      </c>
      <c r="AB55" s="806" t="e">
        <v>#VALUE!</v>
      </c>
      <c r="AC55" s="807" t="e">
        <v>#VALUE!</v>
      </c>
      <c r="AD55" s="806" t="e">
        <v>#VALUE!</v>
      </c>
      <c r="AE55" s="806" t="e">
        <v>#VALUE!</v>
      </c>
    </row>
    <row r="56" spans="3:32">
      <c r="I56" s="703" t="s">
        <v>1647</v>
      </c>
      <c r="J56" s="847">
        <f t="shared" ref="J56:R56" si="54">(K1/J1)-1</f>
        <v>0.19622222222222208</v>
      </c>
      <c r="K56" s="847">
        <f t="shared" si="54"/>
        <v>-2.192086197287757E-2</v>
      </c>
      <c r="L56" s="847">
        <f t="shared" si="54"/>
        <v>0.37606837606837606</v>
      </c>
      <c r="M56" s="847">
        <f>(N1/M1)-1</f>
        <v>0.18012422360248448</v>
      </c>
      <c r="N56" s="847">
        <f t="shared" si="54"/>
        <v>0.21637426900584789</v>
      </c>
      <c r="O56" s="847">
        <f t="shared" si="54"/>
        <v>0.15384615384615374</v>
      </c>
      <c r="P56" s="847">
        <f t="shared" si="54"/>
        <v>-1</v>
      </c>
      <c r="Q56" s="847" t="e">
        <f t="shared" si="54"/>
        <v>#DIV/0!</v>
      </c>
      <c r="R56" s="847" t="e">
        <f t="shared" si="54"/>
        <v>#DIV/0!</v>
      </c>
      <c r="S56" s="847" t="e">
        <f>(U1/S1)-1</f>
        <v>#DIV/0!</v>
      </c>
      <c r="T56" s="847" t="e">
        <f>(V1/T1)-1</f>
        <v>#DIV/0!</v>
      </c>
      <c r="X56" s="808"/>
      <c r="Y56" s="802">
        <v>5.5000000000000007E-2</v>
      </c>
      <c r="Z56" s="807" t="e">
        <v>#VALUE!</v>
      </c>
      <c r="AA56" s="807" t="e">
        <v>#VALUE!</v>
      </c>
      <c r="AB56" s="807" t="e">
        <v>#VALUE!</v>
      </c>
      <c r="AC56" s="807" t="e">
        <v>#VALUE!</v>
      </c>
      <c r="AD56" s="807" t="e">
        <v>#VALUE!</v>
      </c>
      <c r="AE56" s="807" t="e">
        <v>#VALUE!</v>
      </c>
    </row>
    <row r="57" spans="3:32" ht="15" thickBot="1">
      <c r="I57" s="792" t="s">
        <v>1648</v>
      </c>
      <c r="J57" s="855">
        <f>SUM(J54:J56)</f>
        <v>0.20177777777777764</v>
      </c>
      <c r="K57" s="855">
        <f t="shared" ref="K57:N57" si="55">SUM(K54:K56)</f>
        <v>-9.3813858443247168E-3</v>
      </c>
      <c r="L57" s="855">
        <f t="shared" si="55"/>
        <v>0.39696106362773032</v>
      </c>
      <c r="M57" s="855">
        <f t="shared" si="55"/>
        <v>0.20013802622498275</v>
      </c>
      <c r="N57" s="855">
        <f t="shared" si="55"/>
        <v>0.25133746750703073</v>
      </c>
      <c r="O57" s="855">
        <f t="shared" ref="O57:S57" si="56">SUM(O54:O56)</f>
        <v>0.18734041956557942</v>
      </c>
      <c r="P57" s="855">
        <f t="shared" si="56"/>
        <v>-0.9684830606903202</v>
      </c>
      <c r="Q57" s="855" t="e">
        <f t="shared" si="56"/>
        <v>#DIV/0!</v>
      </c>
      <c r="R57" s="855" t="e">
        <f t="shared" si="56"/>
        <v>#DIV/0!</v>
      </c>
      <c r="S57" s="855" t="e">
        <f t="shared" si="56"/>
        <v>#DIV/0!</v>
      </c>
      <c r="T57" s="855" t="e">
        <f t="shared" ref="T57" si="57">SUM(T54:T56)</f>
        <v>#VALUE!</v>
      </c>
      <c r="X57" s="802"/>
      <c r="Y57" s="802">
        <v>5.6000000000000008E-2</v>
      </c>
      <c r="Z57" s="806" t="e">
        <v>#VALUE!</v>
      </c>
      <c r="AA57" s="806" t="e">
        <v>#VALUE!</v>
      </c>
      <c r="AB57" s="807" t="e">
        <v>#VALUE!</v>
      </c>
      <c r="AC57" s="807" t="e">
        <v>#VALUE!</v>
      </c>
      <c r="AD57" s="807" t="e">
        <v>#VALUE!</v>
      </c>
      <c r="AE57" s="807" t="e">
        <v>#VALUE!</v>
      </c>
    </row>
    <row r="58" spans="3:32" ht="15" thickBot="1">
      <c r="I58" s="856" t="s">
        <v>1657</v>
      </c>
      <c r="J58" s="855">
        <f>J57-$D$5</f>
        <v>0.11177777777777764</v>
      </c>
      <c r="K58" s="855">
        <f t="shared" ref="K58:N58" si="58">K57-$D$5</f>
        <v>-9.938138584432471E-2</v>
      </c>
      <c r="L58" s="855">
        <f t="shared" si="58"/>
        <v>0.30696106362773035</v>
      </c>
      <c r="M58" s="855">
        <f t="shared" si="58"/>
        <v>0.11013802622498275</v>
      </c>
      <c r="N58" s="855">
        <f t="shared" si="58"/>
        <v>0.16133746750703074</v>
      </c>
      <c r="O58" s="855">
        <f t="shared" ref="O58:S58" si="59">O57-$D$5</f>
        <v>9.7340419565579428E-2</v>
      </c>
      <c r="P58" s="855">
        <f t="shared" si="59"/>
        <v>-1.0584830606903202</v>
      </c>
      <c r="Q58" s="855" t="e">
        <f t="shared" si="59"/>
        <v>#DIV/0!</v>
      </c>
      <c r="R58" s="855" t="e">
        <f t="shared" si="59"/>
        <v>#DIV/0!</v>
      </c>
      <c r="S58" s="855" t="e">
        <f t="shared" si="59"/>
        <v>#DIV/0!</v>
      </c>
      <c r="T58" s="855" t="e">
        <f t="shared" ref="T58" si="60">T57-$D$5</f>
        <v>#VALUE!</v>
      </c>
      <c r="X58" s="802"/>
      <c r="Y58" s="802">
        <v>5.7000000000000009E-2</v>
      </c>
      <c r="Z58" s="806" t="e">
        <v>#VALUE!</v>
      </c>
      <c r="AA58" s="806" t="e">
        <v>#VALUE!</v>
      </c>
      <c r="AB58" s="807" t="e">
        <v>#VALUE!</v>
      </c>
      <c r="AC58" s="810" t="e">
        <v>#VALUE!</v>
      </c>
      <c r="AD58" s="807" t="e">
        <v>#VALUE!</v>
      </c>
      <c r="AE58" s="807" t="e">
        <v>#VALUE!</v>
      </c>
    </row>
    <row r="59" spans="3:32">
      <c r="I59" s="856" t="s">
        <v>1658</v>
      </c>
      <c r="J59" s="855">
        <f>J57-J50</f>
        <v>0.11277777777777764</v>
      </c>
      <c r="K59" s="855">
        <f t="shared" ref="K59:N59" si="61">K57-K50</f>
        <v>-0.10448138584432472</v>
      </c>
      <c r="L59" s="855">
        <f t="shared" si="61"/>
        <v>0.27826106362773029</v>
      </c>
      <c r="M59" s="855">
        <f t="shared" si="61"/>
        <v>8.1138026224982757E-2</v>
      </c>
      <c r="N59" s="855">
        <f t="shared" si="61"/>
        <v>0.13383746750703074</v>
      </c>
      <c r="O59" s="855">
        <f t="shared" ref="O59:S59" si="62">O57-O50</f>
        <v>6.9840419565579431E-2</v>
      </c>
      <c r="P59" s="855">
        <f t="shared" si="62"/>
        <v>-1.0859830606903202</v>
      </c>
      <c r="Q59" s="855" t="e">
        <f t="shared" si="62"/>
        <v>#DIV/0!</v>
      </c>
      <c r="R59" s="855" t="e">
        <f t="shared" si="62"/>
        <v>#DIV/0!</v>
      </c>
      <c r="S59" s="855" t="e">
        <f t="shared" si="62"/>
        <v>#DIV/0!</v>
      </c>
      <c r="T59" s="855" t="e">
        <f t="shared" ref="T59" si="63">T57-T50</f>
        <v>#VALUE!</v>
      </c>
      <c r="AE59" s="834" t="s">
        <v>1438</v>
      </c>
    </row>
    <row r="61" spans="3:32" ht="15" thickBot="1">
      <c r="X61" s="799" t="s">
        <v>1627</v>
      </c>
      <c r="Y61" s="799"/>
      <c r="Z61" s="799"/>
      <c r="AA61" s="799"/>
      <c r="AB61" s="799"/>
      <c r="AC61" s="799"/>
      <c r="AD61" s="799"/>
      <c r="AE61" s="799"/>
    </row>
    <row r="62" spans="3:32">
      <c r="X62" s="802"/>
      <c r="Y62" s="802"/>
      <c r="Z62" s="802"/>
      <c r="AA62" s="803" t="s">
        <v>1626</v>
      </c>
      <c r="AB62" s="803"/>
      <c r="AC62" s="803"/>
      <c r="AD62" s="803"/>
      <c r="AE62" s="802"/>
    </row>
    <row r="63" spans="3:32">
      <c r="X63" s="802"/>
      <c r="Y63" s="857">
        <f>O12/9.27-1</f>
        <v>-8.3784154452085313E-2</v>
      </c>
      <c r="Z63" s="858">
        <f t="shared" ref="Z63:AA63" si="64">AA63-0.01</f>
        <v>1.1099999999999999</v>
      </c>
      <c r="AA63" s="858">
        <f t="shared" si="64"/>
        <v>1.1199999999999999</v>
      </c>
      <c r="AB63" s="858">
        <f>AC63-0.01</f>
        <v>1.1299999999999999</v>
      </c>
      <c r="AC63" s="858">
        <v>1.1399999999999999</v>
      </c>
      <c r="AD63" s="858">
        <f>AE63-0.01</f>
        <v>1.1399999999999999</v>
      </c>
      <c r="AE63" s="858">
        <v>1.1499999999999999</v>
      </c>
    </row>
    <row r="64" spans="3:32">
      <c r="O64" s="705">
        <f>OpMod!AB205</f>
        <v>0</v>
      </c>
      <c r="P64" s="789" t="s">
        <v>1665</v>
      </c>
      <c r="X64" s="802"/>
      <c r="Y64" s="802"/>
      <c r="Z64" s="806"/>
      <c r="AA64" s="806"/>
      <c r="AB64" s="806"/>
      <c r="AC64" s="806"/>
      <c r="AD64" s="806"/>
      <c r="AE64" s="806"/>
    </row>
    <row r="65" spans="15:31">
      <c r="O65" s="703">
        <f>(OpMod!AB204)</f>
        <v>201.14664122137407</v>
      </c>
      <c r="X65" s="808"/>
      <c r="Y65" s="802"/>
      <c r="Z65" s="806"/>
      <c r="AA65" s="806"/>
      <c r="AB65" s="806"/>
      <c r="AC65" s="806"/>
      <c r="AD65" s="806"/>
      <c r="AE65" s="806"/>
    </row>
    <row r="66" spans="15:31">
      <c r="O66" s="801">
        <f>'Income Statement'!Z116</f>
        <v>416149.53</v>
      </c>
      <c r="X66" s="808" t="s">
        <v>1435</v>
      </c>
      <c r="Y66" s="802"/>
      <c r="Z66" s="806"/>
      <c r="AA66" s="806"/>
      <c r="AB66" s="806"/>
      <c r="AC66" s="806"/>
      <c r="AD66" s="806"/>
      <c r="AE66" s="806"/>
    </row>
    <row r="67" spans="15:31">
      <c r="X67" s="808" t="s">
        <v>747</v>
      </c>
      <c r="Y67" s="802"/>
      <c r="Z67" s="806"/>
      <c r="AA67" s="806"/>
      <c r="AB67" s="806"/>
      <c r="AC67" s="806"/>
      <c r="AD67" s="806"/>
      <c r="AE67" s="806"/>
    </row>
    <row r="68" spans="15:31">
      <c r="X68" s="808"/>
      <c r="Y68" s="802"/>
      <c r="Z68" s="806"/>
      <c r="AA68" s="806"/>
      <c r="AB68" s="806"/>
      <c r="AC68" s="806"/>
      <c r="AD68" s="806"/>
      <c r="AE68" s="806"/>
    </row>
    <row r="69" spans="15:31">
      <c r="X69" s="808"/>
      <c r="Y69" s="802"/>
      <c r="Z69" s="806"/>
      <c r="AA69" s="806"/>
      <c r="AB69" s="806"/>
      <c r="AC69" s="806"/>
      <c r="AD69" s="806"/>
      <c r="AE69" s="806"/>
    </row>
    <row r="70" spans="15:31">
      <c r="X70" s="802"/>
      <c r="Y70" s="802"/>
      <c r="Z70" s="806"/>
      <c r="AA70" s="806"/>
      <c r="AB70" s="806"/>
      <c r="AC70" s="806"/>
      <c r="AD70" s="806"/>
      <c r="AE70" s="806"/>
    </row>
    <row r="71" spans="15:31">
      <c r="X71" s="802"/>
      <c r="Y71" s="802"/>
      <c r="Z71" s="806"/>
      <c r="AA71" s="806"/>
      <c r="AB71" s="806"/>
      <c r="AC71" s="806"/>
      <c r="AD71" s="806"/>
      <c r="AE71" s="806"/>
    </row>
  </sheetData>
  <conditionalFormatting sqref="Z36">
    <cfRule type="colorScale" priority="1">
      <colorScale>
        <cfvo type="min"/>
        <cfvo type="percentile" val="50"/>
        <cfvo type="max"/>
        <color theme="0"/>
        <color theme="0"/>
        <color theme="5"/>
      </colorScale>
    </cfRule>
  </conditionalFormatting>
  <conditionalFormatting sqref="Z6:AE13">
    <cfRule type="colorScale" priority="6">
      <colorScale>
        <cfvo type="min"/>
        <cfvo type="percentile" val="50"/>
        <cfvo type="max"/>
        <color theme="0"/>
        <color theme="0"/>
        <color theme="5"/>
      </colorScale>
    </cfRule>
  </conditionalFormatting>
  <conditionalFormatting sqref="Z21:AE28">
    <cfRule type="colorScale" priority="5">
      <colorScale>
        <cfvo type="min"/>
        <cfvo type="percentile" val="50"/>
        <cfvo type="max"/>
        <color theme="0"/>
        <color theme="0"/>
        <color theme="5"/>
      </colorScale>
    </cfRule>
  </conditionalFormatting>
  <conditionalFormatting sqref="Z37:AE43 AA36:AE36">
    <cfRule type="colorScale" priority="4">
      <colorScale>
        <cfvo type="min"/>
        <cfvo type="percentile" val="50"/>
        <cfvo type="max"/>
        <color theme="0"/>
        <color theme="0"/>
        <color theme="5"/>
      </colorScale>
    </cfRule>
  </conditionalFormatting>
  <conditionalFormatting sqref="Z51:AE58">
    <cfRule type="colorScale" priority="3">
      <colorScale>
        <cfvo type="min"/>
        <cfvo type="percentile" val="50"/>
        <cfvo type="max"/>
        <color theme="0"/>
        <color theme="0"/>
        <color theme="5"/>
      </colorScale>
    </cfRule>
  </conditionalFormatting>
  <conditionalFormatting sqref="Z64:AE71">
    <cfRule type="colorScale" priority="2">
      <colorScale>
        <cfvo type="min"/>
        <cfvo type="percentile" val="50"/>
        <cfvo type="max"/>
        <color theme="0"/>
        <color theme="0"/>
        <color theme="5"/>
      </colorScale>
    </cfRule>
  </conditionalFormatting>
  <printOptions horizontalCentered="1" verticalCentered="1"/>
  <pageMargins left="0.7" right="0.7" top="0.75" bottom="0.75" header="0.3" footer="0.3"/>
  <pageSetup paperSize="9" scale="16" orientation="portrait" r:id="rId1"/>
  <customProperties>
    <customPr name="Qube.Worksheet.ID" r:id="rId2"/>
    <customPr name="Qube.Worksheet.Visibility" r:id="rId3"/>
    <customPr name="QXL_SHEET_ID" r:id="rId4"/>
  </customProperties>
  <drawing r:id="rId5"/>
  <legacyDrawing r:id="rId6"/>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0">
    <tabColor theme="0"/>
    <pageSetUpPr autoPageBreaks="0" fitToPage="1"/>
  </sheetPr>
  <dimension ref="B2:R146"/>
  <sheetViews>
    <sheetView showGridLines="0" topLeftCell="A84" workbookViewId="0"/>
  </sheetViews>
  <sheetFormatPr defaultColWidth="9" defaultRowHeight="12" outlineLevelCol="1"/>
  <cols>
    <col min="1" max="1" width="8.875" style="1035" customWidth="1"/>
    <col min="2" max="2" width="44.5" style="1035" customWidth="1"/>
    <col min="3" max="5" width="9" style="1035" hidden="1" customWidth="1" outlineLevel="1"/>
    <col min="6" max="6" width="0" style="1035" hidden="1" customWidth="1" collapsed="1"/>
    <col min="7" max="10" width="0" style="1035" hidden="1" customWidth="1"/>
    <col min="11" max="16384" width="9" style="1035"/>
  </cols>
  <sheetData>
    <row r="2" spans="2:18" ht="12.75">
      <c r="B2" s="1265" t="s">
        <v>1167</v>
      </c>
      <c r="C2" s="1266">
        <v>2015</v>
      </c>
      <c r="D2" s="1266" t="s">
        <v>748</v>
      </c>
      <c r="E2" s="1266">
        <v>2017</v>
      </c>
      <c r="F2" s="1506">
        <v>2018</v>
      </c>
      <c r="G2" s="1506">
        <f t="shared" ref="G2:N2" si="0">F2+1</f>
        <v>2019</v>
      </c>
      <c r="H2" s="1506">
        <f t="shared" si="0"/>
        <v>2020</v>
      </c>
      <c r="I2" s="1506">
        <f t="shared" si="0"/>
        <v>2021</v>
      </c>
      <c r="J2" s="1506">
        <f t="shared" si="0"/>
        <v>2022</v>
      </c>
      <c r="K2" s="1506">
        <f t="shared" si="0"/>
        <v>2023</v>
      </c>
      <c r="L2" s="1506">
        <f t="shared" si="0"/>
        <v>2024</v>
      </c>
      <c r="M2" s="1417">
        <f t="shared" si="0"/>
        <v>2025</v>
      </c>
      <c r="N2" s="1417">
        <f t="shared" si="0"/>
        <v>2026</v>
      </c>
      <c r="O2" s="1417">
        <f t="shared" ref="O2" si="1">N2+1</f>
        <v>2027</v>
      </c>
      <c r="P2" s="1417">
        <f t="shared" ref="P2" si="2">O2+1</f>
        <v>2028</v>
      </c>
      <c r="Q2" s="1417">
        <f t="shared" ref="Q2:R2" si="3">P2+1</f>
        <v>2029</v>
      </c>
      <c r="R2" s="1417">
        <f t="shared" si="3"/>
        <v>2030</v>
      </c>
    </row>
    <row r="3" spans="2:18">
      <c r="B3" s="1507" t="s">
        <v>2026</v>
      </c>
      <c r="C3" s="1508">
        <f>'Income Statement'!Q39</f>
        <v>17414</v>
      </c>
      <c r="D3" s="1508">
        <f>'Income Statement'!R39</f>
        <v>15781</v>
      </c>
      <c r="E3" s="1508">
        <f>'Income Statement'!S39</f>
        <v>15953</v>
      </c>
      <c r="F3" s="1508">
        <f>'Income Statement'!T39</f>
        <v>21050</v>
      </c>
      <c r="G3" s="1508">
        <f>'Income Statement'!U39</f>
        <v>24640</v>
      </c>
      <c r="H3" s="1508">
        <f>'Income Statement'!V39</f>
        <v>16498</v>
      </c>
      <c r="I3" s="1508">
        <f>'Income Statement'!W39</f>
        <v>15257</v>
      </c>
      <c r="J3" s="1508">
        <f>'Income Statement'!X39</f>
        <v>19035</v>
      </c>
      <c r="K3" s="1508">
        <f>'Income Statement'!Y39</f>
        <v>23199</v>
      </c>
      <c r="L3" s="1508">
        <f>'Income Statement'!Z39</f>
        <v>27317</v>
      </c>
      <c r="M3" s="1508">
        <f>'Income Statement'!AA39</f>
        <v>30995.966922403386</v>
      </c>
      <c r="N3" s="1508">
        <f>'Income Statement'!AB39</f>
        <v>34520.706683526871</v>
      </c>
      <c r="O3" s="1508">
        <f>'Income Statement'!AC39</f>
        <v>38170.59080998729</v>
      </c>
      <c r="P3" s="1508">
        <f>'Income Statement'!AD39</f>
        <v>41400.418805904548</v>
      </c>
      <c r="Q3" s="1508">
        <f>'Income Statement'!AE39</f>
        <v>43433.441894680291</v>
      </c>
      <c r="R3" s="1508">
        <f>'Income Statement'!AF39</f>
        <v>45535.88404113664</v>
      </c>
    </row>
    <row r="4" spans="2:18">
      <c r="B4" s="1036" t="s">
        <v>2023</v>
      </c>
      <c r="C4" s="1267"/>
      <c r="D4" s="1267"/>
      <c r="E4" s="1267"/>
      <c r="F4" s="1267">
        <f>'Income Statement'!T41</f>
        <v>21025</v>
      </c>
      <c r="G4" s="1267">
        <f>'Income Statement'!U41</f>
        <v>25098</v>
      </c>
      <c r="H4" s="1267">
        <f>'Income Statement'!V41</f>
        <v>16631</v>
      </c>
      <c r="I4" s="1267">
        <f>'Income Statement'!W41</f>
        <v>15133</v>
      </c>
      <c r="J4" s="1267">
        <f>'Income Statement'!X41</f>
        <v>19523</v>
      </c>
      <c r="K4" s="1267">
        <f>'Income Statement'!Y41</f>
        <v>23651</v>
      </c>
      <c r="L4" s="1267">
        <f>'Income Statement'!Z41</f>
        <v>27716</v>
      </c>
      <c r="M4" s="1267">
        <f>'Income Statement'!AA41</f>
        <v>30995.966922403386</v>
      </c>
      <c r="N4" s="1267">
        <f>'Income Statement'!AB41</f>
        <v>34520.706683526871</v>
      </c>
      <c r="O4" s="1267">
        <f>'Income Statement'!AC41</f>
        <v>38170.59080998729</v>
      </c>
      <c r="P4" s="1267">
        <f>'Income Statement'!AD41</f>
        <v>41400.418805904548</v>
      </c>
      <c r="Q4" s="1267">
        <f>'Income Statement'!AE41</f>
        <v>43433.441894680291</v>
      </c>
      <c r="R4" s="1267">
        <f>'Income Statement'!AF41</f>
        <v>45535.88404113664</v>
      </c>
    </row>
    <row r="5" spans="2:18">
      <c r="B5" s="1035" t="s">
        <v>952</v>
      </c>
      <c r="C5" s="1037">
        <f>'Income Statement'!Q43</f>
        <v>285</v>
      </c>
      <c r="D5" s="1037">
        <f>'Income Statement'!R43</f>
        <v>277</v>
      </c>
      <c r="E5" s="1037">
        <f>'Income Statement'!S43</f>
        <v>280</v>
      </c>
      <c r="F5" s="1037">
        <f>'Income Statement'!T43</f>
        <v>321</v>
      </c>
      <c r="G5" s="1037">
        <f>'Income Statement'!U43</f>
        <v>297</v>
      </c>
      <c r="H5" s="1037">
        <f>'Income Statement'!V43</f>
        <v>267</v>
      </c>
      <c r="I5" s="1037">
        <f>'Income Statement'!W43</f>
        <v>373</v>
      </c>
      <c r="J5" s="1037">
        <f>'Income Statement'!X43</f>
        <v>440</v>
      </c>
      <c r="K5" s="1037">
        <f>'Income Statement'!Y43</f>
        <v>474</v>
      </c>
      <c r="L5" s="1037">
        <f>'Income Statement'!Z43</f>
        <v>438</v>
      </c>
      <c r="M5" s="1037">
        <f>'Income Statement'!AA43</f>
        <v>489.83379679653211</v>
      </c>
      <c r="N5" s="1037">
        <f>'Income Statement'!AB43</f>
        <v>545.53577454844742</v>
      </c>
      <c r="O5" s="1037">
        <f>'Income Statement'!AC43</f>
        <v>603.215427001531</v>
      </c>
      <c r="P5" s="1037">
        <f>'Income Statement'!AD43</f>
        <v>654.25687101263509</v>
      </c>
      <c r="Q5" s="1037">
        <f>'Income Statement'!AE43</f>
        <v>686.38503210672422</v>
      </c>
      <c r="R5" s="1037">
        <f>'Income Statement'!AF43</f>
        <v>719.61023271820784</v>
      </c>
    </row>
    <row r="6" spans="2:18">
      <c r="B6" s="1035" t="s">
        <v>1292</v>
      </c>
      <c r="C6" s="1037">
        <f>'Income Statement'!Q45</f>
        <v>257</v>
      </c>
      <c r="D6" s="1037">
        <f>'Income Statement'!R45</f>
        <v>308</v>
      </c>
      <c r="E6" s="1037">
        <f>'Income Statement'!S45</f>
        <v>195</v>
      </c>
      <c r="F6" s="1037">
        <f>'Income Statement'!T45</f>
        <v>3</v>
      </c>
      <c r="G6" s="1037">
        <f>'Income Statement'!U45</f>
        <v>453</v>
      </c>
      <c r="H6" s="1037">
        <f>'Income Statement'!V45</f>
        <v>-865</v>
      </c>
      <c r="I6" s="1037">
        <f>'Income Statement'!W45</f>
        <v>-199</v>
      </c>
      <c r="J6" s="1037">
        <f>'Income Statement'!X45</f>
        <v>1204</v>
      </c>
      <c r="K6" s="1037">
        <f>'Income Statement'!Y45</f>
        <v>1000</v>
      </c>
      <c r="L6" s="1037">
        <f>'Income Statement'!Z45</f>
        <v>989</v>
      </c>
      <c r="M6" s="1037">
        <f>'Income Statement'!AA45</f>
        <v>1106.040239798562</v>
      </c>
      <c r="N6" s="1037">
        <f>'Income Statement'!AB45</f>
        <v>1231.8147968685262</v>
      </c>
      <c r="O6" s="1037">
        <f>'Income Statement'!AC45</f>
        <v>1362.054925352772</v>
      </c>
      <c r="P6" s="1037">
        <f>'Income Statement'!AD45</f>
        <v>1477.3060397979359</v>
      </c>
      <c r="Q6" s="1037">
        <f>'Income Statement'!AE45</f>
        <v>1549.8511341405256</v>
      </c>
      <c r="R6" s="1037">
        <f>'Income Statement'!AF45</f>
        <v>1624.873333694766</v>
      </c>
    </row>
    <row r="7" spans="2:18">
      <c r="B7" s="1035" t="s">
        <v>950</v>
      </c>
      <c r="C7" s="1037">
        <f>'Income Statement'!Q47</f>
        <v>946</v>
      </c>
      <c r="D7" s="1037">
        <f>'Income Statement'!R47</f>
        <v>624</v>
      </c>
      <c r="E7" s="1037">
        <f>'Income Statement'!S47</f>
        <v>522</v>
      </c>
      <c r="F7" s="1037">
        <f>'Income Statement'!T47</f>
        <v>447</v>
      </c>
      <c r="G7" s="1037">
        <f>'Income Statement'!U47</f>
        <v>438</v>
      </c>
      <c r="H7" s="1037">
        <f>'Income Statement'!V47</f>
        <v>329</v>
      </c>
      <c r="I7" s="1037">
        <f>'Income Statement'!W47</f>
        <v>372</v>
      </c>
      <c r="J7" s="1037">
        <f>'Income Statement'!X47</f>
        <v>382</v>
      </c>
      <c r="K7" s="1037">
        <f>'Income Statement'!Y47</f>
        <v>480</v>
      </c>
      <c r="L7" s="1037">
        <f>'Income Statement'!Z47</f>
        <v>526</v>
      </c>
      <c r="M7" s="1037">
        <f>'Income Statement'!AA47</f>
        <v>588.24789295656592</v>
      </c>
      <c r="N7" s="1037">
        <f>'Income Statement'!AB47</f>
        <v>655.14113564493914</v>
      </c>
      <c r="O7" s="1037">
        <f>'Income Statement'!AC47</f>
        <v>724.4093940703317</v>
      </c>
      <c r="P7" s="1037">
        <f>'Income Statement'!AD47</f>
        <v>785.70574007453422</v>
      </c>
      <c r="Q7" s="1037">
        <f>'Income Statement'!AE47</f>
        <v>824.2888741738285</v>
      </c>
      <c r="R7" s="1037">
        <f>'Income Statement'!AF47</f>
        <v>864.18945755656921</v>
      </c>
    </row>
    <row r="8" spans="2:18">
      <c r="B8" s="1035" t="s">
        <v>949</v>
      </c>
      <c r="C8" s="1037">
        <f>'Income Statement'!Q49</f>
        <v>-9275</v>
      </c>
      <c r="D8" s="1037">
        <f>'Income Statement'!R49</f>
        <v>-9340</v>
      </c>
      <c r="E8" s="1037">
        <f>'Income Statement'!S49</f>
        <v>-9449</v>
      </c>
      <c r="F8" s="1037">
        <f>'Income Statement'!T49</f>
        <v>-12440</v>
      </c>
      <c r="G8" s="1037">
        <f>'Income Statement'!U49</f>
        <v>-14448</v>
      </c>
      <c r="H8" s="1037">
        <f>'Income Statement'!V49</f>
        <v>-8450</v>
      </c>
      <c r="I8" s="1037">
        <f>'Income Statement'!W49</f>
        <v>-7999</v>
      </c>
      <c r="J8" s="1037">
        <f>'Income Statement'!X49</f>
        <v>-11724</v>
      </c>
      <c r="K8" s="1037">
        <f>'Income Statement'!Y49</f>
        <v>-14072</v>
      </c>
      <c r="L8" s="1037">
        <f>'Income Statement'!Z49</f>
        <v>-15960</v>
      </c>
      <c r="M8" s="1037">
        <f>'Income Statement'!AA49</f>
        <v>-17848.738349024319</v>
      </c>
      <c r="N8" s="1037">
        <f>'Income Statement'!AB49</f>
        <v>-19878.426853409179</v>
      </c>
      <c r="O8" s="1037">
        <f>'Income Statement'!AC49</f>
        <v>-21980.178572932498</v>
      </c>
      <c r="P8" s="1037">
        <f>'Income Statement'!AD49</f>
        <v>-23840.044888953551</v>
      </c>
      <c r="Q8" s="1037">
        <f>'Income Statement'!AE49</f>
        <v>-25010.742265806661</v>
      </c>
      <c r="R8" s="1037">
        <f>'Income Statement'!AF49</f>
        <v>-26221.413959320998</v>
      </c>
    </row>
    <row r="9" spans="2:18">
      <c r="B9" s="1035" t="s">
        <v>948</v>
      </c>
      <c r="C9" s="1037">
        <f>'Income Statement'!Q51</f>
        <v>-4524</v>
      </c>
      <c r="D9" s="1037">
        <f>'Income Statement'!R51</f>
        <v>-4406</v>
      </c>
      <c r="E9" s="1037">
        <f>'Income Statement'!S51</f>
        <v>-4353</v>
      </c>
      <c r="F9" s="1037">
        <f>'Income Statement'!T51</f>
        <v>-5665</v>
      </c>
      <c r="G9" s="1037">
        <f>'Income Statement'!U51</f>
        <v>-6349</v>
      </c>
      <c r="H9" s="1037">
        <f>'Income Statement'!V51</f>
        <v>-5028</v>
      </c>
      <c r="I9" s="1037">
        <f>'Income Statement'!W51</f>
        <v>-4919</v>
      </c>
      <c r="J9" s="1037">
        <f>'Income Statement'!X51</f>
        <v>-5792</v>
      </c>
      <c r="K9" s="1037">
        <f>'Income Statement'!Y51</f>
        <v>-6767</v>
      </c>
      <c r="L9" s="1037">
        <f>'Income Statement'!Z51</f>
        <v>-7801</v>
      </c>
      <c r="M9" s="1037">
        <f>'Income Statement'!AA51</f>
        <v>-8226.5037918275666</v>
      </c>
      <c r="N9" s="1037">
        <f>'Income Statement'!AB51</f>
        <v>-8915.0810403085197</v>
      </c>
      <c r="O9" s="1037">
        <f>'Income Statement'!AC51</f>
        <v>-9663.5640220650239</v>
      </c>
      <c r="P9" s="1037">
        <f>'Income Statement'!AD51</f>
        <v>-10301.238467243362</v>
      </c>
      <c r="Q9" s="1037">
        <f>'Income Statement'!AE51</f>
        <v>-10734.208811018732</v>
      </c>
      <c r="R9" s="1037">
        <f>'Income Statement'!AF51</f>
        <v>-11203.380343237744</v>
      </c>
    </row>
    <row r="10" spans="2:18">
      <c r="B10" s="1035" t="s">
        <v>947</v>
      </c>
      <c r="C10" s="1037">
        <f>'Income Statement'!Q53</f>
        <v>-277</v>
      </c>
      <c r="D10" s="1037">
        <f>'Income Statement'!R53</f>
        <v>-286</v>
      </c>
      <c r="E10" s="1037">
        <f>'Income Statement'!S53</f>
        <v>-284</v>
      </c>
      <c r="F10" s="1037">
        <f>'Income Statement'!T53</f>
        <v>-295</v>
      </c>
      <c r="G10" s="1037">
        <f>'Income Statement'!U53</f>
        <v>-388</v>
      </c>
      <c r="H10" s="1037">
        <f>'Income Statement'!V53</f>
        <v>-326</v>
      </c>
      <c r="I10" s="1037">
        <f>'Income Statement'!W53</f>
        <v>-257</v>
      </c>
      <c r="J10" s="1037">
        <f>'Income Statement'!X53</f>
        <v>-290</v>
      </c>
      <c r="K10" s="1037">
        <f>'Income Statement'!Y53</f>
        <v>-308</v>
      </c>
      <c r="L10" s="1037">
        <f>'Income Statement'!Z53</f>
        <v>-337</v>
      </c>
      <c r="M10" s="1037">
        <f>'Income Statement'!AA53</f>
        <v>-376.88125461285682</v>
      </c>
      <c r="N10" s="1037">
        <f>'Income Statement'!AB53</f>
        <v>-419.73871238088304</v>
      </c>
      <c r="O10" s="1037">
        <f>'Income Statement'!AC53</f>
        <v>-464.11780570665741</v>
      </c>
      <c r="P10" s="1037">
        <f>'Income Statement'!AD53</f>
        <v>-503.38941902113697</v>
      </c>
      <c r="Q10" s="1037">
        <f>'Income Statement'!AE53</f>
        <v>-528.10903155243386</v>
      </c>
      <c r="R10" s="1037">
        <f>'Income Statement'!AF53</f>
        <v>-553.67271330145206</v>
      </c>
    </row>
    <row r="11" spans="2:18">
      <c r="B11" s="1035" t="s">
        <v>1291</v>
      </c>
      <c r="C11" s="1037">
        <f>'Income Statement'!Q55</f>
        <v>-763</v>
      </c>
      <c r="D11" s="1037">
        <f>'Income Statement'!R55</f>
        <v>-634</v>
      </c>
      <c r="E11" s="1037">
        <f>'Income Statement'!S55</f>
        <v>-1012</v>
      </c>
      <c r="F11" s="1037">
        <f>'Income Statement'!T55</f>
        <v>-1176</v>
      </c>
      <c r="G11" s="1037">
        <f>'Income Statement'!U55</f>
        <v>-1600</v>
      </c>
      <c r="H11" s="1037">
        <f>'Income Statement'!V55</f>
        <v>-1212</v>
      </c>
      <c r="I11" s="1037">
        <f>'Income Statement'!W55</f>
        <v>-1509</v>
      </c>
      <c r="J11" s="1037">
        <f>'Income Statement'!X55</f>
        <v>-1174</v>
      </c>
      <c r="K11" s="1037">
        <f>'Income Statement'!Y55</f>
        <v>-1282</v>
      </c>
      <c r="L11" s="1037">
        <f>'Income Statement'!Z55</f>
        <v>-1578</v>
      </c>
      <c r="M11" s="1037">
        <f>'Income Statement'!AA55</f>
        <v>-1764.7436788696978</v>
      </c>
      <c r="N11" s="1037">
        <f>'Income Statement'!AB55</f>
        <v>-1965.4234069348174</v>
      </c>
      <c r="O11" s="1037">
        <f>'Income Statement'!AC55</f>
        <v>-2173.2281822109953</v>
      </c>
      <c r="P11" s="1037">
        <f>'Income Statement'!AD55</f>
        <v>-2357.117220223603</v>
      </c>
      <c r="Q11" s="1037">
        <f>'Income Statement'!AE55</f>
        <v>-2472.8666225214856</v>
      </c>
      <c r="R11" s="1037">
        <f>'Income Statement'!AF55</f>
        <v>-2592.5683726697075</v>
      </c>
    </row>
    <row r="12" spans="2:18">
      <c r="B12" s="1035" t="s">
        <v>946</v>
      </c>
      <c r="C12" s="1037">
        <f>'Income Statement'!Q58</f>
        <v>-179</v>
      </c>
      <c r="D12" s="1037">
        <f>'Income Statement'!R58</f>
        <v>-237</v>
      </c>
      <c r="E12" s="1037">
        <f>'Income Statement'!S58</f>
        <v>-60</v>
      </c>
      <c r="F12" s="1037">
        <f>'Income Statement'!T58</f>
        <v>62</v>
      </c>
      <c r="G12" s="1037">
        <f>'Income Statement'!U58</f>
        <v>57</v>
      </c>
      <c r="H12" s="1037">
        <f>'Income Statement'!V58</f>
        <v>-149</v>
      </c>
      <c r="I12" s="1037">
        <f>'Income Statement'!W58</f>
        <v>78</v>
      </c>
      <c r="J12" s="1037">
        <f>'Income Statement'!X58</f>
        <v>-252</v>
      </c>
      <c r="K12" s="1037">
        <f>'Income Statement'!Y58</f>
        <v>-50</v>
      </c>
      <c r="L12" s="1037">
        <f>'Income Statement'!Z58</f>
        <v>18</v>
      </c>
      <c r="M12" s="1037">
        <f>'Income Statement'!AA58</f>
        <v>20.130156032734195</v>
      </c>
      <c r="N12" s="1037">
        <f>'Income Statement'!AB58</f>
        <v>22.419278406100581</v>
      </c>
      <c r="O12" s="1037">
        <f>'Income Statement'!AC58</f>
        <v>24.7896750822547</v>
      </c>
      <c r="P12" s="1037">
        <f>'Income Statement'!AD58</f>
        <v>26.887268671752125</v>
      </c>
      <c r="Q12" s="1037">
        <f>'Income Statement'!AE58</f>
        <v>28.207604059180447</v>
      </c>
      <c r="R12" s="1037">
        <f>'Income Statement'!AF58</f>
        <v>29.573023262392105</v>
      </c>
    </row>
    <row r="13" spans="2:18">
      <c r="B13" s="1035" t="s">
        <v>945</v>
      </c>
      <c r="C13" s="1037">
        <f>'Income Statement'!Q60</f>
        <v>118</v>
      </c>
      <c r="D13" s="1037">
        <f>'Income Statement'!R60</f>
        <v>115</v>
      </c>
      <c r="E13" s="1037">
        <f>'Income Statement'!S60</f>
        <v>159</v>
      </c>
      <c r="F13" s="1037">
        <f>'Income Statement'!T60</f>
        <v>-191</v>
      </c>
      <c r="G13" s="1037">
        <f>'Income Statement'!U60</f>
        <v>102</v>
      </c>
      <c r="H13" s="1037">
        <f>'Income Statement'!V60</f>
        <v>148</v>
      </c>
      <c r="I13" s="1037">
        <f>'Income Statement'!W60</f>
        <v>156</v>
      </c>
      <c r="J13" s="1037">
        <f>'Income Statement'!X60</f>
        <v>103</v>
      </c>
      <c r="K13" s="1037">
        <f>'Income Statement'!Y60</f>
        <v>84</v>
      </c>
      <c r="L13" s="1037">
        <f>'Income Statement'!Z60</f>
        <v>39</v>
      </c>
      <c r="M13" s="1037">
        <f>'Income Statement'!AA60</f>
        <v>43.615338070924089</v>
      </c>
      <c r="N13" s="1037">
        <f>'Income Statement'!AB60</f>
        <v>48.575103213217922</v>
      </c>
      <c r="O13" s="1037">
        <f>'Income Statement'!AC60</f>
        <v>53.710962678218515</v>
      </c>
      <c r="P13" s="1037">
        <f>'Income Statement'!AD60</f>
        <v>58.255748788796268</v>
      </c>
      <c r="Q13" s="1037">
        <f>'Income Statement'!AE60</f>
        <v>61.116475461557634</v>
      </c>
      <c r="R13" s="1037">
        <f>'Income Statement'!AF60</f>
        <v>64.074883735182894</v>
      </c>
    </row>
    <row r="14" spans="2:18">
      <c r="B14" s="1035" t="s">
        <v>1157</v>
      </c>
      <c r="C14" s="1037">
        <f>'Income Statement'!Q62</f>
        <v>44</v>
      </c>
      <c r="D14" s="1037">
        <f>'Income Statement'!R62</f>
        <v>87</v>
      </c>
      <c r="E14" s="1037">
        <f>'Income Statement'!S62</f>
        <v>144</v>
      </c>
      <c r="F14" s="1037">
        <f>'Income Statement'!T62</f>
        <v>189</v>
      </c>
      <c r="G14" s="1037">
        <f>'Income Statement'!U62</f>
        <v>164</v>
      </c>
      <c r="H14" s="1037">
        <f>'Income Statement'!V62</f>
        <v>48</v>
      </c>
      <c r="I14" s="1037">
        <f>'Income Statement'!W62</f>
        <v>40</v>
      </c>
      <c r="J14" s="1037">
        <f>'Income Statement'!X62</f>
        <v>73</v>
      </c>
      <c r="K14" s="1037">
        <f>'Income Statement'!Y62</f>
        <v>99</v>
      </c>
      <c r="L14" s="1037">
        <f>'Income Statement'!Z62</f>
        <v>136</v>
      </c>
      <c r="M14" s="1037">
        <f>'Income Statement'!AA62</f>
        <v>152.09451224732504</v>
      </c>
      <c r="N14" s="1037">
        <f>'Income Statement'!AB62</f>
        <v>169.39010351275994</v>
      </c>
      <c r="O14" s="1037">
        <f>'Income Statement'!AC62</f>
        <v>187.29976728814663</v>
      </c>
      <c r="P14" s="1037">
        <f>'Income Statement'!AD62</f>
        <v>203.14825218657163</v>
      </c>
      <c r="Q14" s="1037">
        <f>'Income Statement'!AE62</f>
        <v>213.12411955825226</v>
      </c>
      <c r="R14" s="1037">
        <f>'Income Statement'!AF62</f>
        <v>223.44062020474036</v>
      </c>
    </row>
    <row r="15" spans="2:18">
      <c r="B15" s="1036" t="s">
        <v>1853</v>
      </c>
      <c r="C15" s="1267">
        <f>'Income Statement'!Q70</f>
        <v>0</v>
      </c>
      <c r="D15" s="1267">
        <f>'Income Statement'!R70</f>
        <v>2404</v>
      </c>
      <c r="E15" s="1267">
        <f>'Income Statement'!S70</f>
        <v>2192</v>
      </c>
      <c r="F15" s="1267">
        <f>'Income Statement'!T64</f>
        <v>2280</v>
      </c>
      <c r="G15" s="1267">
        <f>'Income Statement'!U64</f>
        <v>3824</v>
      </c>
      <c r="H15" s="1267">
        <f>'Income Statement'!V64</f>
        <v>1393</v>
      </c>
      <c r="I15" s="1267">
        <f>'Income Statement'!W64</f>
        <v>1269</v>
      </c>
      <c r="J15" s="1267">
        <f>'Income Statement'!X64</f>
        <v>2493</v>
      </c>
      <c r="K15" s="1267">
        <f>'Income Statement'!Y64</f>
        <v>3309</v>
      </c>
      <c r="L15" s="1267">
        <f>'Income Statement'!Z64</f>
        <v>4186</v>
      </c>
      <c r="M15" s="1267">
        <f>'Income Statement'!AA64</f>
        <v>5179.0617839715924</v>
      </c>
      <c r="N15" s="1267">
        <f>'Income Statement'!AB64</f>
        <v>6014.912862687469</v>
      </c>
      <c r="O15" s="1267">
        <f>'Income Statement'!AC64</f>
        <v>6844.9823785453691</v>
      </c>
      <c r="P15" s="1267">
        <f>'Income Statement'!AD64</f>
        <v>7604.1887309951189</v>
      </c>
      <c r="Q15" s="1267">
        <f>'Income Statement'!AE64</f>
        <v>8050.4884032810423</v>
      </c>
      <c r="R15" s="1267">
        <f>'Income Statement'!AF64</f>
        <v>8490.6102037785913</v>
      </c>
    </row>
    <row r="16" spans="2:18" hidden="1">
      <c r="B16" s="1035" t="s">
        <v>2024</v>
      </c>
      <c r="C16" s="1037"/>
      <c r="D16" s="1037"/>
      <c r="E16" s="1037"/>
      <c r="F16" s="1037">
        <f>SUM('Income Statement'!T66:T69)</f>
        <v>743</v>
      </c>
      <c r="G16" s="1037">
        <f>SUM('Income Statement'!U66:U69)</f>
        <v>-4</v>
      </c>
      <c r="H16" s="1037">
        <f>SUM('Income Statement'!V66:V69)</f>
        <v>293</v>
      </c>
      <c r="I16" s="1037">
        <f>SUM('Income Statement'!W66:W69)</f>
        <v>536</v>
      </c>
      <c r="J16" s="1037">
        <f>SUM('Income Statement'!X66:X69)</f>
        <v>-85</v>
      </c>
      <c r="K16" s="1037">
        <f>SUM('Income Statement'!Y66:Y69)</f>
        <v>-143</v>
      </c>
      <c r="L16" s="1037">
        <f>SUM('Income Statement'!Z66:Z69)</f>
        <v>-67</v>
      </c>
      <c r="M16" s="1037">
        <f>SUM('Income Statement'!AA66:AA69)</f>
        <v>0</v>
      </c>
      <c r="N16" s="1037">
        <f>SUM('Income Statement'!AB66:AB69)</f>
        <v>0</v>
      </c>
      <c r="O16" s="1037">
        <f>SUM('Income Statement'!AC66:AC69)</f>
        <v>0</v>
      </c>
      <c r="P16" s="1037">
        <f>SUM('Income Statement'!AD66:AD69)</f>
        <v>0</v>
      </c>
      <c r="Q16" s="1037">
        <f>SUM('Income Statement'!AE66:AE69)</f>
        <v>0</v>
      </c>
      <c r="R16" s="1037">
        <f>SUM('Income Statement'!AF66:AF69)</f>
        <v>0</v>
      </c>
    </row>
    <row r="17" spans="2:18" s="1036" customFormat="1">
      <c r="B17" s="1507" t="s">
        <v>2025</v>
      </c>
      <c r="C17" s="1508"/>
      <c r="D17" s="1508"/>
      <c r="E17" s="1508"/>
      <c r="F17" s="1508">
        <f>'Income Statement'!T70</f>
        <v>3023</v>
      </c>
      <c r="G17" s="1508">
        <f>'Income Statement'!U70</f>
        <v>3820</v>
      </c>
      <c r="H17" s="1508">
        <f>'Income Statement'!V70</f>
        <v>1686</v>
      </c>
      <c r="I17" s="1508">
        <f>'Income Statement'!W70</f>
        <v>1805</v>
      </c>
      <c r="J17" s="1508">
        <f>'Income Statement'!X70</f>
        <v>2408</v>
      </c>
      <c r="K17" s="1508">
        <f>'Income Statement'!Y70</f>
        <v>3166</v>
      </c>
      <c r="L17" s="1508">
        <f>'Income Statement'!Z70</f>
        <v>4119</v>
      </c>
      <c r="M17" s="1508">
        <f>'Income Statement'!AA70</f>
        <v>5179.0617839715924</v>
      </c>
      <c r="N17" s="1508">
        <f>'Income Statement'!AB70</f>
        <v>6014.912862687469</v>
      </c>
      <c r="O17" s="1508">
        <f>'Income Statement'!AC70</f>
        <v>6844.9823785453691</v>
      </c>
      <c r="P17" s="1508">
        <f>'Income Statement'!AD70</f>
        <v>7604.1887309951189</v>
      </c>
      <c r="Q17" s="1508">
        <f>'Income Statement'!AE70</f>
        <v>8050.4884032810423</v>
      </c>
      <c r="R17" s="1508">
        <f>'Income Statement'!AF70</f>
        <v>8490.6102037785913</v>
      </c>
    </row>
    <row r="18" spans="2:18" hidden="1">
      <c r="B18" s="1035" t="s">
        <v>1158</v>
      </c>
      <c r="C18" s="1037">
        <f>'Income Statement'!Q72</f>
        <v>-778</v>
      </c>
      <c r="D18" s="1037">
        <f>'Income Statement'!R72</f>
        <v>349</v>
      </c>
      <c r="E18" s="1037">
        <f>'Income Statement'!S72</f>
        <v>-90</v>
      </c>
      <c r="F18" s="1037">
        <f>'Income Statement'!T72</f>
        <v>-115</v>
      </c>
      <c r="G18" s="1037">
        <f>'Income Statement'!U72</f>
        <v>13</v>
      </c>
      <c r="H18" s="1037">
        <f>'Income Statement'!V72</f>
        <v>-466</v>
      </c>
      <c r="I18" s="1037">
        <f>'Income Statement'!W72</f>
        <v>-405</v>
      </c>
      <c r="J18" s="1037">
        <f>'Income Statement'!X72</f>
        <v>-450</v>
      </c>
      <c r="K18" s="1037">
        <f>'Income Statement'!Y72</f>
        <v>-511</v>
      </c>
      <c r="L18" s="1037">
        <f>'Income Statement'!Z72</f>
        <v>6</v>
      </c>
      <c r="M18" s="1037">
        <f>'Income Statement'!AA72</f>
        <v>0</v>
      </c>
      <c r="N18" s="1037">
        <f>'Income Statement'!AB72</f>
        <v>0</v>
      </c>
      <c r="O18" s="1037">
        <f>'Income Statement'!AC72</f>
        <v>0</v>
      </c>
      <c r="P18" s="1037">
        <f>'Income Statement'!AD72</f>
        <v>0</v>
      </c>
      <c r="Q18" s="1037">
        <f>'Income Statement'!AE72</f>
        <v>0</v>
      </c>
      <c r="R18" s="1037">
        <f>'Income Statement'!AF72</f>
        <v>0</v>
      </c>
    </row>
    <row r="19" spans="2:18" s="1036" customFormat="1">
      <c r="B19" s="1036" t="s">
        <v>287</v>
      </c>
      <c r="C19" s="1267"/>
      <c r="D19" s="1267"/>
      <c r="E19" s="1267"/>
      <c r="F19" s="1267">
        <f>'Income Statement'!T73</f>
        <v>2165</v>
      </c>
      <c r="G19" s="1267">
        <f>'Income Statement'!U73</f>
        <v>3837</v>
      </c>
      <c r="H19" s="1267">
        <f>'Income Statement'!V73</f>
        <v>927</v>
      </c>
      <c r="I19" s="1267">
        <f>'Income Statement'!W73</f>
        <v>864</v>
      </c>
      <c r="J19" s="1267">
        <f>'Income Statement'!X73</f>
        <v>2043</v>
      </c>
      <c r="K19" s="1267">
        <f>'Income Statement'!Y73</f>
        <v>2798</v>
      </c>
      <c r="L19" s="1267">
        <f>'Income Statement'!Z73</f>
        <v>4192</v>
      </c>
      <c r="M19" s="1267">
        <f>'Income Statement'!AA73</f>
        <v>5179.0617839715924</v>
      </c>
      <c r="N19" s="1267">
        <f>'Income Statement'!AB73</f>
        <v>6014.912862687469</v>
      </c>
      <c r="O19" s="1267">
        <f>'Income Statement'!AC73</f>
        <v>6844.9823785453691</v>
      </c>
      <c r="P19" s="1267">
        <f>'Income Statement'!AD73</f>
        <v>7604.1887309951189</v>
      </c>
      <c r="Q19" s="1267">
        <f>'Income Statement'!AE73</f>
        <v>8050.4884032810423</v>
      </c>
      <c r="R19" s="1267">
        <f>'Income Statement'!AF73</f>
        <v>8490.6102037785913</v>
      </c>
    </row>
    <row r="20" spans="2:18" s="1036" customFormat="1">
      <c r="B20" s="1507" t="s">
        <v>1741</v>
      </c>
      <c r="C20" s="1508"/>
      <c r="D20" s="1508"/>
      <c r="E20" s="1508"/>
      <c r="F20" s="1508">
        <f>'Income Statement'!T74</f>
        <v>2908</v>
      </c>
      <c r="G20" s="1508">
        <f>'Income Statement'!U74</f>
        <v>3833</v>
      </c>
      <c r="H20" s="1508">
        <f>'Income Statement'!V74</f>
        <v>1220</v>
      </c>
      <c r="I20" s="1508">
        <f>'Income Statement'!W74</f>
        <v>1400</v>
      </c>
      <c r="J20" s="1508">
        <f>'Income Statement'!X74</f>
        <v>1958</v>
      </c>
      <c r="K20" s="1508">
        <f>'Income Statement'!Y74</f>
        <v>2655</v>
      </c>
      <c r="L20" s="1508">
        <f>'Income Statement'!Z74</f>
        <v>4125</v>
      </c>
      <c r="M20" s="1508">
        <f>'Income Statement'!AA74</f>
        <v>5179.0617839715924</v>
      </c>
      <c r="N20" s="1508">
        <f>'Income Statement'!AB74</f>
        <v>6014.912862687469</v>
      </c>
      <c r="O20" s="1508">
        <f>'Income Statement'!AC74</f>
        <v>6844.9823785453691</v>
      </c>
      <c r="P20" s="1508">
        <f>'Income Statement'!AD74</f>
        <v>7604.1887309951189</v>
      </c>
      <c r="Q20" s="1508">
        <f>'Income Statement'!AE74</f>
        <v>8050.4884032810423</v>
      </c>
      <c r="R20" s="1508">
        <f>'Income Statement'!AF74</f>
        <v>8490.6102037785913</v>
      </c>
    </row>
    <row r="21" spans="2:18">
      <c r="B21" s="1035" t="s">
        <v>2027</v>
      </c>
      <c r="C21" s="1037"/>
      <c r="D21" s="1037"/>
      <c r="E21" s="1037"/>
      <c r="F21" s="1037">
        <f>'Income Statement'!T75</f>
        <v>-476</v>
      </c>
      <c r="G21" s="1037">
        <f>'Income Statement'!U75</f>
        <v>-363</v>
      </c>
      <c r="H21" s="1037">
        <f>'Income Statement'!V75</f>
        <v>-357</v>
      </c>
      <c r="I21" s="1037">
        <f>'Income Statement'!W75</f>
        <v>-596</v>
      </c>
      <c r="J21" s="1037">
        <f>'Income Statement'!X75</f>
        <v>-5163</v>
      </c>
      <c r="K21" s="1037">
        <f>'Income Statement'!Y75</f>
        <v>1958</v>
      </c>
      <c r="L21" s="1037">
        <f>'Income Statement'!Z75</f>
        <v>-5051</v>
      </c>
      <c r="M21" s="1037">
        <f>'Income Statement'!AA75</f>
        <v>113.98500000000001</v>
      </c>
      <c r="N21" s="1037">
        <f>'Income Statement'!AB75</f>
        <v>126.92821272622497</v>
      </c>
      <c r="O21" s="1037">
        <f>'Income Statement'!AC75</f>
        <v>143.85053320935441</v>
      </c>
      <c r="P21" s="1037">
        <f>'Income Statement'!AD75</f>
        <v>168.32129448281512</v>
      </c>
      <c r="Q21" s="1037">
        <f>'Income Statement'!AE75</f>
        <v>195.6653324986309</v>
      </c>
      <c r="R21" s="1037">
        <f>'Income Statement'!AF75</f>
        <v>242.18511461063076</v>
      </c>
    </row>
    <row r="22" spans="2:18">
      <c r="B22" s="1035" t="s">
        <v>2028</v>
      </c>
      <c r="C22" s="1037">
        <f>'Income Statement'!Q79</f>
        <v>0</v>
      </c>
      <c r="D22" s="1037">
        <f>'Income Statement'!R79</f>
        <v>-144</v>
      </c>
      <c r="E22" s="1037">
        <f>'Income Statement'!S79</f>
        <v>7</v>
      </c>
      <c r="F22" s="1037">
        <f>'Income Statement'!T79</f>
        <v>-211</v>
      </c>
      <c r="G22" s="1037">
        <f>'Income Statement'!U79</f>
        <v>-89</v>
      </c>
      <c r="H22" s="1037">
        <f>'Income Statement'!V79</f>
        <v>-7</v>
      </c>
      <c r="I22" s="1037">
        <f>'Income Statement'!W79</f>
        <v>-204</v>
      </c>
      <c r="J22" s="1037">
        <f>'Income Statement'!X79</f>
        <v>-186</v>
      </c>
      <c r="K22" s="1037">
        <f>'Income Statement'!Y79</f>
        <v>174</v>
      </c>
      <c r="L22" s="1037">
        <f>'Income Statement'!Z79</f>
        <v>23</v>
      </c>
      <c r="M22" s="1037">
        <f>'Income Statement'!AA79</f>
        <v>113.98500000000001</v>
      </c>
      <c r="N22" s="1037">
        <f>'Income Statement'!AB79</f>
        <v>126.92821272622497</v>
      </c>
      <c r="O22" s="1037">
        <f>'Income Statement'!AC79</f>
        <v>143.85053320935441</v>
      </c>
      <c r="P22" s="1037">
        <f>'Income Statement'!AD79</f>
        <v>168.32129448281512</v>
      </c>
      <c r="Q22" s="1037">
        <f>'Income Statement'!AE79</f>
        <v>195.6653324986309</v>
      </c>
      <c r="R22" s="1037">
        <f>'Income Statement'!AF79</f>
        <v>242.18511461063076</v>
      </c>
    </row>
    <row r="23" spans="2:18">
      <c r="B23" s="1035" t="s">
        <v>940</v>
      </c>
      <c r="C23" s="1037">
        <f>'Income Statement'!Q85</f>
        <v>0</v>
      </c>
      <c r="D23" s="1037">
        <f>'Income Statement'!R85</f>
        <v>2609</v>
      </c>
      <c r="E23" s="1037">
        <f>'Income Statement'!S85</f>
        <v>2109</v>
      </c>
      <c r="F23" s="1037">
        <f>'Income Statement'!T84</f>
        <v>1689</v>
      </c>
      <c r="G23" s="1037">
        <f>'Income Statement'!U84</f>
        <v>3474</v>
      </c>
      <c r="H23" s="1037">
        <f>'Income Statement'!V84</f>
        <v>570</v>
      </c>
      <c r="I23" s="1037">
        <f>'Income Statement'!W84</f>
        <v>268</v>
      </c>
      <c r="J23" s="1037">
        <f>'Income Statement'!X84</f>
        <v>-3120</v>
      </c>
      <c r="K23" s="1037">
        <f>'Income Statement'!Y84</f>
        <v>4756</v>
      </c>
      <c r="L23" s="1037">
        <f>'Income Statement'!Z84</f>
        <v>-859</v>
      </c>
      <c r="M23" s="1037">
        <f>'Income Statement'!AA84</f>
        <v>5293.046783971592</v>
      </c>
      <c r="N23" s="1037">
        <f>'Income Statement'!AB84</f>
        <v>6141.8410754136939</v>
      </c>
      <c r="O23" s="1037">
        <f>'Income Statement'!AC84</f>
        <v>6988.8329117547237</v>
      </c>
      <c r="P23" s="1037">
        <f>'Income Statement'!AD84</f>
        <v>7772.5100254779336</v>
      </c>
      <c r="Q23" s="1037">
        <f>'Income Statement'!AE84</f>
        <v>8246.1537357796733</v>
      </c>
      <c r="R23" s="1037">
        <f>'Income Statement'!AF84</f>
        <v>8732.7953183892223</v>
      </c>
    </row>
    <row r="24" spans="2:18">
      <c r="B24" s="1035" t="s">
        <v>1919</v>
      </c>
      <c r="C24" s="1037"/>
      <c r="D24" s="1037"/>
      <c r="E24" s="1037"/>
      <c r="F24" s="1037">
        <f>'Income Statement'!T85</f>
        <v>2697</v>
      </c>
      <c r="G24" s="1037">
        <f>'Income Statement'!U85</f>
        <v>3744</v>
      </c>
      <c r="H24" s="1037">
        <f>'Income Statement'!V85</f>
        <v>1213</v>
      </c>
      <c r="I24" s="1037">
        <f>'Income Statement'!W85</f>
        <v>1196</v>
      </c>
      <c r="J24" s="1037">
        <f>'Income Statement'!X85</f>
        <v>1772</v>
      </c>
      <c r="K24" s="1037">
        <f>'Income Statement'!Y85</f>
        <v>2829</v>
      </c>
      <c r="L24" s="1037">
        <f>'Income Statement'!Z85</f>
        <v>4148</v>
      </c>
      <c r="M24" s="1037">
        <f>'Income Statement'!AA85</f>
        <v>5293.046783971592</v>
      </c>
      <c r="N24" s="1037">
        <f>'Income Statement'!AB85</f>
        <v>6141.8410754136939</v>
      </c>
      <c r="O24" s="1037">
        <f>'Income Statement'!AC85</f>
        <v>6988.8329117547237</v>
      </c>
      <c r="P24" s="1037">
        <f>'Income Statement'!AD85</f>
        <v>7772.5100254779336</v>
      </c>
      <c r="Q24" s="1037">
        <f>'Income Statement'!AE85</f>
        <v>8246.1537357796733</v>
      </c>
      <c r="R24" s="1037">
        <f>'Income Statement'!AF85</f>
        <v>8732.7953183892223</v>
      </c>
    </row>
    <row r="25" spans="2:18">
      <c r="B25" s="1035" t="s">
        <v>2029</v>
      </c>
      <c r="C25" s="1037">
        <f>'Income Statement'!Q88</f>
        <v>0</v>
      </c>
      <c r="D25" s="1037">
        <f>'Income Statement'!R88</f>
        <v>-498</v>
      </c>
      <c r="E25" s="1037">
        <f>'Income Statement'!S88</f>
        <v>-485</v>
      </c>
      <c r="F25" s="1037">
        <f>'Income Statement'!T86</f>
        <v>-348</v>
      </c>
      <c r="G25" s="1037">
        <f>'Income Statement'!U86</f>
        <v>-962</v>
      </c>
      <c r="H25" s="1037">
        <f>'Income Statement'!V86</f>
        <v>-184</v>
      </c>
      <c r="I25" s="1037">
        <f>'Income Statement'!W86</f>
        <v>-200</v>
      </c>
      <c r="J25" s="1037">
        <f>'Income Statement'!X86</f>
        <v>694</v>
      </c>
      <c r="K25" s="1037">
        <f>'Income Statement'!Y86</f>
        <v>-1236</v>
      </c>
      <c r="L25" s="1037">
        <f>'Income Statement'!Z86</f>
        <v>284</v>
      </c>
      <c r="M25" s="1037">
        <f>'Income Statement'!AA86</f>
        <v>-1811.2806094750788</v>
      </c>
      <c r="N25" s="1037">
        <f>'Income Statement'!AB86</f>
        <v>-1849.3083478070635</v>
      </c>
      <c r="O25" s="1037">
        <f>'Income Statement'!AC86</f>
        <v>-1817.0965570562282</v>
      </c>
      <c r="P25" s="1037">
        <f>'Income Statement'!AD86</f>
        <v>-2020.8526066242628</v>
      </c>
      <c r="Q25" s="1037">
        <f>'Income Statement'!AE86</f>
        <v>-2143.999971302715</v>
      </c>
      <c r="R25" s="1037">
        <f>'Income Statement'!AF86</f>
        <v>-2270.5267827811977</v>
      </c>
    </row>
    <row r="26" spans="2:18">
      <c r="B26" s="1035" t="s">
        <v>2030</v>
      </c>
      <c r="C26" s="1037"/>
      <c r="D26" s="1037"/>
      <c r="E26" s="1037"/>
      <c r="F26" s="1037">
        <f>'Income Statement'!T88</f>
        <v>-638</v>
      </c>
      <c r="G26" s="1037">
        <f>'Income Statement'!U88</f>
        <v>-1012</v>
      </c>
      <c r="H26" s="1037">
        <f>'Income Statement'!V88</f>
        <v>-334</v>
      </c>
      <c r="I26" s="1037">
        <f>'Income Statement'!W88</f>
        <v>-412</v>
      </c>
      <c r="J26" s="1037">
        <f>'Income Statement'!X88</f>
        <v>-557</v>
      </c>
      <c r="K26" s="1037">
        <f>'Income Statement'!Y88</f>
        <v>-724</v>
      </c>
      <c r="L26" s="1037">
        <f>'Income Statement'!Z88</f>
        <v>-987</v>
      </c>
      <c r="M26" s="1037">
        <f>'Income Statement'!AA88</f>
        <v>-1693.7749708709096</v>
      </c>
      <c r="N26" s="1037">
        <f>'Income Statement'!AB88</f>
        <v>-1535.4602688534235</v>
      </c>
      <c r="O26" s="1037">
        <f>'Income Statement'!AC88</f>
        <v>-1747.2082279386809</v>
      </c>
      <c r="P26" s="1037">
        <f>'Income Statement'!AD88</f>
        <v>-1943.1275063694834</v>
      </c>
      <c r="Q26" s="1037">
        <f>'Income Statement'!AE88</f>
        <v>-2061.5384339449183</v>
      </c>
      <c r="R26" s="1037">
        <f>'Income Statement'!AF88</f>
        <v>-2183.1988295973056</v>
      </c>
    </row>
    <row r="27" spans="2:18">
      <c r="B27" s="1268" t="s">
        <v>938</v>
      </c>
      <c r="C27" s="1269">
        <f>'Income Statement'!Q93</f>
        <v>0</v>
      </c>
      <c r="D27" s="1269">
        <f>'Income Statement'!R93</f>
        <v>2111</v>
      </c>
      <c r="E27" s="1269">
        <f>'Income Statement'!S93</f>
        <v>1624</v>
      </c>
      <c r="F27" s="1269">
        <f>'Income Statement'!T92</f>
        <v>1341</v>
      </c>
      <c r="G27" s="1269">
        <f>'Income Statement'!U92</f>
        <v>2512</v>
      </c>
      <c r="H27" s="1269">
        <f>'Income Statement'!V92</f>
        <v>386</v>
      </c>
      <c r="I27" s="1269">
        <f>'Income Statement'!W92</f>
        <v>68</v>
      </c>
      <c r="J27" s="1269">
        <f>'Income Statement'!X92</f>
        <v>-2426</v>
      </c>
      <c r="K27" s="1269">
        <f>'Income Statement'!Y92</f>
        <v>3520</v>
      </c>
      <c r="L27" s="1269">
        <f>'Income Statement'!Z92</f>
        <v>-575</v>
      </c>
      <c r="M27" s="1269">
        <f>'Income Statement'!AA92</f>
        <v>3481.7661744965135</v>
      </c>
      <c r="N27" s="1269">
        <f>'Income Statement'!AB92</f>
        <v>4292.5327276066309</v>
      </c>
      <c r="O27" s="1269">
        <f>'Income Statement'!AC92</f>
        <v>5171.7363546984952</v>
      </c>
      <c r="P27" s="1269">
        <f>'Income Statement'!AD92</f>
        <v>5751.6574188536706</v>
      </c>
      <c r="Q27" s="1269">
        <f>'Income Statement'!AE92</f>
        <v>6102.1537644769578</v>
      </c>
      <c r="R27" s="1269">
        <f>'Income Statement'!AF92</f>
        <v>6462.2685356080246</v>
      </c>
    </row>
    <row r="28" spans="2:18">
      <c r="B28" s="1268" t="s">
        <v>2031</v>
      </c>
      <c r="C28" s="1269">
        <f>'Income Statement'!Q94</f>
        <v>29</v>
      </c>
      <c r="D28" s="1269">
        <f>'Income Statement'!R94</f>
        <v>74</v>
      </c>
      <c r="E28" s="1269">
        <f>'Income Statement'!S94</f>
        <v>831</v>
      </c>
      <c r="F28" s="1269">
        <f>'Income Statement'!T93</f>
        <v>2059</v>
      </c>
      <c r="G28" s="1269">
        <f>'Income Statement'!U93</f>
        <v>2732</v>
      </c>
      <c r="H28" s="1269">
        <f>'Income Statement'!V93</f>
        <v>879</v>
      </c>
      <c r="I28" s="1269">
        <f>'Income Statement'!W93</f>
        <v>784</v>
      </c>
      <c r="J28" s="1269">
        <f>'Income Statement'!X93</f>
        <v>1215</v>
      </c>
      <c r="K28" s="1269">
        <f>'Income Statement'!Y93</f>
        <v>2105</v>
      </c>
      <c r="L28" s="1269">
        <f>'Income Statement'!Z93</f>
        <v>3161</v>
      </c>
      <c r="M28" s="1269">
        <f>'Income Statement'!AA93</f>
        <v>3599.2718131006823</v>
      </c>
      <c r="N28" s="1269">
        <f>'Income Statement'!AB93</f>
        <v>4606.3808065602707</v>
      </c>
      <c r="O28" s="1269">
        <f>'Income Statement'!AC93</f>
        <v>5241.6246838160423</v>
      </c>
      <c r="P28" s="1269">
        <f>'Income Statement'!AD93</f>
        <v>5829.3825191084507</v>
      </c>
      <c r="Q28" s="1269">
        <f>'Income Statement'!AE93</f>
        <v>6184.615301834755</v>
      </c>
      <c r="R28" s="1269">
        <f>'Income Statement'!AF93</f>
        <v>6549.5964887919163</v>
      </c>
    </row>
    <row r="29" spans="2:18">
      <c r="B29" s="1035" t="s">
        <v>936</v>
      </c>
      <c r="C29" s="1037">
        <f>'Income Statement'!Q95</f>
        <v>47</v>
      </c>
      <c r="D29" s="1037">
        <f>'Income Statement'!R95</f>
        <v>55</v>
      </c>
      <c r="E29" s="1037">
        <f>'Income Statement'!S95</f>
        <v>61</v>
      </c>
      <c r="F29" s="1037">
        <f>'Income Statement'!T95</f>
        <v>58</v>
      </c>
      <c r="G29" s="1037">
        <f>'Income Statement'!U95</f>
        <v>65</v>
      </c>
      <c r="H29" s="1037">
        <f>'Income Statement'!V95</f>
        <v>34</v>
      </c>
      <c r="I29" s="1037">
        <f>'Income Statement'!W95</f>
        <v>25</v>
      </c>
      <c r="J29" s="1037">
        <f>'Income Statement'!X95</f>
        <v>33</v>
      </c>
      <c r="K29" s="1037">
        <f>'Income Statement'!Y95</f>
        <v>76</v>
      </c>
      <c r="L29" s="1037">
        <f>'Income Statement'!Z95</f>
        <v>92</v>
      </c>
      <c r="M29" s="1037">
        <f>'Income Statement'!AA95</f>
        <v>102.88746416730811</v>
      </c>
      <c r="N29" s="1037">
        <f>'Income Statement'!AB95</f>
        <v>114.58742296451408</v>
      </c>
      <c r="O29" s="1037">
        <f>'Income Statement'!AC95</f>
        <v>126.70278375374625</v>
      </c>
      <c r="P29" s="1037">
        <f>'Income Statement'!AD95</f>
        <v>137.42381765562197</v>
      </c>
      <c r="Q29" s="1037">
        <f>'Income Statement'!AE95</f>
        <v>144.17219852470006</v>
      </c>
      <c r="R29" s="1037">
        <f>'Income Statement'!AF95</f>
        <v>151.15100778555964</v>
      </c>
    </row>
    <row r="30" spans="2:18">
      <c r="B30" s="1268" t="s">
        <v>2005</v>
      </c>
      <c r="C30" s="1269"/>
      <c r="D30" s="1269"/>
      <c r="E30" s="1269"/>
      <c r="F30" s="1269">
        <f>'Income Statement'!T97</f>
        <v>1283</v>
      </c>
      <c r="G30" s="1269">
        <f>'Income Statement'!U97</f>
        <v>2447</v>
      </c>
      <c r="H30" s="1269">
        <f>'Income Statement'!V97</f>
        <v>352</v>
      </c>
      <c r="I30" s="1269">
        <f>'Income Statement'!W97</f>
        <v>43</v>
      </c>
      <c r="J30" s="1269">
        <f>'Income Statement'!X97</f>
        <v>-2459</v>
      </c>
      <c r="K30" s="1269">
        <f>'Income Statement'!Y97</f>
        <v>3444</v>
      </c>
      <c r="L30" s="1269">
        <f>'Income Statement'!Z97</f>
        <v>-667</v>
      </c>
      <c r="M30" s="1269">
        <f>'Income Statement'!AA97</f>
        <v>3378.8787103292052</v>
      </c>
      <c r="N30" s="1269">
        <f>'Income Statement'!AB97</f>
        <v>4177.9453046421168</v>
      </c>
      <c r="O30" s="1269">
        <f>'Income Statement'!AC97</f>
        <v>5045.033570944749</v>
      </c>
      <c r="P30" s="1269">
        <f>'Income Statement'!AD97</f>
        <v>5614.2336011980487</v>
      </c>
      <c r="Q30" s="1269">
        <f>'Income Statement'!AE97</f>
        <v>5957.9815659522574</v>
      </c>
      <c r="R30" s="1269">
        <f>'Income Statement'!AF97</f>
        <v>6311.1175278224646</v>
      </c>
    </row>
    <row r="31" spans="2:18">
      <c r="B31" s="1268" t="s">
        <v>2032</v>
      </c>
      <c r="C31" s="1269"/>
      <c r="D31" s="1269"/>
      <c r="E31" s="1269"/>
      <c r="F31" s="1269">
        <f>'Income Statement'!T98</f>
        <v>2001</v>
      </c>
      <c r="G31" s="1269">
        <f>'Income Statement'!U98</f>
        <v>2667</v>
      </c>
      <c r="H31" s="1269">
        <f>'Income Statement'!V98</f>
        <v>845</v>
      </c>
      <c r="I31" s="1269">
        <f>'Income Statement'!W98</f>
        <v>759</v>
      </c>
      <c r="J31" s="1269">
        <f>'Income Statement'!X98</f>
        <v>1182</v>
      </c>
      <c r="K31" s="1269">
        <f>'Income Statement'!Y98</f>
        <v>2028</v>
      </c>
      <c r="L31" s="1269">
        <f>'Income Statement'!Z98</f>
        <v>3069</v>
      </c>
      <c r="M31" s="1269">
        <f>'Income Statement'!AA98</f>
        <v>3496.384348933374</v>
      </c>
      <c r="N31" s="1269">
        <f>'Income Statement'!AB98</f>
        <v>4491.7933835957565</v>
      </c>
      <c r="O31" s="1269">
        <f>'Income Statement'!AC98</f>
        <v>5114.9219000622961</v>
      </c>
      <c r="P31" s="1269">
        <f>'Income Statement'!AD98</f>
        <v>5691.9587014528288</v>
      </c>
      <c r="Q31" s="1269">
        <f>'Income Statement'!AE98</f>
        <v>6040.4431033100545</v>
      </c>
      <c r="R31" s="1269">
        <f>'Income Statement'!AF98</f>
        <v>6398.4454810063562</v>
      </c>
    </row>
    <row r="32" spans="2:18">
      <c r="B32" s="1268" t="s">
        <v>933</v>
      </c>
      <c r="C32" s="1270">
        <f>'Income Statement'!Q106</f>
        <v>-0.18200583462330566</v>
      </c>
      <c r="D32" s="1270">
        <f>'Income Statement'!R106</f>
        <v>4.7607024277598358</v>
      </c>
      <c r="E32" s="1270">
        <f>'Income Statement'!S106</f>
        <v>3.8099552121117242</v>
      </c>
      <c r="F32" s="1270">
        <f>'Income Statement'!T102</f>
        <v>2.9774073725201449</v>
      </c>
      <c r="G32" s="1270">
        <f>'Income Statement'!U102</f>
        <v>5.6943609760187766</v>
      </c>
      <c r="H32" s="1270">
        <f>'Income Statement'!V102</f>
        <v>0.82622177803621399</v>
      </c>
      <c r="I32" s="1270">
        <f>'Income Statement'!W102</f>
        <v>0.10078508652604765</v>
      </c>
      <c r="J32" s="1270">
        <f>'Income Statement'!X102</f>
        <v>-5.7630922791046508</v>
      </c>
      <c r="K32" s="1270">
        <f>'Income Statement'!Y102</f>
        <v>8.2432674979652472</v>
      </c>
      <c r="L32" s="1270">
        <f>'Income Statement'!Z102</f>
        <v>-1.6027892666369226</v>
      </c>
      <c r="M32" s="1270">
        <f>'Income Statement'!AA102</f>
        <v>8.2078794163423758</v>
      </c>
      <c r="N32" s="1270">
        <f>'Income Statement'!AB102</f>
        <v>10.260782479883513</v>
      </c>
      <c r="O32" s="1270">
        <f>'Income Statement'!AC102</f>
        <v>12.528350438062548</v>
      </c>
      <c r="P32" s="1270">
        <f>'Income Statement'!AD102</f>
        <v>14.098935711081662</v>
      </c>
      <c r="Q32" s="1270">
        <f>'Income Statement'!AE102</f>
        <v>14.962184517624115</v>
      </c>
      <c r="R32" s="1270">
        <f>'Income Statement'!AF102</f>
        <v>15.849009252280077</v>
      </c>
    </row>
    <row r="33" spans="2:18">
      <c r="B33" s="1268" t="s">
        <v>1925</v>
      </c>
      <c r="C33" s="1270">
        <f>'Income Statement'!Q107</f>
        <v>-0.18200583462330566</v>
      </c>
      <c r="D33" s="1270">
        <f>'Income Statement'!R107</f>
        <v>4.6787331146481197</v>
      </c>
      <c r="E33" s="1270">
        <f>'Income Statement'!S107</f>
        <v>3.7435489526196708</v>
      </c>
      <c r="F33" s="1270">
        <f>'Income Statement'!T106</f>
        <v>4.5972283748732714</v>
      </c>
      <c r="G33" s="1270">
        <f>'Income Statement'!U106</f>
        <v>6.2016640789088857</v>
      </c>
      <c r="H33" s="1270">
        <f>'Income Statement'!V106</f>
        <v>1.9834017114789799</v>
      </c>
      <c r="I33" s="1270">
        <f>'Income Statement'!W106</f>
        <v>1.7789739691458177</v>
      </c>
      <c r="J33" s="1270">
        <f>'Income Statement'!X106</f>
        <v>2.760846972259162</v>
      </c>
      <c r="K33" s="1270">
        <f>'Income Statement'!Y106</f>
        <v>4.8564430178198279</v>
      </c>
      <c r="L33" s="1270">
        <f>'Income Statement'!Z106</f>
        <v>7.3747530124568437</v>
      </c>
      <c r="M33" s="1270">
        <f>'Income Statement'!AA106</f>
        <v>8.4933208882291691</v>
      </c>
      <c r="N33" s="1270">
        <f>'Income Statement'!AB106</f>
        <v>11.031574492477478</v>
      </c>
      <c r="O33" s="1270">
        <f>'Income Statement'!AC106</f>
        <v>12.701904383026944</v>
      </c>
      <c r="P33" s="1270">
        <f>'Income Statement'!AD106</f>
        <v>14.294125521387324</v>
      </c>
      <c r="Q33" s="1270">
        <f>'Income Statement'!AE106</f>
        <v>15.169268867230878</v>
      </c>
      <c r="R33" s="1270">
        <f>'Income Statement'!AF106</f>
        <v>16.068314554691664</v>
      </c>
    </row>
    <row r="34" spans="2:18">
      <c r="C34" s="1037"/>
      <c r="D34" s="1037"/>
      <c r="E34" s="1037"/>
      <c r="F34" s="1037"/>
      <c r="G34" s="1037"/>
      <c r="H34" s="1037"/>
      <c r="I34" s="1037"/>
      <c r="J34" s="1037"/>
      <c r="K34" s="1037"/>
      <c r="L34" s="1037"/>
      <c r="M34" s="1037"/>
      <c r="N34" s="1037"/>
      <c r="O34" s="1037"/>
      <c r="P34" s="1037"/>
      <c r="Q34" s="1037"/>
      <c r="R34" s="1037"/>
    </row>
    <row r="35" spans="2:18">
      <c r="B35" s="1035" t="s">
        <v>1080</v>
      </c>
      <c r="C35" s="1037">
        <f>'Income Statement'!Q116</f>
        <v>417569.03100000002</v>
      </c>
      <c r="D35" s="1037">
        <f>'Income Statement'!R116</f>
        <v>416325.11800000002</v>
      </c>
      <c r="E35" s="1037">
        <f>'Income Statement'!S116</f>
        <v>410241.04300000001</v>
      </c>
      <c r="F35" s="1037">
        <f>'Income Statement'!T116</f>
        <v>430911.81</v>
      </c>
      <c r="G35" s="1037">
        <f>'Income Statement'!U116</f>
        <v>429723.37199999997</v>
      </c>
      <c r="H35" s="1037">
        <f>'Income Statement'!V116</f>
        <v>426035.73200000002</v>
      </c>
      <c r="I35" s="1037">
        <f>'Income Statement'!W116</f>
        <v>426650.42499999999</v>
      </c>
      <c r="J35" s="1037">
        <f>'Income Statement'!X116</f>
        <v>426680.65700000001</v>
      </c>
      <c r="K35" s="1037">
        <f>'Income Statement'!Y116</f>
        <v>417795.49200000003</v>
      </c>
      <c r="L35" s="1037">
        <f>'Income Statement'!Z116</f>
        <v>416149.53</v>
      </c>
      <c r="M35" s="1037">
        <f>'Income Statement'!AA116</f>
        <v>411662.81068916013</v>
      </c>
      <c r="N35" s="1037">
        <f>'Income Statement'!AB116</f>
        <v>407176.09137832024</v>
      </c>
      <c r="O35" s="1037">
        <f>'Income Statement'!AC116</f>
        <v>402689.37206748035</v>
      </c>
      <c r="P35" s="1037">
        <f>'Income Statement'!AD116</f>
        <v>398202.65275664045</v>
      </c>
      <c r="Q35" s="1037">
        <f>'Income Statement'!AE116</f>
        <v>398202.65275664045</v>
      </c>
      <c r="R35" s="1037">
        <f>'Income Statement'!AF116</f>
        <v>398202.65275664045</v>
      </c>
    </row>
    <row r="36" spans="2:18">
      <c r="B36" s="1036" t="s">
        <v>1081</v>
      </c>
      <c r="C36" s="1267">
        <f>'Income Statement'!Q117</f>
        <v>417569.03100000002</v>
      </c>
      <c r="D36" s="1267">
        <f>'Income Statement'!R117</f>
        <v>423618.94799999997</v>
      </c>
      <c r="E36" s="1267">
        <f>'Income Statement'!S117</f>
        <v>417518.24800000002</v>
      </c>
      <c r="F36" s="1267">
        <f>'Income Statement'!T117</f>
        <v>436335.63099999999</v>
      </c>
      <c r="G36" s="1267">
        <f>'Income Statement'!U117</f>
        <v>434976.73300000001</v>
      </c>
      <c r="H36" s="1267">
        <f>'Income Statement'!V117</f>
        <v>440460.495</v>
      </c>
      <c r="I36" s="1267">
        <f>'Income Statement'!W117</f>
        <v>440087.02899999998</v>
      </c>
      <c r="J36" s="1267">
        <f>'Income Statement'!X117</f>
        <v>440159.929</v>
      </c>
      <c r="K36" s="1267">
        <f>'Income Statement'!Y117</f>
        <v>431373.56099999999</v>
      </c>
      <c r="L36" s="1267">
        <f>'Income Statement'!Z117</f>
        <v>420722.353</v>
      </c>
      <c r="M36" s="1267">
        <f>'Income Statement'!AA117</f>
        <v>416235.63368916011</v>
      </c>
      <c r="N36" s="1267">
        <f>'Income Statement'!AB117</f>
        <v>411748.91437832022</v>
      </c>
      <c r="O36" s="1267">
        <f>'Income Statement'!AC117</f>
        <v>407262.19506748032</v>
      </c>
      <c r="P36" s="1267">
        <f>'Income Statement'!AD117</f>
        <v>402775.47575664043</v>
      </c>
      <c r="Q36" s="1267">
        <f>'Income Statement'!AE117</f>
        <v>402775.47575664043</v>
      </c>
      <c r="R36" s="1267">
        <f>'Income Statement'!AF117</f>
        <v>402775.47575664043</v>
      </c>
    </row>
    <row r="37" spans="2:18">
      <c r="B37" s="1035" t="s">
        <v>267</v>
      </c>
      <c r="C37" s="1271">
        <f>'Income Statement'!Q109</f>
        <v>1.38</v>
      </c>
      <c r="D37" s="1271">
        <f>'Income Statement'!R109</f>
        <v>1.52</v>
      </c>
      <c r="E37" s="1271">
        <f>'Income Statement'!S109</f>
        <v>1.6</v>
      </c>
      <c r="F37" s="1271">
        <f>'Income Statement'!T109</f>
        <v>1.82</v>
      </c>
      <c r="G37" s="1271">
        <f>'Income Statement'!U109</f>
        <v>0</v>
      </c>
      <c r="H37" s="1271">
        <f>'Income Statement'!V109</f>
        <v>0.43</v>
      </c>
      <c r="I37" s="1271">
        <f>'Income Statement'!W109</f>
        <v>0.5</v>
      </c>
      <c r="J37" s="1271">
        <f>'Income Statement'!X109</f>
        <v>1.35</v>
      </c>
      <c r="K37" s="1271">
        <f>'Income Statement'!Y109</f>
        <v>2.2000000000000002</v>
      </c>
      <c r="L37" s="1271">
        <f>'Income Statement'!Z109</f>
        <v>2.9</v>
      </c>
      <c r="M37" s="1271">
        <f>'Income Statement'!AA109</f>
        <v>3.397328355291668</v>
      </c>
      <c r="N37" s="1271">
        <f>'Income Statement'!AB109</f>
        <v>4.4126297969909913</v>
      </c>
      <c r="O37" s="1271">
        <f>'Income Statement'!AC109</f>
        <v>5.0807617532107781</v>
      </c>
      <c r="P37" s="1271">
        <f>'Income Statement'!AD109</f>
        <v>5.7176502085549297</v>
      </c>
      <c r="Q37" s="1271">
        <f>'Income Statement'!AE109</f>
        <v>6.0677075468923514</v>
      </c>
      <c r="R37" s="1271">
        <f>'Income Statement'!AF109</f>
        <v>6.427325821876666</v>
      </c>
    </row>
    <row r="38" spans="2:18" collapsed="1">
      <c r="B38" s="1035" t="s">
        <v>1168</v>
      </c>
      <c r="C38" s="1272">
        <f>'Income Statement'!Q110</f>
        <v>-0.55783665322362053</v>
      </c>
      <c r="D38" s="1272">
        <f>'Income Statement'!R110</f>
        <v>-0.85515429643243257</v>
      </c>
      <c r="E38" s="1272">
        <f>'Income Statement'!S110</f>
        <v>-0.92972474334277622</v>
      </c>
      <c r="F38" s="1272">
        <f>'Income Statement'!T110</f>
        <v>0.3958907088339223</v>
      </c>
      <c r="G38" s="1272">
        <f>'Income Statement'!U110</f>
        <v>0</v>
      </c>
      <c r="H38" s="1272">
        <f>'Income Statement'!V110</f>
        <v>0.21705611938388628</v>
      </c>
      <c r="I38" s="1272">
        <f>'Income Statement'!W110</f>
        <v>0.28069106907894736</v>
      </c>
      <c r="J38" s="1272">
        <f>'Income Statement'!X110</f>
        <v>0.48898037941426148</v>
      </c>
      <c r="K38" s="1272">
        <f>'Income Statement'!Y110</f>
        <v>0.45322982366863912</v>
      </c>
      <c r="L38" s="1272">
        <f>'Income Statement'!Z110</f>
        <v>0.39336168089960888</v>
      </c>
      <c r="M38" s="1272">
        <f>'Income Statement'!AA110</f>
        <v>0.4</v>
      </c>
      <c r="N38" s="1272">
        <f>'Income Statement'!AB110</f>
        <v>0.4</v>
      </c>
      <c r="O38" s="1272">
        <f>'Income Statement'!AC110</f>
        <v>0.4</v>
      </c>
      <c r="P38" s="1272">
        <f>'Income Statement'!AD110</f>
        <v>0.4</v>
      </c>
      <c r="Q38" s="1272">
        <f>'Income Statement'!AE110</f>
        <v>0.4</v>
      </c>
      <c r="R38" s="1272">
        <f>'Income Statement'!AF110</f>
        <v>0.4</v>
      </c>
    </row>
    <row r="39" spans="2:18">
      <c r="C39" s="1272"/>
      <c r="D39" s="1272"/>
      <c r="E39" s="1272"/>
      <c r="F39" s="1272"/>
      <c r="G39" s="1272"/>
      <c r="H39" s="1272"/>
      <c r="I39" s="1272"/>
      <c r="J39" s="1272"/>
      <c r="K39" s="1272"/>
      <c r="L39" s="1272"/>
      <c r="M39" s="1272"/>
      <c r="N39" s="1272"/>
      <c r="O39" s="1272"/>
      <c r="P39" s="1272"/>
      <c r="Q39" s="1272"/>
      <c r="R39" s="1272"/>
    </row>
    <row r="40" spans="2:18" ht="12.75">
      <c r="B40" s="1265" t="s">
        <v>1169</v>
      </c>
      <c r="C40" s="1266">
        <f t="shared" ref="C40:R40" si="4">C2</f>
        <v>2015</v>
      </c>
      <c r="D40" s="1266" t="str">
        <f t="shared" si="4"/>
        <v>2016E</v>
      </c>
      <c r="E40" s="1266">
        <f t="shared" si="4"/>
        <v>2017</v>
      </c>
      <c r="F40" s="1506">
        <f t="shared" si="4"/>
        <v>2018</v>
      </c>
      <c r="G40" s="1506">
        <f t="shared" si="4"/>
        <v>2019</v>
      </c>
      <c r="H40" s="1506">
        <f t="shared" si="4"/>
        <v>2020</v>
      </c>
      <c r="I40" s="1506">
        <f t="shared" si="4"/>
        <v>2021</v>
      </c>
      <c r="J40" s="1506">
        <f t="shared" si="4"/>
        <v>2022</v>
      </c>
      <c r="K40" s="1506">
        <f t="shared" si="4"/>
        <v>2023</v>
      </c>
      <c r="L40" s="1506">
        <f t="shared" si="4"/>
        <v>2024</v>
      </c>
      <c r="M40" s="1417">
        <f t="shared" si="4"/>
        <v>2025</v>
      </c>
      <c r="N40" s="1417">
        <f t="shared" si="4"/>
        <v>2026</v>
      </c>
      <c r="O40" s="1417">
        <f t="shared" si="4"/>
        <v>2027</v>
      </c>
      <c r="P40" s="1417">
        <f t="shared" si="4"/>
        <v>2028</v>
      </c>
      <c r="Q40" s="1417">
        <f t="shared" si="4"/>
        <v>2029</v>
      </c>
      <c r="R40" s="1417">
        <f t="shared" si="4"/>
        <v>2030</v>
      </c>
    </row>
    <row r="41" spans="2:18" s="1036" customFormat="1">
      <c r="B41" s="1036" t="str">
        <f>'Cashflow Statement'!A4</f>
        <v>Reported Net Income</v>
      </c>
      <c r="C41" s="1267">
        <f>'Cashflow Statement'!Q4</f>
        <v>-424</v>
      </c>
      <c r="D41" s="1267">
        <f>'Cashflow Statement'!R4</f>
        <v>1908</v>
      </c>
      <c r="E41" s="1267">
        <f>'Cashflow Statement'!S4</f>
        <v>4550</v>
      </c>
      <c r="F41" s="1267">
        <f>'Cashflow Statement'!T4</f>
        <v>1283</v>
      </c>
      <c r="G41" s="1267">
        <f>'Cashflow Statement'!U4</f>
        <v>2447</v>
      </c>
      <c r="H41" s="1267">
        <f>'Cashflow Statement'!V4</f>
        <v>352</v>
      </c>
      <c r="I41" s="1267">
        <f>'Cashflow Statement'!W4</f>
        <v>43</v>
      </c>
      <c r="J41" s="1267">
        <f>'Cashflow Statement'!X4</f>
        <v>-2459</v>
      </c>
      <c r="K41" s="1267">
        <f>'Cashflow Statement'!Y4</f>
        <v>3444</v>
      </c>
      <c r="L41" s="1267">
        <f>'Cashflow Statement'!Z4</f>
        <v>-667</v>
      </c>
      <c r="M41" s="1267">
        <f>'Cashflow Statement'!AA4</f>
        <v>3378.8787103292052</v>
      </c>
      <c r="N41" s="1267">
        <f>'Cashflow Statement'!AB4</f>
        <v>4177.9453046421168</v>
      </c>
      <c r="O41" s="1267">
        <f>'Cashflow Statement'!AC4</f>
        <v>5045.033570944749</v>
      </c>
      <c r="P41" s="1267">
        <f>'Cashflow Statement'!AD4</f>
        <v>5614.2336011980487</v>
      </c>
      <c r="Q41" s="1267">
        <f>'Cashflow Statement'!AE4</f>
        <v>5957.9815659522574</v>
      </c>
      <c r="R41" s="1267">
        <f>'Cashflow Statement'!AF4</f>
        <v>6311.1175278224646</v>
      </c>
    </row>
    <row r="42" spans="2:18">
      <c r="B42" s="1035" t="str">
        <f>'Cashflow Statement'!A5</f>
        <v>Depreciation</v>
      </c>
      <c r="C42" s="1037">
        <f>'Cashflow Statement'!Q5</f>
        <v>331.54767726161367</v>
      </c>
      <c r="D42" s="1037">
        <f>'Cashflow Statement'!R5</f>
        <v>324.83618581907086</v>
      </c>
      <c r="E42" s="1037">
        <f>'Cashflow Statement'!S5</f>
        <v>352.57701711491438</v>
      </c>
      <c r="F42" s="1037">
        <f>'Cashflow Statement'!T5</f>
        <v>540.94621026894856</v>
      </c>
      <c r="G42" s="1037">
        <f>'Cashflow Statement'!U5</f>
        <v>654.59413202933968</v>
      </c>
      <c r="H42" s="1037">
        <f>'Cashflow Statement'!V5</f>
        <v>647.4352078239607</v>
      </c>
      <c r="I42" s="1037">
        <f>'Cashflow Statement'!W5</f>
        <v>617.45721271393631</v>
      </c>
      <c r="J42" s="1037">
        <f>'Cashflow Statement'!X5</f>
        <v>614.32518337408294</v>
      </c>
      <c r="K42" s="1037">
        <f>'Cashflow Statement'!Y5</f>
        <v>597.77017114914406</v>
      </c>
      <c r="L42" s="1037">
        <f>'Cashflow Statement'!Z5</f>
        <v>629.09046454767702</v>
      </c>
      <c r="M42" s="1037">
        <f>'Cashflow Statement'!AA5</f>
        <v>703.53828944722102</v>
      </c>
      <c r="N42" s="1037">
        <f>'Cashflow Statement'!AB5</f>
        <v>783.54190373986216</v>
      </c>
      <c r="O42" s="1037">
        <f>'Cashflow Statement'!AC5</f>
        <v>866.38601186008793</v>
      </c>
      <c r="P42" s="1037">
        <f>'Cashflow Statement'!AD5</f>
        <v>939.69579661837486</v>
      </c>
      <c r="Q42" s="1037">
        <f>'Cashflow Statement'!AE5</f>
        <v>985.84081896482041</v>
      </c>
      <c r="R42" s="1037">
        <f>'Cashflow Statement'!AF5</f>
        <v>1033.5614967898616</v>
      </c>
    </row>
    <row r="43" spans="2:18">
      <c r="B43" s="1035" t="str">
        <f>'Cashflow Statement'!A7</f>
        <v>Amortisation</v>
      </c>
      <c r="C43" s="1037">
        <f>'Cashflow Statement'!Q7</f>
        <v>409.45232273838633</v>
      </c>
      <c r="D43" s="1037">
        <f>'Cashflow Statement'!R7</f>
        <v>401.16381418092914</v>
      </c>
      <c r="E43" s="1037">
        <f>'Cashflow Statement'!S7</f>
        <v>435.42298288508562</v>
      </c>
      <c r="F43" s="1037">
        <f>'Cashflow Statement'!T7</f>
        <v>668.05378973105144</v>
      </c>
      <c r="G43" s="1037">
        <f>'Cashflow Statement'!U7</f>
        <v>808.40586797066032</v>
      </c>
      <c r="H43" s="1037">
        <f>'Cashflow Statement'!V7</f>
        <v>799.5647921760393</v>
      </c>
      <c r="I43" s="1037">
        <f>'Cashflow Statement'!W7</f>
        <v>762.54278728606369</v>
      </c>
      <c r="J43" s="1037">
        <f>'Cashflow Statement'!X7</f>
        <v>758.67481662591706</v>
      </c>
      <c r="K43" s="1037">
        <f>'Cashflow Statement'!Y7</f>
        <v>738.22982885085594</v>
      </c>
      <c r="L43" s="1037">
        <f>'Cashflow Statement'!Z7</f>
        <v>776.90953545232298</v>
      </c>
      <c r="M43" s="1037">
        <f>'Cashflow Statement'!AA7</f>
        <v>868.85056510968343</v>
      </c>
      <c r="N43" s="1037">
        <f>'Cashflow Statement'!AB7</f>
        <v>1035.621200505806</v>
      </c>
      <c r="O43" s="1037">
        <f>'Cashflow Statement'!AC7</f>
        <v>1068.7765426796441</v>
      </c>
      <c r="P43" s="1037">
        <f>'Cashflow Statement'!AD7</f>
        <v>1159.2117265653274</v>
      </c>
      <c r="Q43" s="1037">
        <f>'Cashflow Statement'!AE7</f>
        <v>1216.1363730510482</v>
      </c>
      <c r="R43" s="1037">
        <f>'Cashflow Statement'!AF7</f>
        <v>1275.004753151826</v>
      </c>
    </row>
    <row r="44" spans="2:18">
      <c r="B44" s="1035" t="str">
        <f>'Cashflow Statement'!A9</f>
        <v>Impairment</v>
      </c>
      <c r="C44" s="1037">
        <f>'Cashflow Statement'!Q9</f>
        <v>1004</v>
      </c>
      <c r="D44" s="1037">
        <f>'Cashflow Statement'!R9</f>
        <v>243</v>
      </c>
      <c r="E44" s="1037">
        <f>'Cashflow Statement'!S9</f>
        <v>60</v>
      </c>
      <c r="F44" s="1037">
        <f>'Cashflow Statement'!T9</f>
        <v>-19</v>
      </c>
      <c r="G44" s="1037">
        <f>'Cashflow Statement'!U9</f>
        <v>-42</v>
      </c>
      <c r="H44" s="1037">
        <f>'Cashflow Statement'!V9</f>
        <v>377</v>
      </c>
      <c r="I44" s="1037">
        <f>'Cashflow Statement'!W9</f>
        <v>91</v>
      </c>
      <c r="J44" s="1037">
        <f>'Cashflow Statement'!X9</f>
        <v>411</v>
      </c>
      <c r="K44" s="1037">
        <f>'Cashflow Statement'!Y9</f>
        <v>148</v>
      </c>
      <c r="L44" s="1037">
        <f>'Cashflow Statement'!Z9</f>
        <v>0</v>
      </c>
      <c r="M44" s="1037">
        <f>'Cashflow Statement'!AA9</f>
        <v>0</v>
      </c>
      <c r="N44" s="1037">
        <f>'Cashflow Statement'!AB9</f>
        <v>0</v>
      </c>
      <c r="O44" s="1037">
        <f>'Cashflow Statement'!AC9</f>
        <v>0</v>
      </c>
      <c r="P44" s="1037">
        <f>'Cashflow Statement'!AD9</f>
        <v>0</v>
      </c>
      <c r="Q44" s="1037">
        <f>'Cashflow Statement'!AE9</f>
        <v>0</v>
      </c>
      <c r="R44" s="1037">
        <f>'Cashflow Statement'!AF9</f>
        <v>0</v>
      </c>
    </row>
    <row r="45" spans="2:18">
      <c r="B45" s="1035" t="str">
        <f>'Cashflow Statement'!A10</f>
        <v>Change in Provisions</v>
      </c>
      <c r="C45" s="1037">
        <f>'Cashflow Statement'!Q10</f>
        <v>114</v>
      </c>
      <c r="D45" s="1037">
        <f>'Cashflow Statement'!R10</f>
        <v>-42</v>
      </c>
      <c r="E45" s="1037">
        <f>'Cashflow Statement'!S10</f>
        <v>178</v>
      </c>
      <c r="F45" s="1037">
        <f>'Cashflow Statement'!T10</f>
        <v>45</v>
      </c>
      <c r="G45" s="1037">
        <f>'Cashflow Statement'!U10</f>
        <v>168</v>
      </c>
      <c r="H45" s="1037">
        <f>'Cashflow Statement'!V10</f>
        <v>-259</v>
      </c>
      <c r="I45" s="1037">
        <f>'Cashflow Statement'!W10</f>
        <v>171</v>
      </c>
      <c r="J45" s="1037">
        <f>'Cashflow Statement'!X10</f>
        <v>-169</v>
      </c>
      <c r="K45" s="1037">
        <f>'Cashflow Statement'!Y10</f>
        <v>-51</v>
      </c>
      <c r="L45" s="1037">
        <f>'Cashflow Statement'!Z10</f>
        <v>285</v>
      </c>
      <c r="M45" s="1037">
        <f>'Cashflow Statement'!AA10</f>
        <v>100</v>
      </c>
      <c r="N45" s="1037">
        <f>'Cashflow Statement'!AB10</f>
        <v>100</v>
      </c>
      <c r="O45" s="1037">
        <f>'Cashflow Statement'!AC10</f>
        <v>100</v>
      </c>
      <c r="P45" s="1037">
        <f>'Cashflow Statement'!AD10</f>
        <v>100</v>
      </c>
      <c r="Q45" s="1037">
        <f>'Cashflow Statement'!AE10</f>
        <v>100</v>
      </c>
      <c r="R45" s="1037">
        <f>'Cashflow Statement'!AF10</f>
        <v>100</v>
      </c>
    </row>
    <row r="46" spans="2:18">
      <c r="B46" s="1035" t="str">
        <f>'Cashflow Statement'!A11</f>
        <v>Share of profit in associates (net of dividends received)</v>
      </c>
      <c r="C46" s="1037">
        <f>'Cashflow Statement'!Q11</f>
        <v>-20</v>
      </c>
      <c r="D46" s="1037">
        <f>'Cashflow Statement'!R11</f>
        <v>-63</v>
      </c>
      <c r="E46" s="1037">
        <f>'Cashflow Statement'!S11</f>
        <v>-100</v>
      </c>
      <c r="F46" s="1037">
        <f>'Cashflow Statement'!T11</f>
        <v>-124</v>
      </c>
      <c r="G46" s="1037">
        <f>'Cashflow Statement'!U11</f>
        <v>-87</v>
      </c>
      <c r="H46" s="1037">
        <f>'Cashflow Statement'!V11</f>
        <v>22</v>
      </c>
      <c r="I46" s="1037">
        <f>'Cashflow Statement'!W11</f>
        <v>702</v>
      </c>
      <c r="J46" s="1037">
        <f>'Cashflow Statement'!X11</f>
        <v>11</v>
      </c>
      <c r="K46" s="1037">
        <f>'Cashflow Statement'!Y11</f>
        <v>-83</v>
      </c>
      <c r="L46" s="1037">
        <f>'Cashflow Statement'!Z11</f>
        <v>-120</v>
      </c>
      <c r="M46" s="1037">
        <f>'Cashflow Statement'!AA11</f>
        <v>0</v>
      </c>
      <c r="N46" s="1037">
        <f>'Cashflow Statement'!AB11</f>
        <v>0</v>
      </c>
      <c r="O46" s="1037">
        <f>'Cashflow Statement'!AC11</f>
        <v>0</v>
      </c>
      <c r="P46" s="1037">
        <f>'Cashflow Statement'!AD11</f>
        <v>0</v>
      </c>
      <c r="Q46" s="1037">
        <f>'Cashflow Statement'!AE11</f>
        <v>0</v>
      </c>
      <c r="R46" s="1037">
        <f>'Cashflow Statement'!AF11</f>
        <v>0</v>
      </c>
    </row>
    <row r="47" spans="2:18">
      <c r="B47" s="1035" t="str">
        <f>'Cashflow Statement'!A12</f>
        <v>Change in fair value of derivatives</v>
      </c>
      <c r="C47" s="1037">
        <f>'Cashflow Statement'!Q12</f>
        <v>2475</v>
      </c>
      <c r="D47" s="1037">
        <f>'Cashflow Statement'!R12</f>
        <v>81</v>
      </c>
      <c r="E47" s="1037">
        <f>'Cashflow Statement'!S12</f>
        <v>-3608</v>
      </c>
      <c r="F47" s="1037">
        <f>'Cashflow Statement'!T12</f>
        <v>316</v>
      </c>
      <c r="G47" s="1037">
        <f>'Cashflow Statement'!U12</f>
        <v>-152</v>
      </c>
      <c r="H47" s="1037">
        <f>'Cashflow Statement'!V12</f>
        <v>209</v>
      </c>
      <c r="I47" s="1037">
        <f>'Cashflow Statement'!W12</f>
        <v>538</v>
      </c>
      <c r="J47" s="1037">
        <f>'Cashflow Statement'!X12</f>
        <v>4207</v>
      </c>
      <c r="K47" s="1037">
        <f>'Cashflow Statement'!Y12</f>
        <v>-2161</v>
      </c>
      <c r="L47" s="1037">
        <f>'Cashflow Statement'!Z12</f>
        <v>4684</v>
      </c>
      <c r="M47" s="1037">
        <f>'Cashflow Statement'!AA12</f>
        <v>0</v>
      </c>
      <c r="N47" s="1037">
        <f>'Cashflow Statement'!AB12</f>
        <v>0</v>
      </c>
      <c r="O47" s="1037">
        <f>'Cashflow Statement'!AC12</f>
        <v>0</v>
      </c>
      <c r="P47" s="1037">
        <f>'Cashflow Statement'!AD12</f>
        <v>0</v>
      </c>
      <c r="Q47" s="1037">
        <f>'Cashflow Statement'!AE12</f>
        <v>0</v>
      </c>
      <c r="R47" s="1037">
        <f>'Cashflow Statement'!AF12</f>
        <v>0</v>
      </c>
    </row>
    <row r="48" spans="2:18">
      <c r="B48" s="1035" t="str">
        <f>'Cashflow Statement'!A13</f>
        <v>Capital gains on asset disposals</v>
      </c>
      <c r="C48" s="1037">
        <f>'Cashflow Statement'!Q13</f>
        <v>-453</v>
      </c>
      <c r="D48" s="1037">
        <f>'Cashflow Statement'!R13</f>
        <v>-364</v>
      </c>
      <c r="E48" s="1037">
        <f>'Cashflow Statement'!S13</f>
        <v>-20</v>
      </c>
      <c r="F48" s="1037">
        <f>'Cashflow Statement'!T13</f>
        <v>12</v>
      </c>
      <c r="G48" s="1037">
        <f>'Cashflow Statement'!U13</f>
        <v>-41</v>
      </c>
      <c r="H48" s="1037">
        <f>'Cashflow Statement'!V13</f>
        <v>20</v>
      </c>
      <c r="I48" s="1037">
        <f>'Cashflow Statement'!W13</f>
        <v>-57</v>
      </c>
      <c r="J48" s="1037">
        <f>'Cashflow Statement'!X13</f>
        <v>289</v>
      </c>
      <c r="K48" s="1037">
        <f>'Cashflow Statement'!Y13</f>
        <v>344</v>
      </c>
      <c r="L48" s="1037">
        <f>'Cashflow Statement'!Z13</f>
        <v>-47</v>
      </c>
      <c r="M48" s="1037">
        <f>'Cashflow Statement'!AA13</f>
        <v>0</v>
      </c>
      <c r="N48" s="1037">
        <f>'Cashflow Statement'!AB13</f>
        <v>0</v>
      </c>
      <c r="O48" s="1037">
        <f>'Cashflow Statement'!AC13</f>
        <v>0</v>
      </c>
      <c r="P48" s="1037">
        <f>'Cashflow Statement'!AD13</f>
        <v>0</v>
      </c>
      <c r="Q48" s="1037">
        <f>'Cashflow Statement'!AE13</f>
        <v>0</v>
      </c>
      <c r="R48" s="1037">
        <f>'Cashflow Statement'!AF13</f>
        <v>0</v>
      </c>
    </row>
    <row r="49" spans="2:18">
      <c r="B49" s="1035" t="str">
        <f>'Cashflow Statement'!A15</f>
        <v>Profit attributable to non-controlling interests</v>
      </c>
      <c r="C49" s="1037">
        <f>'Cashflow Statement'!Q15</f>
        <v>47</v>
      </c>
      <c r="D49" s="1037">
        <f>'Cashflow Statement'!R15</f>
        <v>55</v>
      </c>
      <c r="E49" s="1037">
        <f>'Cashflow Statement'!S15</f>
        <v>60</v>
      </c>
      <c r="F49" s="1037">
        <f>'Cashflow Statement'!T15</f>
        <v>58</v>
      </c>
      <c r="G49" s="1037">
        <f>'Cashflow Statement'!U15</f>
        <v>65</v>
      </c>
      <c r="H49" s="1037">
        <f>'Cashflow Statement'!V15</f>
        <v>34</v>
      </c>
      <c r="I49" s="1037">
        <f>'Cashflow Statement'!W15</f>
        <v>25</v>
      </c>
      <c r="J49" s="1037">
        <f>'Cashflow Statement'!X15</f>
        <v>33</v>
      </c>
      <c r="K49" s="1037">
        <f>'Cashflow Statement'!Y15</f>
        <v>76</v>
      </c>
      <c r="L49" s="1037">
        <f>'Cashflow Statement'!Z15</f>
        <v>92</v>
      </c>
      <c r="M49" s="1037">
        <f>'Cashflow Statement'!AA15</f>
        <v>102.88746416730811</v>
      </c>
      <c r="N49" s="1037">
        <f>'Cashflow Statement'!AB15</f>
        <v>114.58742296451408</v>
      </c>
      <c r="O49" s="1037">
        <f>'Cashflow Statement'!AC15</f>
        <v>126.70278375374625</v>
      </c>
      <c r="P49" s="1037">
        <f>'Cashflow Statement'!AD15</f>
        <v>137.42381765562197</v>
      </c>
      <c r="Q49" s="1037">
        <f>'Cashflow Statement'!AE15</f>
        <v>144.17219852470006</v>
      </c>
      <c r="R49" s="1037">
        <f>'Cashflow Statement'!AF15</f>
        <v>151.15100778555964</v>
      </c>
    </row>
    <row r="50" spans="2:18">
      <c r="B50" s="1035" t="str">
        <f>'Cashflow Statement'!A16</f>
        <v>Co-detailed Other</v>
      </c>
      <c r="C50" s="1037">
        <f>'Cashflow Statement'!Q16</f>
        <v>-821</v>
      </c>
      <c r="D50" s="1037">
        <f>'Cashflow Statement'!R16</f>
        <v>217</v>
      </c>
      <c r="E50" s="1037">
        <f>'Cashflow Statement'!S16</f>
        <v>1150</v>
      </c>
      <c r="F50" s="1037">
        <f>'Cashflow Statement'!T16</f>
        <v>318</v>
      </c>
      <c r="G50" s="1037">
        <f>'Cashflow Statement'!U16</f>
        <v>221</v>
      </c>
      <c r="H50" s="1037">
        <f>'Cashflow Statement'!V16</f>
        <v>-328</v>
      </c>
      <c r="I50" s="1037">
        <f>'Cashflow Statement'!W16</f>
        <v>-707</v>
      </c>
      <c r="J50" s="1037">
        <f>'Cashflow Statement'!X16</f>
        <v>-880</v>
      </c>
      <c r="K50" s="1037">
        <f>'Cashflow Statement'!Y16</f>
        <v>459</v>
      </c>
      <c r="L50" s="1037">
        <f>'Cashflow Statement'!Z16</f>
        <v>-907</v>
      </c>
      <c r="M50" s="1037">
        <f>'Cashflow Statement'!AA16</f>
        <v>0</v>
      </c>
      <c r="N50" s="1037">
        <f>'Cashflow Statement'!AB16</f>
        <v>0</v>
      </c>
      <c r="O50" s="1037">
        <f>'Cashflow Statement'!AC16</f>
        <v>0</v>
      </c>
      <c r="P50" s="1037">
        <f>'Cashflow Statement'!AD16</f>
        <v>0</v>
      </c>
      <c r="Q50" s="1037">
        <f>'Cashflow Statement'!AE16</f>
        <v>0</v>
      </c>
      <c r="R50" s="1037">
        <f>'Cashflow Statement'!AF16</f>
        <v>0</v>
      </c>
    </row>
    <row r="51" spans="2:18">
      <c r="B51" s="1035" t="str">
        <f>'Cashflow Statement'!A18</f>
        <v>Change in Inventory and Work in Progress</v>
      </c>
      <c r="C51" s="1037">
        <f>'Cashflow Statement'!Q18</f>
        <v>-280</v>
      </c>
      <c r="D51" s="1037">
        <f>'Cashflow Statement'!R18</f>
        <v>-347</v>
      </c>
      <c r="E51" s="1037">
        <f>'Cashflow Statement'!S18</f>
        <v>-280</v>
      </c>
      <c r="F51" s="1037">
        <f>'Cashflow Statement'!T18</f>
        <v>-393</v>
      </c>
      <c r="G51" s="1037">
        <f>'Cashflow Statement'!U18</f>
        <v>-590</v>
      </c>
      <c r="H51" s="1037">
        <f>'Cashflow Statement'!V18</f>
        <v>1016</v>
      </c>
      <c r="I51" s="1037">
        <f>'Cashflow Statement'!W18</f>
        <v>296</v>
      </c>
      <c r="J51" s="1037">
        <f>'Cashflow Statement'!X18</f>
        <v>-1545</v>
      </c>
      <c r="K51" s="1037">
        <f>'Cashflow Statement'!Y18</f>
        <v>-1494</v>
      </c>
      <c r="L51" s="1037">
        <f>'Cashflow Statement'!Z18</f>
        <v>-1452</v>
      </c>
      <c r="M51" s="1037">
        <f>'Cashflow Statement'!AA18</f>
        <v>-558.08419376574784</v>
      </c>
      <c r="N51" s="1037">
        <f>'Cashflow Statement'!AB18</f>
        <v>-80.74428495783468</v>
      </c>
      <c r="O51" s="1037">
        <f>'Cashflow Statement'!AC18</f>
        <v>-709.71163943491047</v>
      </c>
      <c r="P51" s="1037">
        <f>'Cashflow Statement'!AD18</f>
        <v>-917.19434762681885</v>
      </c>
      <c r="Q51" s="1037">
        <f>'Cashflow Statement'!AE18</f>
        <v>-714.37537634294131</v>
      </c>
      <c r="R51" s="1037">
        <f>'Cashflow Statement'!AF18</f>
        <v>-675.51688268199905</v>
      </c>
    </row>
    <row r="52" spans="2:18">
      <c r="B52" s="1035" t="str">
        <f>'Cashflow Statement'!A19</f>
        <v>Change in operating receivables and payables</v>
      </c>
      <c r="C52" s="1037">
        <f>'Cashflow Statement'!Q19</f>
        <v>210</v>
      </c>
      <c r="D52" s="1037">
        <f>'Cashflow Statement'!R19</f>
        <v>219</v>
      </c>
      <c r="E52" s="1037">
        <f>'Cashflow Statement'!S19</f>
        <v>890</v>
      </c>
      <c r="F52" s="1037">
        <f>'Cashflow Statement'!T19</f>
        <v>-280</v>
      </c>
      <c r="G52" s="1037">
        <f>'Cashflow Statement'!U19</f>
        <v>-563</v>
      </c>
      <c r="H52" s="1037">
        <f>'Cashflow Statement'!V19</f>
        <v>41</v>
      </c>
      <c r="I52" s="1037">
        <f>'Cashflow Statement'!W19</f>
        <v>-53</v>
      </c>
      <c r="J52" s="1037">
        <f>'Cashflow Statement'!X19</f>
        <v>-81</v>
      </c>
      <c r="K52" s="1037">
        <f>'Cashflow Statement'!Y19</f>
        <v>478</v>
      </c>
      <c r="L52" s="1037">
        <f>'Cashflow Statement'!Z19</f>
        <v>549</v>
      </c>
      <c r="M52" s="1037">
        <f>'Cashflow Statement'!AA19</f>
        <v>692.3288500106828</v>
      </c>
      <c r="N52" s="1037">
        <f>'Cashflow Statement'!AB19</f>
        <v>308.7569237581356</v>
      </c>
      <c r="O52" s="1037">
        <f>'Cashflow Statement'!AC19</f>
        <v>655.12435803016342</v>
      </c>
      <c r="P52" s="1037">
        <f>'Cashflow Statement'!AD19</f>
        <v>415.26462969122076</v>
      </c>
      <c r="Q52" s="1037">
        <f>'Cashflow Statement'!AE19</f>
        <v>269.47840825928142</v>
      </c>
      <c r="R52" s="1037">
        <f>'Cashflow Statement'!AF19</f>
        <v>76.04366612711965</v>
      </c>
    </row>
    <row r="53" spans="2:18">
      <c r="B53" s="1035" t="str">
        <f>'Cashflow Statement'!A20</f>
        <v>Change in contract assets and liabilities</v>
      </c>
      <c r="C53" s="1037">
        <f>'Cashflow Statement'!Q20</f>
        <v>0</v>
      </c>
      <c r="D53" s="1037">
        <f>'Cashflow Statement'!R20</f>
        <v>0</v>
      </c>
      <c r="E53" s="1037">
        <f>'Cashflow Statement'!S20</f>
        <v>96</v>
      </c>
      <c r="F53" s="1037">
        <f>'Cashflow Statement'!T20</f>
        <v>748</v>
      </c>
      <c r="G53" s="1037">
        <f>'Cashflow Statement'!U20</f>
        <v>229</v>
      </c>
      <c r="H53" s="1037">
        <f>'Cashflow Statement'!V20</f>
        <v>-999</v>
      </c>
      <c r="I53" s="1037">
        <f>'Cashflow Statement'!W20</f>
        <v>88</v>
      </c>
      <c r="J53" s="1037">
        <f>'Cashflow Statement'!X20</f>
        <v>2333</v>
      </c>
      <c r="K53" s="1037">
        <f>'Cashflow Statement'!Y20</f>
        <v>1970</v>
      </c>
      <c r="L53" s="1037">
        <f>'Cashflow Statement'!Z20</f>
        <v>915</v>
      </c>
      <c r="M53" s="1037">
        <f>'Cashflow Statement'!AA20</f>
        <v>0</v>
      </c>
      <c r="N53" s="1037">
        <f>'Cashflow Statement'!AB20</f>
        <v>0</v>
      </c>
      <c r="O53" s="1037">
        <f>'Cashflow Statement'!AC20</f>
        <v>0</v>
      </c>
      <c r="P53" s="1037">
        <f>'Cashflow Statement'!AD20</f>
        <v>0</v>
      </c>
      <c r="Q53" s="1037">
        <f>'Cashflow Statement'!AE20</f>
        <v>0</v>
      </c>
      <c r="R53" s="1037">
        <f>'Cashflow Statement'!AF20</f>
        <v>0</v>
      </c>
    </row>
    <row r="54" spans="2:18">
      <c r="B54" s="1035" t="str">
        <f>'Cashflow Statement'!A21</f>
        <v>Change in other receivables and payables</v>
      </c>
      <c r="C54" s="1037">
        <f>'Cashflow Statement'!Q21</f>
        <v>75</v>
      </c>
      <c r="D54" s="1037">
        <f>'Cashflow Statement'!R21</f>
        <v>-40</v>
      </c>
      <c r="E54" s="1037">
        <f>'Cashflow Statement'!S21</f>
        <v>-15</v>
      </c>
      <c r="F54" s="1037">
        <f>'Cashflow Statement'!T21</f>
        <v>-102</v>
      </c>
      <c r="G54" s="1037">
        <f>'Cashflow Statement'!U21</f>
        <v>27</v>
      </c>
      <c r="H54" s="1037">
        <f>'Cashflow Statement'!V21</f>
        <v>-66</v>
      </c>
      <c r="I54" s="1037">
        <f>'Cashflow Statement'!W21</f>
        <v>-81</v>
      </c>
      <c r="J54" s="1037">
        <f>'Cashflow Statement'!X21</f>
        <v>22</v>
      </c>
      <c r="K54" s="1037">
        <f>'Cashflow Statement'!Y21</f>
        <v>-196</v>
      </c>
      <c r="L54" s="1037">
        <f>'Cashflow Statement'!Z21</f>
        <v>-5</v>
      </c>
      <c r="M54" s="1037">
        <f>'Cashflow Statement'!AA21</f>
        <v>0</v>
      </c>
      <c r="N54" s="1037">
        <f>'Cashflow Statement'!AB21</f>
        <v>0</v>
      </c>
      <c r="O54" s="1037">
        <f>'Cashflow Statement'!AC21</f>
        <v>0</v>
      </c>
      <c r="P54" s="1037">
        <f>'Cashflow Statement'!AD21</f>
        <v>0</v>
      </c>
      <c r="Q54" s="1037">
        <f>'Cashflow Statement'!AE21</f>
        <v>0</v>
      </c>
      <c r="R54" s="1037">
        <f>'Cashflow Statement'!AF21</f>
        <v>0</v>
      </c>
    </row>
    <row r="55" spans="2:18">
      <c r="B55" s="1035" t="s">
        <v>776</v>
      </c>
      <c r="C55" s="1037"/>
      <c r="D55" s="1037"/>
      <c r="E55" s="1037"/>
      <c r="F55" s="1037">
        <f>F56-SUM(F41:F54)</f>
        <v>0</v>
      </c>
      <c r="G55" s="1037">
        <f t="shared" ref="G55:Q55" si="5">G56-SUM(G41:G54)</f>
        <v>0</v>
      </c>
      <c r="H55" s="1037">
        <f t="shared" si="5"/>
        <v>0</v>
      </c>
      <c r="I55" s="1037">
        <f t="shared" si="5"/>
        <v>0</v>
      </c>
      <c r="J55" s="1037">
        <f t="shared" si="5"/>
        <v>0</v>
      </c>
      <c r="K55" s="1037">
        <f t="shared" si="5"/>
        <v>0</v>
      </c>
      <c r="L55" s="1037">
        <f t="shared" si="5"/>
        <v>0</v>
      </c>
      <c r="M55" s="1037">
        <f t="shared" si="5"/>
        <v>330</v>
      </c>
      <c r="N55" s="1037">
        <f t="shared" si="5"/>
        <v>-130</v>
      </c>
      <c r="O55" s="1037">
        <f t="shared" si="5"/>
        <v>-200</v>
      </c>
      <c r="P55" s="1037">
        <f t="shared" si="5"/>
        <v>0</v>
      </c>
      <c r="Q55" s="1037">
        <f t="shared" si="5"/>
        <v>0</v>
      </c>
      <c r="R55" s="1037">
        <f t="shared" ref="R55" si="6">R56-SUM(R41:R54)</f>
        <v>0</v>
      </c>
    </row>
    <row r="56" spans="2:18" s="1036" customFormat="1">
      <c r="B56" s="1268" t="str">
        <f>'Cashflow Statement'!A24</f>
        <v>Cash flow from Operations</v>
      </c>
      <c r="C56" s="1269">
        <f>'Cashflow Statement'!Q24</f>
        <v>2631</v>
      </c>
      <c r="D56" s="1269">
        <f>'Cashflow Statement'!R24</f>
        <v>2483</v>
      </c>
      <c r="E56" s="1269">
        <f>'Cashflow Statement'!S24</f>
        <v>2752</v>
      </c>
      <c r="F56" s="1269">
        <f>'Cashflow Statement'!T24</f>
        <v>3071</v>
      </c>
      <c r="G56" s="1269">
        <f>'Cashflow Statement'!U24</f>
        <v>3145</v>
      </c>
      <c r="H56" s="1269">
        <f>'Cashflow Statement'!V24</f>
        <v>1866</v>
      </c>
      <c r="I56" s="1269">
        <f>'Cashflow Statement'!W24</f>
        <v>2436</v>
      </c>
      <c r="J56" s="1269">
        <f>'Cashflow Statement'!X24</f>
        <v>3545</v>
      </c>
      <c r="K56" s="1269">
        <f>'Cashflow Statement'!Y24</f>
        <v>4270</v>
      </c>
      <c r="L56" s="1269">
        <f>'Cashflow Statement'!Z24</f>
        <v>4733</v>
      </c>
      <c r="M56" s="1269">
        <f>'Cashflow Statement'!AA24</f>
        <v>5618.3996852983528</v>
      </c>
      <c r="N56" s="1269">
        <f>'Cashflow Statement'!AB24</f>
        <v>6309.7084706526002</v>
      </c>
      <c r="O56" s="1269">
        <f>'Cashflow Statement'!AC24</f>
        <v>6952.3116278334801</v>
      </c>
      <c r="P56" s="1269">
        <f>'Cashflow Statement'!AD24</f>
        <v>7448.6352241017748</v>
      </c>
      <c r="Q56" s="1269">
        <f>'Cashflow Statement'!AE24</f>
        <v>7959.2339884091671</v>
      </c>
      <c r="R56" s="1269">
        <f>'Cashflow Statement'!AF24</f>
        <v>8271.3615689948329</v>
      </c>
    </row>
    <row r="57" spans="2:18">
      <c r="C57" s="1037"/>
      <c r="D57" s="1037"/>
      <c r="E57" s="1037"/>
      <c r="F57" s="1037"/>
      <c r="G57" s="1037"/>
      <c r="H57" s="1037"/>
      <c r="I57" s="1037"/>
      <c r="J57" s="1037"/>
      <c r="K57" s="1037"/>
      <c r="L57" s="1037"/>
      <c r="M57" s="1037"/>
      <c r="N57" s="1037"/>
      <c r="O57" s="1037"/>
      <c r="P57" s="1037"/>
      <c r="Q57" s="1037"/>
      <c r="R57" s="1037"/>
    </row>
    <row r="58" spans="2:18">
      <c r="B58" s="1035" t="str">
        <f>'Cashflow Statement'!A26</f>
        <v>Purchase of Intangible assets (net of disposals)</v>
      </c>
      <c r="C58" s="1037">
        <f>'Cashflow Statement'!Q26</f>
        <v>-997</v>
      </c>
      <c r="D58" s="1037">
        <f>'Cashflow Statement'!R26</f>
        <v>-324</v>
      </c>
      <c r="E58" s="1037">
        <f>'Cashflow Statement'!S26</f>
        <v>-574</v>
      </c>
      <c r="F58" s="1037">
        <f>'Cashflow Statement'!T26</f>
        <v>-510</v>
      </c>
      <c r="G58" s="1037">
        <f>'Cashflow Statement'!U26</f>
        <v>-467</v>
      </c>
      <c r="H58" s="1037">
        <f>'Cashflow Statement'!V26</f>
        <v>-344</v>
      </c>
      <c r="I58" s="1037">
        <f>'Cashflow Statement'!W26</f>
        <v>-369</v>
      </c>
      <c r="J58" s="1037">
        <f>'Cashflow Statement'!X26</f>
        <v>-381</v>
      </c>
      <c r="K58" s="1037">
        <f>'Cashflow Statement'!Y26</f>
        <v>-502</v>
      </c>
      <c r="L58" s="1037">
        <f>'Cashflow Statement'!Z26</f>
        <v>-500</v>
      </c>
      <c r="M58" s="1037">
        <f>'Cashflow Statement'!AA26</f>
        <v>-550</v>
      </c>
      <c r="N58" s="1037">
        <f>'Cashflow Statement'!AB26</f>
        <v>-550</v>
      </c>
      <c r="O58" s="1037">
        <f>'Cashflow Statement'!AC26</f>
        <v>-550</v>
      </c>
      <c r="P58" s="1037">
        <f>'Cashflow Statement'!AD26</f>
        <v>-550</v>
      </c>
      <c r="Q58" s="1037">
        <f>'Cashflow Statement'!AE26</f>
        <v>-550</v>
      </c>
      <c r="R58" s="1037">
        <f>'Cashflow Statement'!AF26</f>
        <v>-550</v>
      </c>
    </row>
    <row r="59" spans="2:18">
      <c r="B59" s="1035" t="str">
        <f>'Cashflow Statement'!A28</f>
        <v>Purchase of PP&amp;E (net of disposals)</v>
      </c>
      <c r="C59" s="1037">
        <f>'Cashflow Statement'!Q28</f>
        <v>-705</v>
      </c>
      <c r="D59" s="1037">
        <f>'Cashflow Statement'!R28</f>
        <v>-704</v>
      </c>
      <c r="E59" s="1037">
        <f>'Cashflow Statement'!S28</f>
        <v>-740</v>
      </c>
      <c r="F59" s="1037">
        <f>'Cashflow Statement'!T28</f>
        <v>-780</v>
      </c>
      <c r="G59" s="1037">
        <f>'Cashflow Statement'!U28</f>
        <v>-695</v>
      </c>
      <c r="H59" s="1037">
        <f>'Cashflow Statement'!V28</f>
        <v>-449</v>
      </c>
      <c r="I59" s="1037">
        <f>'Cashflow Statement'!W28</f>
        <v>-387</v>
      </c>
      <c r="J59" s="1037">
        <f>'Cashflow Statement'!X28</f>
        <v>-498</v>
      </c>
      <c r="K59" s="1037">
        <f>'Cashflow Statement'!Y28</f>
        <v>-823</v>
      </c>
      <c r="L59" s="1037">
        <f>'Cashflow Statement'!Z28</f>
        <v>-1044</v>
      </c>
      <c r="M59" s="1037">
        <f>'Cashflow Statement'!AA28</f>
        <v>-1549.7983461201693</v>
      </c>
      <c r="N59" s="1037">
        <f>'Cashflow Statement'!AB28</f>
        <v>-1553.4318007587094</v>
      </c>
      <c r="O59" s="1037">
        <f>'Cashflow Statement'!AC28</f>
        <v>-1526.823632399492</v>
      </c>
      <c r="P59" s="1037">
        <f>'Cashflow Statement'!AD28</f>
        <v>-1449.0146582066595</v>
      </c>
      <c r="Q59" s="1037">
        <f>'Cashflow Statement'!AE28</f>
        <v>-1303.0032568404092</v>
      </c>
      <c r="R59" s="1037">
        <f>'Cashflow Statement'!AF28</f>
        <v>-1138.3971010284163</v>
      </c>
    </row>
    <row r="60" spans="2:18">
      <c r="B60" s="1035" t="str">
        <f>'Cashflow Statement'!A30</f>
        <v>Proceeds/(Payments) from Investments</v>
      </c>
      <c r="C60" s="1037">
        <f>'Cashflow Statement'!Q30</f>
        <v>583</v>
      </c>
      <c r="D60" s="1037">
        <f>'Cashflow Statement'!R30</f>
        <v>-810</v>
      </c>
      <c r="E60" s="1037">
        <f>'Cashflow Statement'!S30</f>
        <v>-54</v>
      </c>
      <c r="F60" s="1037">
        <f>'Cashflow Statement'!T30</f>
        <v>-4172</v>
      </c>
      <c r="G60" s="1037">
        <f>'Cashflow Statement'!U30</f>
        <v>-29</v>
      </c>
      <c r="H60" s="1037">
        <f>'Cashflow Statement'!V30</f>
        <v>-21</v>
      </c>
      <c r="I60" s="1037">
        <f>'Cashflow Statement'!W30</f>
        <v>-33</v>
      </c>
      <c r="J60" s="1037">
        <f>'Cashflow Statement'!X30</f>
        <v>-490</v>
      </c>
      <c r="K60" s="1037">
        <f>'Cashflow Statement'!Y30</f>
        <v>-328</v>
      </c>
      <c r="L60" s="1037">
        <f>'Cashflow Statement'!Z30</f>
        <v>-344</v>
      </c>
      <c r="M60" s="1037">
        <f>'Cashflow Statement'!AA30</f>
        <v>-344</v>
      </c>
      <c r="N60" s="1037">
        <f>'Cashflow Statement'!AB30</f>
        <v>-344</v>
      </c>
      <c r="O60" s="1037">
        <f>'Cashflow Statement'!AC30</f>
        <v>-344</v>
      </c>
      <c r="P60" s="1037">
        <f>'Cashflow Statement'!AD30</f>
        <v>-344</v>
      </c>
      <c r="Q60" s="1037">
        <f>'Cashflow Statement'!AE30</f>
        <v>-344</v>
      </c>
      <c r="R60" s="1037">
        <f>'Cashflow Statement'!AF30</f>
        <v>-344</v>
      </c>
    </row>
    <row r="61" spans="2:18">
      <c r="B61" s="1035" t="str">
        <f>'Cashflow Statement'!A31</f>
        <v>of which additions to PP&amp;E</v>
      </c>
      <c r="C61" s="1037">
        <f>'Cashflow Statement'!Q31</f>
        <v>0</v>
      </c>
      <c r="D61" s="1037">
        <f>'Cashflow Statement'!R31</f>
        <v>-405</v>
      </c>
      <c r="E61" s="1037">
        <f>'Cashflow Statement'!S31</f>
        <v>-27</v>
      </c>
      <c r="F61" s="1037">
        <f>'Cashflow Statement'!T31</f>
        <v>-2086</v>
      </c>
      <c r="G61" s="1037">
        <f>'Cashflow Statement'!U31</f>
        <v>-14.5</v>
      </c>
      <c r="H61" s="1037">
        <f>'Cashflow Statement'!V31</f>
        <v>-10.5</v>
      </c>
      <c r="I61" s="1037">
        <f>'Cashflow Statement'!W31</f>
        <v>-16.5</v>
      </c>
      <c r="J61" s="1037">
        <f>'Cashflow Statement'!X31</f>
        <v>-245</v>
      </c>
      <c r="K61" s="1037">
        <f>'Cashflow Statement'!Y31</f>
        <v>-164</v>
      </c>
      <c r="L61" s="1037">
        <f>'Cashflow Statement'!Z31</f>
        <v>-172</v>
      </c>
      <c r="M61" s="1037">
        <f>'Cashflow Statement'!AA31</f>
        <v>-172</v>
      </c>
      <c r="N61" s="1037">
        <f>'Cashflow Statement'!AB31</f>
        <v>-172</v>
      </c>
      <c r="O61" s="1037">
        <f>'Cashflow Statement'!AC31</f>
        <v>-172</v>
      </c>
      <c r="P61" s="1037">
        <f>'Cashflow Statement'!AD31</f>
        <v>-172</v>
      </c>
      <c r="Q61" s="1037">
        <f>'Cashflow Statement'!AE31</f>
        <v>-172</v>
      </c>
      <c r="R61" s="1037">
        <f>'Cashflow Statement'!AF31</f>
        <v>-172</v>
      </c>
    </row>
    <row r="62" spans="2:18">
      <c r="B62" s="1035" t="str">
        <f>'Cashflow Statement'!A32</f>
        <v>of which additions to Intangibles (Goodwill)</v>
      </c>
      <c r="C62" s="1037">
        <f>'Cashflow Statement'!Q32</f>
        <v>0</v>
      </c>
      <c r="D62" s="1037">
        <f>'Cashflow Statement'!R32</f>
        <v>-405</v>
      </c>
      <c r="E62" s="1037">
        <f>'Cashflow Statement'!S32</f>
        <v>-27</v>
      </c>
      <c r="F62" s="1037">
        <f>'Cashflow Statement'!T32</f>
        <v>-2086</v>
      </c>
      <c r="G62" s="1037">
        <f>'Cashflow Statement'!U32</f>
        <v>-14.5</v>
      </c>
      <c r="H62" s="1037">
        <f>'Cashflow Statement'!V32</f>
        <v>-10.5</v>
      </c>
      <c r="I62" s="1037">
        <f>'Cashflow Statement'!W32</f>
        <v>-16.5</v>
      </c>
      <c r="J62" s="1037">
        <f>'Cashflow Statement'!X32</f>
        <v>-245</v>
      </c>
      <c r="K62" s="1037">
        <f>'Cashflow Statement'!Y32</f>
        <v>-164</v>
      </c>
      <c r="L62" s="1037">
        <f>'Cashflow Statement'!Z32</f>
        <v>-172</v>
      </c>
      <c r="M62" s="1037">
        <f>'Cashflow Statement'!AA32</f>
        <v>-172</v>
      </c>
      <c r="N62" s="1037">
        <f>'Cashflow Statement'!AB32</f>
        <v>-172</v>
      </c>
      <c r="O62" s="1037">
        <f>'Cashflow Statement'!AC32</f>
        <v>-172</v>
      </c>
      <c r="P62" s="1037">
        <f>'Cashflow Statement'!AD32</f>
        <v>-172</v>
      </c>
      <c r="Q62" s="1037">
        <f>'Cashflow Statement'!AE32</f>
        <v>-172</v>
      </c>
      <c r="R62" s="1037">
        <f>'Cashflow Statement'!AF32</f>
        <v>-172</v>
      </c>
    </row>
    <row r="63" spans="2:18">
      <c r="B63" s="1035" t="str">
        <f>'Cashflow Statement'!A33</f>
        <v>Proceeds/(Payments) from Financial Assets</v>
      </c>
      <c r="C63" s="1037">
        <f>'Cashflow Statement'!Q33</f>
        <v>-61</v>
      </c>
      <c r="D63" s="1037">
        <f>'Cashflow Statement'!R33</f>
        <v>5</v>
      </c>
      <c r="E63" s="1037">
        <f>'Cashflow Statement'!S33</f>
        <v>-1974</v>
      </c>
      <c r="F63" s="1037">
        <f>'Cashflow Statement'!T33</f>
        <v>1950</v>
      </c>
      <c r="G63" s="1037">
        <f>'Cashflow Statement'!U33</f>
        <v>39</v>
      </c>
      <c r="H63" s="1037">
        <f>'Cashflow Statement'!V33</f>
        <v>14</v>
      </c>
      <c r="I63" s="1037">
        <f>'Cashflow Statement'!W33</f>
        <v>-212</v>
      </c>
      <c r="J63" s="1037">
        <f>'Cashflow Statement'!X33</f>
        <v>-167</v>
      </c>
      <c r="K63" s="1037">
        <f>'Cashflow Statement'!Y33</f>
        <v>-202</v>
      </c>
      <c r="L63" s="1037">
        <f>'Cashflow Statement'!Z33</f>
        <v>-73</v>
      </c>
      <c r="M63" s="1037">
        <f>'Cashflow Statement'!AA33</f>
        <v>0</v>
      </c>
      <c r="N63" s="1037">
        <f>'Cashflow Statement'!AB33</f>
        <v>0</v>
      </c>
      <c r="O63" s="1037">
        <f>'Cashflow Statement'!AC33</f>
        <v>0</v>
      </c>
      <c r="P63" s="1037">
        <f>'Cashflow Statement'!AD33</f>
        <v>0</v>
      </c>
      <c r="Q63" s="1037">
        <f>'Cashflow Statement'!AE33</f>
        <v>0</v>
      </c>
      <c r="R63" s="1037">
        <f>'Cashflow Statement'!AF33</f>
        <v>0</v>
      </c>
    </row>
    <row r="64" spans="2:18">
      <c r="B64" s="1035" t="str">
        <f>'Cashflow Statement'!A34</f>
        <v>Other</v>
      </c>
      <c r="C64" s="1037">
        <f>'Cashflow Statement'!Q34</f>
        <v>0</v>
      </c>
      <c r="D64" s="1037">
        <f>'Cashflow Statement'!R34</f>
        <v>-362</v>
      </c>
      <c r="E64" s="1037">
        <f>'Cashflow Statement'!S34</f>
        <v>3060</v>
      </c>
      <c r="F64" s="1037">
        <f>F65-SUM(F58:F63)</f>
        <v>4190</v>
      </c>
      <c r="G64" s="1037">
        <f t="shared" ref="G64:Q64" si="7">G65-SUM(G58:G63)</f>
        <v>76</v>
      </c>
      <c r="H64" s="1037">
        <f t="shared" si="7"/>
        <v>22</v>
      </c>
      <c r="I64" s="1037">
        <f t="shared" si="7"/>
        <v>296</v>
      </c>
      <c r="J64" s="1037">
        <f t="shared" si="7"/>
        <v>738</v>
      </c>
      <c r="K64" s="1037">
        <f t="shared" si="7"/>
        <v>479</v>
      </c>
      <c r="L64" s="1037">
        <f t="shared" si="7"/>
        <v>457</v>
      </c>
      <c r="M64" s="1037">
        <f t="shared" si="7"/>
        <v>344</v>
      </c>
      <c r="N64" s="1037">
        <f t="shared" si="7"/>
        <v>344</v>
      </c>
      <c r="O64" s="1037">
        <f t="shared" si="7"/>
        <v>344</v>
      </c>
      <c r="P64" s="1037">
        <f t="shared" si="7"/>
        <v>344</v>
      </c>
      <c r="Q64" s="1037">
        <f t="shared" si="7"/>
        <v>344</v>
      </c>
      <c r="R64" s="1037">
        <f t="shared" ref="R64" si="8">R65-SUM(R58:R63)</f>
        <v>344</v>
      </c>
    </row>
    <row r="65" spans="2:18" s="1036" customFormat="1">
      <c r="B65" s="1268" t="str">
        <f>'Cashflow Statement'!A35</f>
        <v>Cash flow from Investing</v>
      </c>
      <c r="C65" s="1269">
        <f>'Cashflow Statement'!Q35</f>
        <v>-1180</v>
      </c>
      <c r="D65" s="1269">
        <f>'Cashflow Statement'!R35</f>
        <v>-2195</v>
      </c>
      <c r="E65" s="1269">
        <f>'Cashflow Statement'!S35</f>
        <v>-282</v>
      </c>
      <c r="F65" s="1269">
        <f>'Cashflow Statement'!T35</f>
        <v>-3494</v>
      </c>
      <c r="G65" s="1269">
        <f>'Cashflow Statement'!U35</f>
        <v>-1105</v>
      </c>
      <c r="H65" s="1269">
        <f>'Cashflow Statement'!V35</f>
        <v>-799</v>
      </c>
      <c r="I65" s="1269">
        <f>'Cashflow Statement'!W35</f>
        <v>-738</v>
      </c>
      <c r="J65" s="1269">
        <f>'Cashflow Statement'!X35</f>
        <v>-1288</v>
      </c>
      <c r="K65" s="1269">
        <f>'Cashflow Statement'!Y35</f>
        <v>-1704</v>
      </c>
      <c r="L65" s="1269">
        <f>'Cashflow Statement'!Z35</f>
        <v>-1848</v>
      </c>
      <c r="M65" s="1269">
        <f>'Cashflow Statement'!AA35</f>
        <v>-2443.7983461201693</v>
      </c>
      <c r="N65" s="1269">
        <f>'Cashflow Statement'!AB35</f>
        <v>-2447.4318007587094</v>
      </c>
      <c r="O65" s="1269">
        <f>'Cashflow Statement'!AC35</f>
        <v>-2420.823632399492</v>
      </c>
      <c r="P65" s="1269">
        <f>'Cashflow Statement'!AD35</f>
        <v>-2343.0146582066595</v>
      </c>
      <c r="Q65" s="1269">
        <f>'Cashflow Statement'!AE35</f>
        <v>-2197.0032568404094</v>
      </c>
      <c r="R65" s="1269">
        <f>'Cashflow Statement'!AF35</f>
        <v>-2032.3971010284163</v>
      </c>
    </row>
    <row r="66" spans="2:18">
      <c r="C66" s="1037"/>
      <c r="D66" s="1037"/>
      <c r="E66" s="1037"/>
      <c r="F66" s="1037"/>
      <c r="G66" s="1037"/>
      <c r="H66" s="1037"/>
      <c r="I66" s="1037"/>
      <c r="J66" s="1037"/>
      <c r="K66" s="1037"/>
      <c r="L66" s="1037"/>
      <c r="M66" s="1037"/>
      <c r="N66" s="1037"/>
      <c r="O66" s="1037"/>
      <c r="P66" s="1037"/>
      <c r="Q66" s="1037"/>
      <c r="R66" s="1037"/>
    </row>
    <row r="67" spans="2:18">
      <c r="B67" s="1035" t="str">
        <f>'Cashflow Statement'!A37</f>
        <v>Change in Share Capital</v>
      </c>
      <c r="C67" s="1037">
        <f>'Cashflow Statement'!Q37</f>
        <v>-5</v>
      </c>
      <c r="D67" s="1037">
        <f>'Cashflow Statement'!R37</f>
        <v>-9</v>
      </c>
      <c r="E67" s="1037">
        <f>'Cashflow Statement'!S37</f>
        <v>-4</v>
      </c>
      <c r="F67" s="1037">
        <f>'Cashflow Statement'!T37</f>
        <v>-1</v>
      </c>
      <c r="G67" s="1037">
        <f>'Cashflow Statement'!U37</f>
        <v>-7</v>
      </c>
      <c r="H67" s="1037">
        <f>'Cashflow Statement'!V37</f>
        <v>0</v>
      </c>
      <c r="I67" s="1037">
        <f>'Cashflow Statement'!W37</f>
        <v>1</v>
      </c>
      <c r="J67" s="1037">
        <f>'Cashflow Statement'!X37</f>
        <v>0</v>
      </c>
      <c r="K67" s="1037">
        <f>'Cashflow Statement'!Y37</f>
        <v>2</v>
      </c>
      <c r="L67" s="1037">
        <f>'Cashflow Statement'!Z37</f>
        <v>0</v>
      </c>
      <c r="M67" s="1037">
        <f>'Cashflow Statement'!AA37</f>
        <v>0</v>
      </c>
      <c r="N67" s="1037">
        <f>'Cashflow Statement'!AB37</f>
        <v>0</v>
      </c>
      <c r="O67" s="1037">
        <f>'Cashflow Statement'!AC37</f>
        <v>0</v>
      </c>
      <c r="P67" s="1037">
        <f>'Cashflow Statement'!AD37</f>
        <v>0</v>
      </c>
      <c r="Q67" s="1037">
        <f>'Cashflow Statement'!AE37</f>
        <v>0</v>
      </c>
      <c r="R67" s="1037">
        <f>'Cashflow Statement'!AF37</f>
        <v>0</v>
      </c>
    </row>
    <row r="68" spans="2:18">
      <c r="B68" s="1035" t="str">
        <f>'Cashflow Statement'!A38</f>
        <v>Acquisitions and disposals of treasury shares</v>
      </c>
      <c r="C68" s="1037">
        <f>'Cashflow Statement'!Q38</f>
        <v>0</v>
      </c>
      <c r="D68" s="1037">
        <f>'Cashflow Statement'!R38</f>
        <v>-38</v>
      </c>
      <c r="E68" s="1037">
        <f>'Cashflow Statement'!S38</f>
        <v>-449</v>
      </c>
      <c r="F68" s="1037">
        <f>'Cashflow Statement'!T38</f>
        <v>-539</v>
      </c>
      <c r="G68" s="1037">
        <f>'Cashflow Statement'!U38</f>
        <v>-1299</v>
      </c>
      <c r="H68" s="1037">
        <f>'Cashflow Statement'!V38</f>
        <v>96</v>
      </c>
      <c r="I68" s="1037">
        <f>'Cashflow Statement'!W38</f>
        <v>-73</v>
      </c>
      <c r="J68" s="1037">
        <f>'Cashflow Statement'!X38</f>
        <v>-270</v>
      </c>
      <c r="K68" s="1037">
        <f>'Cashflow Statement'!Y38</f>
        <v>-1535</v>
      </c>
      <c r="L68" s="1037">
        <f>'Cashflow Statement'!Z38</f>
        <v>-1320</v>
      </c>
      <c r="M68" s="1037">
        <f>'Cashflow Statement'!AA38</f>
        <v>0</v>
      </c>
      <c r="N68" s="1037">
        <f>'Cashflow Statement'!AB38</f>
        <v>0</v>
      </c>
      <c r="O68" s="1037">
        <f>'Cashflow Statement'!AC38</f>
        <v>0</v>
      </c>
      <c r="P68" s="1037">
        <f>'Cashflow Statement'!AD38</f>
        <v>0</v>
      </c>
      <c r="Q68" s="1037">
        <f>'Cashflow Statement'!AE38</f>
        <v>0</v>
      </c>
      <c r="R68" s="1037">
        <f>'Cashflow Statement'!AF38</f>
        <v>0</v>
      </c>
    </row>
    <row r="69" spans="2:18">
      <c r="B69" s="1035" t="str">
        <f>'Cashflow Statement'!A39</f>
        <v>Repayment of borrowings and long-term debt</v>
      </c>
      <c r="C69" s="1037">
        <f>'Cashflow Statement'!Q39</f>
        <v>-79</v>
      </c>
      <c r="D69" s="1037">
        <f>'Cashflow Statement'!R39</f>
        <v>-73</v>
      </c>
      <c r="E69" s="1037">
        <f>'Cashflow Statement'!S39</f>
        <v>-66</v>
      </c>
      <c r="F69" s="1037">
        <f>'Cashflow Statement'!T39</f>
        <v>-1895</v>
      </c>
      <c r="G69" s="1037">
        <f>'Cashflow Statement'!U39</f>
        <v>-875</v>
      </c>
      <c r="H69" s="1037">
        <f>'Cashflow Statement'!V39</f>
        <v>-778</v>
      </c>
      <c r="I69" s="1037">
        <f>'Cashflow Statement'!W39</f>
        <v>-1367</v>
      </c>
      <c r="J69" s="1037">
        <f>'Cashflow Statement'!X39</f>
        <v>-654</v>
      </c>
      <c r="K69" s="1037">
        <f>'Cashflow Statement'!Y39</f>
        <v>-311</v>
      </c>
      <c r="L69" s="1037">
        <f>'Cashflow Statement'!Z39</f>
        <v>-863</v>
      </c>
      <c r="M69" s="1037">
        <f>'Cashflow Statement'!AA39</f>
        <v>0</v>
      </c>
      <c r="N69" s="1037">
        <f>'Cashflow Statement'!AB39</f>
        <v>0</v>
      </c>
      <c r="O69" s="1037">
        <f>'Cashflow Statement'!AC39</f>
        <v>0</v>
      </c>
      <c r="P69" s="1037">
        <f>'Cashflow Statement'!AD39</f>
        <v>0</v>
      </c>
      <c r="Q69" s="1037">
        <f>'Cashflow Statement'!AE39</f>
        <v>0</v>
      </c>
      <c r="R69" s="1037">
        <f>'Cashflow Statement'!AF39</f>
        <v>0</v>
      </c>
    </row>
    <row r="70" spans="2:18">
      <c r="B70" s="1035" t="str">
        <f>'Cashflow Statement'!A40</f>
        <v>Increase in borrowings</v>
      </c>
      <c r="C70" s="1037">
        <f>'Cashflow Statement'!Q40</f>
        <v>12</v>
      </c>
      <c r="D70" s="1037">
        <f>'Cashflow Statement'!R40</f>
        <v>682</v>
      </c>
      <c r="E70" s="1037">
        <f>'Cashflow Statement'!S40</f>
        <v>1058</v>
      </c>
      <c r="F70" s="1037">
        <f>'Cashflow Statement'!T40</f>
        <v>1480</v>
      </c>
      <c r="G70" s="1037">
        <f>'Cashflow Statement'!U40</f>
        <v>24</v>
      </c>
      <c r="H70" s="1037">
        <f>'Cashflow Statement'!V40</f>
        <v>1595</v>
      </c>
      <c r="I70" s="1037">
        <f>'Cashflow Statement'!W40</f>
        <v>2146</v>
      </c>
      <c r="J70" s="1037">
        <f>'Cashflow Statement'!X40</f>
        <v>510</v>
      </c>
      <c r="K70" s="1037">
        <f>'Cashflow Statement'!Y40</f>
        <v>17</v>
      </c>
      <c r="L70" s="1037">
        <f>'Cashflow Statement'!Z40</f>
        <v>56</v>
      </c>
      <c r="M70" s="1037">
        <f>'Cashflow Statement'!AA40</f>
        <v>0</v>
      </c>
      <c r="N70" s="1037">
        <f>'Cashflow Statement'!AB40</f>
        <v>0</v>
      </c>
      <c r="O70" s="1037">
        <f>'Cashflow Statement'!AC40</f>
        <v>0</v>
      </c>
      <c r="P70" s="1037">
        <f>'Cashflow Statement'!AD40</f>
        <v>0</v>
      </c>
      <c r="Q70" s="1037">
        <f>'Cashflow Statement'!AE40</f>
        <v>0</v>
      </c>
      <c r="R70" s="1037">
        <f>'Cashflow Statement'!AF40</f>
        <v>0</v>
      </c>
    </row>
    <row r="71" spans="2:18">
      <c r="B71" s="1035" t="str">
        <f>'Cashflow Statement'!A41</f>
        <v>Change in repayable advances</v>
      </c>
      <c r="C71" s="1037">
        <f>'Cashflow Statement'!Q41</f>
        <v>-14</v>
      </c>
      <c r="D71" s="1037">
        <f>'Cashflow Statement'!R41</f>
        <v>-24</v>
      </c>
      <c r="E71" s="1037">
        <f>'Cashflow Statement'!S41</f>
        <v>-25</v>
      </c>
      <c r="F71" s="1037">
        <f>'Cashflow Statement'!T41</f>
        <v>-10</v>
      </c>
      <c r="G71" s="1037">
        <f>'Cashflow Statement'!U41</f>
        <v>-27</v>
      </c>
      <c r="H71" s="1037">
        <f>'Cashflow Statement'!V41</f>
        <v>-10</v>
      </c>
      <c r="I71" s="1037">
        <f>'Cashflow Statement'!W41</f>
        <v>-12</v>
      </c>
      <c r="J71" s="1037">
        <f>'Cashflow Statement'!X41</f>
        <v>-17</v>
      </c>
      <c r="K71" s="1037">
        <f>'Cashflow Statement'!Y41</f>
        <v>-5</v>
      </c>
      <c r="L71" s="1037">
        <f>'Cashflow Statement'!Z41</f>
        <v>-21</v>
      </c>
      <c r="M71" s="1037">
        <f>'Cashflow Statement'!AA41</f>
        <v>0</v>
      </c>
      <c r="N71" s="1037">
        <f>'Cashflow Statement'!AB41</f>
        <v>0</v>
      </c>
      <c r="O71" s="1037">
        <f>'Cashflow Statement'!AC41</f>
        <v>0</v>
      </c>
      <c r="P71" s="1037">
        <f>'Cashflow Statement'!AD41</f>
        <v>0</v>
      </c>
      <c r="Q71" s="1037">
        <f>'Cashflow Statement'!AE41</f>
        <v>0</v>
      </c>
      <c r="R71" s="1037">
        <f>'Cashflow Statement'!AF41</f>
        <v>0</v>
      </c>
    </row>
    <row r="72" spans="2:18">
      <c r="B72" s="1035" t="str">
        <f>'Cashflow Statement'!A42</f>
        <v>Change in short term borrowings</v>
      </c>
      <c r="C72" s="1037">
        <f>'Cashflow Statement'!Q42</f>
        <v>-631</v>
      </c>
      <c r="D72" s="1037">
        <f>'Cashflow Statement'!R42</f>
        <v>10</v>
      </c>
      <c r="E72" s="1037">
        <f>'Cashflow Statement'!S42</f>
        <v>449</v>
      </c>
      <c r="F72" s="1037">
        <f>'Cashflow Statement'!T42</f>
        <v>-472</v>
      </c>
      <c r="G72" s="1037">
        <f>'Cashflow Statement'!U42</f>
        <v>1261</v>
      </c>
      <c r="H72" s="1037">
        <f>'Cashflow Statement'!V42</f>
        <v>-831</v>
      </c>
      <c r="I72" s="1037">
        <f>'Cashflow Statement'!W42</f>
        <v>-775</v>
      </c>
      <c r="J72" s="1037">
        <f>'Cashflow Statement'!X42</f>
        <v>-159</v>
      </c>
      <c r="K72" s="1037">
        <f>'Cashflow Statement'!Y42</f>
        <v>-161</v>
      </c>
      <c r="L72" s="1037">
        <f>'Cashflow Statement'!Z42</f>
        <v>45</v>
      </c>
      <c r="M72" s="1037">
        <f>'Cashflow Statement'!AA42</f>
        <v>0</v>
      </c>
      <c r="N72" s="1037">
        <f>'Cashflow Statement'!AB42</f>
        <v>0</v>
      </c>
      <c r="O72" s="1037">
        <f>'Cashflow Statement'!AC42</f>
        <v>0</v>
      </c>
      <c r="P72" s="1037">
        <f>'Cashflow Statement'!AD42</f>
        <v>0</v>
      </c>
      <c r="Q72" s="1037">
        <f>'Cashflow Statement'!AE42</f>
        <v>0</v>
      </c>
      <c r="R72" s="1037">
        <f>'Cashflow Statement'!AF42</f>
        <v>0</v>
      </c>
    </row>
    <row r="73" spans="2:18">
      <c r="B73" s="1035" t="str">
        <f>'Cashflow Statement'!A43</f>
        <v>Dividends Paid</v>
      </c>
      <c r="C73" s="1037">
        <f>'Cashflow Statement'!Q43</f>
        <v>-517</v>
      </c>
      <c r="D73" s="1037">
        <f>'Cashflow Statement'!R43</f>
        <v>-612</v>
      </c>
      <c r="E73" s="1037">
        <f>'Cashflow Statement'!S43</f>
        <v>-340</v>
      </c>
      <c r="F73" s="1037">
        <f>'Cashflow Statement'!T43</f>
        <v>-695</v>
      </c>
      <c r="G73" s="1037">
        <f>'Cashflow Statement'!U43</f>
        <v>-785</v>
      </c>
      <c r="H73" s="1037">
        <f>'Cashflow Statement'!V43</f>
        <v>0</v>
      </c>
      <c r="I73" s="1037">
        <f>'Cashflow Statement'!W43</f>
        <v>-183</v>
      </c>
      <c r="J73" s="1037">
        <f>'Cashflow Statement'!X43</f>
        <v>-213</v>
      </c>
      <c r="K73" s="1037">
        <f>'Cashflow Statement'!Y43</f>
        <v>-564</v>
      </c>
      <c r="L73" s="1037">
        <f>'Cashflow Statement'!Z43</f>
        <v>-911</v>
      </c>
      <c r="M73" s="1037">
        <f>'Cashflow Statement'!AA43</f>
        <v>-1206.8336370000002</v>
      </c>
      <c r="N73" s="1037">
        <f>'Cashflow Statement'!AB43</f>
        <v>-1398.5537395733497</v>
      </c>
      <c r="O73" s="1037">
        <f>'Cashflow Statement'!AC43</f>
        <v>-1796.7173534383026</v>
      </c>
      <c r="P73" s="1037">
        <f>'Cashflow Statement'!AD43</f>
        <v>-2045.9687600249188</v>
      </c>
      <c r="Q73" s="1037">
        <f>'Cashflow Statement'!AE43</f>
        <v>-2276.7834805811317</v>
      </c>
      <c r="R73" s="1037">
        <f>'Cashflow Statement'!AF43</f>
        <v>-2416.1772413240215</v>
      </c>
    </row>
    <row r="74" spans="2:18">
      <c r="B74" s="1035" t="str">
        <f>'Cashflow Statement'!A47</f>
        <v>Share Buybacks</v>
      </c>
      <c r="C74" s="1037">
        <f>'Cashflow Statement'!Q47</f>
        <v>0</v>
      </c>
      <c r="D74" s="1037">
        <f>'Cashflow Statement'!R47</f>
        <v>0</v>
      </c>
      <c r="E74" s="1037">
        <f>'Cashflow Statement'!S47</f>
        <v>0</v>
      </c>
      <c r="F74" s="1037">
        <f>'Cashflow Statement'!T47</f>
        <v>0</v>
      </c>
      <c r="G74" s="1037">
        <f>'Cashflow Statement'!U47</f>
        <v>0</v>
      </c>
      <c r="H74" s="1037">
        <f>'Cashflow Statement'!V47</f>
        <v>0</v>
      </c>
      <c r="I74" s="1037">
        <f>'Cashflow Statement'!W47</f>
        <v>0</v>
      </c>
      <c r="J74" s="1037">
        <f>'Cashflow Statement'!X47</f>
        <v>0</v>
      </c>
      <c r="K74" s="1037">
        <f>'Cashflow Statement'!Y47</f>
        <v>0</v>
      </c>
      <c r="L74" s="1037">
        <f>'Cashflow Statement'!Z47</f>
        <v>0</v>
      </c>
      <c r="M74" s="1037">
        <f>'Cashflow Statement'!AA47</f>
        <v>-1250</v>
      </c>
      <c r="N74" s="1037">
        <f>'Cashflow Statement'!AB47</f>
        <v>-1250</v>
      </c>
      <c r="O74" s="1037">
        <f>'Cashflow Statement'!AC47</f>
        <v>-1250</v>
      </c>
      <c r="P74" s="1037">
        <f>'Cashflow Statement'!AD47</f>
        <v>-1250</v>
      </c>
      <c r="Q74" s="1037">
        <f>'Cashflow Statement'!AE47</f>
        <v>0</v>
      </c>
      <c r="R74" s="1037">
        <f>'Cashflow Statement'!AF47</f>
        <v>0</v>
      </c>
    </row>
    <row r="75" spans="2:18">
      <c r="B75" s="1035" t="str">
        <f>'Cashflow Statement'!A48</f>
        <v>Other</v>
      </c>
      <c r="C75" s="1037">
        <f>'Cashflow Statement'!Q48</f>
        <v>0</v>
      </c>
      <c r="D75" s="1037">
        <f>'Cashflow Statement'!R48</f>
        <v>0</v>
      </c>
      <c r="E75" s="1037">
        <f>'Cashflow Statement'!S48</f>
        <v>0</v>
      </c>
      <c r="F75" s="1037">
        <f>F76-SUM(F67:F74)</f>
        <v>-26</v>
      </c>
      <c r="G75" s="1037">
        <f t="shared" ref="G75:Q75" si="9">G76-SUM(G67:G74)</f>
        <v>-32</v>
      </c>
      <c r="H75" s="1037">
        <f t="shared" si="9"/>
        <v>-4</v>
      </c>
      <c r="I75" s="1037">
        <f t="shared" si="9"/>
        <v>-5</v>
      </c>
      <c r="J75" s="1037">
        <f t="shared" si="9"/>
        <v>-12</v>
      </c>
      <c r="K75" s="1037">
        <f t="shared" si="9"/>
        <v>-19</v>
      </c>
      <c r="L75" s="1037">
        <f t="shared" si="9"/>
        <v>-59</v>
      </c>
      <c r="M75" s="1037">
        <f t="shared" si="9"/>
        <v>0</v>
      </c>
      <c r="N75" s="1037">
        <f t="shared" si="9"/>
        <v>0</v>
      </c>
      <c r="O75" s="1037">
        <f t="shared" si="9"/>
        <v>0</v>
      </c>
      <c r="P75" s="1037">
        <f t="shared" si="9"/>
        <v>0</v>
      </c>
      <c r="Q75" s="1037">
        <f t="shared" si="9"/>
        <v>0</v>
      </c>
      <c r="R75" s="1037">
        <f t="shared" ref="R75" si="10">R76-SUM(R67:R74)</f>
        <v>0</v>
      </c>
    </row>
    <row r="76" spans="2:18" s="1036" customFormat="1">
      <c r="B76" s="1268" t="str">
        <f>'Cashflow Statement'!A49</f>
        <v>Cash flow from Financing</v>
      </c>
      <c r="C76" s="1269">
        <f>'Cashflow Statement'!Q49</f>
        <v>-1257</v>
      </c>
      <c r="D76" s="1269">
        <f>'Cashflow Statement'!R49</f>
        <v>-94</v>
      </c>
      <c r="E76" s="1269">
        <f>'Cashflow Statement'!S49</f>
        <v>591</v>
      </c>
      <c r="F76" s="1269">
        <f>'Cashflow Statement'!T49</f>
        <v>-2158</v>
      </c>
      <c r="G76" s="1269">
        <f>'Cashflow Statement'!U49</f>
        <v>-1740</v>
      </c>
      <c r="H76" s="1269">
        <f>'Cashflow Statement'!V49</f>
        <v>68</v>
      </c>
      <c r="I76" s="1269">
        <f>'Cashflow Statement'!W49</f>
        <v>-268</v>
      </c>
      <c r="J76" s="1269">
        <f>'Cashflow Statement'!X49</f>
        <v>-815</v>
      </c>
      <c r="K76" s="1269">
        <f>'Cashflow Statement'!Y49</f>
        <v>-2576</v>
      </c>
      <c r="L76" s="1269">
        <f>'Cashflow Statement'!Z49</f>
        <v>-3073</v>
      </c>
      <c r="M76" s="1269">
        <f>'Cashflow Statement'!AA49</f>
        <v>-2456.8336370000002</v>
      </c>
      <c r="N76" s="1269">
        <f>'Cashflow Statement'!AB49</f>
        <v>-2648.55373957335</v>
      </c>
      <c r="O76" s="1269">
        <f>'Cashflow Statement'!AC49</f>
        <v>-3046.7173534383028</v>
      </c>
      <c r="P76" s="1269">
        <f>'Cashflow Statement'!AD49</f>
        <v>-3295.968760024919</v>
      </c>
      <c r="Q76" s="1269">
        <f>'Cashflow Statement'!AE49</f>
        <v>-2276.7834805811317</v>
      </c>
      <c r="R76" s="1269">
        <f>'Cashflow Statement'!AF49</f>
        <v>-2416.1772413240215</v>
      </c>
    </row>
    <row r="77" spans="2:18">
      <c r="C77" s="1037"/>
      <c r="D77" s="1037"/>
      <c r="E77" s="1037"/>
      <c r="F77" s="1037"/>
      <c r="G77" s="1037"/>
      <c r="H77" s="1037"/>
      <c r="I77" s="1037"/>
      <c r="J77" s="1037"/>
      <c r="K77" s="1037"/>
      <c r="L77" s="1037"/>
      <c r="M77" s="1037"/>
      <c r="N77" s="1037"/>
      <c r="O77" s="1037"/>
      <c r="P77" s="1037"/>
      <c r="Q77" s="1037"/>
      <c r="R77" s="1037"/>
    </row>
    <row r="78" spans="2:18" s="1036" customFormat="1">
      <c r="B78" s="1036" t="str">
        <f>'Cashflow Statement'!A51</f>
        <v>Change in Cash</v>
      </c>
      <c r="C78" s="1267">
        <f>'Cashflow Statement'!Q51</f>
        <v>206</v>
      </c>
      <c r="D78" s="1267">
        <f>'Cashflow Statement'!R51</f>
        <v>246</v>
      </c>
      <c r="E78" s="1267">
        <f>'Cashflow Statement'!S51</f>
        <v>2825</v>
      </c>
      <c r="F78" s="1267">
        <f>'Cashflow Statement'!T51</f>
        <v>-2581</v>
      </c>
      <c r="G78" s="1267">
        <f>'Cashflow Statement'!U51</f>
        <v>300</v>
      </c>
      <c r="H78" s="1267">
        <f>'Cashflow Statement'!V51</f>
        <v>1135</v>
      </c>
      <c r="I78" s="1267">
        <f>'Cashflow Statement'!W51</f>
        <v>1430</v>
      </c>
      <c r="J78" s="1267">
        <f>'Cashflow Statement'!X51</f>
        <v>1442</v>
      </c>
      <c r="K78" s="1267">
        <f>'Cashflow Statement'!Y51</f>
        <v>-10</v>
      </c>
      <c r="L78" s="1267">
        <f>'Cashflow Statement'!Z51</f>
        <v>-188</v>
      </c>
      <c r="M78" s="1267">
        <f>'Cashflow Statement'!AA51</f>
        <v>717.7677021781833</v>
      </c>
      <c r="N78" s="1267">
        <f>'Cashflow Statement'!AB51</f>
        <v>1213.7229303205409</v>
      </c>
      <c r="O78" s="1267">
        <f>'Cashflow Statement'!AC51</f>
        <v>1484.7706419956858</v>
      </c>
      <c r="P78" s="1267">
        <f>'Cashflow Statement'!AD51</f>
        <v>1809.6518058701959</v>
      </c>
      <c r="Q78" s="1267">
        <f>'Cashflow Statement'!AE51</f>
        <v>3485.4472509876259</v>
      </c>
      <c r="R78" s="1267">
        <f>'Cashflow Statement'!AF51</f>
        <v>3822.7872266423947</v>
      </c>
    </row>
    <row r="79" spans="2:18">
      <c r="B79" s="1035" t="str">
        <f>'Cashflow Statement'!A52</f>
        <v>FX</v>
      </c>
      <c r="C79" s="1037">
        <f>'Cashflow Statement'!Q52</f>
        <v>6</v>
      </c>
      <c r="D79" s="1037">
        <f>'Cashflow Statement'!R52</f>
        <v>15</v>
      </c>
      <c r="E79" s="1037">
        <f>'Cashflow Statement'!S52</f>
        <v>-17</v>
      </c>
      <c r="F79" s="1037">
        <f>'Cashflow Statement'!T52</f>
        <v>-3</v>
      </c>
      <c r="G79" s="1037">
        <f>'Cashflow Statement'!U52</f>
        <v>2</v>
      </c>
      <c r="H79" s="1037">
        <f>'Cashflow Statement'!V52</f>
        <v>-20</v>
      </c>
      <c r="I79" s="1037">
        <f>'Cashflow Statement'!W52</f>
        <v>70</v>
      </c>
      <c r="J79" s="1037">
        <f>'Cashflow Statement'!X52</f>
        <v>-2</v>
      </c>
      <c r="K79" s="1037">
        <f>'Cashflow Statement'!Y52</f>
        <v>-1</v>
      </c>
      <c r="L79" s="1037">
        <f>'Cashflow Statement'!Z52</f>
        <v>26</v>
      </c>
      <c r="M79" s="1037">
        <f>'Cashflow Statement'!AA52</f>
        <v>0</v>
      </c>
      <c r="N79" s="1037">
        <f>'Cashflow Statement'!AB52</f>
        <v>0</v>
      </c>
      <c r="O79" s="1037">
        <f>'Cashflow Statement'!AC52</f>
        <v>0</v>
      </c>
      <c r="P79" s="1037">
        <f>'Cashflow Statement'!AD52</f>
        <v>0</v>
      </c>
      <c r="Q79" s="1037">
        <f>'Cashflow Statement'!AE52</f>
        <v>0</v>
      </c>
      <c r="R79" s="1037">
        <f>'Cashflow Statement'!AF52</f>
        <v>0</v>
      </c>
    </row>
    <row r="80" spans="2:18" hidden="1">
      <c r="B80" s="1035" t="str">
        <f>'Cashflow Statement'!A53</f>
        <v>Other</v>
      </c>
      <c r="C80" s="1037">
        <f>'Cashflow Statement'!Q53</f>
        <v>0</v>
      </c>
      <c r="D80" s="1037">
        <f>'Cashflow Statement'!R53</f>
        <v>0</v>
      </c>
      <c r="E80" s="1037">
        <f>'Cashflow Statement'!S53</f>
        <v>180</v>
      </c>
      <c r="F80" s="1037">
        <f>'Cashflow Statement'!T53</f>
        <v>0</v>
      </c>
      <c r="G80" s="1037">
        <f>'Cashflow Statement'!U53</f>
        <v>0</v>
      </c>
      <c r="H80" s="1037">
        <f>'Cashflow Statement'!V53</f>
        <v>0</v>
      </c>
      <c r="I80" s="1037">
        <f>'Cashflow Statement'!W53</f>
        <v>0</v>
      </c>
      <c r="J80" s="1037">
        <f>'Cashflow Statement'!X53</f>
        <v>0</v>
      </c>
      <c r="K80" s="1037">
        <f>'Cashflow Statement'!Y53</f>
        <v>0</v>
      </c>
      <c r="L80" s="1037">
        <f>'Cashflow Statement'!Z53</f>
        <v>0</v>
      </c>
      <c r="M80" s="1037">
        <f>'Cashflow Statement'!AA53</f>
        <v>0</v>
      </c>
      <c r="N80" s="1037">
        <f>'Cashflow Statement'!AB53</f>
        <v>0</v>
      </c>
      <c r="O80" s="1037">
        <f>'Cashflow Statement'!AC53</f>
        <v>0</v>
      </c>
      <c r="P80" s="1037">
        <f>'Cashflow Statement'!AD53</f>
        <v>0</v>
      </c>
      <c r="Q80" s="1037">
        <f>'Cashflow Statement'!AE53</f>
        <v>0</v>
      </c>
      <c r="R80" s="1037">
        <f>'Cashflow Statement'!AF53</f>
        <v>0</v>
      </c>
    </row>
    <row r="81" spans="2:18" s="1036" customFormat="1">
      <c r="B81" s="1036" t="str">
        <f>'Cashflow Statement'!A54</f>
        <v>Cash at the beginning of the year</v>
      </c>
      <c r="C81" s="1267">
        <f>'Cashflow Statement'!Q54</f>
        <v>1633</v>
      </c>
      <c r="D81" s="1267">
        <f>'Cashflow Statement'!R54</f>
        <v>1845</v>
      </c>
      <c r="E81" s="1267">
        <f>'Cashflow Statement'!S54</f>
        <v>1926</v>
      </c>
      <c r="F81" s="1267">
        <f>'Cashflow Statement'!T54</f>
        <v>4914</v>
      </c>
      <c r="G81" s="1267">
        <f>'Cashflow Statement'!U54</f>
        <v>2330</v>
      </c>
      <c r="H81" s="1267">
        <f>'Cashflow Statement'!V54</f>
        <v>2632</v>
      </c>
      <c r="I81" s="1267">
        <f>'Cashflow Statement'!W54</f>
        <v>3747</v>
      </c>
      <c r="J81" s="1267">
        <f>'Cashflow Statement'!X54</f>
        <v>5247</v>
      </c>
      <c r="K81" s="1267">
        <f>'Cashflow Statement'!Y54</f>
        <v>6687</v>
      </c>
      <c r="L81" s="1267">
        <f>'Cashflow Statement'!Z54</f>
        <v>6676</v>
      </c>
      <c r="M81" s="1267">
        <f>'Cashflow Statement'!AA54</f>
        <v>6514</v>
      </c>
      <c r="N81" s="1267">
        <f>'Cashflow Statement'!AB54</f>
        <v>7231.7677021781838</v>
      </c>
      <c r="O81" s="1267">
        <f>'Cashflow Statement'!AC54</f>
        <v>8445.4906324987242</v>
      </c>
      <c r="P81" s="1267">
        <f>'Cashflow Statement'!AD54</f>
        <v>9930.261274494409</v>
      </c>
      <c r="Q81" s="1267">
        <f>'Cashflow Statement'!AE54</f>
        <v>11739.913080364604</v>
      </c>
      <c r="R81" s="1267">
        <f>'Cashflow Statement'!AF54</f>
        <v>15225.360331352229</v>
      </c>
    </row>
    <row r="82" spans="2:18" s="1464" customFormat="1">
      <c r="B82" s="1268" t="str">
        <f>'Cashflow Statement'!A55</f>
        <v>Cash at the end of the year</v>
      </c>
      <c r="C82" s="1269">
        <f>'Cashflow Statement'!Q55</f>
        <v>1659</v>
      </c>
      <c r="D82" s="1269">
        <f>'Cashflow Statement'!R55</f>
        <v>1926</v>
      </c>
      <c r="E82" s="1269">
        <f>'Cashflow Statement'!S55</f>
        <v>4914</v>
      </c>
      <c r="F82" s="1269">
        <f>'Cashflow Statement'!T55</f>
        <v>2330</v>
      </c>
      <c r="G82" s="1269">
        <f>'Cashflow Statement'!U55</f>
        <v>2632</v>
      </c>
      <c r="H82" s="1269">
        <f>'Cashflow Statement'!V55</f>
        <v>3747</v>
      </c>
      <c r="I82" s="1269">
        <f>'Cashflow Statement'!W55</f>
        <v>5247</v>
      </c>
      <c r="J82" s="1269">
        <f>'Cashflow Statement'!X55</f>
        <v>6687</v>
      </c>
      <c r="K82" s="1269">
        <f>'Cashflow Statement'!Y55</f>
        <v>6676</v>
      </c>
      <c r="L82" s="1269">
        <f>'Cashflow Statement'!Z55</f>
        <v>6514</v>
      </c>
      <c r="M82" s="1269">
        <f>'Cashflow Statement'!AA55</f>
        <v>7231.7677021781838</v>
      </c>
      <c r="N82" s="1269">
        <f>'Cashflow Statement'!AB55</f>
        <v>8445.4906324987242</v>
      </c>
      <c r="O82" s="1269">
        <f>'Cashflow Statement'!AC55</f>
        <v>9930.261274494409</v>
      </c>
      <c r="P82" s="1269">
        <f>'Cashflow Statement'!AD55</f>
        <v>11739.913080364604</v>
      </c>
      <c r="Q82" s="1269">
        <f>'Cashflow Statement'!AE55</f>
        <v>15225.360331352229</v>
      </c>
      <c r="R82" s="1269">
        <f>'Cashflow Statement'!AF55</f>
        <v>19048.147557994624</v>
      </c>
    </row>
    <row r="83" spans="2:18" s="1466" customFormat="1">
      <c r="B83" s="1035"/>
      <c r="C83" s="1037"/>
      <c r="D83" s="1037"/>
      <c r="E83" s="1037"/>
      <c r="F83" s="1037"/>
      <c r="G83" s="1037"/>
      <c r="H83" s="1037"/>
      <c r="I83" s="1037"/>
      <c r="J83" s="1037"/>
      <c r="K83" s="1037"/>
      <c r="L83" s="1037"/>
      <c r="M83" s="1037"/>
      <c r="N83" s="1037"/>
      <c r="O83" s="1037"/>
      <c r="P83" s="1037"/>
      <c r="Q83" s="1037"/>
      <c r="R83" s="1037"/>
    </row>
    <row r="84" spans="2:18" s="1464" customFormat="1">
      <c r="B84" s="1036" t="str">
        <f>'Cashflow Statement'!A57</f>
        <v>Company defined FCF</v>
      </c>
      <c r="C84" s="1267">
        <f>'Cashflow Statement'!Q57</f>
        <v>929</v>
      </c>
      <c r="D84" s="1267">
        <f>'Cashflow Statement'!R57</f>
        <v>1455</v>
      </c>
      <c r="E84" s="1267">
        <f>'Cashflow Statement'!S57</f>
        <v>1438</v>
      </c>
      <c r="F84" s="1267">
        <f>'Cashflow Statement'!T57</f>
        <v>1781</v>
      </c>
      <c r="G84" s="1267">
        <f>'Cashflow Statement'!U57</f>
        <v>1983</v>
      </c>
      <c r="H84" s="1267">
        <f>'Cashflow Statement'!V57</f>
        <v>1073</v>
      </c>
      <c r="I84" s="1267">
        <f>'Cashflow Statement'!W57</f>
        <v>1680</v>
      </c>
      <c r="J84" s="1267">
        <f>'Cashflow Statement'!X57</f>
        <v>2666</v>
      </c>
      <c r="K84" s="1267">
        <f>'Cashflow Statement'!Y57</f>
        <v>2945</v>
      </c>
      <c r="L84" s="1267">
        <f>'Cashflow Statement'!Z57</f>
        <v>3189</v>
      </c>
      <c r="M84" s="1267">
        <f>'Cashflow Statement'!AA57</f>
        <v>3518.6013391781835</v>
      </c>
      <c r="N84" s="1267">
        <f>'Cashflow Statement'!AB57</f>
        <v>4206.2766698938904</v>
      </c>
      <c r="O84" s="1267">
        <f>'Cashflow Statement'!AC57</f>
        <v>4875.4879954339885</v>
      </c>
      <c r="P84" s="1267">
        <f>'Cashflow Statement'!AD57</f>
        <v>5449.6205658951149</v>
      </c>
      <c r="Q84" s="1267">
        <f>'Cashflow Statement'!AE57</f>
        <v>6106.2307315687576</v>
      </c>
      <c r="R84" s="1267">
        <f>'Cashflow Statement'!AF57</f>
        <v>6582.9644679664161</v>
      </c>
    </row>
    <row r="85" spans="2:18" s="1466" customFormat="1">
      <c r="B85" s="1035" t="str">
        <f>'Cashflow Statement'!A58</f>
        <v>% of underlying EBITA</v>
      </c>
      <c r="C85" s="1037">
        <f>'Cashflow Statement'!Q58</f>
        <v>-11.329268292682928</v>
      </c>
      <c r="D85" s="1037">
        <f>'Cashflow Statement'!R58</f>
        <v>-58.2</v>
      </c>
      <c r="E85" s="1037">
        <f>'Cashflow Statement'!S58</f>
        <v>-39.944444444444443</v>
      </c>
      <c r="F85" s="1467">
        <f>'Cashflow Statement'!T58</f>
        <v>0.5891498511412504</v>
      </c>
      <c r="G85" s="1467">
        <f>'Cashflow Statement'!U58</f>
        <v>0.51910994764397911</v>
      </c>
      <c r="H85" s="1467">
        <f>'Cashflow Statement'!V58</f>
        <v>0.63641755634638197</v>
      </c>
      <c r="I85" s="1467">
        <f>'Cashflow Statement'!W58</f>
        <v>0.93074792243767313</v>
      </c>
      <c r="J85" s="1467">
        <f>'Cashflow Statement'!X58</f>
        <v>1.1071428571428572</v>
      </c>
      <c r="K85" s="1467">
        <f>'Cashflow Statement'!Y58</f>
        <v>0.93019583070120027</v>
      </c>
      <c r="L85" s="1467">
        <f>'Cashflow Statement'!Z58</f>
        <v>0.77421704297159499</v>
      </c>
      <c r="M85" s="1467">
        <f>'Cashflow Statement'!AA58</f>
        <v>0.67938972075361581</v>
      </c>
      <c r="N85" s="1467">
        <f>'Cashflow Statement'!AB58</f>
        <v>0.69930799762484375</v>
      </c>
      <c r="O85" s="1467">
        <f>'Cashflow Statement'!AC58</f>
        <v>0.71227181105907844</v>
      </c>
      <c r="P85" s="1467">
        <f>'Cashflow Statement'!AD58</f>
        <v>0.71666035111439852</v>
      </c>
      <c r="Q85" s="1467">
        <f>'Cashflow Statement'!AE58</f>
        <v>0.75849196044802869</v>
      </c>
      <c r="R85" s="1467">
        <f>'Cashflow Statement'!AF58</f>
        <v>0.77532289316930225</v>
      </c>
    </row>
    <row r="86" spans="2:18" s="1464" customFormat="1">
      <c r="B86" s="1268" t="str">
        <f>'Cashflow Statement'!A59</f>
        <v>FCF per share</v>
      </c>
      <c r="C86" s="1269">
        <f>'Cashflow Statement'!Q59</f>
        <v>0</v>
      </c>
      <c r="D86" s="1269">
        <f>'Cashflow Statement'!R59</f>
        <v>0</v>
      </c>
      <c r="E86" s="1269">
        <f>'Cashflow Statement'!S59</f>
        <v>0</v>
      </c>
      <c r="F86" s="1468">
        <f>'Cashflow Statement'!T59</f>
        <v>4.1330962825084789</v>
      </c>
      <c r="G86" s="1468">
        <f>'Cashflow Statement'!U59</f>
        <v>4.6145965735370797</v>
      </c>
      <c r="H86" s="1468">
        <f>'Cashflow Statement'!V59</f>
        <v>2.5185680904342549</v>
      </c>
      <c r="I86" s="1468">
        <f>'Cashflow Statement'!W59</f>
        <v>3.9376498921804663</v>
      </c>
      <c r="J86" s="1468">
        <f>'Cashflow Statement'!X59</f>
        <v>6.2482326214286292</v>
      </c>
      <c r="K86" s="1468">
        <f>'Cashflow Statement'!Y59</f>
        <v>7.0489032466630821</v>
      </c>
      <c r="L86" s="1468">
        <f>'Cashflow Statement'!Z59</f>
        <v>7.6631109015069656</v>
      </c>
      <c r="M86" s="1468">
        <f>'Cashflow Statement'!AA59</f>
        <v>8.5472897910980397</v>
      </c>
      <c r="N86" s="1468">
        <f>'Cashflow Statement'!AB59</f>
        <v>10.330362609590711</v>
      </c>
      <c r="O86" s="1468">
        <f>'Cashflow Statement'!AC59</f>
        <v>12.10731728628036</v>
      </c>
      <c r="P86" s="1468">
        <f>'Cashflow Statement'!AD59</f>
        <v>13.685545608922959</v>
      </c>
      <c r="Q86" s="1468">
        <f>'Cashflow Statement'!AE59</f>
        <v>15.334480293632172</v>
      </c>
      <c r="R86" s="1468">
        <f>'Cashflow Statement'!AF59</f>
        <v>16.531694157219896</v>
      </c>
    </row>
    <row r="87" spans="2:18" s="1466" customFormat="1">
      <c r="B87" s="1035"/>
      <c r="C87" s="1037"/>
      <c r="D87" s="1037"/>
      <c r="E87" s="1037"/>
      <c r="F87" s="1037"/>
      <c r="G87" s="1037"/>
      <c r="H87" s="1037"/>
      <c r="I87" s="1037"/>
      <c r="J87" s="1037"/>
      <c r="K87" s="1037"/>
      <c r="L87" s="1037"/>
      <c r="M87" s="1037"/>
      <c r="N87" s="1037"/>
      <c r="O87" s="1037"/>
      <c r="P87" s="1037"/>
      <c r="Q87" s="1037"/>
      <c r="R87" s="1037"/>
    </row>
    <row r="88" spans="2:18" s="1466" customFormat="1">
      <c r="B88" s="1035"/>
      <c r="C88" s="1037"/>
      <c r="D88" s="1037"/>
      <c r="E88" s="1037"/>
      <c r="F88" s="1037"/>
      <c r="G88" s="1037"/>
      <c r="H88" s="1037"/>
      <c r="I88" s="1037"/>
      <c r="J88" s="1037"/>
      <c r="K88" s="1037"/>
      <c r="L88" s="1037"/>
      <c r="M88" s="1037"/>
      <c r="N88" s="1037"/>
      <c r="O88" s="1037"/>
      <c r="P88" s="1037"/>
      <c r="Q88" s="1037"/>
      <c r="R88" s="1037"/>
    </row>
    <row r="89" spans="2:18" s="1466" customFormat="1">
      <c r="B89" s="1464"/>
      <c r="C89" s="1465"/>
      <c r="D89" s="1465"/>
      <c r="E89" s="1465"/>
      <c r="F89" s="1465"/>
      <c r="G89" s="1465"/>
      <c r="H89" s="1465"/>
      <c r="I89" s="1465"/>
      <c r="J89" s="1465"/>
      <c r="K89" s="1465"/>
      <c r="L89" s="1465"/>
      <c r="M89" s="1465"/>
      <c r="N89" s="1465"/>
      <c r="O89" s="1465"/>
      <c r="P89" s="1465"/>
      <c r="Q89" s="1465"/>
      <c r="R89" s="1465"/>
    </row>
    <row r="92" spans="2:18" ht="12.75">
      <c r="B92" s="1265" t="s">
        <v>652</v>
      </c>
      <c r="C92" s="1266">
        <f t="shared" ref="C92:J92" si="11">C40</f>
        <v>2015</v>
      </c>
      <c r="D92" s="1266" t="str">
        <f t="shared" si="11"/>
        <v>2016E</v>
      </c>
      <c r="E92" s="1266">
        <f t="shared" si="11"/>
        <v>2017</v>
      </c>
      <c r="F92" s="1506">
        <f t="shared" si="11"/>
        <v>2018</v>
      </c>
      <c r="G92" s="1506">
        <f t="shared" si="11"/>
        <v>2019</v>
      </c>
      <c r="H92" s="1506">
        <f t="shared" si="11"/>
        <v>2020</v>
      </c>
      <c r="I92" s="1506">
        <f t="shared" si="11"/>
        <v>2021</v>
      </c>
      <c r="J92" s="1506">
        <f t="shared" si="11"/>
        <v>2022</v>
      </c>
      <c r="K92" s="1506">
        <f>K40</f>
        <v>2023</v>
      </c>
      <c r="L92" s="1506">
        <f>L40</f>
        <v>2024</v>
      </c>
      <c r="M92" s="1417">
        <f>M40</f>
        <v>2025</v>
      </c>
      <c r="N92" s="1417">
        <f>N40</f>
        <v>2026</v>
      </c>
      <c r="O92" s="1417">
        <f t="shared" ref="O92:Q92" si="12">O40</f>
        <v>2027</v>
      </c>
      <c r="P92" s="1417">
        <f t="shared" si="12"/>
        <v>2028</v>
      </c>
      <c r="Q92" s="1417">
        <f t="shared" si="12"/>
        <v>2029</v>
      </c>
      <c r="R92" s="1417">
        <f t="shared" ref="R92" si="13">R40</f>
        <v>2030</v>
      </c>
    </row>
    <row r="93" spans="2:18">
      <c r="B93" s="1035" t="str">
        <f>'Balance Sheet'!A4</f>
        <v>Goodwill</v>
      </c>
      <c r="C93" s="1037"/>
      <c r="D93" s="1037"/>
      <c r="E93" s="1037"/>
      <c r="F93" s="1037">
        <f>'Balance Sheet'!T4</f>
        <v>5173</v>
      </c>
      <c r="G93" s="1037">
        <f>'Balance Sheet'!U4</f>
        <v>5199</v>
      </c>
      <c r="H93" s="1037">
        <f>'Balance Sheet'!V4</f>
        <v>5060</v>
      </c>
      <c r="I93" s="1037">
        <f>'Balance Sheet'!W4</f>
        <v>5068</v>
      </c>
      <c r="J93" s="1037">
        <f>'Balance Sheet'!X4</f>
        <v>4994</v>
      </c>
      <c r="K93" s="1037">
        <f>'Balance Sheet'!Y4</f>
        <v>4706</v>
      </c>
      <c r="L93" s="1037">
        <f>'Balance Sheet'!Z4</f>
        <v>4937</v>
      </c>
      <c r="M93" s="1037">
        <f>'Balance Sheet'!AA4</f>
        <v>5109</v>
      </c>
      <c r="N93" s="1037">
        <f>'Balance Sheet'!AB4</f>
        <v>5281</v>
      </c>
      <c r="O93" s="1037">
        <f>'Balance Sheet'!AC4</f>
        <v>5453</v>
      </c>
      <c r="P93" s="1037">
        <f>'Balance Sheet'!AD4</f>
        <v>5625</v>
      </c>
      <c r="Q93" s="1037">
        <f>'Balance Sheet'!AE4</f>
        <v>5797</v>
      </c>
      <c r="R93" s="1037">
        <f>'Balance Sheet'!AF4</f>
        <v>5969</v>
      </c>
    </row>
    <row r="94" spans="2:18">
      <c r="B94" s="1035" t="str">
        <f>'Balance Sheet'!A5</f>
        <v>Intangible Assets</v>
      </c>
      <c r="C94" s="1037"/>
      <c r="D94" s="1037"/>
      <c r="E94" s="1037"/>
      <c r="F94" s="1037">
        <f>'Balance Sheet'!T5</f>
        <v>9757</v>
      </c>
      <c r="G94" s="1037">
        <f>'Balance Sheet'!U5</f>
        <v>9479</v>
      </c>
      <c r="H94" s="1037">
        <f>'Balance Sheet'!V5</f>
        <v>8676</v>
      </c>
      <c r="I94" s="1037">
        <f>'Balance Sheet'!W5</f>
        <v>8382</v>
      </c>
      <c r="J94" s="1037">
        <f>'Balance Sheet'!X5</f>
        <v>8096</v>
      </c>
      <c r="K94" s="1037">
        <f>'Balance Sheet'!Y5</f>
        <v>7830</v>
      </c>
      <c r="L94" s="1037">
        <f>'Balance Sheet'!Z5</f>
        <v>7947</v>
      </c>
      <c r="M94" s="1037">
        <f>'Balance Sheet'!AA5</f>
        <v>7628.1494348903161</v>
      </c>
      <c r="N94" s="1037">
        <f>'Balance Sheet'!AB5</f>
        <v>7142.5282343845101</v>
      </c>
      <c r="O94" s="1037">
        <f>'Balance Sheet'!AC5</f>
        <v>6623.7516917048661</v>
      </c>
      <c r="P94" s="1037">
        <f>'Balance Sheet'!AD5</f>
        <v>6014.5399651395383</v>
      </c>
      <c r="Q94" s="1037">
        <f>'Balance Sheet'!AE5</f>
        <v>5348.4035920884899</v>
      </c>
      <c r="R94" s="1037">
        <f>'Balance Sheet'!AF5</f>
        <v>4623.3988389366641</v>
      </c>
    </row>
    <row r="95" spans="2:18">
      <c r="B95" s="1035" t="str">
        <f>'Balance Sheet'!A6</f>
        <v>PP&amp;E</v>
      </c>
      <c r="C95" s="1037"/>
      <c r="D95" s="1037"/>
      <c r="E95" s="1037"/>
      <c r="F95" s="1037">
        <f>'Balance Sheet'!T6</f>
        <v>4454</v>
      </c>
      <c r="G95" s="1037">
        <f>'Balance Sheet'!U6</f>
        <v>4398</v>
      </c>
      <c r="H95" s="1037">
        <f>'Balance Sheet'!V6</f>
        <v>4055</v>
      </c>
      <c r="I95" s="1037">
        <f>'Balance Sheet'!W6</f>
        <v>3937</v>
      </c>
      <c r="J95" s="1037">
        <f>'Balance Sheet'!X6</f>
        <v>3847</v>
      </c>
      <c r="K95" s="1037">
        <f>'Balance Sheet'!Y6</f>
        <v>4121</v>
      </c>
      <c r="L95" s="1037">
        <f>'Balance Sheet'!Z6</f>
        <v>4629</v>
      </c>
      <c r="M95" s="1037">
        <f>'Balance Sheet'!AA6</f>
        <v>5647.2600566729488</v>
      </c>
      <c r="N95" s="1037">
        <f>'Balance Sheet'!AB6</f>
        <v>6589.1499536917963</v>
      </c>
      <c r="O95" s="1037">
        <f>'Balance Sheet'!AC6</f>
        <v>7421.5875742312001</v>
      </c>
      <c r="P95" s="1037">
        <f>'Balance Sheet'!AD6</f>
        <v>8102.9064358194846</v>
      </c>
      <c r="Q95" s="1037">
        <f>'Balance Sheet'!AE6</f>
        <v>8592.0688736950724</v>
      </c>
      <c r="R95" s="1037">
        <f>'Balance Sheet'!AF6</f>
        <v>8868.9044779336273</v>
      </c>
    </row>
    <row r="96" spans="2:18">
      <c r="B96" s="1035" t="str">
        <f>'Balance Sheet'!A7</f>
        <v>Non-current financial assets</v>
      </c>
      <c r="C96" s="1037"/>
      <c r="D96" s="1037"/>
      <c r="E96" s="1037"/>
      <c r="F96" s="1037">
        <f>'Balance Sheet'!T7</f>
        <v>416</v>
      </c>
      <c r="G96" s="1037">
        <f>'Balance Sheet'!U7</f>
        <v>429</v>
      </c>
      <c r="H96" s="1037">
        <f>'Balance Sheet'!V7</f>
        <v>431</v>
      </c>
      <c r="I96" s="1037">
        <f>'Balance Sheet'!W7</f>
        <v>688</v>
      </c>
      <c r="J96" s="1037">
        <f>'Balance Sheet'!X7</f>
        <v>752</v>
      </c>
      <c r="K96" s="1037">
        <f>'Balance Sheet'!Y7</f>
        <v>997</v>
      </c>
      <c r="L96" s="1037">
        <f>'Balance Sheet'!Z7</f>
        <v>1073</v>
      </c>
      <c r="M96" s="1037">
        <f>'Balance Sheet'!AA7</f>
        <v>1073</v>
      </c>
      <c r="N96" s="1037">
        <f>'Balance Sheet'!AB7</f>
        <v>1073</v>
      </c>
      <c r="O96" s="1037">
        <f>'Balance Sheet'!AC7</f>
        <v>1073</v>
      </c>
      <c r="P96" s="1037">
        <f>'Balance Sheet'!AD7</f>
        <v>1073</v>
      </c>
      <c r="Q96" s="1037">
        <f>'Balance Sheet'!AE7</f>
        <v>1073</v>
      </c>
      <c r="R96" s="1037">
        <f>'Balance Sheet'!AF7</f>
        <v>1073</v>
      </c>
    </row>
    <row r="97" spans="2:18">
      <c r="B97" s="1035" t="str">
        <f>'Balance Sheet'!A8</f>
        <v>Investments in associates</v>
      </c>
      <c r="C97" s="1037"/>
      <c r="D97" s="1037"/>
      <c r="E97" s="1037"/>
      <c r="F97" s="1037">
        <f>'Balance Sheet'!T8</f>
        <v>2253</v>
      </c>
      <c r="G97" s="1037">
        <f>'Balance Sheet'!U8</f>
        <v>2211</v>
      </c>
      <c r="H97" s="1037">
        <f>'Balance Sheet'!V8</f>
        <v>2126</v>
      </c>
      <c r="I97" s="1037">
        <f>'Balance Sheet'!W8</f>
        <v>1969</v>
      </c>
      <c r="J97" s="1037">
        <f>'Balance Sheet'!X8</f>
        <v>1974</v>
      </c>
      <c r="K97" s="1037">
        <f>'Balance Sheet'!Y8</f>
        <v>1928</v>
      </c>
      <c r="L97" s="1037">
        <f>'Balance Sheet'!Z8</f>
        <v>1894</v>
      </c>
      <c r="M97" s="1037">
        <f>'Balance Sheet'!AA8</f>
        <v>1894</v>
      </c>
      <c r="N97" s="1037">
        <f>'Balance Sheet'!AB8</f>
        <v>1894</v>
      </c>
      <c r="O97" s="1037">
        <f>'Balance Sheet'!AC8</f>
        <v>1894</v>
      </c>
      <c r="P97" s="1037">
        <f>'Balance Sheet'!AD8</f>
        <v>1894</v>
      </c>
      <c r="Q97" s="1037">
        <f>'Balance Sheet'!AE8</f>
        <v>1894</v>
      </c>
      <c r="R97" s="1037">
        <f>'Balance Sheet'!AF8</f>
        <v>1894</v>
      </c>
    </row>
    <row r="98" spans="2:18">
      <c r="B98" s="1035" t="str">
        <f>'Balance Sheet'!A9</f>
        <v>Non-current derivatives</v>
      </c>
      <c r="C98" s="1037"/>
      <c r="D98" s="1037"/>
      <c r="E98" s="1037"/>
      <c r="F98" s="1037">
        <f>'Balance Sheet'!T9</f>
        <v>13</v>
      </c>
      <c r="G98" s="1037">
        <f>'Balance Sheet'!U9</f>
        <v>33</v>
      </c>
      <c r="H98" s="1037">
        <f>'Balance Sheet'!V9</f>
        <v>52</v>
      </c>
      <c r="I98" s="1037">
        <f>'Balance Sheet'!W9</f>
        <v>23</v>
      </c>
      <c r="J98" s="1037">
        <f>'Balance Sheet'!X9</f>
        <v>18</v>
      </c>
      <c r="K98" s="1037">
        <f>'Balance Sheet'!Y9</f>
        <v>0</v>
      </c>
      <c r="L98" s="1037">
        <f>'Balance Sheet'!Z9</f>
        <v>4</v>
      </c>
      <c r="M98" s="1037">
        <f>'Balance Sheet'!AA9</f>
        <v>4</v>
      </c>
      <c r="N98" s="1037">
        <f>'Balance Sheet'!AB9</f>
        <v>4</v>
      </c>
      <c r="O98" s="1037">
        <f>'Balance Sheet'!AC9</f>
        <v>4</v>
      </c>
      <c r="P98" s="1037">
        <f>'Balance Sheet'!AD9</f>
        <v>4</v>
      </c>
      <c r="Q98" s="1037">
        <f>'Balance Sheet'!AE9</f>
        <v>4</v>
      </c>
      <c r="R98" s="1037">
        <f>'Balance Sheet'!AF9</f>
        <v>4</v>
      </c>
    </row>
    <row r="99" spans="2:18">
      <c r="B99" s="1035" t="str">
        <f>'Balance Sheet'!A10</f>
        <v>Deferred tax assets</v>
      </c>
      <c r="C99" s="1037"/>
      <c r="D99" s="1037"/>
      <c r="E99" s="1037"/>
      <c r="F99" s="1037">
        <f>'Balance Sheet'!T10</f>
        <v>391</v>
      </c>
      <c r="G99" s="1037">
        <f>'Balance Sheet'!U10</f>
        <v>251</v>
      </c>
      <c r="H99" s="1037">
        <f>'Balance Sheet'!V10</f>
        <v>316</v>
      </c>
      <c r="I99" s="1037">
        <f>'Balance Sheet'!W10</f>
        <v>449</v>
      </c>
      <c r="J99" s="1037">
        <f>'Balance Sheet'!X10</f>
        <v>1576</v>
      </c>
      <c r="K99" s="1037">
        <f>'Balance Sheet'!Y10</f>
        <v>1122</v>
      </c>
      <c r="L99" s="1037">
        <f>'Balance Sheet'!Z10</f>
        <v>2349</v>
      </c>
      <c r="M99" s="1037">
        <f>'Balance Sheet'!AA10</f>
        <v>2349</v>
      </c>
      <c r="N99" s="1037">
        <f>'Balance Sheet'!AB10</f>
        <v>2349</v>
      </c>
      <c r="O99" s="1037">
        <f>'Balance Sheet'!AC10</f>
        <v>2349</v>
      </c>
      <c r="P99" s="1037">
        <f>'Balance Sheet'!AD10</f>
        <v>2349</v>
      </c>
      <c r="Q99" s="1037">
        <f>'Balance Sheet'!AE10</f>
        <v>2349</v>
      </c>
      <c r="R99" s="1037">
        <f>'Balance Sheet'!AF10</f>
        <v>2349</v>
      </c>
    </row>
    <row r="100" spans="2:18">
      <c r="B100" s="1035" t="str">
        <f>'Balance Sheet'!A11</f>
        <v>Right of use Asset</v>
      </c>
      <c r="C100" s="1037"/>
      <c r="D100" s="1037"/>
      <c r="E100" s="1037"/>
      <c r="F100" s="1037">
        <f>'Balance Sheet'!T11</f>
        <v>0</v>
      </c>
      <c r="G100" s="1037">
        <f>'Balance Sheet'!U11</f>
        <v>732</v>
      </c>
      <c r="H100" s="1037">
        <f>'Balance Sheet'!V11</f>
        <v>623</v>
      </c>
      <c r="I100" s="1037">
        <f>'Balance Sheet'!W11</f>
        <v>606</v>
      </c>
      <c r="J100" s="1037">
        <f>'Balance Sheet'!X11</f>
        <v>566</v>
      </c>
      <c r="K100" s="1037">
        <f>'Balance Sheet'!Y11</f>
        <v>582</v>
      </c>
      <c r="L100" s="1037">
        <f>'Balance Sheet'!Z11</f>
        <v>653</v>
      </c>
      <c r="M100" s="1037">
        <f>'Balance Sheet'!AA11</f>
        <v>653</v>
      </c>
      <c r="N100" s="1037">
        <f>'Balance Sheet'!AB11</f>
        <v>653</v>
      </c>
      <c r="O100" s="1037">
        <f>'Balance Sheet'!AC11</f>
        <v>653</v>
      </c>
      <c r="P100" s="1037">
        <f>'Balance Sheet'!AD11</f>
        <v>653</v>
      </c>
      <c r="Q100" s="1037">
        <f>'Balance Sheet'!AE11</f>
        <v>653</v>
      </c>
      <c r="R100" s="1037">
        <f>'Balance Sheet'!AF11</f>
        <v>653</v>
      </c>
    </row>
    <row r="101" spans="2:18">
      <c r="B101" s="1035" t="str">
        <f>'Balance Sheet'!A12</f>
        <v>Other non-current financial assets</v>
      </c>
      <c r="C101" s="1037"/>
      <c r="D101" s="1037"/>
      <c r="E101" s="1037"/>
      <c r="F101" s="1037">
        <f>'Balance Sheet'!T12</f>
        <v>4</v>
      </c>
      <c r="G101" s="1037">
        <f>'Balance Sheet'!U12</f>
        <v>4</v>
      </c>
      <c r="H101" s="1037">
        <f>'Balance Sheet'!V12</f>
        <v>4</v>
      </c>
      <c r="I101" s="1037">
        <f>'Balance Sheet'!W12</f>
        <v>11</v>
      </c>
      <c r="J101" s="1037">
        <f>'Balance Sheet'!X12</f>
        <v>8</v>
      </c>
      <c r="K101" s="1037">
        <f>'Balance Sheet'!Y12</f>
        <v>7</v>
      </c>
      <c r="L101" s="1037">
        <f>'Balance Sheet'!Z12</f>
        <v>3</v>
      </c>
      <c r="M101" s="1037">
        <f>'Balance Sheet'!AA12</f>
        <v>3</v>
      </c>
      <c r="N101" s="1037">
        <f>'Balance Sheet'!AB12</f>
        <v>3</v>
      </c>
      <c r="O101" s="1037">
        <f>'Balance Sheet'!AC12</f>
        <v>3</v>
      </c>
      <c r="P101" s="1037">
        <f>'Balance Sheet'!AD12</f>
        <v>3</v>
      </c>
      <c r="Q101" s="1037">
        <f>'Balance Sheet'!AE12</f>
        <v>3</v>
      </c>
      <c r="R101" s="1037">
        <f>'Balance Sheet'!AF12</f>
        <v>3</v>
      </c>
    </row>
    <row r="102" spans="2:18" hidden="1">
      <c r="B102" s="1035" t="str">
        <f>'Balance Sheet'!A13</f>
        <v xml:space="preserve">Other </v>
      </c>
      <c r="C102" s="1037"/>
      <c r="D102" s="1037"/>
      <c r="E102" s="1037"/>
      <c r="F102" s="1037">
        <f>F103-SUM(F93:F101)</f>
        <v>0</v>
      </c>
      <c r="G102" s="1037">
        <f t="shared" ref="G102:Q102" si="14">G103-SUM(G93:G101)</f>
        <v>0</v>
      </c>
      <c r="H102" s="1037">
        <f t="shared" si="14"/>
        <v>0</v>
      </c>
      <c r="I102" s="1037">
        <f t="shared" si="14"/>
        <v>0</v>
      </c>
      <c r="J102" s="1037">
        <f t="shared" si="14"/>
        <v>0</v>
      </c>
      <c r="K102" s="1037">
        <f t="shared" si="14"/>
        <v>0</v>
      </c>
      <c r="L102" s="1037">
        <f t="shared" si="14"/>
        <v>0</v>
      </c>
      <c r="M102" s="1037">
        <f t="shared" si="14"/>
        <v>0</v>
      </c>
      <c r="N102" s="1037">
        <f t="shared" si="14"/>
        <v>0</v>
      </c>
      <c r="O102" s="1037">
        <f t="shared" si="14"/>
        <v>0</v>
      </c>
      <c r="P102" s="1037">
        <f t="shared" si="14"/>
        <v>0</v>
      </c>
      <c r="Q102" s="1037">
        <f t="shared" si="14"/>
        <v>0</v>
      </c>
      <c r="R102" s="1037">
        <f t="shared" ref="R102" si="15">R103-SUM(R93:R101)</f>
        <v>0</v>
      </c>
    </row>
    <row r="103" spans="2:18" s="1036" customFormat="1">
      <c r="B103" s="1268" t="str">
        <f>'Balance Sheet'!A14</f>
        <v>Non-current assets</v>
      </c>
      <c r="C103" s="1269"/>
      <c r="D103" s="1269"/>
      <c r="E103" s="1269"/>
      <c r="F103" s="1269">
        <f>'Balance Sheet'!T14</f>
        <v>22461</v>
      </c>
      <c r="G103" s="1269">
        <f>'Balance Sheet'!U14</f>
        <v>22736</v>
      </c>
      <c r="H103" s="1269">
        <f>'Balance Sheet'!V14</f>
        <v>21343</v>
      </c>
      <c r="I103" s="1269">
        <f>'Balance Sheet'!W14</f>
        <v>21133</v>
      </c>
      <c r="J103" s="1269">
        <f>'Balance Sheet'!X14</f>
        <v>21831</v>
      </c>
      <c r="K103" s="1269">
        <f>'Balance Sheet'!Y14</f>
        <v>21293</v>
      </c>
      <c r="L103" s="1269">
        <f>'Balance Sheet'!Z14</f>
        <v>23489</v>
      </c>
      <c r="M103" s="1269">
        <f>'Balance Sheet'!AA14</f>
        <v>24360.409491563267</v>
      </c>
      <c r="N103" s="1269">
        <f>'Balance Sheet'!AB14</f>
        <v>24988.678188076308</v>
      </c>
      <c r="O103" s="1269">
        <f>'Balance Sheet'!AC14</f>
        <v>25474.339265936069</v>
      </c>
      <c r="P103" s="1269">
        <f>'Balance Sheet'!AD14</f>
        <v>25718.446400959023</v>
      </c>
      <c r="Q103" s="1269">
        <f>'Balance Sheet'!AE14</f>
        <v>25713.472465783561</v>
      </c>
      <c r="R103" s="1269">
        <f>'Balance Sheet'!AF14</f>
        <v>25437.30331687029</v>
      </c>
    </row>
    <row r="104" spans="2:18">
      <c r="C104" s="1037"/>
      <c r="D104" s="1037"/>
      <c r="E104" s="1037"/>
      <c r="F104" s="1037"/>
      <c r="G104" s="1037"/>
      <c r="H104" s="1037"/>
      <c r="I104" s="1037"/>
      <c r="J104" s="1037"/>
      <c r="K104" s="1037"/>
      <c r="L104" s="1037"/>
      <c r="M104" s="1037"/>
      <c r="N104" s="1037"/>
      <c r="O104" s="1037"/>
      <c r="P104" s="1037"/>
      <c r="Q104" s="1037"/>
      <c r="R104" s="1037"/>
    </row>
    <row r="105" spans="2:18">
      <c r="B105" s="1035" t="str">
        <f>'Balance Sheet'!A16</f>
        <v>Current financial assets</v>
      </c>
      <c r="C105" s="1037"/>
      <c r="D105" s="1037"/>
      <c r="E105" s="1037"/>
      <c r="F105" s="1037">
        <f>'Balance Sheet'!T16</f>
        <v>185</v>
      </c>
      <c r="G105" s="1037">
        <f>'Balance Sheet'!U16</f>
        <v>143</v>
      </c>
      <c r="H105" s="1037">
        <f>'Balance Sheet'!V16</f>
        <v>126</v>
      </c>
      <c r="I105" s="1037">
        <f>'Balance Sheet'!W16</f>
        <v>104</v>
      </c>
      <c r="J105" s="1037">
        <f>'Balance Sheet'!X16</f>
        <v>242</v>
      </c>
      <c r="K105" s="1037">
        <f>'Balance Sheet'!Y16</f>
        <v>270</v>
      </c>
      <c r="L105" s="1037">
        <f>'Balance Sheet'!Z16</f>
        <v>243</v>
      </c>
      <c r="M105" s="1037">
        <f>'Balance Sheet'!AA16</f>
        <v>243</v>
      </c>
      <c r="N105" s="1037">
        <f>'Balance Sheet'!AB16</f>
        <v>243</v>
      </c>
      <c r="O105" s="1037">
        <f>'Balance Sheet'!AC16</f>
        <v>243</v>
      </c>
      <c r="P105" s="1037">
        <f>'Balance Sheet'!AD16</f>
        <v>243</v>
      </c>
      <c r="Q105" s="1037">
        <f>'Balance Sheet'!AE16</f>
        <v>243</v>
      </c>
      <c r="R105" s="1037">
        <f>'Balance Sheet'!AF16</f>
        <v>243</v>
      </c>
    </row>
    <row r="106" spans="2:18">
      <c r="B106" s="1035" t="str">
        <f>'Balance Sheet'!A17</f>
        <v>Current derivatives</v>
      </c>
      <c r="C106" s="1037"/>
      <c r="D106" s="1037"/>
      <c r="E106" s="1037"/>
      <c r="F106" s="1037">
        <f>'Balance Sheet'!T17</f>
        <v>740</v>
      </c>
      <c r="G106" s="1037">
        <f>'Balance Sheet'!U17</f>
        <v>674</v>
      </c>
      <c r="H106" s="1037">
        <f>'Balance Sheet'!V17</f>
        <v>694</v>
      </c>
      <c r="I106" s="1037">
        <f>'Balance Sheet'!W17</f>
        <v>705</v>
      </c>
      <c r="J106" s="1037">
        <f>'Balance Sheet'!X17</f>
        <v>540</v>
      </c>
      <c r="K106" s="1037">
        <f>'Balance Sheet'!Y17</f>
        <v>1577</v>
      </c>
      <c r="L106" s="1037">
        <f>'Balance Sheet'!Z17</f>
        <v>952</v>
      </c>
      <c r="M106" s="1037">
        <f>'Balance Sheet'!AA17</f>
        <v>952</v>
      </c>
      <c r="N106" s="1037">
        <f>'Balance Sheet'!AB17</f>
        <v>952</v>
      </c>
      <c r="O106" s="1037">
        <f>'Balance Sheet'!AC17</f>
        <v>952</v>
      </c>
      <c r="P106" s="1037">
        <f>'Balance Sheet'!AD17</f>
        <v>952</v>
      </c>
      <c r="Q106" s="1037">
        <f>'Balance Sheet'!AE17</f>
        <v>952</v>
      </c>
      <c r="R106" s="1037">
        <f>'Balance Sheet'!AF17</f>
        <v>952</v>
      </c>
    </row>
    <row r="107" spans="2:18">
      <c r="B107" s="1035" t="str">
        <f>'Balance Sheet'!A18</f>
        <v>Inventories and work-in-progress</v>
      </c>
      <c r="C107" s="1037"/>
      <c r="D107" s="1037"/>
      <c r="E107" s="1037"/>
      <c r="F107" s="1037">
        <f>'Balance Sheet'!T18</f>
        <v>5558</v>
      </c>
      <c r="G107" s="1037">
        <f>'Balance Sheet'!U18</f>
        <v>6312</v>
      </c>
      <c r="H107" s="1037">
        <f>'Balance Sheet'!V18</f>
        <v>5190</v>
      </c>
      <c r="I107" s="1037">
        <f>'Balance Sheet'!W18</f>
        <v>5063</v>
      </c>
      <c r="J107" s="1037">
        <f>'Balance Sheet'!X18</f>
        <v>6408</v>
      </c>
      <c r="K107" s="1037">
        <f>'Balance Sheet'!Y18</f>
        <v>7903</v>
      </c>
      <c r="L107" s="1037">
        <f>'Balance Sheet'!Z18</f>
        <v>9491</v>
      </c>
      <c r="M107" s="1037">
        <f>'Balance Sheet'!AA18</f>
        <v>10049.084193765748</v>
      </c>
      <c r="N107" s="1037">
        <f>'Balance Sheet'!AB18</f>
        <v>10129.828478723583</v>
      </c>
      <c r="O107" s="1037">
        <f>'Balance Sheet'!AC18</f>
        <v>10839.540118158493</v>
      </c>
      <c r="P107" s="1037">
        <f>'Balance Sheet'!AD18</f>
        <v>11756.734465785312</v>
      </c>
      <c r="Q107" s="1037">
        <f>'Balance Sheet'!AE18</f>
        <v>12471.109842128253</v>
      </c>
      <c r="R107" s="1037">
        <f>'Balance Sheet'!AF18</f>
        <v>13146.626724810252</v>
      </c>
    </row>
    <row r="108" spans="2:18">
      <c r="B108" s="1035" t="str">
        <f>'Balance Sheet'!A19</f>
        <v>DIO</v>
      </c>
      <c r="C108" s="1037"/>
      <c r="D108" s="1037"/>
      <c r="E108" s="1037"/>
      <c r="F108" s="1037">
        <f>'Balance Sheet'!T19</f>
        <v>0</v>
      </c>
      <c r="G108" s="1037">
        <f>'Balance Sheet'!U19</f>
        <v>0</v>
      </c>
      <c r="H108" s="1037">
        <f>'Balance Sheet'!V19</f>
        <v>0</v>
      </c>
      <c r="I108" s="1037">
        <f>'Balance Sheet'!W19</f>
        <v>231.02825353169146</v>
      </c>
      <c r="J108" s="1037">
        <f>'Balance Sheet'!X19</f>
        <v>199.49846468781985</v>
      </c>
      <c r="K108" s="1037">
        <f>'Balance Sheet'!Y19</f>
        <v>204.98827458783401</v>
      </c>
      <c r="L108" s="1037">
        <f>'Balance Sheet'!Z19</f>
        <v>217.0560776942356</v>
      </c>
      <c r="M108" s="1037">
        <f>'Balance Sheet'!AA19</f>
        <v>205.5</v>
      </c>
      <c r="N108" s="1037">
        <f>'Balance Sheet'!AB19</f>
        <v>186</v>
      </c>
      <c r="O108" s="1037">
        <f>'Balance Sheet'!AC19</f>
        <v>180</v>
      </c>
      <c r="P108" s="1037">
        <f>'Balance Sheet'!AD19</f>
        <v>180</v>
      </c>
      <c r="Q108" s="1037">
        <f>'Balance Sheet'!AE19</f>
        <v>182</v>
      </c>
      <c r="R108" s="1037">
        <f>'Balance Sheet'!AF19</f>
        <v>183</v>
      </c>
    </row>
    <row r="109" spans="2:18">
      <c r="B109" s="1035" t="str">
        <f>'Balance Sheet'!A20</f>
        <v>Trade and Other receivables</v>
      </c>
      <c r="C109" s="1037"/>
      <c r="D109" s="1037"/>
      <c r="E109" s="1037"/>
      <c r="F109" s="1037">
        <f>'Balance Sheet'!T20</f>
        <v>6580</v>
      </c>
      <c r="G109" s="1037">
        <f>'Balance Sheet'!U20</f>
        <v>7639</v>
      </c>
      <c r="H109" s="1037">
        <f>'Balance Sheet'!V20</f>
        <v>5769</v>
      </c>
      <c r="I109" s="1037">
        <f>'Balance Sheet'!W20</f>
        <v>6504</v>
      </c>
      <c r="J109" s="1037">
        <f>'Balance Sheet'!X20</f>
        <v>7904</v>
      </c>
      <c r="K109" s="1037">
        <f>'Balance Sheet'!Y20</f>
        <v>9417</v>
      </c>
      <c r="L109" s="1037">
        <f>'Balance Sheet'!Z20</f>
        <v>10572</v>
      </c>
      <c r="M109" s="1037">
        <f>'Balance Sheet'!AA20</f>
        <v>11039.659451814905</v>
      </c>
      <c r="N109" s="1037">
        <f>'Balance Sheet'!AB20</f>
        <v>12295.046216050665</v>
      </c>
      <c r="O109" s="1037">
        <f>'Balance Sheet'!AC20</f>
        <v>13385.851023776366</v>
      </c>
      <c r="P109" s="1037">
        <f>'Balance Sheet'!AD20</f>
        <v>14178.225618460461</v>
      </c>
      <c r="Q109" s="1037">
        <f>'Balance Sheet'!AE20</f>
        <v>14874.466402287771</v>
      </c>
      <c r="R109" s="1037">
        <f>'Balance Sheet'!AF20</f>
        <v>15594.480836005698</v>
      </c>
    </row>
    <row r="110" spans="2:18">
      <c r="B110" s="1035" t="str">
        <f>'Balance Sheet'!A21</f>
        <v>DSO</v>
      </c>
      <c r="C110" s="1037"/>
      <c r="D110" s="1037"/>
      <c r="E110" s="1037"/>
      <c r="F110" s="1037">
        <f>'Balance Sheet'!T21</f>
        <v>0</v>
      </c>
      <c r="G110" s="1037">
        <f>'Balance Sheet'!U21</f>
        <v>0</v>
      </c>
      <c r="H110" s="1037">
        <f>'Balance Sheet'!V21</f>
        <v>0</v>
      </c>
      <c r="I110" s="1037">
        <f>'Balance Sheet'!W21</f>
        <v>155.59808612440193</v>
      </c>
      <c r="J110" s="1037">
        <f>'Balance Sheet'!X21</f>
        <v>151.56080903598635</v>
      </c>
      <c r="K110" s="1037">
        <f>'Balance Sheet'!Y21</f>
        <v>148.1617742144058</v>
      </c>
      <c r="L110" s="1037">
        <f>'Balance Sheet'!Z21</f>
        <v>141.25928908738149</v>
      </c>
      <c r="M110" s="1037">
        <f>'Balance Sheet'!AA21</f>
        <v>130</v>
      </c>
      <c r="N110" s="1037">
        <f>'Balance Sheet'!AB21</f>
        <v>130</v>
      </c>
      <c r="O110" s="1037">
        <f>'Balance Sheet'!AC21</f>
        <v>128</v>
      </c>
      <c r="P110" s="1037">
        <f>'Balance Sheet'!AD21</f>
        <v>125</v>
      </c>
      <c r="Q110" s="1037">
        <f>'Balance Sheet'!AE21</f>
        <v>125</v>
      </c>
      <c r="R110" s="1037">
        <f>'Balance Sheet'!AF21</f>
        <v>125</v>
      </c>
    </row>
    <row r="111" spans="2:18">
      <c r="B111" s="1035" t="str">
        <f>'Balance Sheet'!A22</f>
        <v>Tax assets</v>
      </c>
      <c r="C111" s="1037"/>
      <c r="D111" s="1037"/>
      <c r="E111" s="1037"/>
      <c r="F111" s="1037">
        <f>'Balance Sheet'!T22</f>
        <v>752</v>
      </c>
      <c r="G111" s="1037">
        <f>'Balance Sheet'!U22</f>
        <v>458</v>
      </c>
      <c r="H111" s="1037">
        <f>'Balance Sheet'!V22</f>
        <v>481</v>
      </c>
      <c r="I111" s="1037">
        <f>'Balance Sheet'!W22</f>
        <v>555</v>
      </c>
      <c r="J111" s="1037">
        <f>'Balance Sheet'!X22</f>
        <v>358</v>
      </c>
      <c r="K111" s="1037">
        <f>'Balance Sheet'!Y22</f>
        <v>422</v>
      </c>
      <c r="L111" s="1037">
        <f>'Balance Sheet'!Z22</f>
        <v>364</v>
      </c>
      <c r="M111" s="1037">
        <f>'Balance Sheet'!AA22</f>
        <v>364</v>
      </c>
      <c r="N111" s="1037">
        <f>'Balance Sheet'!AB22</f>
        <v>364</v>
      </c>
      <c r="O111" s="1037">
        <f>'Balance Sheet'!AC22</f>
        <v>364</v>
      </c>
      <c r="P111" s="1037">
        <f>'Balance Sheet'!AD22</f>
        <v>364</v>
      </c>
      <c r="Q111" s="1037">
        <f>'Balance Sheet'!AE22</f>
        <v>364</v>
      </c>
      <c r="R111" s="1037">
        <f>'Balance Sheet'!AF22</f>
        <v>364</v>
      </c>
    </row>
    <row r="112" spans="2:18">
      <c r="B112" s="1035" t="str">
        <f>'Balance Sheet'!A23</f>
        <v>Cash and Cash equivalents</v>
      </c>
      <c r="C112" s="1037"/>
      <c r="D112" s="1037"/>
      <c r="E112" s="1037"/>
      <c r="F112" s="1037">
        <f>'Balance Sheet'!T23</f>
        <v>2330</v>
      </c>
      <c r="G112" s="1037">
        <f>'Balance Sheet'!U23</f>
        <v>2632</v>
      </c>
      <c r="H112" s="1037">
        <f>'Balance Sheet'!V23</f>
        <v>3747</v>
      </c>
      <c r="I112" s="1037">
        <f>'Balance Sheet'!W23</f>
        <v>5247</v>
      </c>
      <c r="J112" s="1037">
        <f>'Balance Sheet'!X23</f>
        <v>6687</v>
      </c>
      <c r="K112" s="1037">
        <f>'Balance Sheet'!Y23</f>
        <v>6676</v>
      </c>
      <c r="L112" s="1037">
        <f>'Balance Sheet'!Z23</f>
        <v>6514</v>
      </c>
      <c r="M112" s="1037">
        <f>'Balance Sheet'!AA23</f>
        <v>7231.7677021781838</v>
      </c>
      <c r="N112" s="1037">
        <f>'Balance Sheet'!AB23</f>
        <v>8445.4906324987242</v>
      </c>
      <c r="O112" s="1037">
        <f>'Balance Sheet'!AC23</f>
        <v>9930.261274494409</v>
      </c>
      <c r="P112" s="1037">
        <f>'Balance Sheet'!AD23</f>
        <v>11739.913080364604</v>
      </c>
      <c r="Q112" s="1037">
        <f>'Balance Sheet'!AE23</f>
        <v>15225.360331352229</v>
      </c>
      <c r="R112" s="1037">
        <f>'Balance Sheet'!AF23</f>
        <v>19048.147557994624</v>
      </c>
    </row>
    <row r="113" spans="2:18">
      <c r="B113" s="1035" t="str">
        <f>'Balance Sheet'!A24</f>
        <v>Contract costs</v>
      </c>
      <c r="C113" s="1037"/>
      <c r="D113" s="1037"/>
      <c r="E113" s="1037"/>
      <c r="F113" s="1037">
        <f>'Balance Sheet'!T24</f>
        <v>470</v>
      </c>
      <c r="G113" s="1037">
        <f>'Balance Sheet'!U24</f>
        <v>471</v>
      </c>
      <c r="H113" s="1037">
        <f>'Balance Sheet'!V24</f>
        <v>486</v>
      </c>
      <c r="I113" s="1037">
        <f>'Balance Sheet'!W24</f>
        <v>552</v>
      </c>
      <c r="J113" s="1037">
        <f>'Balance Sheet'!X24</f>
        <v>664</v>
      </c>
      <c r="K113" s="1037">
        <f>'Balance Sheet'!Y24</f>
        <v>753</v>
      </c>
      <c r="L113" s="1037">
        <f>'Balance Sheet'!Z24</f>
        <v>884</v>
      </c>
      <c r="M113" s="1037">
        <f>'Balance Sheet'!AA24</f>
        <v>884</v>
      </c>
      <c r="N113" s="1037">
        <f>'Balance Sheet'!AB24</f>
        <v>884</v>
      </c>
      <c r="O113" s="1037">
        <f>'Balance Sheet'!AC24</f>
        <v>884</v>
      </c>
      <c r="P113" s="1037">
        <f>'Balance Sheet'!AD24</f>
        <v>884</v>
      </c>
      <c r="Q113" s="1037">
        <f>'Balance Sheet'!AE24</f>
        <v>884</v>
      </c>
      <c r="R113" s="1037">
        <f>'Balance Sheet'!AF24</f>
        <v>884</v>
      </c>
    </row>
    <row r="114" spans="2:18">
      <c r="B114" s="1035" t="str">
        <f>'Balance Sheet'!A25</f>
        <v>Contract assets</v>
      </c>
      <c r="C114" s="1037"/>
      <c r="D114" s="1037"/>
      <c r="E114" s="1037"/>
      <c r="F114" s="1037">
        <f>'Balance Sheet'!T25</f>
        <v>1544</v>
      </c>
      <c r="G114" s="1037">
        <f>'Balance Sheet'!U25</f>
        <v>1743</v>
      </c>
      <c r="H114" s="1037">
        <f>'Balance Sheet'!V25</f>
        <v>1695</v>
      </c>
      <c r="I114" s="1037">
        <f>'Balance Sheet'!W25</f>
        <v>1853</v>
      </c>
      <c r="J114" s="1037">
        <f>'Balance Sheet'!X25</f>
        <v>1982</v>
      </c>
      <c r="K114" s="1037">
        <f>'Balance Sheet'!Y25</f>
        <v>2157</v>
      </c>
      <c r="L114" s="1037">
        <f>'Balance Sheet'!Z25</f>
        <v>2503</v>
      </c>
      <c r="M114" s="1037">
        <f>'Balance Sheet'!AA25</f>
        <v>2503</v>
      </c>
      <c r="N114" s="1037">
        <f>'Balance Sheet'!AB25</f>
        <v>2503</v>
      </c>
      <c r="O114" s="1037">
        <f>'Balance Sheet'!AC25</f>
        <v>2503</v>
      </c>
      <c r="P114" s="1037">
        <f>'Balance Sheet'!AD25</f>
        <v>2503</v>
      </c>
      <c r="Q114" s="1037">
        <f>'Balance Sheet'!AE25</f>
        <v>2503</v>
      </c>
      <c r="R114" s="1037">
        <f>'Balance Sheet'!AF25</f>
        <v>2503</v>
      </c>
    </row>
    <row r="115" spans="2:18">
      <c r="B115" s="1035" t="str">
        <f>'Balance Sheet'!A26</f>
        <v>Other</v>
      </c>
      <c r="C115" s="1037"/>
      <c r="D115" s="1037"/>
      <c r="E115" s="1037"/>
      <c r="F115" s="1037">
        <f>F116-SUM(F105:F114)</f>
        <v>0</v>
      </c>
      <c r="G115" s="1037">
        <f t="shared" ref="G115:Q115" si="16">G116-SUM(G105:G114)</f>
        <v>0</v>
      </c>
      <c r="H115" s="1037">
        <f t="shared" si="16"/>
        <v>0</v>
      </c>
      <c r="I115" s="1037">
        <f t="shared" si="16"/>
        <v>-386.62633965609348</v>
      </c>
      <c r="J115" s="1037">
        <f t="shared" si="16"/>
        <v>-139.05927372380393</v>
      </c>
      <c r="K115" s="1037">
        <f t="shared" si="16"/>
        <v>-353.15004880223933</v>
      </c>
      <c r="L115" s="1037">
        <f t="shared" si="16"/>
        <v>-358.31536678161865</v>
      </c>
      <c r="M115" s="1037">
        <f t="shared" si="16"/>
        <v>-335.5</v>
      </c>
      <c r="N115" s="1037">
        <f t="shared" si="16"/>
        <v>-316</v>
      </c>
      <c r="O115" s="1037">
        <f t="shared" si="16"/>
        <v>-308</v>
      </c>
      <c r="P115" s="1037">
        <f t="shared" si="16"/>
        <v>-305</v>
      </c>
      <c r="Q115" s="1037">
        <f t="shared" si="16"/>
        <v>-307</v>
      </c>
      <c r="R115" s="1037">
        <f t="shared" ref="R115" si="17">R116-SUM(R105:R114)</f>
        <v>-308</v>
      </c>
    </row>
    <row r="116" spans="2:18" s="1036" customFormat="1">
      <c r="B116" s="1268" t="str">
        <f>'Balance Sheet'!A27</f>
        <v>Current Assets</v>
      </c>
      <c r="C116" s="1269"/>
      <c r="D116" s="1269"/>
      <c r="E116" s="1269"/>
      <c r="F116" s="1269">
        <f>'Balance Sheet'!T27</f>
        <v>18159</v>
      </c>
      <c r="G116" s="1269">
        <f>'Balance Sheet'!U27</f>
        <v>20072</v>
      </c>
      <c r="H116" s="1269">
        <f>'Balance Sheet'!V27</f>
        <v>18188</v>
      </c>
      <c r="I116" s="1269">
        <f>'Balance Sheet'!W27</f>
        <v>20583</v>
      </c>
      <c r="J116" s="1269">
        <f>'Balance Sheet'!X27</f>
        <v>24997</v>
      </c>
      <c r="K116" s="1269">
        <f>'Balance Sheet'!Y27</f>
        <v>29175</v>
      </c>
      <c r="L116" s="1269">
        <f>'Balance Sheet'!Z27</f>
        <v>31523</v>
      </c>
      <c r="M116" s="1269">
        <f>'Balance Sheet'!AA27</f>
        <v>33266.511347758838</v>
      </c>
      <c r="N116" s="1269">
        <f>'Balance Sheet'!AB27</f>
        <v>35816.365327272972</v>
      </c>
      <c r="O116" s="1269">
        <f>'Balance Sheet'!AC27</f>
        <v>39101.652416429264</v>
      </c>
      <c r="P116" s="1269">
        <f>'Balance Sheet'!AD27</f>
        <v>42620.873164610377</v>
      </c>
      <c r="Q116" s="1269">
        <f>'Balance Sheet'!AE27</f>
        <v>47516.936575768254</v>
      </c>
      <c r="R116" s="1269">
        <f>'Balance Sheet'!AF27</f>
        <v>52735.255118810572</v>
      </c>
    </row>
    <row r="117" spans="2:18">
      <c r="C117" s="1037"/>
      <c r="D117" s="1037"/>
      <c r="E117" s="1037"/>
      <c r="F117" s="1037"/>
      <c r="G117" s="1037"/>
      <c r="H117" s="1037"/>
      <c r="I117" s="1037"/>
      <c r="J117" s="1037"/>
      <c r="K117" s="1037"/>
      <c r="L117" s="1037"/>
      <c r="M117" s="1037"/>
      <c r="N117" s="1037"/>
      <c r="O117" s="1037"/>
      <c r="P117" s="1037"/>
      <c r="Q117" s="1037"/>
      <c r="R117" s="1037"/>
    </row>
    <row r="118" spans="2:18">
      <c r="B118" s="1035" t="str">
        <f>'Balance Sheet'!A29</f>
        <v>Provisions</v>
      </c>
      <c r="C118" s="1037"/>
      <c r="D118" s="1037"/>
      <c r="E118" s="1037"/>
      <c r="F118" s="1037">
        <f>'Balance Sheet'!T29</f>
        <v>-1588</v>
      </c>
      <c r="G118" s="1037">
        <f>'Balance Sheet'!U29</f>
        <v>-2093</v>
      </c>
      <c r="H118" s="1037">
        <f>'Balance Sheet'!V29</f>
        <v>-1942</v>
      </c>
      <c r="I118" s="1037">
        <f>'Balance Sheet'!W29</f>
        <v>-1798</v>
      </c>
      <c r="J118" s="1037">
        <f>'Balance Sheet'!X29</f>
        <v>-1549</v>
      </c>
      <c r="K118" s="1037">
        <f>'Balance Sheet'!Y29</f>
        <v>-1547</v>
      </c>
      <c r="L118" s="1037">
        <f>'Balance Sheet'!Z29</f>
        <v>-1835</v>
      </c>
      <c r="M118" s="1037">
        <f>'Balance Sheet'!AA29</f>
        <v>-1935</v>
      </c>
      <c r="N118" s="1037">
        <f>'Balance Sheet'!AB29</f>
        <v>-2035</v>
      </c>
      <c r="O118" s="1037">
        <f>'Balance Sheet'!AC29</f>
        <v>-2135</v>
      </c>
      <c r="P118" s="1037">
        <f>'Balance Sheet'!AD29</f>
        <v>-2235</v>
      </c>
      <c r="Q118" s="1037">
        <f>'Balance Sheet'!AE29</f>
        <v>-2335</v>
      </c>
      <c r="R118" s="1037">
        <f>'Balance Sheet'!AF29</f>
        <v>-2435</v>
      </c>
    </row>
    <row r="119" spans="2:18">
      <c r="B119" s="1035" t="str">
        <f>'Balance Sheet'!A30</f>
        <v>Borrowings subject to specific conditions</v>
      </c>
      <c r="C119" s="1037"/>
      <c r="D119" s="1037"/>
      <c r="E119" s="1037"/>
      <c r="F119" s="1037">
        <f>'Balance Sheet'!T30</f>
        <v>-585</v>
      </c>
      <c r="G119" s="1037">
        <f>'Balance Sheet'!U30</f>
        <v>-505</v>
      </c>
      <c r="H119" s="1037">
        <f>'Balance Sheet'!V30</f>
        <v>-426</v>
      </c>
      <c r="I119" s="1037">
        <f>'Balance Sheet'!W30</f>
        <v>-327</v>
      </c>
      <c r="J119" s="1037">
        <f>'Balance Sheet'!X30</f>
        <v>-302</v>
      </c>
      <c r="K119" s="1037">
        <f>'Balance Sheet'!Y30</f>
        <v>-292</v>
      </c>
      <c r="L119" s="1037">
        <f>'Balance Sheet'!Z30</f>
        <v>-287</v>
      </c>
      <c r="M119" s="1037">
        <f>'Balance Sheet'!AA30</f>
        <v>-287</v>
      </c>
      <c r="N119" s="1037">
        <f>'Balance Sheet'!AB30</f>
        <v>-287</v>
      </c>
      <c r="O119" s="1037">
        <f>'Balance Sheet'!AC30</f>
        <v>-287</v>
      </c>
      <c r="P119" s="1037">
        <f>'Balance Sheet'!AD30</f>
        <v>-287</v>
      </c>
      <c r="Q119" s="1037">
        <f>'Balance Sheet'!AE30</f>
        <v>-287</v>
      </c>
      <c r="R119" s="1037">
        <f>'Balance Sheet'!AF30</f>
        <v>-287</v>
      </c>
    </row>
    <row r="120" spans="2:18">
      <c r="B120" s="1035" t="str">
        <f>'Balance Sheet'!A31</f>
        <v>Non-current interest-bearing financial liabilities</v>
      </c>
      <c r="C120" s="1037"/>
      <c r="D120" s="1037"/>
      <c r="E120" s="1037"/>
      <c r="F120" s="1037">
        <f>'Balance Sheet'!T31</f>
        <v>-3384</v>
      </c>
      <c r="G120" s="1037">
        <f>'Balance Sheet'!U31</f>
        <v>-3239</v>
      </c>
      <c r="H120" s="1037">
        <f>'Balance Sheet'!V31</f>
        <v>-4082</v>
      </c>
      <c r="I120" s="1037">
        <f>'Balance Sheet'!W31</f>
        <v>-5094</v>
      </c>
      <c r="J120" s="1037">
        <f>'Balance Sheet'!X31</f>
        <v>-5378</v>
      </c>
      <c r="K120" s="1037">
        <f>'Balance Sheet'!Y31</f>
        <v>-4691</v>
      </c>
      <c r="L120" s="1037">
        <f>'Balance Sheet'!Z31</f>
        <v>-3788</v>
      </c>
      <c r="M120" s="1037">
        <f>'Balance Sheet'!AA31</f>
        <v>-3788</v>
      </c>
      <c r="N120" s="1037">
        <f>'Balance Sheet'!AB31</f>
        <v>-3788</v>
      </c>
      <c r="O120" s="1037">
        <f>'Balance Sheet'!AC31</f>
        <v>-3788</v>
      </c>
      <c r="P120" s="1037">
        <f>'Balance Sheet'!AD31</f>
        <v>-3788</v>
      </c>
      <c r="Q120" s="1037">
        <f>'Balance Sheet'!AE31</f>
        <v>-3788</v>
      </c>
      <c r="R120" s="1037">
        <f>'Balance Sheet'!AF31</f>
        <v>-3788</v>
      </c>
    </row>
    <row r="121" spans="2:18">
      <c r="B121" s="1035" t="str">
        <f>'Balance Sheet'!A32</f>
        <v>Non-current derivatives</v>
      </c>
      <c r="C121" s="1037"/>
      <c r="D121" s="1037"/>
      <c r="E121" s="1037"/>
      <c r="F121" s="1037">
        <f>'Balance Sheet'!T32</f>
        <v>-7</v>
      </c>
      <c r="G121" s="1037">
        <f>'Balance Sheet'!U32</f>
        <v>-5</v>
      </c>
      <c r="H121" s="1037">
        <f>'Balance Sheet'!V32</f>
        <v>-18</v>
      </c>
      <c r="I121" s="1037">
        <f>'Balance Sheet'!W32</f>
        <v>-8</v>
      </c>
      <c r="J121" s="1037">
        <f>'Balance Sheet'!X32</f>
        <v>-18</v>
      </c>
      <c r="K121" s="1037">
        <f>'Balance Sheet'!Y32</f>
        <v>-8</v>
      </c>
      <c r="L121" s="1037">
        <f>'Balance Sheet'!Z32</f>
        <v>-15</v>
      </c>
      <c r="M121" s="1037">
        <f>'Balance Sheet'!AA32</f>
        <v>-15</v>
      </c>
      <c r="N121" s="1037">
        <f>'Balance Sheet'!AB32</f>
        <v>-15</v>
      </c>
      <c r="O121" s="1037">
        <f>'Balance Sheet'!AC32</f>
        <v>-15</v>
      </c>
      <c r="P121" s="1037">
        <f>'Balance Sheet'!AD32</f>
        <v>-15</v>
      </c>
      <c r="Q121" s="1037">
        <f>'Balance Sheet'!AE32</f>
        <v>-15</v>
      </c>
      <c r="R121" s="1037">
        <f>'Balance Sheet'!AF32</f>
        <v>-15</v>
      </c>
    </row>
    <row r="122" spans="2:18">
      <c r="B122" s="1035" t="str">
        <f>'Balance Sheet'!A33</f>
        <v>Deferred tax liabilities</v>
      </c>
      <c r="C122" s="1037"/>
      <c r="D122" s="1037"/>
      <c r="E122" s="1037"/>
      <c r="F122" s="1037">
        <f>'Balance Sheet'!T33</f>
        <v>-1662</v>
      </c>
      <c r="G122" s="1037">
        <f>'Balance Sheet'!U33</f>
        <v>-1340</v>
      </c>
      <c r="H122" s="1037">
        <f>'Balance Sheet'!V33</f>
        <v>-1285</v>
      </c>
      <c r="I122" s="1037">
        <f>'Balance Sheet'!W33</f>
        <v>-1275</v>
      </c>
      <c r="J122" s="1037">
        <f>'Balance Sheet'!X33</f>
        <v>-1164</v>
      </c>
      <c r="K122" s="1037">
        <f>'Balance Sheet'!Y33</f>
        <v>-1022</v>
      </c>
      <c r="L122" s="1037">
        <f>'Balance Sheet'!Z33</f>
        <v>-911</v>
      </c>
      <c r="M122" s="1037">
        <f>'Balance Sheet'!AA33</f>
        <v>-1241</v>
      </c>
      <c r="N122" s="1037">
        <f>'Balance Sheet'!AB33</f>
        <v>-1111</v>
      </c>
      <c r="O122" s="1037">
        <f>'Balance Sheet'!AC33</f>
        <v>-911</v>
      </c>
      <c r="P122" s="1037">
        <f>'Balance Sheet'!AD33</f>
        <v>-911</v>
      </c>
      <c r="Q122" s="1037">
        <f>'Balance Sheet'!AE33</f>
        <v>-911</v>
      </c>
      <c r="R122" s="1037">
        <f>'Balance Sheet'!AF33</f>
        <v>-911</v>
      </c>
    </row>
    <row r="123" spans="2:18">
      <c r="B123" s="1035" t="str">
        <f>'Balance Sheet'!A34</f>
        <v>Other non-current financial liabilities</v>
      </c>
      <c r="C123" s="1037"/>
      <c r="D123" s="1037"/>
      <c r="E123" s="1037"/>
      <c r="F123" s="1037">
        <f>'Balance Sheet'!T34</f>
        <v>-2</v>
      </c>
      <c r="G123" s="1037">
        <f>'Balance Sheet'!U34</f>
        <v>-2</v>
      </c>
      <c r="H123" s="1037">
        <f>'Balance Sheet'!V34</f>
        <v>-2</v>
      </c>
      <c r="I123" s="1037">
        <f>'Balance Sheet'!W34</f>
        <v>-116</v>
      </c>
      <c r="J123" s="1037">
        <f>'Balance Sheet'!X34</f>
        <v>-75</v>
      </c>
      <c r="K123" s="1037">
        <f>'Balance Sheet'!Y34</f>
        <v>-43</v>
      </c>
      <c r="L123" s="1037">
        <f>'Balance Sheet'!Z34</f>
        <v>-11</v>
      </c>
      <c r="M123" s="1037">
        <f>'Balance Sheet'!AA34</f>
        <v>-11</v>
      </c>
      <c r="N123" s="1037">
        <f>'Balance Sheet'!AB34</f>
        <v>-11</v>
      </c>
      <c r="O123" s="1037">
        <f>'Balance Sheet'!AC34</f>
        <v>-11</v>
      </c>
      <c r="P123" s="1037">
        <f>'Balance Sheet'!AD34</f>
        <v>-11</v>
      </c>
      <c r="Q123" s="1037">
        <f>'Balance Sheet'!AE34</f>
        <v>-11</v>
      </c>
      <c r="R123" s="1037">
        <f>'Balance Sheet'!AF34</f>
        <v>-11</v>
      </c>
    </row>
    <row r="124" spans="2:18" hidden="1">
      <c r="B124" s="1035" t="str">
        <f>'Balance Sheet'!A35</f>
        <v>Other</v>
      </c>
      <c r="C124" s="1037"/>
      <c r="D124" s="1037"/>
      <c r="E124" s="1037"/>
      <c r="F124" s="1037">
        <f>F125-SUM(F118:F123)</f>
        <v>0</v>
      </c>
      <c r="G124" s="1037">
        <f t="shared" ref="G124:Q124" si="18">G125-SUM(G118:G123)</f>
        <v>0</v>
      </c>
      <c r="H124" s="1037">
        <f t="shared" si="18"/>
        <v>0</v>
      </c>
      <c r="I124" s="1037">
        <f t="shared" si="18"/>
        <v>0</v>
      </c>
      <c r="J124" s="1037">
        <f t="shared" si="18"/>
        <v>-49</v>
      </c>
      <c r="K124" s="1037">
        <f t="shared" si="18"/>
        <v>0</v>
      </c>
      <c r="L124" s="1037">
        <f t="shared" si="18"/>
        <v>0</v>
      </c>
      <c r="M124" s="1037">
        <f t="shared" si="18"/>
        <v>0</v>
      </c>
      <c r="N124" s="1037">
        <f t="shared" si="18"/>
        <v>0</v>
      </c>
      <c r="O124" s="1037">
        <f t="shared" si="18"/>
        <v>0</v>
      </c>
      <c r="P124" s="1037">
        <f t="shared" si="18"/>
        <v>0</v>
      </c>
      <c r="Q124" s="1037">
        <f t="shared" si="18"/>
        <v>0</v>
      </c>
      <c r="R124" s="1037">
        <f t="shared" ref="R124" si="19">R125-SUM(R118:R123)</f>
        <v>0</v>
      </c>
    </row>
    <row r="125" spans="2:18" s="1036" customFormat="1">
      <c r="B125" s="1268" t="str">
        <f>'Balance Sheet'!A36</f>
        <v>Non-current liabilities</v>
      </c>
      <c r="C125" s="1269"/>
      <c r="D125" s="1269"/>
      <c r="E125" s="1269"/>
      <c r="F125" s="1269">
        <f>'Balance Sheet'!T36</f>
        <v>-7228</v>
      </c>
      <c r="G125" s="1269">
        <f>'Balance Sheet'!U36</f>
        <v>-7184</v>
      </c>
      <c r="H125" s="1269">
        <f>'Balance Sheet'!V36</f>
        <v>-7755</v>
      </c>
      <c r="I125" s="1269">
        <f>'Balance Sheet'!W36</f>
        <v>-8618</v>
      </c>
      <c r="J125" s="1269">
        <f>'Balance Sheet'!X36</f>
        <v>-8535</v>
      </c>
      <c r="K125" s="1269">
        <f>'Balance Sheet'!Y36</f>
        <v>-7603</v>
      </c>
      <c r="L125" s="1269">
        <f>'Balance Sheet'!Z36</f>
        <v>-6847</v>
      </c>
      <c r="M125" s="1269">
        <f>'Balance Sheet'!AA36</f>
        <v>-7277</v>
      </c>
      <c r="N125" s="1269">
        <f>'Balance Sheet'!AB36</f>
        <v>-7247</v>
      </c>
      <c r="O125" s="1269">
        <f>'Balance Sheet'!AC36</f>
        <v>-7147</v>
      </c>
      <c r="P125" s="1269">
        <f>'Balance Sheet'!AD36</f>
        <v>-7247</v>
      </c>
      <c r="Q125" s="1269">
        <f>'Balance Sheet'!AE36</f>
        <v>-7347</v>
      </c>
      <c r="R125" s="1269">
        <f>'Balance Sheet'!AF36</f>
        <v>-7447</v>
      </c>
    </row>
    <row r="126" spans="2:18">
      <c r="C126" s="1037"/>
      <c r="D126" s="1037"/>
      <c r="E126" s="1037"/>
      <c r="F126" s="1037"/>
      <c r="G126" s="1037"/>
      <c r="H126" s="1037"/>
      <c r="I126" s="1037"/>
      <c r="J126" s="1037"/>
      <c r="K126" s="1037"/>
      <c r="L126" s="1037"/>
      <c r="M126" s="1037"/>
      <c r="N126" s="1037"/>
      <c r="O126" s="1037"/>
      <c r="P126" s="1037"/>
      <c r="Q126" s="1037"/>
      <c r="R126" s="1037"/>
    </row>
    <row r="127" spans="2:18">
      <c r="B127" s="1035" t="str">
        <f>'Balance Sheet'!A38</f>
        <v>Provisions</v>
      </c>
      <c r="C127" s="1037"/>
      <c r="D127" s="1037"/>
      <c r="E127" s="1037"/>
      <c r="F127" s="1037">
        <f>'Balance Sheet'!T38</f>
        <v>-1189</v>
      </c>
      <c r="G127" s="1037">
        <f>'Balance Sheet'!U38</f>
        <v>-990</v>
      </c>
      <c r="H127" s="1037">
        <f>'Balance Sheet'!V38</f>
        <v>-905</v>
      </c>
      <c r="I127" s="1037">
        <f>'Balance Sheet'!W38</f>
        <v>-1058</v>
      </c>
      <c r="J127" s="1037">
        <f>'Balance Sheet'!X38</f>
        <v>-1018</v>
      </c>
      <c r="K127" s="1037">
        <f>'Balance Sheet'!Y38</f>
        <v>-1064</v>
      </c>
      <c r="L127" s="1037">
        <f>'Balance Sheet'!Z38</f>
        <v>-1173</v>
      </c>
      <c r="M127" s="1037">
        <f>'Balance Sheet'!AA38</f>
        <v>-1173</v>
      </c>
      <c r="N127" s="1037">
        <f>'Balance Sheet'!AB38</f>
        <v>-1173</v>
      </c>
      <c r="O127" s="1037">
        <f>'Balance Sheet'!AC38</f>
        <v>-1173</v>
      </c>
      <c r="P127" s="1037">
        <f>'Balance Sheet'!AD38</f>
        <v>-1173</v>
      </c>
      <c r="Q127" s="1037">
        <f>'Balance Sheet'!AE38</f>
        <v>-1173</v>
      </c>
      <c r="R127" s="1037">
        <f>'Balance Sheet'!AF38</f>
        <v>-1173</v>
      </c>
    </row>
    <row r="128" spans="2:18">
      <c r="B128" s="1035" t="str">
        <f>'Balance Sheet'!A39</f>
        <v>Interest-bearing current financial liabilities</v>
      </c>
      <c r="C128" s="1037"/>
      <c r="D128" s="1037"/>
      <c r="E128" s="1037"/>
      <c r="F128" s="1037">
        <f>'Balance Sheet'!T39</f>
        <v>-2221</v>
      </c>
      <c r="G128" s="1037">
        <f>'Balance Sheet'!U39</f>
        <v>-3540</v>
      </c>
      <c r="H128" s="1037">
        <f>'Balance Sheet'!V39</f>
        <v>-2509</v>
      </c>
      <c r="I128" s="1037">
        <f>'Balance Sheet'!W39</f>
        <v>-1720</v>
      </c>
      <c r="J128" s="1037">
        <f>'Balance Sheet'!X39</f>
        <v>-1277</v>
      </c>
      <c r="K128" s="1037">
        <f>'Balance Sheet'!Y39</f>
        <v>-1608</v>
      </c>
      <c r="L128" s="1037">
        <f>'Balance Sheet'!Z39</f>
        <v>-988</v>
      </c>
      <c r="M128" s="1037">
        <f>'Balance Sheet'!AA39</f>
        <v>-988</v>
      </c>
      <c r="N128" s="1037">
        <f>'Balance Sheet'!AB39</f>
        <v>-988</v>
      </c>
      <c r="O128" s="1037">
        <f>'Balance Sheet'!AC39</f>
        <v>-988</v>
      </c>
      <c r="P128" s="1037">
        <f>'Balance Sheet'!AD39</f>
        <v>-988</v>
      </c>
      <c r="Q128" s="1037">
        <f>'Balance Sheet'!AE39</f>
        <v>-988</v>
      </c>
      <c r="R128" s="1037">
        <f>'Balance Sheet'!AF39</f>
        <v>-988</v>
      </c>
    </row>
    <row r="129" spans="2:18">
      <c r="B129" s="1035" t="str">
        <f>'Balance Sheet'!A40</f>
        <v>Trade and other payables</v>
      </c>
      <c r="C129" s="1037"/>
      <c r="D129" s="1037"/>
      <c r="E129" s="1037"/>
      <c r="F129" s="1037">
        <f>'Balance Sheet'!T40</f>
        <v>-5650</v>
      </c>
      <c r="G129" s="1037">
        <f>'Balance Sheet'!U40</f>
        <v>-6164</v>
      </c>
      <c r="H129" s="1037">
        <f>'Balance Sheet'!V40</f>
        <v>-4353</v>
      </c>
      <c r="I129" s="1037">
        <f>'Balance Sheet'!W40</f>
        <v>-4950</v>
      </c>
      <c r="J129" s="1037">
        <f>'Balance Sheet'!X40</f>
        <v>-6298</v>
      </c>
      <c r="K129" s="1037">
        <f>'Balance Sheet'!Y40</f>
        <v>-8097</v>
      </c>
      <c r="L129" s="1037">
        <f>'Balance Sheet'!Z40</f>
        <v>-9802</v>
      </c>
      <c r="M129" s="1037">
        <f>'Balance Sheet'!AA40</f>
        <v>-10961.988301825588</v>
      </c>
      <c r="N129" s="1037">
        <f>'Balance Sheet'!AB40</f>
        <v>-12526.131989819483</v>
      </c>
      <c r="O129" s="1037">
        <f>'Balance Sheet'!AC40</f>
        <v>-14272.061155575348</v>
      </c>
      <c r="P129" s="1037">
        <f>'Balance Sheet'!AD40</f>
        <v>-15479.700379950664</v>
      </c>
      <c r="Q129" s="1037">
        <f>'Balance Sheet'!AE40</f>
        <v>-16445.419572037255</v>
      </c>
      <c r="R129" s="1037">
        <f>'Balance Sheet'!AF40</f>
        <v>-17241.477671882301</v>
      </c>
    </row>
    <row r="130" spans="2:18">
      <c r="B130" s="1035" t="str">
        <f>'Balance Sheet'!A41</f>
        <v>DPO</v>
      </c>
      <c r="C130" s="1037"/>
      <c r="D130" s="1037"/>
      <c r="E130" s="1037"/>
      <c r="F130" s="1037">
        <f>'Balance Sheet'!T41</f>
        <v>0</v>
      </c>
      <c r="G130" s="1037">
        <f>'Balance Sheet'!U41</f>
        <v>0</v>
      </c>
      <c r="H130" s="1037">
        <f>'Balance Sheet'!V41</f>
        <v>0</v>
      </c>
      <c r="I130" s="1037">
        <f>'Balance Sheet'!W41</f>
        <v>225.87198399799973</v>
      </c>
      <c r="J130" s="1037">
        <f>'Balance Sheet'!X41</f>
        <v>196.07386557488911</v>
      </c>
      <c r="K130" s="1037">
        <f>'Balance Sheet'!Y41</f>
        <v>210.0202529846504</v>
      </c>
      <c r="L130" s="1037">
        <f>'Balance Sheet'!Z41</f>
        <v>224.16854636591478</v>
      </c>
      <c r="M130" s="1037">
        <f>'Balance Sheet'!AA41</f>
        <v>224.16854636591478</v>
      </c>
      <c r="N130" s="1037">
        <f>'Balance Sheet'!AB41</f>
        <v>230</v>
      </c>
      <c r="O130" s="1037">
        <f>'Balance Sheet'!AC41</f>
        <v>237</v>
      </c>
      <c r="P130" s="1037">
        <f>'Balance Sheet'!AD41</f>
        <v>237</v>
      </c>
      <c r="Q130" s="1037">
        <f>'Balance Sheet'!AE41</f>
        <v>240</v>
      </c>
      <c r="R130" s="1037">
        <f>'Balance Sheet'!AF41</f>
        <v>240</v>
      </c>
    </row>
    <row r="131" spans="2:18">
      <c r="B131" s="1035" t="str">
        <f>'Balance Sheet'!A42</f>
        <v>Tax liabilities</v>
      </c>
      <c r="C131" s="1037"/>
      <c r="D131" s="1037"/>
      <c r="E131" s="1037"/>
      <c r="F131" s="1037">
        <f>'Balance Sheet'!T42</f>
        <v>-210</v>
      </c>
      <c r="G131" s="1037">
        <f>'Balance Sheet'!U42</f>
        <v>-111</v>
      </c>
      <c r="H131" s="1037">
        <f>'Balance Sheet'!V42</f>
        <v>-118</v>
      </c>
      <c r="I131" s="1037">
        <f>'Balance Sheet'!W42</f>
        <v>-109</v>
      </c>
      <c r="J131" s="1037">
        <f>'Balance Sheet'!X42</f>
        <v>-105</v>
      </c>
      <c r="K131" s="1037">
        <f>'Balance Sheet'!Y42</f>
        <v>-104</v>
      </c>
      <c r="L131" s="1037">
        <f>'Balance Sheet'!Z42</f>
        <v>-105</v>
      </c>
      <c r="M131" s="1037">
        <f>'Balance Sheet'!AA42</f>
        <v>-105</v>
      </c>
      <c r="N131" s="1037">
        <f>'Balance Sheet'!AB42</f>
        <v>-105</v>
      </c>
      <c r="O131" s="1037">
        <f>'Balance Sheet'!AC42</f>
        <v>-105</v>
      </c>
      <c r="P131" s="1037">
        <f>'Balance Sheet'!AD42</f>
        <v>-105</v>
      </c>
      <c r="Q131" s="1037">
        <f>'Balance Sheet'!AE42</f>
        <v>-105</v>
      </c>
      <c r="R131" s="1037">
        <f>'Balance Sheet'!AF42</f>
        <v>-105</v>
      </c>
    </row>
    <row r="132" spans="2:18">
      <c r="B132" s="1035" t="str">
        <f>'Balance Sheet'!A43</f>
        <v>Current derivatives</v>
      </c>
      <c r="C132" s="1037"/>
      <c r="D132" s="1037"/>
      <c r="E132" s="1037"/>
      <c r="F132" s="1037">
        <f>'Balance Sheet'!T43</f>
        <v>-1255</v>
      </c>
      <c r="G132" s="1037">
        <f>'Balance Sheet'!U43</f>
        <v>-1033</v>
      </c>
      <c r="H132" s="1037">
        <f>'Balance Sheet'!V43</f>
        <v>-1244</v>
      </c>
      <c r="I132" s="1037">
        <f>'Balance Sheet'!W43</f>
        <v>-1788</v>
      </c>
      <c r="J132" s="1037">
        <f>'Balance Sheet'!X43</f>
        <v>-5848</v>
      </c>
      <c r="K132" s="1037">
        <f>'Balance Sheet'!Y43</f>
        <v>-4735</v>
      </c>
      <c r="L132" s="1037">
        <f>'Balance Sheet'!Z43</f>
        <v>-8803</v>
      </c>
      <c r="M132" s="1037">
        <f>'Balance Sheet'!AA43</f>
        <v>-8803</v>
      </c>
      <c r="N132" s="1037">
        <f>'Balance Sheet'!AB43</f>
        <v>-8803</v>
      </c>
      <c r="O132" s="1037">
        <f>'Balance Sheet'!AC43</f>
        <v>-8803</v>
      </c>
      <c r="P132" s="1037">
        <f>'Balance Sheet'!AD43</f>
        <v>-8803</v>
      </c>
      <c r="Q132" s="1037">
        <f>'Balance Sheet'!AE43</f>
        <v>-8803</v>
      </c>
      <c r="R132" s="1037">
        <f>'Balance Sheet'!AF43</f>
        <v>-8803</v>
      </c>
    </row>
    <row r="133" spans="2:18">
      <c r="B133" s="1035" t="str">
        <f>'Balance Sheet'!A44</f>
        <v>Contract liabilities</v>
      </c>
      <c r="C133" s="1037"/>
      <c r="D133" s="1037"/>
      <c r="E133" s="1037"/>
      <c r="F133" s="1037">
        <f>'Balance Sheet'!T44</f>
        <v>-10453</v>
      </c>
      <c r="G133" s="1037">
        <f>'Balance Sheet'!U44</f>
        <v>-10923</v>
      </c>
      <c r="H133" s="1037">
        <f>'Balance Sheet'!V44</f>
        <v>-9838</v>
      </c>
      <c r="I133" s="1037">
        <f>'Balance Sheet'!W44</f>
        <v>-10141</v>
      </c>
      <c r="J133" s="1037">
        <f>'Balance Sheet'!X44</f>
        <v>-12756</v>
      </c>
      <c r="K133" s="1037">
        <f>'Balance Sheet'!Y44</f>
        <v>-15029</v>
      </c>
      <c r="L133" s="1037">
        <f>'Balance Sheet'!Z44</f>
        <v>-16421</v>
      </c>
      <c r="M133" s="1037">
        <f>'Balance Sheet'!AA44</f>
        <v>-16421</v>
      </c>
      <c r="N133" s="1037">
        <f>'Balance Sheet'!AB44</f>
        <v>-16421</v>
      </c>
      <c r="O133" s="1037">
        <f>'Balance Sheet'!AC44</f>
        <v>-16421</v>
      </c>
      <c r="P133" s="1037">
        <f>'Balance Sheet'!AD44</f>
        <v>-16421</v>
      </c>
      <c r="Q133" s="1037">
        <f>'Balance Sheet'!AE44</f>
        <v>-16421</v>
      </c>
      <c r="R133" s="1037">
        <f>'Balance Sheet'!AF44</f>
        <v>-16421</v>
      </c>
    </row>
    <row r="134" spans="2:18" hidden="1">
      <c r="B134" s="1035" t="str">
        <f>'Balance Sheet'!A45</f>
        <v>RPFH cash advances</v>
      </c>
      <c r="C134" s="1037"/>
      <c r="D134" s="1037"/>
      <c r="E134" s="1037"/>
      <c r="F134" s="1037">
        <f>'Balance Sheet'!T45</f>
        <v>0</v>
      </c>
      <c r="G134" s="1037">
        <f>'Balance Sheet'!U45</f>
        <v>0</v>
      </c>
      <c r="H134" s="1037">
        <f>'Balance Sheet'!V45</f>
        <v>0</v>
      </c>
      <c r="I134" s="1037">
        <f>'Balance Sheet'!W45</f>
        <v>0</v>
      </c>
      <c r="J134" s="1037">
        <f>'Balance Sheet'!X45</f>
        <v>0</v>
      </c>
      <c r="K134" s="1037">
        <f>'Balance Sheet'!Y45</f>
        <v>0</v>
      </c>
      <c r="L134" s="1037">
        <f>'Balance Sheet'!Z45</f>
        <v>0</v>
      </c>
      <c r="M134" s="1037">
        <f>'Balance Sheet'!AA45</f>
        <v>0</v>
      </c>
      <c r="N134" s="1037">
        <f>'Balance Sheet'!AB45</f>
        <v>0</v>
      </c>
      <c r="O134" s="1037">
        <f>'Balance Sheet'!AC45</f>
        <v>0</v>
      </c>
      <c r="P134" s="1037">
        <f>'Balance Sheet'!AD45</f>
        <v>0</v>
      </c>
      <c r="Q134" s="1037">
        <f>'Balance Sheet'!AE45</f>
        <v>0</v>
      </c>
      <c r="R134" s="1037">
        <f>'Balance Sheet'!AF45</f>
        <v>0</v>
      </c>
    </row>
    <row r="135" spans="2:18">
      <c r="B135" s="1035" t="str">
        <f>'Balance Sheet'!A46</f>
        <v>Other</v>
      </c>
      <c r="C135" s="1037"/>
      <c r="D135" s="1037"/>
      <c r="E135" s="1037"/>
      <c r="F135" s="1037">
        <f>F136-SUM(F127:F134)</f>
        <v>-113</v>
      </c>
      <c r="G135" s="1037">
        <f t="shared" ref="G135:Q135" si="20">G136-SUM(G127:G134)</f>
        <v>-115</v>
      </c>
      <c r="H135" s="1037">
        <f t="shared" si="20"/>
        <v>-59</v>
      </c>
      <c r="I135" s="1037">
        <f t="shared" si="20"/>
        <v>-287.87198399800036</v>
      </c>
      <c r="J135" s="1037">
        <f t="shared" si="20"/>
        <v>-321.07386557488644</v>
      </c>
      <c r="K135" s="1037">
        <f t="shared" si="20"/>
        <v>-350.02025298465014</v>
      </c>
      <c r="L135" s="1037">
        <f t="shared" si="20"/>
        <v>-372.16854636591597</v>
      </c>
      <c r="M135" s="1037">
        <f t="shared" si="20"/>
        <v>-372.16854636591597</v>
      </c>
      <c r="N135" s="1037">
        <f t="shared" si="20"/>
        <v>-378</v>
      </c>
      <c r="O135" s="1037">
        <f t="shared" si="20"/>
        <v>-385</v>
      </c>
      <c r="P135" s="1037">
        <f t="shared" si="20"/>
        <v>-385</v>
      </c>
      <c r="Q135" s="1037">
        <f t="shared" si="20"/>
        <v>-388</v>
      </c>
      <c r="R135" s="1037">
        <f t="shared" ref="R135" si="21">R136-SUM(R127:R134)</f>
        <v>-388</v>
      </c>
    </row>
    <row r="136" spans="2:18" s="1036" customFormat="1">
      <c r="B136" s="1268" t="str">
        <f>'Balance Sheet'!A47</f>
        <v>Current liabilities</v>
      </c>
      <c r="C136" s="1269"/>
      <c r="D136" s="1269"/>
      <c r="E136" s="1269"/>
      <c r="F136" s="1269">
        <f>'Balance Sheet'!T47</f>
        <v>-21091</v>
      </c>
      <c r="G136" s="1269">
        <f>'Balance Sheet'!U47</f>
        <v>-22876</v>
      </c>
      <c r="H136" s="1269">
        <f>'Balance Sheet'!V47</f>
        <v>-19026</v>
      </c>
      <c r="I136" s="1269">
        <f>'Balance Sheet'!W47</f>
        <v>-19828</v>
      </c>
      <c r="J136" s="1269">
        <f>'Balance Sheet'!X47</f>
        <v>-27427</v>
      </c>
      <c r="K136" s="1269">
        <f>'Balance Sheet'!Y47</f>
        <v>-30777</v>
      </c>
      <c r="L136" s="1269">
        <f>'Balance Sheet'!Z47</f>
        <v>-37440</v>
      </c>
      <c r="M136" s="1269">
        <f>'Balance Sheet'!AA47</f>
        <v>-38599.988301825586</v>
      </c>
      <c r="N136" s="1269">
        <f>'Balance Sheet'!AB47</f>
        <v>-40164.131989819485</v>
      </c>
      <c r="O136" s="1269">
        <f>'Balance Sheet'!AC47</f>
        <v>-41910.061155575349</v>
      </c>
      <c r="P136" s="1269">
        <f>'Balance Sheet'!AD47</f>
        <v>-43117.700379950664</v>
      </c>
      <c r="Q136" s="1269">
        <f>'Balance Sheet'!AE47</f>
        <v>-44083.419572037252</v>
      </c>
      <c r="R136" s="1269">
        <f>'Balance Sheet'!AF47</f>
        <v>-44879.477671882298</v>
      </c>
    </row>
    <row r="137" spans="2:18">
      <c r="C137" s="1037"/>
      <c r="D137" s="1037"/>
      <c r="E137" s="1037"/>
      <c r="F137" s="1037"/>
      <c r="G137" s="1037"/>
      <c r="H137" s="1037"/>
      <c r="I137" s="1037"/>
      <c r="J137" s="1037"/>
      <c r="K137" s="1037"/>
      <c r="L137" s="1037"/>
      <c r="M137" s="1037"/>
      <c r="N137" s="1037"/>
      <c r="O137" s="1037"/>
      <c r="P137" s="1037"/>
      <c r="Q137" s="1037"/>
      <c r="R137" s="1037"/>
    </row>
    <row r="138" spans="2:18">
      <c r="B138" s="1035" t="str">
        <f>'Balance Sheet'!A49</f>
        <v>Share capital</v>
      </c>
      <c r="C138" s="1037"/>
      <c r="D138" s="1037"/>
      <c r="E138" s="1037"/>
      <c r="F138" s="1037">
        <f>'Balance Sheet'!T49</f>
        <v>87</v>
      </c>
      <c r="G138" s="1037">
        <f>'Balance Sheet'!U49</f>
        <v>85</v>
      </c>
      <c r="H138" s="1037">
        <f>'Balance Sheet'!V49</f>
        <v>85</v>
      </c>
      <c r="I138" s="1037">
        <f>'Balance Sheet'!W49</f>
        <v>85</v>
      </c>
      <c r="J138" s="1037">
        <f>'Balance Sheet'!X49</f>
        <v>85</v>
      </c>
      <c r="K138" s="1037">
        <f>'Balance Sheet'!Y49</f>
        <v>85</v>
      </c>
      <c r="L138" s="1037">
        <f>'Balance Sheet'!Z49</f>
        <v>85</v>
      </c>
      <c r="M138" s="1037">
        <f>'Balance Sheet'!AA49</f>
        <v>85</v>
      </c>
      <c r="N138" s="1037">
        <f>'Balance Sheet'!AB49</f>
        <v>85</v>
      </c>
      <c r="O138" s="1037">
        <f>'Balance Sheet'!AC49</f>
        <v>85</v>
      </c>
      <c r="P138" s="1037">
        <f>'Balance Sheet'!AD49</f>
        <v>85</v>
      </c>
      <c r="Q138" s="1037">
        <f>'Balance Sheet'!AE49</f>
        <v>85</v>
      </c>
      <c r="R138" s="1037">
        <f>'Balance Sheet'!AF49</f>
        <v>85</v>
      </c>
    </row>
    <row r="139" spans="2:18">
      <c r="B139" s="1035" t="str">
        <f>'Balance Sheet'!A50</f>
        <v>Retained Earnings</v>
      </c>
      <c r="C139" s="1037"/>
      <c r="D139" s="1037"/>
      <c r="E139" s="1037"/>
      <c r="F139" s="1037">
        <f>'Balance Sheet'!T50</f>
        <v>10585</v>
      </c>
      <c r="G139" s="1037">
        <f>'Balance Sheet'!U50</f>
        <v>9839</v>
      </c>
      <c r="H139" s="1037">
        <f>'Balance Sheet'!V50</f>
        <v>11912</v>
      </c>
      <c r="I139" s="1037">
        <f>'Balance Sheet'!W50</f>
        <v>12713</v>
      </c>
      <c r="J139" s="1037">
        <f>'Balance Sheet'!X50</f>
        <v>12785</v>
      </c>
      <c r="K139" s="1037">
        <f>'Balance Sheet'!Y50</f>
        <v>8048</v>
      </c>
      <c r="L139" s="1037">
        <f>'Balance Sheet'!Z50</f>
        <v>10758</v>
      </c>
      <c r="M139" s="1037">
        <f>'Balance Sheet'!AA50</f>
        <v>7634.1663630000003</v>
      </c>
      <c r="N139" s="1037">
        <f>'Balance Sheet'!AB50</f>
        <v>8364.4913337558555</v>
      </c>
      <c r="O139" s="1037">
        <f>'Balance Sheet'!AC50</f>
        <v>9495.7192849596704</v>
      </c>
      <c r="P139" s="1037">
        <f>'Balance Sheet'!AD50</f>
        <v>11244.7840958795</v>
      </c>
      <c r="Q139" s="1037">
        <f>'Balance Sheet'!AE50</f>
        <v>14582.234216496418</v>
      </c>
      <c r="R139" s="1037">
        <f>'Balance Sheet'!AF50</f>
        <v>18124.038541124657</v>
      </c>
    </row>
    <row r="140" spans="2:18" hidden="1">
      <c r="B140" s="1035" t="str">
        <f>'Balance Sheet'!A51</f>
        <v>Net unrealised gain on available-for-sale financial assets</v>
      </c>
      <c r="C140" s="1037"/>
      <c r="D140" s="1037"/>
      <c r="E140" s="1037"/>
      <c r="F140" s="1037">
        <f>'Balance Sheet'!T51</f>
        <v>0</v>
      </c>
      <c r="G140" s="1037">
        <f>'Balance Sheet'!U51</f>
        <v>0</v>
      </c>
      <c r="H140" s="1037">
        <f>'Balance Sheet'!V51</f>
        <v>0</v>
      </c>
      <c r="I140" s="1037">
        <f>'Balance Sheet'!W51</f>
        <v>0</v>
      </c>
      <c r="J140" s="1037">
        <f>'Balance Sheet'!X51</f>
        <v>0</v>
      </c>
      <c r="K140" s="1037">
        <f>'Balance Sheet'!Y51</f>
        <v>0</v>
      </c>
      <c r="L140" s="1037">
        <f>'Balance Sheet'!Z51</f>
        <v>0</v>
      </c>
      <c r="M140" s="1037">
        <f>'Balance Sheet'!AA51</f>
        <v>0</v>
      </c>
      <c r="N140" s="1037">
        <f>'Balance Sheet'!AB51</f>
        <v>0</v>
      </c>
      <c r="O140" s="1037">
        <f>'Balance Sheet'!AC51</f>
        <v>0</v>
      </c>
      <c r="P140" s="1037">
        <f>'Balance Sheet'!AD51</f>
        <v>0</v>
      </c>
      <c r="Q140" s="1037">
        <f>'Balance Sheet'!AE51</f>
        <v>0</v>
      </c>
      <c r="R140" s="1037">
        <f>'Balance Sheet'!AF51</f>
        <v>0</v>
      </c>
    </row>
    <row r="141" spans="2:18">
      <c r="B141" s="1035" t="str">
        <f>'Balance Sheet'!A52</f>
        <v>Profit for the period</v>
      </c>
      <c r="C141" s="1037"/>
      <c r="D141" s="1037"/>
      <c r="E141" s="1037"/>
      <c r="F141" s="1037">
        <f>'Balance Sheet'!T52</f>
        <v>1283</v>
      </c>
      <c r="G141" s="1037">
        <f>'Balance Sheet'!U52</f>
        <v>2447</v>
      </c>
      <c r="H141" s="1037">
        <f>'Balance Sheet'!V52</f>
        <v>352</v>
      </c>
      <c r="I141" s="1037">
        <f>'Balance Sheet'!W52</f>
        <v>43</v>
      </c>
      <c r="J141" s="1037">
        <f>'Balance Sheet'!X52</f>
        <v>-2459</v>
      </c>
      <c r="K141" s="1037">
        <f>'Balance Sheet'!Y52</f>
        <v>3444</v>
      </c>
      <c r="L141" s="1037">
        <f>'Balance Sheet'!Z52</f>
        <v>-667</v>
      </c>
      <c r="M141" s="1037">
        <f>'Balance Sheet'!AA52</f>
        <v>3378.8787103292052</v>
      </c>
      <c r="N141" s="1037">
        <f>'Balance Sheet'!AB52</f>
        <v>4177.9453046421168</v>
      </c>
      <c r="O141" s="1037">
        <f>'Balance Sheet'!AC52</f>
        <v>5045.033570944749</v>
      </c>
      <c r="P141" s="1037">
        <f>'Balance Sheet'!AD52</f>
        <v>5614.2336011980487</v>
      </c>
      <c r="Q141" s="1037">
        <f>'Balance Sheet'!AE52</f>
        <v>5957.9815659522574</v>
      </c>
      <c r="R141" s="1037">
        <f>'Balance Sheet'!AF52</f>
        <v>6311.1175278224646</v>
      </c>
    </row>
    <row r="142" spans="2:18">
      <c r="B142" s="1035" t="str">
        <f>'Balance Sheet'!A53</f>
        <v>Non-controlling interests</v>
      </c>
      <c r="C142" s="1037"/>
      <c r="D142" s="1037"/>
      <c r="E142" s="1037"/>
      <c r="F142" s="1037">
        <f>'Balance Sheet'!T53</f>
        <v>346</v>
      </c>
      <c r="G142" s="1037">
        <f>'Balance Sheet'!U53</f>
        <v>377</v>
      </c>
      <c r="H142" s="1037">
        <f>'Balance Sheet'!V53</f>
        <v>401</v>
      </c>
      <c r="I142" s="1037">
        <f>'Balance Sheet'!W53</f>
        <v>429</v>
      </c>
      <c r="J142" s="1037">
        <f>'Balance Sheet'!X53</f>
        <v>455</v>
      </c>
      <c r="K142" s="1037">
        <f>'Balance Sheet'!Y53</f>
        <v>511</v>
      </c>
      <c r="L142" s="1037">
        <f>'Balance Sheet'!Z53</f>
        <v>549</v>
      </c>
      <c r="M142" s="1037">
        <f>'Balance Sheet'!AA53</f>
        <v>651.88746416730805</v>
      </c>
      <c r="N142" s="1037">
        <f>'Balance Sheet'!AB53</f>
        <v>766.47488713182213</v>
      </c>
      <c r="O142" s="1037">
        <f>'Balance Sheet'!AC53</f>
        <v>893.17767088556843</v>
      </c>
      <c r="P142" s="1037">
        <f>'Balance Sheet'!AD53</f>
        <v>1030.6014885411905</v>
      </c>
      <c r="Q142" s="1037">
        <f>'Balance Sheet'!AE53</f>
        <v>1174.7736870658905</v>
      </c>
      <c r="R142" s="1037">
        <f>'Balance Sheet'!AF53</f>
        <v>1325.9246948514501</v>
      </c>
    </row>
    <row r="143" spans="2:18" hidden="1">
      <c r="B143" s="1035" t="s">
        <v>776</v>
      </c>
      <c r="C143" s="1037"/>
      <c r="D143" s="1037"/>
      <c r="E143" s="1037"/>
      <c r="F143" s="1037">
        <f>F144-SUM(F138:F142)</f>
        <v>0</v>
      </c>
      <c r="G143" s="1037">
        <f t="shared" ref="G143:Q143" si="22">G144-SUM(G138:G142)</f>
        <v>0</v>
      </c>
      <c r="H143" s="1037">
        <f t="shared" si="22"/>
        <v>0</v>
      </c>
      <c r="I143" s="1037">
        <f t="shared" si="22"/>
        <v>0</v>
      </c>
      <c r="J143" s="1037">
        <f t="shared" si="22"/>
        <v>0</v>
      </c>
      <c r="K143" s="1037">
        <f t="shared" si="22"/>
        <v>0</v>
      </c>
      <c r="L143" s="1037">
        <f t="shared" si="22"/>
        <v>0</v>
      </c>
      <c r="M143" s="1037">
        <f t="shared" si="22"/>
        <v>0</v>
      </c>
      <c r="N143" s="1037">
        <f t="shared" si="22"/>
        <v>0</v>
      </c>
      <c r="O143" s="1037">
        <f t="shared" si="22"/>
        <v>0</v>
      </c>
      <c r="P143" s="1037">
        <f t="shared" si="22"/>
        <v>0</v>
      </c>
      <c r="Q143" s="1037">
        <f t="shared" si="22"/>
        <v>0</v>
      </c>
      <c r="R143" s="1037">
        <f t="shared" ref="R143" si="23">R144-SUM(R138:R142)</f>
        <v>0</v>
      </c>
    </row>
    <row r="144" spans="2:18" s="1036" customFormat="1">
      <c r="B144" s="1268" t="str">
        <f>'Balance Sheet'!A54</f>
        <v>Total Equity</v>
      </c>
      <c r="C144" s="1269"/>
      <c r="D144" s="1269"/>
      <c r="E144" s="1269"/>
      <c r="F144" s="1269">
        <f>'Balance Sheet'!T54</f>
        <v>12301</v>
      </c>
      <c r="G144" s="1269">
        <f>'Balance Sheet'!U54</f>
        <v>12748</v>
      </c>
      <c r="H144" s="1269">
        <f>'Balance Sheet'!V54</f>
        <v>12750</v>
      </c>
      <c r="I144" s="1269">
        <f>'Balance Sheet'!W54</f>
        <v>13270</v>
      </c>
      <c r="J144" s="1269">
        <f>'Balance Sheet'!X54</f>
        <v>10866</v>
      </c>
      <c r="K144" s="1269">
        <f>'Balance Sheet'!Y54</f>
        <v>12088</v>
      </c>
      <c r="L144" s="1269">
        <f>'Balance Sheet'!Z54</f>
        <v>10725</v>
      </c>
      <c r="M144" s="1269">
        <f>'Balance Sheet'!AA54</f>
        <v>11749.932537496514</v>
      </c>
      <c r="N144" s="1269">
        <f>'Balance Sheet'!AB54</f>
        <v>13393.911525529795</v>
      </c>
      <c r="O144" s="1269">
        <f>'Balance Sheet'!AC54</f>
        <v>15518.930526789987</v>
      </c>
      <c r="P144" s="1269">
        <f>'Balance Sheet'!AD54</f>
        <v>17974.61918561874</v>
      </c>
      <c r="Q144" s="1269">
        <f>'Balance Sheet'!AE54</f>
        <v>21799.989469514567</v>
      </c>
      <c r="R144" s="1269">
        <f>'Balance Sheet'!AF54</f>
        <v>25846.080763798571</v>
      </c>
    </row>
    <row r="145" spans="6:18">
      <c r="F145" s="1037"/>
      <c r="G145" s="1037"/>
      <c r="H145" s="1037"/>
      <c r="I145" s="1037"/>
      <c r="J145" s="1037"/>
      <c r="K145" s="1037"/>
      <c r="L145" s="1037"/>
      <c r="M145" s="1037"/>
      <c r="N145" s="1037"/>
      <c r="O145" s="1037"/>
      <c r="P145" s="1037"/>
      <c r="Q145" s="1037"/>
      <c r="R145" s="1037"/>
    </row>
    <row r="146" spans="6:18">
      <c r="F146" s="1037"/>
      <c r="G146" s="1037"/>
      <c r="H146" s="1037"/>
      <c r="I146" s="1037"/>
      <c r="J146" s="1037"/>
      <c r="K146" s="1037"/>
      <c r="L146" s="1037"/>
      <c r="M146" s="1037"/>
      <c r="N146" s="1037"/>
      <c r="O146" s="1037"/>
      <c r="P146" s="1037"/>
      <c r="Q146" s="1037"/>
      <c r="R146" s="1037"/>
    </row>
  </sheetData>
  <printOptions horizontalCentered="1" verticalCentered="1"/>
  <pageMargins left="0.7" right="0.7" top="0.75" bottom="0.75" header="0.3" footer="0.3"/>
  <pageSetup paperSize="9" orientation="portrait" horizontalDpi="200" verticalDpi="200" r:id="rId1"/>
  <customProperties>
    <customPr name="Qube.Worksheet.Visibility" r:id="rId2"/>
    <customPr name="QXL_SHEET_ID" r:id="rId3"/>
  </customPropertie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840F19-65D2-4229-8F55-FE95A9628490}">
  <sheetPr codeName="Sheet12">
    <tabColor theme="4"/>
  </sheetPr>
  <dimension ref="A1:EJ143"/>
  <sheetViews>
    <sheetView showGridLines="0" zoomScaleNormal="100" workbookViewId="0">
      <pane xSplit="81" ySplit="5" topLeftCell="CD6" activePane="bottomRight" state="frozen"/>
      <selection pane="topRight" activeCell="CD1" sqref="CD1"/>
      <selection pane="bottomLeft" activeCell="A6" sqref="A6"/>
      <selection pane="bottomRight" activeCell="CD6" sqref="CD6"/>
    </sheetView>
  </sheetViews>
  <sheetFormatPr defaultRowHeight="14.25" outlineLevelRow="1" outlineLevelCol="1"/>
  <cols>
    <col min="1" max="1" width="29.625" bestFit="1" customWidth="1"/>
    <col min="2" max="2" width="9" style="1336" hidden="1" customWidth="1" outlineLevel="1"/>
    <col min="3" max="8" width="9" hidden="1" customWidth="1" outlineLevel="1"/>
    <col min="9" max="9" width="9" style="1328" hidden="1" customWidth="1" outlineLevel="1"/>
    <col min="10" max="16" width="9" hidden="1" customWidth="1" outlineLevel="1"/>
    <col min="17" max="17" width="9" style="1328" hidden="1" customWidth="1" outlineLevel="1"/>
    <col min="18" max="24" width="9" hidden="1" customWidth="1" outlineLevel="1"/>
    <col min="25" max="25" width="9" style="1328" hidden="1" customWidth="1" outlineLevel="1"/>
    <col min="26" max="32" width="9" hidden="1" customWidth="1" outlineLevel="1"/>
    <col min="33" max="33" width="9" style="1328" hidden="1" customWidth="1" outlineLevel="1"/>
    <col min="34" max="40" width="9" hidden="1" customWidth="1" outlineLevel="1"/>
    <col min="41" max="41" width="9" style="1328" hidden="1" customWidth="1" outlineLevel="1"/>
    <col min="42" max="48" width="9" hidden="1" customWidth="1" outlineLevel="1"/>
    <col min="49" max="49" width="9" style="1328" hidden="1" customWidth="1" outlineLevel="1"/>
    <col min="50" max="56" width="9" hidden="1" customWidth="1" outlineLevel="1"/>
    <col min="57" max="57" width="9" style="1328" hidden="1" customWidth="1" outlineLevel="1"/>
    <col min="58" max="64" width="9" hidden="1" customWidth="1" outlineLevel="1"/>
    <col min="65" max="65" width="9" style="1328" hidden="1" customWidth="1" outlineLevel="1"/>
    <col min="66" max="72" width="9" hidden="1" customWidth="1" outlineLevel="1"/>
    <col min="73" max="73" width="9" style="1328" hidden="1" customWidth="1" outlineLevel="1"/>
    <col min="74" max="80" width="9" hidden="1" customWidth="1" outlineLevel="1"/>
    <col min="81" max="81" width="9" style="1328" hidden="1" customWidth="1" outlineLevel="1"/>
    <col min="82" max="82" width="9" collapsed="1"/>
    <col min="89" max="89" width="9" style="1328"/>
    <col min="97" max="97" width="9" style="1328"/>
    <col min="105" max="105" width="9" style="1328"/>
    <col min="113" max="113" width="9" style="1328"/>
    <col min="116" max="116" width="9" style="1349"/>
    <col min="121" max="121" width="9" style="1328"/>
    <col min="122" max="122" width="9" style="1527"/>
    <col min="123" max="128" width="9" customWidth="1"/>
    <col min="129" max="129" width="9" style="1328" customWidth="1"/>
    <col min="130" max="136" width="9" hidden="1" customWidth="1" outlineLevel="1"/>
    <col min="137" max="137" width="9" style="1328" hidden="1" customWidth="1" outlineLevel="1"/>
    <col min="138" max="138" width="9" collapsed="1"/>
  </cols>
  <sheetData>
    <row r="1" spans="1:140" s="1311" customFormat="1" ht="12.75">
      <c r="A1" s="184"/>
      <c r="B1" s="1333">
        <v>2011</v>
      </c>
      <c r="C1" s="1308">
        <v>2011</v>
      </c>
      <c r="D1" s="1308">
        <v>2011</v>
      </c>
      <c r="E1" s="1308">
        <v>2011</v>
      </c>
      <c r="F1" s="1308">
        <v>2011</v>
      </c>
      <c r="G1" s="1308">
        <v>2011</v>
      </c>
      <c r="H1" s="1308">
        <v>2011</v>
      </c>
      <c r="I1" s="1324">
        <v>2011</v>
      </c>
      <c r="J1" s="1323">
        <v>2012</v>
      </c>
      <c r="K1" s="1308">
        <v>2012</v>
      </c>
      <c r="L1" s="1308">
        <v>2012</v>
      </c>
      <c r="M1" s="1308">
        <v>2012</v>
      </c>
      <c r="N1" s="1308">
        <v>2012</v>
      </c>
      <c r="O1" s="1308">
        <v>2012</v>
      </c>
      <c r="P1" s="1308">
        <v>2012</v>
      </c>
      <c r="Q1" s="1324">
        <v>2012</v>
      </c>
      <c r="R1" s="1323">
        <v>2013</v>
      </c>
      <c r="S1" s="1308">
        <v>2013</v>
      </c>
      <c r="T1" s="1308">
        <v>2013</v>
      </c>
      <c r="U1" s="1308">
        <v>2013</v>
      </c>
      <c r="V1" s="1308">
        <v>2013</v>
      </c>
      <c r="W1" s="1308">
        <v>2013</v>
      </c>
      <c r="X1" s="1308">
        <v>2013</v>
      </c>
      <c r="Y1" s="1324">
        <v>2013</v>
      </c>
      <c r="Z1" s="1323">
        <v>2014</v>
      </c>
      <c r="AA1" s="1308">
        <v>2014</v>
      </c>
      <c r="AB1" s="1308">
        <v>2014</v>
      </c>
      <c r="AC1" s="1308">
        <v>2014</v>
      </c>
      <c r="AD1" s="1308">
        <v>2014</v>
      </c>
      <c r="AE1" s="1308">
        <v>2014</v>
      </c>
      <c r="AF1" s="1308">
        <v>2014</v>
      </c>
      <c r="AG1" s="1324">
        <v>2014</v>
      </c>
      <c r="AH1" s="1323">
        <v>2015</v>
      </c>
      <c r="AI1" s="1308">
        <f t="shared" ref="AI1:AO1" si="0">AH1</f>
        <v>2015</v>
      </c>
      <c r="AJ1" s="1308">
        <f t="shared" si="0"/>
        <v>2015</v>
      </c>
      <c r="AK1" s="1308">
        <f t="shared" si="0"/>
        <v>2015</v>
      </c>
      <c r="AL1" s="1308">
        <f t="shared" si="0"/>
        <v>2015</v>
      </c>
      <c r="AM1" s="1308">
        <f t="shared" si="0"/>
        <v>2015</v>
      </c>
      <c r="AN1" s="1308">
        <f t="shared" si="0"/>
        <v>2015</v>
      </c>
      <c r="AO1" s="1324">
        <f t="shared" si="0"/>
        <v>2015</v>
      </c>
      <c r="AP1" s="1323">
        <v>2016</v>
      </c>
      <c r="AQ1" s="1308">
        <f t="shared" ref="AQ1:AW1" si="1">AP1</f>
        <v>2016</v>
      </c>
      <c r="AR1" s="1308">
        <f t="shared" si="1"/>
        <v>2016</v>
      </c>
      <c r="AS1" s="1308">
        <f t="shared" si="1"/>
        <v>2016</v>
      </c>
      <c r="AT1" s="1308">
        <f t="shared" si="1"/>
        <v>2016</v>
      </c>
      <c r="AU1" s="1308">
        <f t="shared" si="1"/>
        <v>2016</v>
      </c>
      <c r="AV1" s="1308">
        <f t="shared" si="1"/>
        <v>2016</v>
      </c>
      <c r="AW1" s="1324">
        <f t="shared" si="1"/>
        <v>2016</v>
      </c>
      <c r="AX1" s="1323">
        <v>2017</v>
      </c>
      <c r="AY1" s="1308">
        <f t="shared" ref="AY1:BE1" si="2">AX1</f>
        <v>2017</v>
      </c>
      <c r="AZ1" s="1308">
        <f t="shared" si="2"/>
        <v>2017</v>
      </c>
      <c r="BA1" s="1308">
        <f t="shared" si="2"/>
        <v>2017</v>
      </c>
      <c r="BB1" s="1308">
        <f t="shared" si="2"/>
        <v>2017</v>
      </c>
      <c r="BC1" s="1308">
        <f t="shared" si="2"/>
        <v>2017</v>
      </c>
      <c r="BD1" s="1308">
        <f t="shared" si="2"/>
        <v>2017</v>
      </c>
      <c r="BE1" s="1324">
        <f t="shared" si="2"/>
        <v>2017</v>
      </c>
      <c r="BF1" s="1323">
        <v>2018</v>
      </c>
      <c r="BG1" s="1308">
        <f t="shared" ref="BG1:BM1" si="3">BF1</f>
        <v>2018</v>
      </c>
      <c r="BH1" s="1308">
        <f t="shared" si="3"/>
        <v>2018</v>
      </c>
      <c r="BI1" s="1308">
        <f t="shared" si="3"/>
        <v>2018</v>
      </c>
      <c r="BJ1" s="1308">
        <f t="shared" si="3"/>
        <v>2018</v>
      </c>
      <c r="BK1" s="1308">
        <f t="shared" si="3"/>
        <v>2018</v>
      </c>
      <c r="BL1" s="1308">
        <f t="shared" si="3"/>
        <v>2018</v>
      </c>
      <c r="BM1" s="1324">
        <f t="shared" si="3"/>
        <v>2018</v>
      </c>
      <c r="BN1" s="1323">
        <f>BF1+1</f>
        <v>2019</v>
      </c>
      <c r="BO1" s="1308">
        <f t="shared" ref="BO1:DZ1" si="4">BG1+1</f>
        <v>2019</v>
      </c>
      <c r="BP1" s="1308">
        <f t="shared" si="4"/>
        <v>2019</v>
      </c>
      <c r="BQ1" s="1308">
        <f t="shared" si="4"/>
        <v>2019</v>
      </c>
      <c r="BR1" s="1308">
        <f t="shared" si="4"/>
        <v>2019</v>
      </c>
      <c r="BS1" s="1308">
        <f t="shared" si="4"/>
        <v>2019</v>
      </c>
      <c r="BT1" s="1308">
        <f t="shared" si="4"/>
        <v>2019</v>
      </c>
      <c r="BU1" s="1324">
        <f t="shared" si="4"/>
        <v>2019</v>
      </c>
      <c r="BV1" s="1323">
        <f t="shared" si="4"/>
        <v>2020</v>
      </c>
      <c r="BW1" s="1308">
        <f t="shared" si="4"/>
        <v>2020</v>
      </c>
      <c r="BX1" s="1308">
        <f t="shared" si="4"/>
        <v>2020</v>
      </c>
      <c r="BY1" s="1308">
        <f t="shared" si="4"/>
        <v>2020</v>
      </c>
      <c r="BZ1" s="1308">
        <f t="shared" si="4"/>
        <v>2020</v>
      </c>
      <c r="CA1" s="1308">
        <f t="shared" si="4"/>
        <v>2020</v>
      </c>
      <c r="CB1" s="1308">
        <f t="shared" si="4"/>
        <v>2020</v>
      </c>
      <c r="CC1" s="1324">
        <f t="shared" si="4"/>
        <v>2020</v>
      </c>
      <c r="CD1" s="1323">
        <f t="shared" si="4"/>
        <v>2021</v>
      </c>
      <c r="CE1" s="1308">
        <f t="shared" si="4"/>
        <v>2021</v>
      </c>
      <c r="CF1" s="1308">
        <f t="shared" si="4"/>
        <v>2021</v>
      </c>
      <c r="CG1" s="1308">
        <f t="shared" si="4"/>
        <v>2021</v>
      </c>
      <c r="CH1" s="1308">
        <f t="shared" si="4"/>
        <v>2021</v>
      </c>
      <c r="CI1" s="1308">
        <f t="shared" si="4"/>
        <v>2021</v>
      </c>
      <c r="CJ1" s="1308">
        <f t="shared" si="4"/>
        <v>2021</v>
      </c>
      <c r="CK1" s="1324">
        <f t="shared" si="4"/>
        <v>2021</v>
      </c>
      <c r="CL1" s="1323">
        <f t="shared" si="4"/>
        <v>2022</v>
      </c>
      <c r="CM1" s="1308">
        <f t="shared" si="4"/>
        <v>2022</v>
      </c>
      <c r="CN1" s="1308">
        <f t="shared" si="4"/>
        <v>2022</v>
      </c>
      <c r="CO1" s="1308">
        <f t="shared" si="4"/>
        <v>2022</v>
      </c>
      <c r="CP1" s="1308">
        <f t="shared" si="4"/>
        <v>2022</v>
      </c>
      <c r="CQ1" s="1308">
        <f t="shared" si="4"/>
        <v>2022</v>
      </c>
      <c r="CR1" s="1308">
        <f t="shared" si="4"/>
        <v>2022</v>
      </c>
      <c r="CS1" s="1324">
        <f t="shared" si="4"/>
        <v>2022</v>
      </c>
      <c r="CT1" s="1338">
        <f t="shared" si="4"/>
        <v>2023</v>
      </c>
      <c r="CU1" s="1309">
        <f t="shared" si="4"/>
        <v>2023</v>
      </c>
      <c r="CV1" s="1309">
        <f t="shared" si="4"/>
        <v>2023</v>
      </c>
      <c r="CW1" s="1309">
        <f t="shared" si="4"/>
        <v>2023</v>
      </c>
      <c r="CX1" s="1309">
        <f t="shared" si="4"/>
        <v>2023</v>
      </c>
      <c r="CY1" s="1309">
        <f t="shared" si="4"/>
        <v>2023</v>
      </c>
      <c r="CZ1" s="1309">
        <f t="shared" si="4"/>
        <v>2023</v>
      </c>
      <c r="DA1" s="1339">
        <f t="shared" si="4"/>
        <v>2023</v>
      </c>
      <c r="DB1" s="1338">
        <f t="shared" si="4"/>
        <v>2024</v>
      </c>
      <c r="DC1" s="1309">
        <f t="shared" si="4"/>
        <v>2024</v>
      </c>
      <c r="DD1" s="1309">
        <f t="shared" si="4"/>
        <v>2024</v>
      </c>
      <c r="DE1" s="1309">
        <f t="shared" si="4"/>
        <v>2024</v>
      </c>
      <c r="DF1" s="1309">
        <f t="shared" si="4"/>
        <v>2024</v>
      </c>
      <c r="DG1" s="1309">
        <f t="shared" si="4"/>
        <v>2024</v>
      </c>
      <c r="DH1" s="1309">
        <f t="shared" si="4"/>
        <v>2024</v>
      </c>
      <c r="DI1" s="1339">
        <f t="shared" si="4"/>
        <v>2024</v>
      </c>
      <c r="DJ1" s="1338">
        <f t="shared" si="4"/>
        <v>2025</v>
      </c>
      <c r="DK1" s="1309">
        <f t="shared" si="4"/>
        <v>2025</v>
      </c>
      <c r="DL1" s="1309">
        <f t="shared" si="4"/>
        <v>2025</v>
      </c>
      <c r="DM1" s="1310">
        <f t="shared" si="4"/>
        <v>2025</v>
      </c>
      <c r="DN1" s="1310">
        <f t="shared" si="4"/>
        <v>2025</v>
      </c>
      <c r="DO1" s="1310">
        <f t="shared" si="4"/>
        <v>2025</v>
      </c>
      <c r="DP1" s="1310">
        <f t="shared" si="4"/>
        <v>2025</v>
      </c>
      <c r="DQ1" s="1524">
        <f t="shared" si="4"/>
        <v>2025</v>
      </c>
      <c r="DR1" s="1523">
        <f t="shared" si="4"/>
        <v>2026</v>
      </c>
      <c r="DS1" s="1523">
        <f t="shared" si="4"/>
        <v>2026</v>
      </c>
      <c r="DT1" s="1310">
        <f t="shared" si="4"/>
        <v>2026</v>
      </c>
      <c r="DU1" s="1310">
        <f t="shared" si="4"/>
        <v>2026</v>
      </c>
      <c r="DV1" s="1310">
        <f t="shared" si="4"/>
        <v>2026</v>
      </c>
      <c r="DW1" s="1310">
        <f t="shared" si="4"/>
        <v>2026</v>
      </c>
      <c r="DX1" s="1310">
        <f t="shared" si="4"/>
        <v>2026</v>
      </c>
      <c r="DY1" s="1524">
        <f t="shared" si="4"/>
        <v>2026</v>
      </c>
      <c r="DZ1" s="1523">
        <f t="shared" si="4"/>
        <v>2027</v>
      </c>
      <c r="EA1" s="1310">
        <f t="shared" ref="EA1:EG1" si="5">DS1+1</f>
        <v>2027</v>
      </c>
      <c r="EB1" s="1310">
        <f t="shared" si="5"/>
        <v>2027</v>
      </c>
      <c r="EC1" s="1310">
        <f t="shared" si="5"/>
        <v>2027</v>
      </c>
      <c r="ED1" s="1310">
        <f t="shared" si="5"/>
        <v>2027</v>
      </c>
      <c r="EE1" s="1310">
        <f t="shared" si="5"/>
        <v>2027</v>
      </c>
      <c r="EF1" s="1310">
        <f t="shared" si="5"/>
        <v>2027</v>
      </c>
      <c r="EG1" s="1524">
        <f t="shared" si="5"/>
        <v>2027</v>
      </c>
      <c r="EJ1" s="1311" t="s">
        <v>1899</v>
      </c>
    </row>
    <row r="2" spans="1:140" s="1311" customFormat="1" ht="12.75">
      <c r="A2" s="1312"/>
      <c r="B2" s="1334" t="s">
        <v>1900</v>
      </c>
      <c r="C2" s="1313" t="s">
        <v>1901</v>
      </c>
      <c r="D2" s="1313" t="s">
        <v>1902</v>
      </c>
      <c r="E2" s="1313" t="s">
        <v>1903</v>
      </c>
      <c r="F2" s="1313" t="s">
        <v>1904</v>
      </c>
      <c r="G2" s="1313" t="s">
        <v>1905</v>
      </c>
      <c r="H2" s="1313" t="s">
        <v>1906</v>
      </c>
      <c r="I2" s="1325" t="s">
        <v>1907</v>
      </c>
      <c r="J2" s="1313" t="s">
        <v>1900</v>
      </c>
      <c r="K2" s="1313" t="s">
        <v>1901</v>
      </c>
      <c r="L2" s="1313" t="s">
        <v>1902</v>
      </c>
      <c r="M2" s="1313" t="s">
        <v>1903</v>
      </c>
      <c r="N2" s="1313" t="s">
        <v>1904</v>
      </c>
      <c r="O2" s="1313" t="s">
        <v>1905</v>
      </c>
      <c r="P2" s="1313" t="s">
        <v>1906</v>
      </c>
      <c r="Q2" s="1325" t="s">
        <v>1907</v>
      </c>
      <c r="R2" s="1313" t="s">
        <v>1900</v>
      </c>
      <c r="S2" s="1313" t="s">
        <v>1901</v>
      </c>
      <c r="T2" s="1313" t="s">
        <v>1902</v>
      </c>
      <c r="U2" s="1313" t="s">
        <v>1903</v>
      </c>
      <c r="V2" s="1313" t="s">
        <v>1904</v>
      </c>
      <c r="W2" s="1313" t="s">
        <v>1905</v>
      </c>
      <c r="X2" s="1313" t="s">
        <v>1906</v>
      </c>
      <c r="Y2" s="1325" t="s">
        <v>1907</v>
      </c>
      <c r="Z2" s="1313" t="s">
        <v>1900</v>
      </c>
      <c r="AA2" s="1313" t="s">
        <v>1901</v>
      </c>
      <c r="AB2" s="1313" t="s">
        <v>1902</v>
      </c>
      <c r="AC2" s="1313" t="s">
        <v>1903</v>
      </c>
      <c r="AD2" s="1313" t="s">
        <v>1904</v>
      </c>
      <c r="AE2" s="1313" t="s">
        <v>1905</v>
      </c>
      <c r="AF2" s="1313" t="s">
        <v>1906</v>
      </c>
      <c r="AG2" s="1325" t="s">
        <v>1907</v>
      </c>
      <c r="AH2" s="1313" t="s">
        <v>1900</v>
      </c>
      <c r="AI2" s="1313" t="s">
        <v>1901</v>
      </c>
      <c r="AJ2" s="1313" t="s">
        <v>1902</v>
      </c>
      <c r="AK2" s="1313" t="s">
        <v>1903</v>
      </c>
      <c r="AL2" s="1313" t="s">
        <v>1904</v>
      </c>
      <c r="AM2" s="1313" t="s">
        <v>1905</v>
      </c>
      <c r="AN2" s="1313" t="s">
        <v>1906</v>
      </c>
      <c r="AO2" s="1325" t="s">
        <v>1907</v>
      </c>
      <c r="AP2" s="1313" t="s">
        <v>1900</v>
      </c>
      <c r="AQ2" s="1313" t="s">
        <v>1901</v>
      </c>
      <c r="AR2" s="1313" t="s">
        <v>1902</v>
      </c>
      <c r="AS2" s="1313" t="s">
        <v>1903</v>
      </c>
      <c r="AT2" s="1313" t="s">
        <v>1904</v>
      </c>
      <c r="AU2" s="1313" t="s">
        <v>1905</v>
      </c>
      <c r="AV2" s="1313" t="s">
        <v>1906</v>
      </c>
      <c r="AW2" s="1325" t="s">
        <v>1907</v>
      </c>
      <c r="AX2" s="1313" t="s">
        <v>1900</v>
      </c>
      <c r="AY2" s="1313" t="s">
        <v>1901</v>
      </c>
      <c r="AZ2" s="1313" t="s">
        <v>1902</v>
      </c>
      <c r="BA2" s="1313" t="s">
        <v>1903</v>
      </c>
      <c r="BB2" s="1313" t="s">
        <v>1904</v>
      </c>
      <c r="BC2" s="1313" t="s">
        <v>1905</v>
      </c>
      <c r="BD2" s="1313" t="s">
        <v>1906</v>
      </c>
      <c r="BE2" s="1325" t="s">
        <v>1907</v>
      </c>
      <c r="BF2" s="1313" t="s">
        <v>1900</v>
      </c>
      <c r="BG2" s="1313" t="s">
        <v>1901</v>
      </c>
      <c r="BH2" s="1313" t="s">
        <v>1902</v>
      </c>
      <c r="BI2" s="1313" t="s">
        <v>1903</v>
      </c>
      <c r="BJ2" s="1313" t="s">
        <v>1904</v>
      </c>
      <c r="BK2" s="1313" t="s">
        <v>1905</v>
      </c>
      <c r="BL2" s="1313" t="s">
        <v>1906</v>
      </c>
      <c r="BM2" s="1325" t="s">
        <v>1907</v>
      </c>
      <c r="BN2" s="1313" t="s">
        <v>1900</v>
      </c>
      <c r="BO2" s="1313" t="s">
        <v>1901</v>
      </c>
      <c r="BP2" s="1313" t="s">
        <v>1902</v>
      </c>
      <c r="BQ2" s="1313" t="s">
        <v>1903</v>
      </c>
      <c r="BR2" s="1313" t="s">
        <v>1904</v>
      </c>
      <c r="BS2" s="1313" t="s">
        <v>1905</v>
      </c>
      <c r="BT2" s="1313" t="s">
        <v>1906</v>
      </c>
      <c r="BU2" s="1325" t="s">
        <v>1907</v>
      </c>
      <c r="BV2" s="1313" t="str">
        <f>BN2</f>
        <v>Q1</v>
      </c>
      <c r="BW2" s="1313" t="str">
        <f t="shared" ref="BW2:EG2" si="6">BO2</f>
        <v>Q2</v>
      </c>
      <c r="BX2" s="1313" t="str">
        <f t="shared" si="6"/>
        <v>H1</v>
      </c>
      <c r="BY2" s="1313" t="str">
        <f t="shared" si="6"/>
        <v>Q3</v>
      </c>
      <c r="BZ2" s="1313" t="str">
        <f t="shared" si="6"/>
        <v>9M</v>
      </c>
      <c r="CA2" s="1313" t="str">
        <f t="shared" si="6"/>
        <v>Q4</v>
      </c>
      <c r="CB2" s="1313" t="str">
        <f t="shared" si="6"/>
        <v>H2</v>
      </c>
      <c r="CC2" s="1325" t="str">
        <f t="shared" si="6"/>
        <v>FY</v>
      </c>
      <c r="CD2" s="1313" t="str">
        <f t="shared" si="6"/>
        <v>Q1</v>
      </c>
      <c r="CE2" s="1313" t="str">
        <f t="shared" si="6"/>
        <v>Q2</v>
      </c>
      <c r="CF2" s="1313" t="str">
        <f t="shared" si="6"/>
        <v>H1</v>
      </c>
      <c r="CG2" s="1313" t="str">
        <f t="shared" si="6"/>
        <v>Q3</v>
      </c>
      <c r="CH2" s="1313" t="str">
        <f t="shared" si="6"/>
        <v>9M</v>
      </c>
      <c r="CI2" s="1313" t="str">
        <f t="shared" si="6"/>
        <v>Q4</v>
      </c>
      <c r="CJ2" s="1313" t="str">
        <f t="shared" si="6"/>
        <v>H2</v>
      </c>
      <c r="CK2" s="1325" t="str">
        <f t="shared" si="6"/>
        <v>FY</v>
      </c>
      <c r="CL2" s="1313" t="str">
        <f t="shared" si="6"/>
        <v>Q1</v>
      </c>
      <c r="CM2" s="1313" t="str">
        <f t="shared" si="6"/>
        <v>Q2</v>
      </c>
      <c r="CN2" s="1313" t="str">
        <f t="shared" si="6"/>
        <v>H1</v>
      </c>
      <c r="CO2" s="1313" t="str">
        <f t="shared" si="6"/>
        <v>Q3</v>
      </c>
      <c r="CP2" s="1313" t="str">
        <f t="shared" si="6"/>
        <v>9M</v>
      </c>
      <c r="CQ2" s="1313" t="str">
        <f t="shared" si="6"/>
        <v>Q4</v>
      </c>
      <c r="CR2" s="1313" t="str">
        <f t="shared" si="6"/>
        <v>H2</v>
      </c>
      <c r="CS2" s="1325" t="str">
        <f t="shared" si="6"/>
        <v>FY</v>
      </c>
      <c r="CT2" s="1314" t="str">
        <f t="shared" si="6"/>
        <v>Q1</v>
      </c>
      <c r="CU2" s="1314" t="str">
        <f t="shared" si="6"/>
        <v>Q2</v>
      </c>
      <c r="CV2" s="1314" t="str">
        <f t="shared" si="6"/>
        <v>H1</v>
      </c>
      <c r="CW2" s="1314" t="str">
        <f t="shared" si="6"/>
        <v>Q3</v>
      </c>
      <c r="CX2" s="1314" t="str">
        <f t="shared" si="6"/>
        <v>9M</v>
      </c>
      <c r="CY2" s="1314" t="str">
        <f t="shared" si="6"/>
        <v>Q4</v>
      </c>
      <c r="CZ2" s="1314" t="str">
        <f t="shared" si="6"/>
        <v>H2</v>
      </c>
      <c r="DA2" s="1340" t="str">
        <f t="shared" si="6"/>
        <v>FY</v>
      </c>
      <c r="DB2" s="1314" t="str">
        <f t="shared" si="6"/>
        <v>Q1</v>
      </c>
      <c r="DC2" s="1314" t="str">
        <f t="shared" si="6"/>
        <v>Q2</v>
      </c>
      <c r="DD2" s="1314" t="str">
        <f t="shared" si="6"/>
        <v>H1</v>
      </c>
      <c r="DE2" s="1314" t="str">
        <f t="shared" si="6"/>
        <v>Q3</v>
      </c>
      <c r="DF2" s="1314" t="str">
        <f t="shared" si="6"/>
        <v>9M</v>
      </c>
      <c r="DG2" s="1314" t="str">
        <f t="shared" si="6"/>
        <v>Q4</v>
      </c>
      <c r="DH2" s="1314" t="str">
        <f t="shared" si="6"/>
        <v>H2</v>
      </c>
      <c r="DI2" s="1340" t="str">
        <f t="shared" si="6"/>
        <v>FY</v>
      </c>
      <c r="DJ2" s="1314" t="str">
        <f t="shared" si="6"/>
        <v>Q1</v>
      </c>
      <c r="DK2" s="1314" t="str">
        <f t="shared" si="6"/>
        <v>Q2</v>
      </c>
      <c r="DL2" s="1314" t="str">
        <f t="shared" si="6"/>
        <v>H1</v>
      </c>
      <c r="DM2" s="1315" t="str">
        <f t="shared" si="6"/>
        <v>Q3</v>
      </c>
      <c r="DN2" s="1315" t="str">
        <f t="shared" si="6"/>
        <v>9M</v>
      </c>
      <c r="DO2" s="1315" t="str">
        <f t="shared" si="6"/>
        <v>Q4</v>
      </c>
      <c r="DP2" s="1315" t="str">
        <f t="shared" si="6"/>
        <v>H2</v>
      </c>
      <c r="DQ2" s="1525" t="str">
        <f t="shared" si="6"/>
        <v>FY</v>
      </c>
      <c r="DR2" s="1315" t="str">
        <f t="shared" si="6"/>
        <v>Q1</v>
      </c>
      <c r="DS2" s="1315" t="str">
        <f t="shared" si="6"/>
        <v>Q2</v>
      </c>
      <c r="DT2" s="1315" t="str">
        <f t="shared" si="6"/>
        <v>H1</v>
      </c>
      <c r="DU2" s="1315" t="str">
        <f t="shared" si="6"/>
        <v>Q3</v>
      </c>
      <c r="DV2" s="1315" t="str">
        <f t="shared" si="6"/>
        <v>9M</v>
      </c>
      <c r="DW2" s="1315" t="str">
        <f t="shared" si="6"/>
        <v>Q4</v>
      </c>
      <c r="DX2" s="1315" t="str">
        <f t="shared" si="6"/>
        <v>H2</v>
      </c>
      <c r="DY2" s="1525" t="str">
        <f t="shared" si="6"/>
        <v>FY</v>
      </c>
      <c r="DZ2" s="1315" t="str">
        <f t="shared" si="6"/>
        <v>Q1</v>
      </c>
      <c r="EA2" s="1315" t="str">
        <f t="shared" si="6"/>
        <v>Q2</v>
      </c>
      <c r="EB2" s="1315" t="str">
        <f t="shared" si="6"/>
        <v>H1</v>
      </c>
      <c r="EC2" s="1315" t="str">
        <f t="shared" si="6"/>
        <v>Q3</v>
      </c>
      <c r="ED2" s="1315" t="str">
        <f t="shared" si="6"/>
        <v>9M</v>
      </c>
      <c r="EE2" s="1315" t="str">
        <f t="shared" si="6"/>
        <v>Q4</v>
      </c>
      <c r="EF2" s="1315" t="str">
        <f t="shared" si="6"/>
        <v>H2</v>
      </c>
      <c r="EG2" s="1525" t="str">
        <f t="shared" si="6"/>
        <v>FY</v>
      </c>
      <c r="EJ2" s="1311" t="s">
        <v>1908</v>
      </c>
    </row>
    <row r="4" spans="1:140">
      <c r="A4" s="1283" t="s">
        <v>1867</v>
      </c>
      <c r="B4" s="1316" t="str">
        <f t="shared" ref="B4:AO4" si="7">B1&amp;" "&amp;B2</f>
        <v>2011 Q1</v>
      </c>
      <c r="C4" s="1317" t="str">
        <f t="shared" si="7"/>
        <v>2011 Q2</v>
      </c>
      <c r="D4" s="1317" t="str">
        <f t="shared" si="7"/>
        <v>2011 H1</v>
      </c>
      <c r="E4" s="1317" t="str">
        <f t="shared" si="7"/>
        <v>2011 Q3</v>
      </c>
      <c r="F4" s="1317" t="str">
        <f t="shared" si="7"/>
        <v>2011 9M</v>
      </c>
      <c r="G4" s="1317" t="str">
        <f t="shared" si="7"/>
        <v>2011 Q4</v>
      </c>
      <c r="H4" s="1317" t="str">
        <f t="shared" si="7"/>
        <v>2011 H2</v>
      </c>
      <c r="I4" s="1326" t="str">
        <f t="shared" si="7"/>
        <v>2011 FY</v>
      </c>
      <c r="J4" s="1318" t="str">
        <f t="shared" si="7"/>
        <v>2012 Q1</v>
      </c>
      <c r="K4" s="1317" t="str">
        <f t="shared" si="7"/>
        <v>2012 Q2</v>
      </c>
      <c r="L4" s="1317" t="str">
        <f t="shared" si="7"/>
        <v>2012 H1</v>
      </c>
      <c r="M4" s="1317" t="str">
        <f t="shared" si="7"/>
        <v>2012 Q3</v>
      </c>
      <c r="N4" s="1317" t="str">
        <f t="shared" si="7"/>
        <v>2012 9M</v>
      </c>
      <c r="O4" s="1317" t="str">
        <f t="shared" si="7"/>
        <v>2012 Q4</v>
      </c>
      <c r="P4" s="1317" t="str">
        <f t="shared" si="7"/>
        <v>2012 H2</v>
      </c>
      <c r="Q4" s="1326" t="str">
        <f t="shared" si="7"/>
        <v>2012 FY</v>
      </c>
      <c r="R4" s="1318" t="str">
        <f t="shared" si="7"/>
        <v>2013 Q1</v>
      </c>
      <c r="S4" s="1317" t="str">
        <f t="shared" si="7"/>
        <v>2013 Q2</v>
      </c>
      <c r="T4" s="1317" t="str">
        <f t="shared" si="7"/>
        <v>2013 H1</v>
      </c>
      <c r="U4" s="1317" t="str">
        <f t="shared" si="7"/>
        <v>2013 Q3</v>
      </c>
      <c r="V4" s="1317" t="str">
        <f t="shared" si="7"/>
        <v>2013 9M</v>
      </c>
      <c r="W4" s="1317" t="str">
        <f t="shared" si="7"/>
        <v>2013 Q4</v>
      </c>
      <c r="X4" s="1317" t="str">
        <f t="shared" si="7"/>
        <v>2013 H2</v>
      </c>
      <c r="Y4" s="1326" t="str">
        <f t="shared" si="7"/>
        <v>2013 FY</v>
      </c>
      <c r="Z4" s="1318" t="str">
        <f t="shared" si="7"/>
        <v>2014 Q1</v>
      </c>
      <c r="AA4" s="1317" t="str">
        <f t="shared" si="7"/>
        <v>2014 Q2</v>
      </c>
      <c r="AB4" s="1317" t="str">
        <f t="shared" si="7"/>
        <v>2014 H1</v>
      </c>
      <c r="AC4" s="1317" t="str">
        <f t="shared" si="7"/>
        <v>2014 Q3</v>
      </c>
      <c r="AD4" s="1317" t="str">
        <f t="shared" si="7"/>
        <v>2014 9M</v>
      </c>
      <c r="AE4" s="1317" t="str">
        <f t="shared" si="7"/>
        <v>2014 Q4</v>
      </c>
      <c r="AF4" s="1317" t="str">
        <f t="shared" si="7"/>
        <v>2014 H2</v>
      </c>
      <c r="AG4" s="1326" t="str">
        <f t="shared" si="7"/>
        <v>2014 FY</v>
      </c>
      <c r="AH4" s="1318" t="str">
        <f t="shared" si="7"/>
        <v>2015 Q1</v>
      </c>
      <c r="AI4" s="1317" t="str">
        <f t="shared" si="7"/>
        <v>2015 Q2</v>
      </c>
      <c r="AJ4" s="1317" t="str">
        <f t="shared" si="7"/>
        <v>2015 H1</v>
      </c>
      <c r="AK4" s="1317" t="str">
        <f t="shared" si="7"/>
        <v>2015 Q3</v>
      </c>
      <c r="AL4" s="1317" t="str">
        <f t="shared" si="7"/>
        <v>2015 9M</v>
      </c>
      <c r="AM4" s="1317" t="str">
        <f t="shared" si="7"/>
        <v>2015 Q4</v>
      </c>
      <c r="AN4" s="1317" t="str">
        <f t="shared" si="7"/>
        <v>2015 H2</v>
      </c>
      <c r="AO4" s="1326" t="str">
        <f t="shared" si="7"/>
        <v>2015 FY</v>
      </c>
      <c r="AP4" s="1318" t="str">
        <f>AP1&amp;" "&amp;AP2</f>
        <v>2016 Q1</v>
      </c>
      <c r="AQ4" s="1318" t="str">
        <f t="shared" ref="AQ4:DB4" si="8">AQ1&amp;" "&amp;AQ2</f>
        <v>2016 Q2</v>
      </c>
      <c r="AR4" s="1318" t="str">
        <f t="shared" si="8"/>
        <v>2016 H1</v>
      </c>
      <c r="AS4" s="1318" t="str">
        <f t="shared" si="8"/>
        <v>2016 Q3</v>
      </c>
      <c r="AT4" s="1318" t="str">
        <f t="shared" si="8"/>
        <v>2016 9M</v>
      </c>
      <c r="AU4" s="1318" t="str">
        <f t="shared" si="8"/>
        <v>2016 Q4</v>
      </c>
      <c r="AV4" s="1318" t="str">
        <f t="shared" si="8"/>
        <v>2016 H2</v>
      </c>
      <c r="AW4" s="1337" t="str">
        <f t="shared" si="8"/>
        <v>2016 FY</v>
      </c>
      <c r="AX4" s="1318" t="str">
        <f t="shared" si="8"/>
        <v>2017 Q1</v>
      </c>
      <c r="AY4" s="1318" t="str">
        <f t="shared" si="8"/>
        <v>2017 Q2</v>
      </c>
      <c r="AZ4" s="1318" t="str">
        <f t="shared" si="8"/>
        <v>2017 H1</v>
      </c>
      <c r="BA4" s="1318" t="str">
        <f t="shared" si="8"/>
        <v>2017 Q3</v>
      </c>
      <c r="BB4" s="1318" t="str">
        <f t="shared" si="8"/>
        <v>2017 9M</v>
      </c>
      <c r="BC4" s="1318" t="str">
        <f t="shared" si="8"/>
        <v>2017 Q4</v>
      </c>
      <c r="BD4" s="1318" t="str">
        <f t="shared" si="8"/>
        <v>2017 H2</v>
      </c>
      <c r="BE4" s="1337" t="str">
        <f t="shared" si="8"/>
        <v>2017 FY</v>
      </c>
      <c r="BF4" s="1318" t="str">
        <f t="shared" si="8"/>
        <v>2018 Q1</v>
      </c>
      <c r="BG4" s="1318" t="str">
        <f t="shared" si="8"/>
        <v>2018 Q2</v>
      </c>
      <c r="BH4" s="1318" t="str">
        <f t="shared" si="8"/>
        <v>2018 H1</v>
      </c>
      <c r="BI4" s="1318" t="str">
        <f t="shared" si="8"/>
        <v>2018 Q3</v>
      </c>
      <c r="BJ4" s="1318" t="str">
        <f t="shared" si="8"/>
        <v>2018 9M</v>
      </c>
      <c r="BK4" s="1318" t="str">
        <f t="shared" si="8"/>
        <v>2018 Q4</v>
      </c>
      <c r="BL4" s="1318" t="str">
        <f t="shared" si="8"/>
        <v>2018 H2</v>
      </c>
      <c r="BM4" s="1337" t="str">
        <f t="shared" si="8"/>
        <v>2018 FY</v>
      </c>
      <c r="BN4" s="1318" t="str">
        <f t="shared" si="8"/>
        <v>2019 Q1</v>
      </c>
      <c r="BO4" s="1318" t="str">
        <f t="shared" si="8"/>
        <v>2019 Q2</v>
      </c>
      <c r="BP4" s="1318" t="str">
        <f t="shared" si="8"/>
        <v>2019 H1</v>
      </c>
      <c r="BQ4" s="1318" t="str">
        <f t="shared" si="8"/>
        <v>2019 Q3</v>
      </c>
      <c r="BR4" s="1318" t="str">
        <f t="shared" si="8"/>
        <v>2019 9M</v>
      </c>
      <c r="BS4" s="1318" t="str">
        <f t="shared" si="8"/>
        <v>2019 Q4</v>
      </c>
      <c r="BT4" s="1318" t="str">
        <f t="shared" si="8"/>
        <v>2019 H2</v>
      </c>
      <c r="BU4" s="1337" t="str">
        <f t="shared" si="8"/>
        <v>2019 FY</v>
      </c>
      <c r="BV4" s="1318" t="str">
        <f t="shared" si="8"/>
        <v>2020 Q1</v>
      </c>
      <c r="BW4" s="1318" t="str">
        <f t="shared" si="8"/>
        <v>2020 Q2</v>
      </c>
      <c r="BX4" s="1318" t="str">
        <f t="shared" si="8"/>
        <v>2020 H1</v>
      </c>
      <c r="BY4" s="1318" t="str">
        <f t="shared" si="8"/>
        <v>2020 Q3</v>
      </c>
      <c r="BZ4" s="1318" t="str">
        <f t="shared" si="8"/>
        <v>2020 9M</v>
      </c>
      <c r="CA4" s="1318" t="str">
        <f t="shared" si="8"/>
        <v>2020 Q4</v>
      </c>
      <c r="CB4" s="1318" t="str">
        <f t="shared" si="8"/>
        <v>2020 H2</v>
      </c>
      <c r="CC4" s="1337" t="str">
        <f t="shared" si="8"/>
        <v>2020 FY</v>
      </c>
      <c r="CD4" s="1318" t="str">
        <f t="shared" si="8"/>
        <v>2021 Q1</v>
      </c>
      <c r="CE4" s="1318" t="str">
        <f t="shared" si="8"/>
        <v>2021 Q2</v>
      </c>
      <c r="CF4" s="1318" t="str">
        <f t="shared" si="8"/>
        <v>2021 H1</v>
      </c>
      <c r="CG4" s="1318" t="str">
        <f t="shared" si="8"/>
        <v>2021 Q3</v>
      </c>
      <c r="CH4" s="1318" t="str">
        <f t="shared" si="8"/>
        <v>2021 9M</v>
      </c>
      <c r="CI4" s="1318" t="str">
        <f t="shared" si="8"/>
        <v>2021 Q4</v>
      </c>
      <c r="CJ4" s="1318" t="str">
        <f t="shared" si="8"/>
        <v>2021 H2</v>
      </c>
      <c r="CK4" s="1337" t="str">
        <f t="shared" si="8"/>
        <v>2021 FY</v>
      </c>
      <c r="CL4" s="1318" t="str">
        <f t="shared" si="8"/>
        <v>2022 Q1</v>
      </c>
      <c r="CM4" s="1318" t="str">
        <f t="shared" si="8"/>
        <v>2022 Q2</v>
      </c>
      <c r="CN4" s="1318" t="str">
        <f t="shared" si="8"/>
        <v>2022 H1</v>
      </c>
      <c r="CO4" s="1318" t="str">
        <f t="shared" si="8"/>
        <v>2022 Q3</v>
      </c>
      <c r="CP4" s="1318" t="str">
        <f t="shared" si="8"/>
        <v>2022 9M</v>
      </c>
      <c r="CQ4" s="1318" t="str">
        <f t="shared" si="8"/>
        <v>2022 Q4</v>
      </c>
      <c r="CR4" s="1318" t="str">
        <f t="shared" si="8"/>
        <v>2022 H2</v>
      </c>
      <c r="CS4" s="1337" t="str">
        <f t="shared" si="8"/>
        <v>2022 FY</v>
      </c>
      <c r="CT4" s="1319" t="str">
        <f t="shared" si="8"/>
        <v>2023 Q1</v>
      </c>
      <c r="CU4" s="1319" t="str">
        <f t="shared" si="8"/>
        <v>2023 Q2</v>
      </c>
      <c r="CV4" s="1319" t="str">
        <f t="shared" si="8"/>
        <v>2023 H1</v>
      </c>
      <c r="CW4" s="1319" t="str">
        <f t="shared" si="8"/>
        <v>2023 Q3</v>
      </c>
      <c r="CX4" s="1319" t="str">
        <f t="shared" si="8"/>
        <v>2023 9M</v>
      </c>
      <c r="CY4" s="1319" t="str">
        <f t="shared" si="8"/>
        <v>2023 Q4</v>
      </c>
      <c r="CZ4" s="1319" t="str">
        <f t="shared" si="8"/>
        <v>2023 H2</v>
      </c>
      <c r="DA4" s="1341" t="str">
        <f t="shared" si="8"/>
        <v>2023 FY</v>
      </c>
      <c r="DB4" s="1319" t="str">
        <f t="shared" si="8"/>
        <v>2024 Q1</v>
      </c>
      <c r="DC4" s="1319" t="str">
        <f t="shared" ref="DC4:EG4" si="9">DC1&amp;" "&amp;DC2</f>
        <v>2024 Q2</v>
      </c>
      <c r="DD4" s="1319" t="str">
        <f t="shared" si="9"/>
        <v>2024 H1</v>
      </c>
      <c r="DE4" s="1319" t="str">
        <f t="shared" si="9"/>
        <v>2024 Q3</v>
      </c>
      <c r="DF4" s="1319" t="str">
        <f t="shared" si="9"/>
        <v>2024 9M</v>
      </c>
      <c r="DG4" s="1319" t="str">
        <f t="shared" si="9"/>
        <v>2024 Q4</v>
      </c>
      <c r="DH4" s="1319" t="str">
        <f t="shared" si="9"/>
        <v>2024 H2</v>
      </c>
      <c r="DI4" s="1341" t="str">
        <f t="shared" si="9"/>
        <v>2024 FY</v>
      </c>
      <c r="DJ4" s="1319" t="str">
        <f t="shared" si="9"/>
        <v>2025 Q1</v>
      </c>
      <c r="DK4" s="1319" t="str">
        <f t="shared" si="9"/>
        <v>2025 Q2</v>
      </c>
      <c r="DL4" s="1319" t="str">
        <f t="shared" si="9"/>
        <v>2025 H1</v>
      </c>
      <c r="DM4" s="1320" t="str">
        <f t="shared" si="9"/>
        <v>2025 Q3</v>
      </c>
      <c r="DN4" s="1320" t="str">
        <f t="shared" si="9"/>
        <v>2025 9M</v>
      </c>
      <c r="DO4" s="1320" t="str">
        <f t="shared" si="9"/>
        <v>2025 Q4</v>
      </c>
      <c r="DP4" s="1320" t="str">
        <f t="shared" si="9"/>
        <v>2025 H2</v>
      </c>
      <c r="DQ4" s="1509" t="str">
        <f t="shared" si="9"/>
        <v>2025 FY</v>
      </c>
      <c r="DR4" s="1321" t="str">
        <f t="shared" si="9"/>
        <v>2026 Q1</v>
      </c>
      <c r="DS4" s="1320" t="str">
        <f t="shared" si="9"/>
        <v>2026 Q2</v>
      </c>
      <c r="DT4" s="1320" t="str">
        <f t="shared" si="9"/>
        <v>2026 H1</v>
      </c>
      <c r="DU4" s="1320" t="str">
        <f t="shared" si="9"/>
        <v>2026 Q3</v>
      </c>
      <c r="DV4" s="1320" t="str">
        <f t="shared" si="9"/>
        <v>2026 9M</v>
      </c>
      <c r="DW4" s="1320" t="str">
        <f t="shared" si="9"/>
        <v>2026 Q4</v>
      </c>
      <c r="DX4" s="1320" t="str">
        <f t="shared" si="9"/>
        <v>2026 H2</v>
      </c>
      <c r="DY4" s="1509" t="str">
        <f t="shared" si="9"/>
        <v>2026 FY</v>
      </c>
      <c r="DZ4" s="1320" t="str">
        <f t="shared" si="9"/>
        <v>2027 Q1</v>
      </c>
      <c r="EA4" s="1320" t="str">
        <f t="shared" si="9"/>
        <v>2027 Q2</v>
      </c>
      <c r="EB4" s="1320" t="str">
        <f t="shared" si="9"/>
        <v>2027 H1</v>
      </c>
      <c r="EC4" s="1320" t="str">
        <f t="shared" si="9"/>
        <v>2027 Q3</v>
      </c>
      <c r="ED4" s="1320" t="str">
        <f t="shared" si="9"/>
        <v>2027 9M</v>
      </c>
      <c r="EE4" s="1320" t="str">
        <f t="shared" si="9"/>
        <v>2027 Q4</v>
      </c>
      <c r="EF4" s="1320" t="str">
        <f t="shared" si="9"/>
        <v>2027 H2</v>
      </c>
      <c r="EG4" s="1509" t="str">
        <f t="shared" si="9"/>
        <v>2027 FY</v>
      </c>
    </row>
    <row r="5" spans="1:140">
      <c r="A5" s="306" t="s">
        <v>789</v>
      </c>
      <c r="B5" s="1335"/>
      <c r="C5" s="306"/>
      <c r="D5" s="306"/>
      <c r="E5" s="306"/>
      <c r="F5" s="306"/>
      <c r="G5" s="306"/>
      <c r="H5" s="306"/>
      <c r="I5" s="1327"/>
      <c r="J5" s="306"/>
      <c r="K5" s="306"/>
      <c r="L5" s="306"/>
      <c r="M5" s="306"/>
      <c r="N5" s="306"/>
      <c r="O5" s="306"/>
      <c r="P5" s="306"/>
      <c r="Q5" s="1327"/>
      <c r="R5" s="306"/>
      <c r="S5" s="306"/>
      <c r="T5" s="306"/>
      <c r="U5" s="306"/>
      <c r="V5" s="306"/>
      <c r="W5" s="306"/>
      <c r="X5" s="306"/>
      <c r="Y5" s="1327"/>
      <c r="Z5" s="306"/>
      <c r="AA5" s="306"/>
      <c r="AB5" s="306"/>
      <c r="AC5" s="306"/>
      <c r="AD5" s="306"/>
      <c r="AE5" s="306"/>
      <c r="AF5" s="306"/>
      <c r="AG5" s="1327"/>
      <c r="AH5" s="306"/>
      <c r="AI5" s="306"/>
      <c r="AJ5" s="306"/>
      <c r="AK5" s="306"/>
      <c r="AL5" s="306"/>
      <c r="AM5" s="306"/>
      <c r="AN5" s="306"/>
      <c r="AO5" s="1327"/>
      <c r="AP5" s="306"/>
      <c r="AQ5" s="306"/>
      <c r="AR5" s="306"/>
      <c r="AS5" s="306"/>
      <c r="AT5" s="306"/>
      <c r="AU5" s="306"/>
      <c r="AV5" s="306"/>
      <c r="AW5" s="1327"/>
      <c r="AX5" s="306"/>
      <c r="AY5" s="306"/>
      <c r="AZ5" s="306"/>
      <c r="BA5" s="306"/>
      <c r="BB5" s="306"/>
      <c r="BC5" s="306"/>
      <c r="BD5" s="306"/>
      <c r="BE5" s="1327"/>
      <c r="BF5" s="306"/>
      <c r="BG5" s="306"/>
      <c r="BH5" s="306"/>
      <c r="BI5" s="306"/>
      <c r="BJ5" s="306"/>
      <c r="BK5" s="306"/>
      <c r="BL5" s="306"/>
      <c r="BM5" s="1327"/>
      <c r="BN5" s="306"/>
      <c r="BO5" s="306"/>
      <c r="BP5" s="306"/>
      <c r="BQ5" s="306"/>
      <c r="BR5" s="306"/>
      <c r="BS5" s="306"/>
      <c r="BT5" s="306"/>
      <c r="BU5" s="1327"/>
      <c r="BV5" s="306"/>
      <c r="BW5" s="306"/>
      <c r="BX5" s="306"/>
      <c r="BY5" s="306"/>
      <c r="BZ5" s="306"/>
      <c r="CA5" s="306"/>
      <c r="CB5" s="306"/>
      <c r="CC5" s="1327"/>
      <c r="CD5" s="306"/>
      <c r="CE5" s="306"/>
      <c r="CF5" s="306"/>
      <c r="CG5" s="306"/>
      <c r="CH5" s="306"/>
      <c r="CI5" s="306"/>
      <c r="CJ5" s="306"/>
      <c r="CK5" s="1327"/>
      <c r="CL5" s="306"/>
      <c r="CM5" s="306"/>
      <c r="CN5" s="306"/>
      <c r="CO5" s="306"/>
      <c r="CP5" s="306"/>
      <c r="CQ5" s="306"/>
      <c r="CR5" s="306"/>
      <c r="CS5" s="1327"/>
      <c r="CT5" s="306"/>
      <c r="CU5" s="306"/>
      <c r="CV5" s="306"/>
      <c r="CW5" s="306"/>
      <c r="CX5" s="306"/>
      <c r="CY5" s="306"/>
      <c r="CZ5" s="306"/>
      <c r="DA5" s="1327"/>
      <c r="DB5" s="306"/>
      <c r="DC5" s="306"/>
      <c r="DD5" s="306"/>
      <c r="DE5" s="306"/>
      <c r="DF5" s="306"/>
      <c r="DG5" s="306"/>
      <c r="DH5" s="306"/>
      <c r="DI5" s="1327"/>
      <c r="DJ5" s="306"/>
      <c r="DK5" s="306"/>
      <c r="DL5" s="1352"/>
      <c r="DM5" s="306"/>
      <c r="DN5" s="306"/>
      <c r="DO5" s="306"/>
      <c r="DP5" s="306"/>
      <c r="DQ5" s="1327"/>
      <c r="DR5" s="1526"/>
      <c r="DS5" s="306"/>
      <c r="DT5" s="306"/>
      <c r="DU5" s="306"/>
      <c r="DV5" s="306"/>
      <c r="DW5" s="306"/>
      <c r="DX5" s="306"/>
      <c r="DY5" s="1327"/>
      <c r="DZ5" s="306"/>
      <c r="EA5" s="306"/>
      <c r="EB5" s="306"/>
      <c r="EC5" s="306"/>
      <c r="ED5" s="306"/>
      <c r="EE5" s="306"/>
      <c r="EF5" s="306"/>
      <c r="EG5" s="1327"/>
    </row>
    <row r="6" spans="1:140">
      <c r="A6" s="19" t="s">
        <v>978</v>
      </c>
      <c r="B6" s="1342">
        <v>1423</v>
      </c>
      <c r="C6" s="1343">
        <v>1554</v>
      </c>
      <c r="D6" s="863">
        <f>B6+C6</f>
        <v>2977</v>
      </c>
      <c r="E6" s="1343">
        <v>1459</v>
      </c>
      <c r="F6" s="863">
        <f>D6+E6</f>
        <v>4436</v>
      </c>
      <c r="G6" s="1343">
        <v>1674</v>
      </c>
      <c r="H6" s="1344">
        <f>G6+E6</f>
        <v>3133</v>
      </c>
      <c r="I6" s="1345">
        <f>H6+D6</f>
        <v>6110</v>
      </c>
      <c r="J6" s="1343">
        <v>1585</v>
      </c>
      <c r="K6" s="1343">
        <v>1681</v>
      </c>
      <c r="L6" s="863">
        <f>J6+K6</f>
        <v>3266</v>
      </c>
      <c r="M6" s="1343">
        <v>1635</v>
      </c>
      <c r="N6" s="863">
        <f>L6+M6</f>
        <v>4901</v>
      </c>
      <c r="O6" s="1343">
        <v>2104</v>
      </c>
      <c r="P6" s="1344">
        <f>O6+M6</f>
        <v>3739</v>
      </c>
      <c r="Q6" s="1345">
        <f>P6+L6</f>
        <v>7005</v>
      </c>
      <c r="R6" s="1343">
        <v>1785</v>
      </c>
      <c r="S6" s="1343">
        <v>1886</v>
      </c>
      <c r="T6" s="863">
        <f>R6+S6</f>
        <v>3671</v>
      </c>
      <c r="U6" s="1343">
        <v>1771</v>
      </c>
      <c r="V6" s="863">
        <f>T6+U6</f>
        <v>5442</v>
      </c>
      <c r="W6" s="1343">
        <v>2147</v>
      </c>
      <c r="X6" s="1344">
        <f>W6+U6</f>
        <v>3918</v>
      </c>
      <c r="Y6" s="1345">
        <f>X6+T6</f>
        <v>7589</v>
      </c>
      <c r="Z6" s="1343">
        <v>1825</v>
      </c>
      <c r="AA6" s="1343">
        <v>1938</v>
      </c>
      <c r="AB6" s="863">
        <f>Z6+AA6</f>
        <v>3763</v>
      </c>
      <c r="AC6" s="1343">
        <v>1944</v>
      </c>
      <c r="AD6" s="863">
        <f>AB6+AC6</f>
        <v>5707</v>
      </c>
      <c r="AE6" s="1343">
        <v>2446</v>
      </c>
      <c r="AF6" s="1344">
        <f>AE6+AC6</f>
        <v>4390</v>
      </c>
      <c r="AG6" s="1345">
        <f>AF6+AB6</f>
        <v>8153</v>
      </c>
      <c r="AH6" s="1343">
        <v>2070</v>
      </c>
      <c r="AI6" s="1343">
        <v>2416</v>
      </c>
      <c r="AJ6" s="863">
        <f>AH6+AI6</f>
        <v>4486</v>
      </c>
      <c r="AK6" s="1343">
        <v>2220</v>
      </c>
      <c r="AL6" s="863">
        <f>AJ6+AK6</f>
        <v>6706</v>
      </c>
      <c r="AM6" s="1343">
        <v>2613</v>
      </c>
      <c r="AN6" s="1344">
        <f>AM6+AK6</f>
        <v>4833</v>
      </c>
      <c r="AO6" s="1345">
        <f>AN6+AJ6</f>
        <v>9319</v>
      </c>
      <c r="AP6" s="1343">
        <v>2301</v>
      </c>
      <c r="AQ6" s="1343">
        <v>2556</v>
      </c>
      <c r="AR6" s="863">
        <f>AP6+AQ6</f>
        <v>4857</v>
      </c>
      <c r="AS6" s="1343">
        <v>2056</v>
      </c>
      <c r="AT6" s="863">
        <f>AR6+AS6</f>
        <v>6913</v>
      </c>
      <c r="AU6" s="1343">
        <v>2478</v>
      </c>
      <c r="AV6" s="1344">
        <f>AU6+AS6</f>
        <v>4534</v>
      </c>
      <c r="AW6" s="1345">
        <f>AV6+AR6</f>
        <v>9391</v>
      </c>
      <c r="AX6" s="1343">
        <v>2360</v>
      </c>
      <c r="AY6" s="1343">
        <v>2331</v>
      </c>
      <c r="AZ6" s="863">
        <f>AX6+AY6</f>
        <v>4691</v>
      </c>
      <c r="BA6" s="1343">
        <v>2303</v>
      </c>
      <c r="BB6" s="863">
        <f>AZ6+BA6</f>
        <v>6994</v>
      </c>
      <c r="BC6" s="1343">
        <v>2363</v>
      </c>
      <c r="BD6" s="1344">
        <f>BC6+BA6</f>
        <v>4666</v>
      </c>
      <c r="BE6" s="1345">
        <f>BD6+AZ6</f>
        <v>9357</v>
      </c>
      <c r="BF6" s="1343">
        <v>2319</v>
      </c>
      <c r="BG6" s="1343">
        <v>2486</v>
      </c>
      <c r="BH6" s="863">
        <f>BF6+BG6</f>
        <v>4805</v>
      </c>
      <c r="BI6" s="1343">
        <v>2524</v>
      </c>
      <c r="BJ6" s="863">
        <f>BH6+BI6</f>
        <v>7329</v>
      </c>
      <c r="BK6" s="1343">
        <v>3250</v>
      </c>
      <c r="BL6" s="1344">
        <f>BK6+BI6</f>
        <v>5774</v>
      </c>
      <c r="BM6" s="1345">
        <f>BL6+BH6</f>
        <v>10579</v>
      </c>
      <c r="BN6" s="1343">
        <v>2771</v>
      </c>
      <c r="BO6" s="1343">
        <v>3131</v>
      </c>
      <c r="BP6" s="863">
        <f>BN6+BO6</f>
        <v>5902</v>
      </c>
      <c r="BQ6" s="1343">
        <v>2987</v>
      </c>
      <c r="BR6" s="863">
        <f>BP6+BQ6</f>
        <v>8889</v>
      </c>
      <c r="BS6" s="1343">
        <v>3156</v>
      </c>
      <c r="BT6" s="1344">
        <f>BS6+BQ6</f>
        <v>6143</v>
      </c>
      <c r="BU6" s="1345">
        <f>BT6+BP6</f>
        <v>12045</v>
      </c>
      <c r="BV6" s="1343">
        <v>2497</v>
      </c>
      <c r="BW6" s="1343">
        <v>1550</v>
      </c>
      <c r="BX6" s="863">
        <f>BV6+BW6</f>
        <v>4047</v>
      </c>
      <c r="BY6" s="1343">
        <v>1559</v>
      </c>
      <c r="BZ6" s="863">
        <f>BX6+BY6</f>
        <v>5606</v>
      </c>
      <c r="CA6" s="1343">
        <v>2057</v>
      </c>
      <c r="CB6" s="1344">
        <f>CA6+BY6</f>
        <v>3616</v>
      </c>
      <c r="CC6" s="1345">
        <f>CB6+BX6</f>
        <v>7663</v>
      </c>
      <c r="CD6" s="1343">
        <v>1561</v>
      </c>
      <c r="CE6" s="1343">
        <v>1688</v>
      </c>
      <c r="CF6" s="863">
        <f>CD6+CE6</f>
        <v>3249</v>
      </c>
      <c r="CG6" s="1343">
        <v>1812</v>
      </c>
      <c r="CH6" s="863">
        <f>CF6+CG6</f>
        <v>5061</v>
      </c>
      <c r="CI6" s="1343">
        <v>2378</v>
      </c>
      <c r="CJ6" s="1344">
        <f>CI6+CG6</f>
        <v>4190</v>
      </c>
      <c r="CK6" s="1345">
        <f>INDEX('Income Statement'!5:5, MATCH(Interims!CK$1,'Income Statement'!$3:$3,0))</f>
        <v>7439</v>
      </c>
      <c r="CL6" s="1343">
        <v>1942</v>
      </c>
      <c r="CM6" s="1343">
        <v>2234</v>
      </c>
      <c r="CN6" s="863">
        <f>CL6+CM6</f>
        <v>4176</v>
      </c>
      <c r="CO6" s="1343">
        <v>2503</v>
      </c>
      <c r="CP6" s="863">
        <f>CN6+CO6</f>
        <v>6679</v>
      </c>
      <c r="CQ6" s="1343">
        <v>2827</v>
      </c>
      <c r="CR6" s="1344">
        <f>CQ6+CO6</f>
        <v>5330</v>
      </c>
      <c r="CS6" s="1345">
        <f>INDEX('Income Statement'!5:5, MATCH(Interims!CS$1,'Income Statement'!$3:$3,0))</f>
        <v>9506</v>
      </c>
      <c r="CT6" s="1343">
        <v>2714</v>
      </c>
      <c r="CU6" s="1343">
        <v>2963</v>
      </c>
      <c r="CV6" s="863">
        <f>CT6+CU6</f>
        <v>5677</v>
      </c>
      <c r="CW6" s="1343">
        <v>3083</v>
      </c>
      <c r="CX6" s="863">
        <f>CV6+CW6</f>
        <v>8760</v>
      </c>
      <c r="CY6" s="1343">
        <v>3116</v>
      </c>
      <c r="CZ6" s="1344">
        <f>CY6+CW6</f>
        <v>6199</v>
      </c>
      <c r="DA6" s="1345">
        <f>INDEX('Income Statement'!5:5, MATCH(Interims!DA$1,'Income Statement'!$3:$3,0))</f>
        <v>11876</v>
      </c>
      <c r="DB6" s="1343">
        <v>3097</v>
      </c>
      <c r="DC6" s="1343">
        <v>3364</v>
      </c>
      <c r="DD6" s="863">
        <f>DB6+DC6</f>
        <v>6461</v>
      </c>
      <c r="DE6" s="1343">
        <v>3339</v>
      </c>
      <c r="DF6" s="863">
        <f>DD6+DE6</f>
        <v>9800</v>
      </c>
      <c r="DG6" s="1343">
        <v>3852</v>
      </c>
      <c r="DH6" s="1344">
        <f>DG6+DE6</f>
        <v>7191</v>
      </c>
      <c r="DI6" s="1345">
        <f>INDEX('Income Statement'!5:5, MATCH(Interims!DI$1,'Income Statement'!$3:$3,0))</f>
        <v>13652</v>
      </c>
      <c r="DJ6" s="1343">
        <v>3684</v>
      </c>
      <c r="DK6" s="1343">
        <v>3857</v>
      </c>
      <c r="DL6" s="863">
        <f>DJ6+DK6</f>
        <v>7541</v>
      </c>
      <c r="DM6" s="863">
        <f>(DE6/DI6)*DQ6</f>
        <v>3759.3417860643458</v>
      </c>
      <c r="DN6" s="863">
        <f>DL6+DM6</f>
        <v>11300.341786064346</v>
      </c>
      <c r="DO6" s="863">
        <f>DQ6-DN6</f>
        <v>4070.288361689607</v>
      </c>
      <c r="DP6" s="863">
        <f>DM6+DO6</f>
        <v>7829.6301477539528</v>
      </c>
      <c r="DQ6" s="1345">
        <f>INDEX('Income Statement'!5:5, MATCH(Interims!DQ$1,'Income Statement'!$3:$3,0))</f>
        <v>15370.630147753953</v>
      </c>
      <c r="DR6" s="1344">
        <f>(DB6/$DI$6)*$DY$6</f>
        <v>3910.2991813710428</v>
      </c>
      <c r="DS6" s="1344">
        <f t="shared" ref="DS6:DX6" si="10">(DC6/$DI$6)*$DY$6</f>
        <v>4247.4157075015137</v>
      </c>
      <c r="DT6" s="1344">
        <f t="shared" si="10"/>
        <v>8157.714888872556</v>
      </c>
      <c r="DU6" s="1344">
        <f t="shared" si="10"/>
        <v>4215.8504896990353</v>
      </c>
      <c r="DV6" s="1344">
        <f t="shared" si="10"/>
        <v>12373.565378571593</v>
      </c>
      <c r="DW6" s="1344">
        <f t="shared" si="10"/>
        <v>4863.5687590058951</v>
      </c>
      <c r="DX6" s="1344">
        <f t="shared" si="10"/>
        <v>9079.4192487049295</v>
      </c>
      <c r="DY6" s="1345">
        <f>INDEX('Income Statement'!5:5, MATCH(Interims!DY$1,'Income Statement'!$3:$3,0))</f>
        <v>17237.134137577486</v>
      </c>
    </row>
    <row r="7" spans="1:140" hidden="1" outlineLevel="1">
      <c r="A7" s="291" t="s">
        <v>977</v>
      </c>
      <c r="B7" s="1342">
        <v>729</v>
      </c>
      <c r="C7" s="1343">
        <v>775</v>
      </c>
      <c r="D7" s="863">
        <f t="shared" ref="D7:D16" si="11">B7+C7</f>
        <v>1504</v>
      </c>
      <c r="E7" s="1343">
        <v>697</v>
      </c>
      <c r="F7" s="863">
        <f t="shared" ref="F7:F16" si="12">D7+E7</f>
        <v>2201</v>
      </c>
      <c r="G7" s="1343">
        <v>896</v>
      </c>
      <c r="H7" s="1344">
        <f t="shared" ref="H7:H16" si="13">G7+E7</f>
        <v>1593</v>
      </c>
      <c r="I7" s="1345">
        <f t="shared" ref="I7:I16" si="14">H7+D7</f>
        <v>3097</v>
      </c>
      <c r="J7" s="1343">
        <v>883</v>
      </c>
      <c r="K7" s="1343">
        <v>904</v>
      </c>
      <c r="L7" s="863">
        <f t="shared" ref="L7:L16" si="15">J7+K7</f>
        <v>1787</v>
      </c>
      <c r="M7" s="1343">
        <v>850</v>
      </c>
      <c r="N7" s="863">
        <f t="shared" ref="N7:N16" si="16">L7+M7</f>
        <v>2637</v>
      </c>
      <c r="O7" s="1343">
        <v>1054</v>
      </c>
      <c r="P7" s="1344">
        <f t="shared" ref="P7:P8" si="17">O7+M7</f>
        <v>1904</v>
      </c>
      <c r="Q7" s="1345">
        <f t="shared" ref="Q7:Q8" si="18">P7+L7</f>
        <v>3691</v>
      </c>
      <c r="R7" s="1343">
        <v>915</v>
      </c>
      <c r="S7" s="1343">
        <v>1030</v>
      </c>
      <c r="T7" s="863">
        <f t="shared" ref="T7:T16" si="19">R7+S7</f>
        <v>1945</v>
      </c>
      <c r="U7" s="1343">
        <v>982</v>
      </c>
      <c r="V7" s="863">
        <f t="shared" ref="V7:V16" si="20">T7+U7</f>
        <v>2927</v>
      </c>
      <c r="W7" s="1343">
        <v>1164</v>
      </c>
      <c r="X7" s="1344">
        <f t="shared" ref="X7:X8" si="21">W7+U7</f>
        <v>2146</v>
      </c>
      <c r="Y7" s="1345">
        <f t="shared" ref="Y7:Y8" si="22">X7+T7</f>
        <v>4091</v>
      </c>
      <c r="Z7" s="1343">
        <v>1016</v>
      </c>
      <c r="AA7" s="1343">
        <v>1121</v>
      </c>
      <c r="AB7" s="863">
        <f t="shared" ref="AB7:AB16" si="23">Z7+AA7</f>
        <v>2137</v>
      </c>
      <c r="AC7" s="1343">
        <v>1021</v>
      </c>
      <c r="AD7" s="863">
        <f t="shared" ref="AD7:AD16" si="24">AB7+AC7</f>
        <v>3158</v>
      </c>
      <c r="AE7" s="1343">
        <v>1288</v>
      </c>
      <c r="AF7" s="1344">
        <f t="shared" ref="AF7:AF8" si="25">AE7+AC7</f>
        <v>2309</v>
      </c>
      <c r="AG7" s="1345">
        <f t="shared" ref="AG7:AG8" si="26">AF7+AB7</f>
        <v>4446</v>
      </c>
      <c r="AH7" s="1343">
        <v>1172</v>
      </c>
      <c r="AI7" s="1343">
        <v>1242</v>
      </c>
      <c r="AJ7" s="863">
        <f t="shared" ref="AJ7:AJ16" si="27">AH7+AI7</f>
        <v>2414</v>
      </c>
      <c r="AK7" s="1343">
        <v>1180</v>
      </c>
      <c r="AL7" s="863">
        <f t="shared" ref="AL7:AL16" si="28">AJ7+AK7</f>
        <v>3594</v>
      </c>
      <c r="AM7" s="1343">
        <v>1349</v>
      </c>
      <c r="AN7" s="1344">
        <f t="shared" ref="AN7:AN8" si="29">AM7+AK7</f>
        <v>2529</v>
      </c>
      <c r="AO7" s="1345">
        <f t="shared" ref="AO7:AO8" si="30">AN7+AJ7</f>
        <v>4943</v>
      </c>
      <c r="AP7" s="1343">
        <v>1219</v>
      </c>
      <c r="AQ7" s="1343">
        <v>1323</v>
      </c>
      <c r="AR7" s="863">
        <f t="shared" ref="AR7:AR16" si="31">AP7+AQ7</f>
        <v>2542</v>
      </c>
      <c r="AS7" s="1343">
        <v>1208</v>
      </c>
      <c r="AT7" s="863">
        <f t="shared" ref="AT7:AT16" si="32">AR7+AS7</f>
        <v>3750</v>
      </c>
      <c r="AU7" s="1343">
        <v>1395</v>
      </c>
      <c r="AV7" s="1344">
        <f t="shared" ref="AV7:AV8" si="33">AU7+AS7</f>
        <v>2603</v>
      </c>
      <c r="AW7" s="1345">
        <f t="shared" ref="AW7:AW8" si="34">AV7+AR7</f>
        <v>5145</v>
      </c>
      <c r="AX7" s="1343">
        <v>1335</v>
      </c>
      <c r="AY7" s="1343">
        <v>1380</v>
      </c>
      <c r="AZ7" s="863">
        <f t="shared" ref="AZ7:AZ16" si="35">AX7+AY7</f>
        <v>2715</v>
      </c>
      <c r="BA7" s="1343">
        <v>1225</v>
      </c>
      <c r="BB7" s="863">
        <f t="shared" ref="BB7:BB16" si="36">AZ7+BA7</f>
        <v>3940</v>
      </c>
      <c r="BC7" s="1343">
        <v>1320</v>
      </c>
      <c r="BD7" s="1344">
        <f t="shared" ref="BD7:BD8" si="37">BC7+BA7</f>
        <v>2545</v>
      </c>
      <c r="BE7" s="1345">
        <f t="shared" ref="BE7:BE8" si="38">BD7+AZ7</f>
        <v>5260</v>
      </c>
      <c r="BF7" s="1343">
        <v>1230</v>
      </c>
      <c r="BG7" s="1343">
        <v>1294</v>
      </c>
      <c r="BH7" s="863">
        <f t="shared" ref="BH7:BH16" si="39">BF7+BG7</f>
        <v>2524</v>
      </c>
      <c r="BI7" s="1343">
        <v>1312</v>
      </c>
      <c r="BJ7" s="863">
        <f t="shared" ref="BJ7:BJ16" si="40">BH7+BI7</f>
        <v>3836</v>
      </c>
      <c r="BK7" s="1343">
        <v>1432</v>
      </c>
      <c r="BL7" s="1344">
        <f t="shared" ref="BL7:BL8" si="41">BK7+BI7</f>
        <v>2744</v>
      </c>
      <c r="BM7" s="1345">
        <f t="shared" ref="BM7:BM8" si="42">BL7+BH7</f>
        <v>5268</v>
      </c>
      <c r="BN7" s="1343">
        <v>1422</v>
      </c>
      <c r="BO7" s="1343">
        <v>1611.0019639310681</v>
      </c>
      <c r="BP7" s="863">
        <f t="shared" ref="BP7:BP16" si="43">BN7+BO7</f>
        <v>3033.0019639310681</v>
      </c>
      <c r="BQ7" s="1343">
        <v>1576.5842221384951</v>
      </c>
      <c r="BR7" s="863">
        <f t="shared" ref="BR7:BR16" si="44">BP7+BQ7</f>
        <v>4609.5861860695632</v>
      </c>
      <c r="BS7" s="1343">
        <v>1720.7839985536011</v>
      </c>
      <c r="BT7" s="1344">
        <f t="shared" ref="BT7:BT8" si="45">BS7+BQ7</f>
        <v>3297.3682206920962</v>
      </c>
      <c r="BU7" s="1345">
        <f t="shared" ref="BU7:BU8" si="46">BT7+BP7</f>
        <v>6330.3701846231643</v>
      </c>
      <c r="BV7" s="1343">
        <v>937.11726166797575</v>
      </c>
      <c r="BW7" s="1343">
        <v>1061.6721160202626</v>
      </c>
      <c r="BX7" s="863">
        <f t="shared" ref="BX7:BX16" si="47">BV7+BW7</f>
        <v>1998.7893776882383</v>
      </c>
      <c r="BY7" s="1343">
        <v>1038.9903579742349</v>
      </c>
      <c r="BZ7" s="863">
        <f t="shared" ref="BZ7:BZ16" si="48">BX7+BY7</f>
        <v>3037.7797356624733</v>
      </c>
      <c r="CA7" s="1343">
        <v>1134.0199638865124</v>
      </c>
      <c r="CB7" s="1344">
        <f t="shared" ref="CB7:CB8" si="49">CA7+BY7</f>
        <v>2173.0103218607474</v>
      </c>
      <c r="CC7" s="1345">
        <f t="shared" ref="CC7:CC8" si="50">CB7+BX7</f>
        <v>4171.7996995489857</v>
      </c>
      <c r="CD7" s="1343">
        <v>830.18232772184058</v>
      </c>
      <c r="CE7" s="1343">
        <v>940.52416341824949</v>
      </c>
      <c r="CF7" s="863">
        <f t="shared" ref="CF7:CH16" si="51">CD7+CE7</f>
        <v>1770.7064911400901</v>
      </c>
      <c r="CG7" s="1343">
        <v>920.43063247852547</v>
      </c>
      <c r="CH7" s="863">
        <f t="shared" ref="CH7:CH11" si="52">CF7+CG7</f>
        <v>2691.1371236186155</v>
      </c>
      <c r="CI7" s="1343">
        <v>1004.6163610588783</v>
      </c>
      <c r="CJ7" s="1344">
        <f t="shared" ref="CJ7:CJ11" si="53">CI7+CG7</f>
        <v>1925.0469935374038</v>
      </c>
      <c r="CK7" s="1345"/>
      <c r="CL7" s="1343">
        <v>1081.9078749588848</v>
      </c>
      <c r="CM7" s="1343"/>
      <c r="CN7" s="863"/>
      <c r="CO7" s="1343"/>
      <c r="CP7" s="863"/>
      <c r="CQ7" s="1343"/>
      <c r="CR7" s="1344"/>
      <c r="CS7" s="1345"/>
      <c r="CT7" s="1343"/>
      <c r="CU7" s="1343"/>
      <c r="CV7" s="863"/>
      <c r="CW7" s="1343"/>
      <c r="CX7" s="863"/>
      <c r="CY7" s="1343"/>
      <c r="CZ7" s="1344"/>
      <c r="DA7" s="1345"/>
      <c r="DB7" s="1343"/>
      <c r="DC7" s="1343"/>
      <c r="DD7" s="863"/>
      <c r="DE7" s="1343"/>
      <c r="DF7" s="863"/>
      <c r="DG7" s="1343"/>
      <c r="DH7" s="1344"/>
      <c r="DI7" s="1345"/>
      <c r="DJ7" s="1343"/>
      <c r="DK7" s="1343"/>
      <c r="DL7" s="863"/>
      <c r="DM7" s="863"/>
      <c r="DN7" s="863"/>
      <c r="DO7" s="863"/>
      <c r="DP7" s="863"/>
      <c r="DQ7" s="1345"/>
      <c r="DR7" s="1343"/>
      <c r="DS7" s="1343"/>
      <c r="DT7" s="863"/>
      <c r="DU7" s="863"/>
      <c r="DV7" s="863"/>
      <c r="DW7" s="863"/>
      <c r="DX7" s="863"/>
      <c r="DY7" s="1345"/>
    </row>
    <row r="8" spans="1:140" hidden="1" outlineLevel="1">
      <c r="A8" s="291" t="s">
        <v>744</v>
      </c>
      <c r="B8" s="1342">
        <v>292</v>
      </c>
      <c r="C8" s="1343">
        <v>332</v>
      </c>
      <c r="D8" s="863">
        <f t="shared" si="11"/>
        <v>624</v>
      </c>
      <c r="E8" s="1343">
        <v>251</v>
      </c>
      <c r="F8" s="863">
        <f t="shared" si="12"/>
        <v>875</v>
      </c>
      <c r="G8" s="1343">
        <v>389</v>
      </c>
      <c r="H8" s="1344">
        <f t="shared" si="13"/>
        <v>640</v>
      </c>
      <c r="I8" s="1345">
        <f t="shared" si="14"/>
        <v>1264</v>
      </c>
      <c r="J8" s="1343">
        <v>307</v>
      </c>
      <c r="K8" s="1343">
        <v>333</v>
      </c>
      <c r="L8" s="863">
        <f t="shared" si="15"/>
        <v>640</v>
      </c>
      <c r="M8" s="1343">
        <v>276</v>
      </c>
      <c r="N8" s="863">
        <f t="shared" si="16"/>
        <v>916</v>
      </c>
      <c r="O8" s="1343">
        <v>399</v>
      </c>
      <c r="P8" s="1344">
        <f t="shared" si="17"/>
        <v>675</v>
      </c>
      <c r="Q8" s="1345">
        <f t="shared" si="18"/>
        <v>1315</v>
      </c>
      <c r="R8" s="1343">
        <v>292</v>
      </c>
      <c r="S8" s="1343">
        <v>274</v>
      </c>
      <c r="T8" s="863">
        <f t="shared" si="19"/>
        <v>566</v>
      </c>
      <c r="U8" s="1343">
        <v>258</v>
      </c>
      <c r="V8" s="863">
        <f t="shared" si="20"/>
        <v>824</v>
      </c>
      <c r="W8" s="1343">
        <v>373</v>
      </c>
      <c r="X8" s="1344">
        <f t="shared" si="21"/>
        <v>631</v>
      </c>
      <c r="Y8" s="1345">
        <f t="shared" si="22"/>
        <v>1197</v>
      </c>
      <c r="Z8" s="1343">
        <v>257</v>
      </c>
      <c r="AA8" s="1343">
        <v>327</v>
      </c>
      <c r="AB8" s="863">
        <f t="shared" si="23"/>
        <v>584</v>
      </c>
      <c r="AC8" s="1343">
        <v>256</v>
      </c>
      <c r="AD8" s="863">
        <f t="shared" si="24"/>
        <v>840</v>
      </c>
      <c r="AE8" s="1343">
        <v>381</v>
      </c>
      <c r="AF8" s="1344">
        <f t="shared" si="25"/>
        <v>637</v>
      </c>
      <c r="AG8" s="1345">
        <f t="shared" si="26"/>
        <v>1221</v>
      </c>
      <c r="AH8" s="1343">
        <v>278</v>
      </c>
      <c r="AI8" s="1343">
        <v>338</v>
      </c>
      <c r="AJ8" s="863">
        <f t="shared" si="27"/>
        <v>616</v>
      </c>
      <c r="AK8" s="1343">
        <v>266</v>
      </c>
      <c r="AL8" s="863">
        <f t="shared" si="28"/>
        <v>882</v>
      </c>
      <c r="AM8" s="1343">
        <v>384</v>
      </c>
      <c r="AN8" s="1344">
        <f t="shared" si="29"/>
        <v>650</v>
      </c>
      <c r="AO8" s="1345">
        <f t="shared" si="30"/>
        <v>1266</v>
      </c>
      <c r="AP8" s="1343">
        <v>269</v>
      </c>
      <c r="AQ8" s="1343">
        <v>315</v>
      </c>
      <c r="AR8" s="863">
        <f t="shared" si="31"/>
        <v>584</v>
      </c>
      <c r="AS8" s="1343">
        <v>253</v>
      </c>
      <c r="AT8" s="863">
        <f t="shared" si="32"/>
        <v>837</v>
      </c>
      <c r="AU8" s="1343">
        <v>401</v>
      </c>
      <c r="AV8" s="1344">
        <f t="shared" si="33"/>
        <v>654</v>
      </c>
      <c r="AW8" s="1345">
        <f t="shared" si="34"/>
        <v>1238</v>
      </c>
      <c r="AX8" s="1343">
        <v>284</v>
      </c>
      <c r="AY8" s="1343">
        <v>340</v>
      </c>
      <c r="AZ8" s="863">
        <f t="shared" si="35"/>
        <v>624</v>
      </c>
      <c r="BA8" s="1343">
        <v>281</v>
      </c>
      <c r="BB8" s="863">
        <f t="shared" si="36"/>
        <v>905</v>
      </c>
      <c r="BC8" s="1343">
        <v>411</v>
      </c>
      <c r="BD8" s="1344">
        <f t="shared" si="37"/>
        <v>692</v>
      </c>
      <c r="BE8" s="1345">
        <f t="shared" si="38"/>
        <v>1316</v>
      </c>
      <c r="BF8" s="1343">
        <v>298</v>
      </c>
      <c r="BG8" s="1343">
        <v>353</v>
      </c>
      <c r="BH8" s="863">
        <f t="shared" si="39"/>
        <v>651</v>
      </c>
      <c r="BI8" s="1343">
        <v>309</v>
      </c>
      <c r="BJ8" s="863">
        <f t="shared" si="40"/>
        <v>960</v>
      </c>
      <c r="BK8" s="1343">
        <v>426</v>
      </c>
      <c r="BL8" s="1344">
        <f t="shared" si="41"/>
        <v>735</v>
      </c>
      <c r="BM8" s="1345">
        <f t="shared" si="42"/>
        <v>1386</v>
      </c>
      <c r="BN8" s="1343">
        <v>360</v>
      </c>
      <c r="BO8" s="1343">
        <v>330</v>
      </c>
      <c r="BP8" s="863">
        <f t="shared" si="43"/>
        <v>690</v>
      </c>
      <c r="BQ8" s="1343">
        <v>632.74672727272718</v>
      </c>
      <c r="BR8" s="863">
        <f t="shared" si="44"/>
        <v>1322.7467272727272</v>
      </c>
      <c r="BS8" s="1343">
        <v>586.96886022727267</v>
      </c>
      <c r="BT8" s="1344">
        <f t="shared" si="45"/>
        <v>1219.7155874999999</v>
      </c>
      <c r="BU8" s="1345">
        <f t="shared" si="46"/>
        <v>1909.7155874999999</v>
      </c>
      <c r="BV8" s="1343">
        <v>360</v>
      </c>
      <c r="BW8" s="1343">
        <v>330</v>
      </c>
      <c r="BX8" s="863">
        <f t="shared" si="47"/>
        <v>690</v>
      </c>
      <c r="BY8" s="1343">
        <v>632.74672727272718</v>
      </c>
      <c r="BZ8" s="863">
        <f t="shared" si="48"/>
        <v>1322.7467272727272</v>
      </c>
      <c r="CA8" s="1343">
        <v>586.96886022727267</v>
      </c>
      <c r="CB8" s="1344">
        <f t="shared" si="49"/>
        <v>1219.7155874999999</v>
      </c>
      <c r="CC8" s="1345">
        <f t="shared" si="50"/>
        <v>1909.7155874999999</v>
      </c>
      <c r="CD8" s="1343">
        <v>363.6</v>
      </c>
      <c r="CE8" s="1343">
        <v>333.29999999999995</v>
      </c>
      <c r="CF8" s="863">
        <f t="shared" si="51"/>
        <v>696.9</v>
      </c>
      <c r="CG8" s="1343">
        <v>639.07419454545436</v>
      </c>
      <c r="CH8" s="863">
        <f t="shared" si="52"/>
        <v>1335.9741945454543</v>
      </c>
      <c r="CI8" s="1343">
        <v>592.83854882954552</v>
      </c>
      <c r="CJ8" s="1344">
        <f t="shared" si="53"/>
        <v>1231.912743375</v>
      </c>
      <c r="CK8" s="1345"/>
      <c r="CL8" s="1343">
        <v>426.7405764614889</v>
      </c>
      <c r="CM8" s="1343"/>
      <c r="CN8" s="863"/>
      <c r="CO8" s="1343"/>
      <c r="CP8" s="863"/>
      <c r="CQ8" s="1343"/>
      <c r="CR8" s="1344"/>
      <c r="CS8" s="1345"/>
      <c r="CT8" s="1343"/>
      <c r="CU8" s="1343"/>
      <c r="CV8" s="863"/>
      <c r="CW8" s="1343"/>
      <c r="CX8" s="863"/>
      <c r="CY8" s="1343"/>
      <c r="CZ8" s="1344"/>
      <c r="DA8" s="1345"/>
      <c r="DB8" s="1343"/>
      <c r="DC8" s="1343"/>
      <c r="DD8" s="863"/>
      <c r="DE8" s="1343"/>
      <c r="DF8" s="863"/>
      <c r="DG8" s="1343"/>
      <c r="DH8" s="1344"/>
      <c r="DI8" s="1345"/>
      <c r="DJ8" s="1343"/>
      <c r="DK8" s="1343"/>
      <c r="DL8" s="863"/>
      <c r="DM8" s="863"/>
      <c r="DN8" s="863"/>
      <c r="DO8" s="863"/>
      <c r="DP8" s="863"/>
      <c r="DQ8" s="1345"/>
      <c r="DR8" s="1343"/>
      <c r="DS8" s="1343"/>
      <c r="DT8" s="863"/>
      <c r="DU8" s="863"/>
      <c r="DV8" s="863"/>
      <c r="DW8" s="863"/>
      <c r="DX8" s="863"/>
      <c r="DY8" s="1345"/>
    </row>
    <row r="9" spans="1:140" hidden="1" outlineLevel="1">
      <c r="A9" s="291" t="s">
        <v>1243</v>
      </c>
      <c r="B9" s="1342"/>
      <c r="C9" s="1343"/>
      <c r="D9" s="863"/>
      <c r="E9" s="1343"/>
      <c r="F9" s="863"/>
      <c r="G9" s="1343"/>
      <c r="H9" s="1344"/>
      <c r="I9" s="1345"/>
      <c r="J9" s="1343"/>
      <c r="K9" s="1343"/>
      <c r="L9" s="863"/>
      <c r="M9" s="1343"/>
      <c r="N9" s="863"/>
      <c r="O9" s="1343"/>
      <c r="P9" s="1344"/>
      <c r="Q9" s="1345"/>
      <c r="R9" s="1343"/>
      <c r="S9" s="1343"/>
      <c r="T9" s="863"/>
      <c r="U9" s="1343"/>
      <c r="V9" s="863"/>
      <c r="W9" s="1343"/>
      <c r="X9" s="1344"/>
      <c r="Y9" s="1345"/>
      <c r="Z9" s="1343"/>
      <c r="AA9" s="1343"/>
      <c r="AB9" s="863"/>
      <c r="AC9" s="1343"/>
      <c r="AD9" s="863"/>
      <c r="AE9" s="1343"/>
      <c r="AF9" s="1344"/>
      <c r="AG9" s="1345"/>
      <c r="AH9" s="1343"/>
      <c r="AI9" s="1343"/>
      <c r="AJ9" s="863"/>
      <c r="AK9" s="1343"/>
      <c r="AL9" s="863"/>
      <c r="AM9" s="1343"/>
      <c r="AN9" s="1344"/>
      <c r="AO9" s="1345"/>
      <c r="AP9" s="1343"/>
      <c r="AQ9" s="1343"/>
      <c r="AR9" s="863"/>
      <c r="AS9" s="1343"/>
      <c r="AT9" s="863"/>
      <c r="AU9" s="1343"/>
      <c r="AV9" s="1344"/>
      <c r="AW9" s="1345"/>
      <c r="AX9" s="1343"/>
      <c r="AY9" s="1343"/>
      <c r="AZ9" s="863"/>
      <c r="BA9" s="1343"/>
      <c r="BB9" s="863"/>
      <c r="BC9" s="1343"/>
      <c r="BD9" s="1344"/>
      <c r="BE9" s="1345"/>
      <c r="BF9" s="1343">
        <v>113.5</v>
      </c>
      <c r="BG9" s="1343">
        <v>423.5</v>
      </c>
      <c r="BH9" s="863">
        <f t="shared" si="39"/>
        <v>537</v>
      </c>
      <c r="BI9" s="1343">
        <v>431</v>
      </c>
      <c r="BJ9" s="863">
        <f t="shared" si="40"/>
        <v>968</v>
      </c>
      <c r="BK9" s="1343">
        <v>320</v>
      </c>
      <c r="BL9" s="863">
        <f t="shared" ref="BL9:BL11" si="54">BJ9+BK9</f>
        <v>1288</v>
      </c>
      <c r="BM9" s="1346">
        <f t="shared" ref="BM9:BM11" si="55">BK9+BL9</f>
        <v>1608</v>
      </c>
      <c r="BN9" s="1343">
        <v>419</v>
      </c>
      <c r="BO9" s="1343">
        <v>88.957113938418161</v>
      </c>
      <c r="BP9" s="863">
        <f t="shared" si="43"/>
        <v>507.95711393841816</v>
      </c>
      <c r="BQ9" s="1343">
        <v>308.98570464613942</v>
      </c>
      <c r="BR9" s="863">
        <f t="shared" si="44"/>
        <v>816.94281858455759</v>
      </c>
      <c r="BS9" s="1343">
        <v>198.97140929227876</v>
      </c>
      <c r="BT9" s="1344">
        <f t="shared" ref="BT9:BT11" si="56">BS9+BQ9</f>
        <v>507.95711393841816</v>
      </c>
      <c r="BU9" s="1345">
        <f t="shared" ref="BU9:BU11" si="57">BT9+BP9</f>
        <v>1015.9142278768363</v>
      </c>
      <c r="BV9" s="1343">
        <v>334.68582818951938</v>
      </c>
      <c r="BW9" s="1343">
        <v>71.056528285987838</v>
      </c>
      <c r="BX9" s="863">
        <f t="shared" si="47"/>
        <v>405.74235647550722</v>
      </c>
      <c r="BY9" s="1343">
        <v>246.80939488834224</v>
      </c>
      <c r="BZ9" s="863">
        <f t="shared" si="48"/>
        <v>652.55175136384946</v>
      </c>
      <c r="CA9" s="1343">
        <v>158.93296158716498</v>
      </c>
      <c r="CB9" s="1344">
        <f t="shared" ref="CB9:CB11" si="58">CA9+BY9</f>
        <v>405.74235647550722</v>
      </c>
      <c r="CC9" s="1345">
        <f t="shared" ref="CC9:CC11" si="59">CB9+BX9</f>
        <v>811.48471295101444</v>
      </c>
      <c r="CD9" s="1343">
        <v>288.88437861467298</v>
      </c>
      <c r="CE9" s="1343">
        <v>61.332507359080182</v>
      </c>
      <c r="CF9" s="863">
        <f t="shared" si="51"/>
        <v>350.21688597375316</v>
      </c>
      <c r="CG9" s="1343">
        <v>213.03375486280879</v>
      </c>
      <c r="CH9" s="863">
        <f t="shared" si="52"/>
        <v>563.25064083656196</v>
      </c>
      <c r="CI9" s="1343">
        <v>137.18313111094437</v>
      </c>
      <c r="CJ9" s="1344">
        <f t="shared" si="53"/>
        <v>350.21688597375316</v>
      </c>
      <c r="CK9" s="1345"/>
      <c r="CL9" s="1343">
        <v>207.35154857962632</v>
      </c>
      <c r="CM9" s="1343"/>
      <c r="CN9" s="863"/>
      <c r="CO9" s="1343"/>
      <c r="CP9" s="863"/>
      <c r="CQ9" s="1343"/>
      <c r="CR9" s="1344"/>
      <c r="CS9" s="1345"/>
      <c r="CT9" s="1343"/>
      <c r="CU9" s="1343"/>
      <c r="CV9" s="863"/>
      <c r="CW9" s="1343"/>
      <c r="CX9" s="863"/>
      <c r="CY9" s="1343"/>
      <c r="CZ9" s="1344"/>
      <c r="DA9" s="1345"/>
      <c r="DB9" s="1343"/>
      <c r="DC9" s="1343"/>
      <c r="DD9" s="863"/>
      <c r="DE9" s="1343"/>
      <c r="DF9" s="863"/>
      <c r="DG9" s="1343"/>
      <c r="DH9" s="1344"/>
      <c r="DI9" s="1345"/>
      <c r="DJ9" s="1343"/>
      <c r="DK9" s="1343"/>
      <c r="DL9" s="863"/>
      <c r="DM9" s="863"/>
      <c r="DN9" s="863"/>
      <c r="DO9" s="863"/>
      <c r="DP9" s="863"/>
      <c r="DQ9" s="1345"/>
      <c r="DR9" s="1343"/>
      <c r="DS9" s="1343"/>
      <c r="DT9" s="863"/>
      <c r="DU9" s="863"/>
      <c r="DV9" s="863"/>
      <c r="DW9" s="863"/>
      <c r="DX9" s="863"/>
      <c r="DY9" s="1345"/>
    </row>
    <row r="10" spans="1:140" collapsed="1">
      <c r="A10" s="19" t="s">
        <v>1930</v>
      </c>
      <c r="B10" s="1342"/>
      <c r="C10" s="1343"/>
      <c r="D10" s="863"/>
      <c r="E10" s="1343"/>
      <c r="F10" s="863"/>
      <c r="G10" s="1343"/>
      <c r="H10" s="1344"/>
      <c r="I10" s="1345"/>
      <c r="J10" s="1343"/>
      <c r="K10" s="1343"/>
      <c r="L10" s="863"/>
      <c r="M10" s="1343"/>
      <c r="N10" s="863"/>
      <c r="O10" s="1343"/>
      <c r="P10" s="1344"/>
      <c r="Q10" s="1345"/>
      <c r="R10" s="1343"/>
      <c r="S10" s="1343"/>
      <c r="T10" s="863"/>
      <c r="U10" s="1343"/>
      <c r="V10" s="863"/>
      <c r="W10" s="1343"/>
      <c r="X10" s="1344"/>
      <c r="Y10" s="1345"/>
      <c r="Z10" s="1343"/>
      <c r="AA10" s="1343"/>
      <c r="AB10" s="863"/>
      <c r="AC10" s="1343"/>
      <c r="AD10" s="863"/>
      <c r="AE10" s="1343"/>
      <c r="AF10" s="1344"/>
      <c r="AG10" s="1345"/>
      <c r="AH10" s="1343"/>
      <c r="AI10" s="1343"/>
      <c r="AJ10" s="863"/>
      <c r="AK10" s="1343"/>
      <c r="AL10" s="863"/>
      <c r="AM10" s="1343"/>
      <c r="AN10" s="1344"/>
      <c r="AO10" s="1345"/>
      <c r="AP10" s="1343"/>
      <c r="AQ10" s="1343"/>
      <c r="AR10" s="863"/>
      <c r="AS10" s="1343"/>
      <c r="AT10" s="863"/>
      <c r="AU10" s="1343"/>
      <c r="AV10" s="1344"/>
      <c r="AW10" s="1345"/>
      <c r="AX10" s="1343"/>
      <c r="AY10" s="1343"/>
      <c r="AZ10" s="863"/>
      <c r="BA10" s="1343"/>
      <c r="BB10" s="863"/>
      <c r="BC10" s="1343"/>
      <c r="BD10" s="1344"/>
      <c r="BE10" s="1345"/>
      <c r="BF10" s="1343">
        <v>1641.5</v>
      </c>
      <c r="BG10" s="1343">
        <v>2070.5</v>
      </c>
      <c r="BH10" s="863">
        <f t="shared" si="39"/>
        <v>3712</v>
      </c>
      <c r="BI10" s="1343">
        <v>2052</v>
      </c>
      <c r="BJ10" s="863">
        <f t="shared" si="40"/>
        <v>5764</v>
      </c>
      <c r="BK10" s="1343">
        <v>2178</v>
      </c>
      <c r="BL10" s="863">
        <f t="shared" si="54"/>
        <v>7942</v>
      </c>
      <c r="BM10" s="1346">
        <f t="shared" si="55"/>
        <v>10120</v>
      </c>
      <c r="BN10" s="1343">
        <v>2201</v>
      </c>
      <c r="BO10" s="1343">
        <v>2352</v>
      </c>
      <c r="BP10" s="863">
        <f t="shared" si="43"/>
        <v>4553</v>
      </c>
      <c r="BQ10" s="1343">
        <v>2298</v>
      </c>
      <c r="BR10" s="863">
        <f t="shared" si="44"/>
        <v>6851</v>
      </c>
      <c r="BS10" s="1343">
        <v>2405</v>
      </c>
      <c r="BT10" s="1344">
        <f t="shared" si="56"/>
        <v>4703</v>
      </c>
      <c r="BU10" s="1345">
        <f t="shared" si="57"/>
        <v>9256</v>
      </c>
      <c r="BV10" s="1343">
        <v>2187</v>
      </c>
      <c r="BW10" s="1343">
        <v>1451</v>
      </c>
      <c r="BX10" s="863">
        <f t="shared" si="47"/>
        <v>3638</v>
      </c>
      <c r="BY10" s="1343">
        <v>1461</v>
      </c>
      <c r="BZ10" s="863">
        <f t="shared" si="48"/>
        <v>5099</v>
      </c>
      <c r="CA10" s="1343">
        <v>1794</v>
      </c>
      <c r="CB10" s="1344">
        <f t="shared" si="58"/>
        <v>3255</v>
      </c>
      <c r="CC10" s="1345">
        <f t="shared" si="59"/>
        <v>6893</v>
      </c>
      <c r="CD10" s="1343">
        <v>1464</v>
      </c>
      <c r="CE10" s="1343">
        <v>1508</v>
      </c>
      <c r="CF10" s="863">
        <f t="shared" si="51"/>
        <v>2972</v>
      </c>
      <c r="CG10" s="1343">
        <v>1535</v>
      </c>
      <c r="CH10" s="863">
        <f t="shared" si="52"/>
        <v>4507</v>
      </c>
      <c r="CI10" s="1343">
        <v>1818</v>
      </c>
      <c r="CJ10" s="1344">
        <f t="shared" si="53"/>
        <v>3353</v>
      </c>
      <c r="CK10" s="1345">
        <f>INDEX('Income Statement'!6:6, MATCH(Interims!CK$1,'Income Statement'!$3:$3,0))</f>
        <v>6325</v>
      </c>
      <c r="CL10" s="1343">
        <v>1716</v>
      </c>
      <c r="CM10" s="1343">
        <v>1790</v>
      </c>
      <c r="CN10" s="863">
        <f t="shared" ref="CN10:CP16" si="60">CL10+CM10</f>
        <v>3506</v>
      </c>
      <c r="CO10" s="1343">
        <v>1820</v>
      </c>
      <c r="CP10" s="863">
        <f t="shared" si="60"/>
        <v>5326</v>
      </c>
      <c r="CQ10" s="1343">
        <v>2209</v>
      </c>
      <c r="CR10" s="1344">
        <f t="shared" ref="CR10:CR11" si="61">CQ10+CO10</f>
        <v>4029</v>
      </c>
      <c r="CS10" s="1345">
        <f>INDEX('Income Statement'!6:6, MATCH(Interims!CS$1,'Income Statement'!$3:$3,0))</f>
        <v>7535</v>
      </c>
      <c r="CT10" s="1343">
        <v>1966</v>
      </c>
      <c r="CU10" s="1343">
        <v>2134</v>
      </c>
      <c r="CV10" s="863">
        <f t="shared" ref="CV10:CV16" si="62">CT10+CU10</f>
        <v>4100</v>
      </c>
      <c r="CW10" s="1343">
        <v>2134</v>
      </c>
      <c r="CX10" s="863">
        <f t="shared" ref="CX10:CX16" si="63">CV10+CW10</f>
        <v>6234</v>
      </c>
      <c r="CY10" s="1343">
        <v>2601</v>
      </c>
      <c r="CZ10" s="1344">
        <f t="shared" ref="CZ10:CZ11" si="64">CY10+CW10</f>
        <v>4735</v>
      </c>
      <c r="DA10" s="1345">
        <f>INDEX('Income Statement'!6:6, MATCH(Interims!DA$1,'Income Statement'!$3:$3,0))</f>
        <v>8835</v>
      </c>
      <c r="DB10" s="1343">
        <v>2444</v>
      </c>
      <c r="DC10" s="1343">
        <v>2726</v>
      </c>
      <c r="DD10" s="863">
        <f t="shared" ref="DD10:DD16" si="65">DB10+DC10</f>
        <v>5170</v>
      </c>
      <c r="DE10" s="1343">
        <v>2527</v>
      </c>
      <c r="DF10" s="863">
        <f t="shared" ref="DF10:DF16" si="66">DD10+DE10</f>
        <v>7697</v>
      </c>
      <c r="DG10" s="1343">
        <v>2921</v>
      </c>
      <c r="DH10" s="1344">
        <f t="shared" ref="DH10:DH11" si="67">DG10+DE10</f>
        <v>5448</v>
      </c>
      <c r="DI10" s="1345">
        <f>INDEX('Income Statement'!6:6, MATCH(Interims!DI$1,'Income Statement'!$3:$3,0))</f>
        <v>10618</v>
      </c>
      <c r="DJ10" s="1343">
        <v>2783</v>
      </c>
      <c r="DK10" s="1343">
        <v>2826</v>
      </c>
      <c r="DL10" s="863">
        <f t="shared" ref="DL10:DL13" si="68">DJ10+DK10</f>
        <v>5609</v>
      </c>
      <c r="DM10" s="863">
        <f t="shared" ref="DM10:DM13" si="69">(DE10/DI10)*DQ10</f>
        <v>2901.4750244433149</v>
      </c>
      <c r="DN10" s="863">
        <f>DL10+DM10</f>
        <v>8510.4750244433144</v>
      </c>
      <c r="DO10" s="863">
        <f t="shared" ref="DO10:DO13" si="70">DQ10-DN10</f>
        <v>3681.0017502061182</v>
      </c>
      <c r="DP10" s="863">
        <f t="shared" ref="DP10:DP13" si="71">DM10+DO10</f>
        <v>6582.4767746494326</v>
      </c>
      <c r="DQ10" s="1345">
        <f>INDEX('Income Statement'!6:6, MATCH(Interims!DQ$1,'Income Statement'!$3:$3,0))</f>
        <v>12191.476774649433</v>
      </c>
      <c r="DR10" s="1344">
        <f>(DB10/$DI$10)*$DY$10</f>
        <v>3105.1661143624315</v>
      </c>
      <c r="DS10" s="1344">
        <f t="shared" ref="DS10:DX10" si="72">(DC10/$DI$10)*$DY$10</f>
        <v>3463.4545121734814</v>
      </c>
      <c r="DT10" s="1344">
        <f t="shared" si="72"/>
        <v>6568.6206265359124</v>
      </c>
      <c r="DU10" s="1344">
        <f t="shared" si="72"/>
        <v>3210.6197917323502</v>
      </c>
      <c r="DV10" s="1344">
        <f t="shared" si="72"/>
        <v>9779.2404182682621</v>
      </c>
      <c r="DW10" s="1344">
        <f t="shared" si="72"/>
        <v>3711.2071276811221</v>
      </c>
      <c r="DX10" s="1344">
        <f t="shared" si="72"/>
        <v>6921.8269194134718</v>
      </c>
      <c r="DY10" s="1345">
        <f>INDEX('Income Statement'!6:6, MATCH(Interims!DY$1,'Income Statement'!$3:$3,0))</f>
        <v>13490.447545949384</v>
      </c>
    </row>
    <row r="11" spans="1:140">
      <c r="A11" s="19" t="s">
        <v>1293</v>
      </c>
      <c r="B11" s="1342"/>
      <c r="C11" s="1343"/>
      <c r="D11" s="863"/>
      <c r="E11" s="1343"/>
      <c r="F11" s="863"/>
      <c r="G11" s="1343"/>
      <c r="H11" s="1344"/>
      <c r="I11" s="1345"/>
      <c r="J11" s="1343"/>
      <c r="K11" s="1343"/>
      <c r="L11" s="863"/>
      <c r="M11" s="1343"/>
      <c r="N11" s="863"/>
      <c r="O11" s="1343"/>
      <c r="P11" s="1344"/>
      <c r="Q11" s="1345"/>
      <c r="R11" s="1343"/>
      <c r="S11" s="1343"/>
      <c r="T11" s="863"/>
      <c r="U11" s="1343"/>
      <c r="V11" s="863"/>
      <c r="W11" s="1343"/>
      <c r="X11" s="1344"/>
      <c r="Y11" s="1345"/>
      <c r="Z11" s="1343"/>
      <c r="AA11" s="1343"/>
      <c r="AB11" s="863"/>
      <c r="AC11" s="1343"/>
      <c r="AD11" s="863"/>
      <c r="AE11" s="1343"/>
      <c r="AF11" s="1344"/>
      <c r="AG11" s="1345"/>
      <c r="AH11" s="1343"/>
      <c r="AI11" s="1343"/>
      <c r="AJ11" s="863"/>
      <c r="AK11" s="1343"/>
      <c r="AL11" s="863"/>
      <c r="AM11" s="1343"/>
      <c r="AN11" s="1344"/>
      <c r="AO11" s="1345"/>
      <c r="AP11" s="1343"/>
      <c r="AQ11" s="1343"/>
      <c r="AR11" s="863"/>
      <c r="AS11" s="1343"/>
      <c r="AT11" s="863"/>
      <c r="AU11" s="1343"/>
      <c r="AV11" s="1344"/>
      <c r="AW11" s="1345"/>
      <c r="AX11" s="1343"/>
      <c r="AY11" s="1343"/>
      <c r="AZ11" s="863"/>
      <c r="BA11" s="1343"/>
      <c r="BB11" s="863"/>
      <c r="BC11" s="1343"/>
      <c r="BD11" s="1344"/>
      <c r="BE11" s="1345"/>
      <c r="BF11" s="1343">
        <v>255.5</v>
      </c>
      <c r="BG11" s="1343">
        <v>724.5</v>
      </c>
      <c r="BH11" s="863">
        <f t="shared" si="39"/>
        <v>980</v>
      </c>
      <c r="BI11" s="1343">
        <v>769</v>
      </c>
      <c r="BJ11" s="863">
        <f t="shared" si="40"/>
        <v>1749</v>
      </c>
      <c r="BK11" s="1343">
        <v>762</v>
      </c>
      <c r="BL11" s="863">
        <f t="shared" si="54"/>
        <v>2511</v>
      </c>
      <c r="BM11" s="1346">
        <f t="shared" si="55"/>
        <v>3273</v>
      </c>
      <c r="BN11" s="1343">
        <v>806</v>
      </c>
      <c r="BO11" s="1343">
        <v>834</v>
      </c>
      <c r="BP11" s="863">
        <f t="shared" si="43"/>
        <v>1640</v>
      </c>
      <c r="BQ11" s="1343">
        <v>805</v>
      </c>
      <c r="BR11" s="863">
        <f t="shared" si="44"/>
        <v>2445</v>
      </c>
      <c r="BS11" s="1343">
        <v>876</v>
      </c>
      <c r="BT11" s="1344">
        <f t="shared" si="56"/>
        <v>1681</v>
      </c>
      <c r="BU11" s="1345">
        <f t="shared" si="57"/>
        <v>3321</v>
      </c>
      <c r="BV11" s="1343">
        <v>694</v>
      </c>
      <c r="BW11" s="1343">
        <v>378</v>
      </c>
      <c r="BX11" s="863">
        <f t="shared" si="47"/>
        <v>1072</v>
      </c>
      <c r="BY11" s="1343">
        <v>357</v>
      </c>
      <c r="BZ11" s="863">
        <f t="shared" si="48"/>
        <v>1429</v>
      </c>
      <c r="CA11" s="1343">
        <v>493</v>
      </c>
      <c r="CB11" s="1344">
        <f t="shared" si="58"/>
        <v>850</v>
      </c>
      <c r="CC11" s="1345">
        <f t="shared" si="59"/>
        <v>1922</v>
      </c>
      <c r="CD11" s="1343">
        <v>313</v>
      </c>
      <c r="CE11" s="1343">
        <v>333</v>
      </c>
      <c r="CF11" s="863">
        <f t="shared" si="51"/>
        <v>646</v>
      </c>
      <c r="CG11" s="1343">
        <v>385</v>
      </c>
      <c r="CH11" s="863">
        <f t="shared" si="52"/>
        <v>1031</v>
      </c>
      <c r="CI11" s="1343">
        <v>444</v>
      </c>
      <c r="CJ11" s="1344">
        <f t="shared" si="53"/>
        <v>829</v>
      </c>
      <c r="CK11" s="1345">
        <f>INDEX('Income Statement'!7:7, MATCH(Interims!CK$1,'Income Statement'!$3:$3,0))</f>
        <v>1475</v>
      </c>
      <c r="CL11" s="1343">
        <v>409</v>
      </c>
      <c r="CM11" s="1343">
        <v>461</v>
      </c>
      <c r="CN11" s="863">
        <f t="shared" si="60"/>
        <v>870</v>
      </c>
      <c r="CO11" s="1343">
        <v>522</v>
      </c>
      <c r="CP11" s="863">
        <f t="shared" si="60"/>
        <v>1392</v>
      </c>
      <c r="CQ11" s="1343">
        <v>586</v>
      </c>
      <c r="CR11" s="1344">
        <f t="shared" si="61"/>
        <v>1108</v>
      </c>
      <c r="CS11" s="1345">
        <f>INDEX('Income Statement'!7:7, MATCH(Interims!CS$1,'Income Statement'!$3:$3,0))</f>
        <v>1978</v>
      </c>
      <c r="CT11" s="1343">
        <v>584</v>
      </c>
      <c r="CU11" s="1343">
        <v>579</v>
      </c>
      <c r="CV11" s="863">
        <f t="shared" si="62"/>
        <v>1163</v>
      </c>
      <c r="CW11" s="1343">
        <v>605</v>
      </c>
      <c r="CX11" s="863">
        <f t="shared" si="63"/>
        <v>1768</v>
      </c>
      <c r="CY11" s="1343">
        <v>709</v>
      </c>
      <c r="CZ11" s="1344">
        <f t="shared" si="64"/>
        <v>1314</v>
      </c>
      <c r="DA11" s="1345">
        <f>INDEX('Income Statement'!7:7, MATCH(Interims!DA$1,'Income Statement'!$3:$3,0))</f>
        <v>2477</v>
      </c>
      <c r="DB11" s="1343">
        <v>676</v>
      </c>
      <c r="DC11" s="1343">
        <v>735</v>
      </c>
      <c r="DD11" s="863">
        <f t="shared" si="65"/>
        <v>1411</v>
      </c>
      <c r="DE11" s="1343">
        <v>771</v>
      </c>
      <c r="DF11" s="863">
        <f t="shared" si="66"/>
        <v>2182</v>
      </c>
      <c r="DG11" s="1343">
        <v>855</v>
      </c>
      <c r="DH11" s="1344">
        <f t="shared" si="67"/>
        <v>1626</v>
      </c>
      <c r="DI11" s="1345">
        <f>INDEX('Income Statement'!7:7, MATCH(Interims!DI$1,'Income Statement'!$3:$3,0))</f>
        <v>3037</v>
      </c>
      <c r="DJ11" s="1343">
        <v>788</v>
      </c>
      <c r="DK11" s="1343">
        <v>828</v>
      </c>
      <c r="DL11" s="863">
        <f t="shared" si="68"/>
        <v>1616</v>
      </c>
      <c r="DM11" s="863">
        <f t="shared" si="69"/>
        <v>869.21174185051029</v>
      </c>
      <c r="DN11" s="863">
        <f>DL11+DM11</f>
        <v>2485.2117418505104</v>
      </c>
      <c r="DO11" s="863">
        <f t="shared" si="70"/>
        <v>938.64825814948972</v>
      </c>
      <c r="DP11" s="863">
        <f t="shared" si="71"/>
        <v>1807.8600000000001</v>
      </c>
      <c r="DQ11" s="1345">
        <f>INDEX('Income Statement'!7:7, MATCH(Interims!DQ$1,'Income Statement'!$3:$3,0))</f>
        <v>3423.86</v>
      </c>
      <c r="DR11" s="1344">
        <f>(DB11/$DI$11)*$DY$11</f>
        <v>842.0785314455054</v>
      </c>
      <c r="DS11" s="1344">
        <f t="shared" ref="DS11:DX11" si="73">(DC11/$DI$11)*$DY$11</f>
        <v>915.57355120184388</v>
      </c>
      <c r="DT11" s="1344">
        <f t="shared" si="73"/>
        <v>1757.6520826473493</v>
      </c>
      <c r="DU11" s="1344">
        <f t="shared" si="73"/>
        <v>960.41797003621991</v>
      </c>
      <c r="DV11" s="1344">
        <f t="shared" si="73"/>
        <v>2718.0700526835694</v>
      </c>
      <c r="DW11" s="1344">
        <f t="shared" si="73"/>
        <v>1065.0549473164306</v>
      </c>
      <c r="DX11" s="1344">
        <f t="shared" si="73"/>
        <v>2025.4729173526507</v>
      </c>
      <c r="DY11" s="1345">
        <f>INDEX('Income Statement'!7:7, MATCH(Interims!DY$1,'Income Statement'!$3:$3,0))</f>
        <v>3783.125</v>
      </c>
    </row>
    <row r="12" spans="1:140" hidden="1" outlineLevel="1">
      <c r="A12" s="19" t="s">
        <v>976</v>
      </c>
      <c r="B12" s="1342">
        <v>233</v>
      </c>
      <c r="C12" s="1343">
        <v>276</v>
      </c>
      <c r="D12" s="863">
        <f t="shared" si="11"/>
        <v>509</v>
      </c>
      <c r="E12" s="1343">
        <v>317</v>
      </c>
      <c r="F12" s="863">
        <f t="shared" si="12"/>
        <v>826</v>
      </c>
      <c r="G12" s="1343">
        <v>423</v>
      </c>
      <c r="H12" s="1344">
        <f t="shared" si="13"/>
        <v>740</v>
      </c>
      <c r="I12" s="1345">
        <f t="shared" si="14"/>
        <v>1249</v>
      </c>
      <c r="J12" s="1343">
        <v>332</v>
      </c>
      <c r="K12" s="1343">
        <v>387</v>
      </c>
      <c r="L12" s="863">
        <f t="shared" si="15"/>
        <v>719</v>
      </c>
      <c r="M12" s="1343">
        <v>371</v>
      </c>
      <c r="N12" s="863">
        <f t="shared" si="16"/>
        <v>1090</v>
      </c>
      <c r="O12" s="1343">
        <v>456</v>
      </c>
      <c r="P12" s="1344">
        <f t="shared" ref="P12:P13" si="74">O12+M12</f>
        <v>827</v>
      </c>
      <c r="Q12" s="1345">
        <f t="shared" ref="Q12:Q13" si="75">P12+L12</f>
        <v>1546</v>
      </c>
      <c r="R12" s="1343">
        <v>340</v>
      </c>
      <c r="S12" s="1343">
        <v>384</v>
      </c>
      <c r="T12" s="863">
        <f t="shared" si="19"/>
        <v>724</v>
      </c>
      <c r="U12" s="1343">
        <v>349</v>
      </c>
      <c r="V12" s="863">
        <f t="shared" si="20"/>
        <v>1073</v>
      </c>
      <c r="W12" s="1343">
        <v>409</v>
      </c>
      <c r="X12" s="1344">
        <f t="shared" ref="X12:X13" si="76">W12+U12</f>
        <v>758</v>
      </c>
      <c r="Y12" s="1345">
        <f t="shared" ref="Y12:Y13" si="77">X12+T12</f>
        <v>1482</v>
      </c>
      <c r="Z12" s="1343">
        <v>345</v>
      </c>
      <c r="AA12" s="1343">
        <v>377</v>
      </c>
      <c r="AB12" s="863">
        <f t="shared" si="23"/>
        <v>722</v>
      </c>
      <c r="AC12" s="1343">
        <v>368</v>
      </c>
      <c r="AD12" s="863">
        <f t="shared" si="24"/>
        <v>1090</v>
      </c>
      <c r="AE12" s="1343">
        <v>440</v>
      </c>
      <c r="AF12" s="1344">
        <f t="shared" ref="AF12:AF13" si="78">AE12+AC12</f>
        <v>808</v>
      </c>
      <c r="AG12" s="1345">
        <f t="shared" ref="AG12:AG13" si="79">AF12+AB12</f>
        <v>1530</v>
      </c>
      <c r="AH12" s="1343">
        <v>414</v>
      </c>
      <c r="AI12" s="1343">
        <v>471</v>
      </c>
      <c r="AJ12" s="863">
        <f t="shared" si="27"/>
        <v>885</v>
      </c>
      <c r="AK12" s="1343">
        <v>474</v>
      </c>
      <c r="AL12" s="863">
        <f t="shared" si="28"/>
        <v>1359</v>
      </c>
      <c r="AM12" s="1343">
        <v>519</v>
      </c>
      <c r="AN12" s="1344">
        <f t="shared" ref="AN12:AN13" si="80">AM12+AK12</f>
        <v>993</v>
      </c>
      <c r="AO12" s="1345">
        <f t="shared" ref="AO12:AO13" si="81">AN12+AJ12</f>
        <v>1878</v>
      </c>
      <c r="AP12" s="1343">
        <v>449</v>
      </c>
      <c r="AQ12" s="1343">
        <v>500</v>
      </c>
      <c r="AR12" s="863">
        <f t="shared" si="31"/>
        <v>949</v>
      </c>
      <c r="AS12" s="1343">
        <v>470</v>
      </c>
      <c r="AT12" s="863">
        <f t="shared" si="32"/>
        <v>1419</v>
      </c>
      <c r="AU12" s="1343"/>
      <c r="AV12" s="1344">
        <f t="shared" ref="AV12:AV13" si="82">AU12+AS12</f>
        <v>470</v>
      </c>
      <c r="AW12" s="1345">
        <f t="shared" ref="AW12:AW13" si="83">AV12+AR12</f>
        <v>1419</v>
      </c>
      <c r="AX12" s="1343"/>
      <c r="AY12" s="1343"/>
      <c r="AZ12" s="863"/>
      <c r="BA12" s="1343"/>
      <c r="BB12" s="863"/>
      <c r="BC12" s="1343"/>
      <c r="BD12" s="1344"/>
      <c r="BE12" s="1345"/>
      <c r="BF12" s="1343"/>
      <c r="BG12" s="1343"/>
      <c r="BH12" s="863"/>
      <c r="BI12" s="1343"/>
      <c r="BJ12" s="863"/>
      <c r="BK12" s="1343"/>
      <c r="BL12" s="1344"/>
      <c r="BM12" s="1345"/>
      <c r="BN12" s="1343"/>
      <c r="BO12" s="1343"/>
      <c r="BP12" s="863"/>
      <c r="BQ12" s="1343"/>
      <c r="BR12" s="863"/>
      <c r="BS12" s="1343"/>
      <c r="BT12" s="1344"/>
      <c r="BU12" s="1345"/>
      <c r="BV12" s="1343"/>
      <c r="BW12" s="1343"/>
      <c r="BX12" s="863"/>
      <c r="BY12" s="1343"/>
      <c r="BZ12" s="863"/>
      <c r="CA12" s="1343"/>
      <c r="CB12" s="1344"/>
      <c r="CC12" s="1345"/>
      <c r="CD12" s="1343"/>
      <c r="CE12" s="1343"/>
      <c r="CF12" s="863"/>
      <c r="CG12" s="1343"/>
      <c r="CH12" s="1343"/>
      <c r="CI12" s="1343"/>
      <c r="CJ12" s="1344"/>
      <c r="CK12" s="1345"/>
      <c r="CL12" s="1343"/>
      <c r="CM12" s="1343"/>
      <c r="CN12" s="863"/>
      <c r="CO12" s="1343"/>
      <c r="CP12" s="863"/>
      <c r="CQ12" s="1343"/>
      <c r="CR12" s="1344"/>
      <c r="CS12" s="1345"/>
      <c r="CT12" s="1343"/>
      <c r="CU12" s="1343"/>
      <c r="CV12" s="863"/>
      <c r="CW12" s="1343"/>
      <c r="CX12" s="863"/>
      <c r="CY12" s="1343"/>
      <c r="CZ12" s="1344"/>
      <c r="DA12" s="1345"/>
      <c r="DB12" s="1343"/>
      <c r="DC12" s="1343"/>
      <c r="DD12" s="863"/>
      <c r="DE12" s="1343"/>
      <c r="DF12" s="863"/>
      <c r="DG12" s="1343"/>
      <c r="DH12" s="1344"/>
      <c r="DI12" s="1345"/>
      <c r="DJ12" s="1343"/>
      <c r="DK12" s="1343"/>
      <c r="DL12" s="863"/>
      <c r="DM12" s="863"/>
      <c r="DN12" s="863"/>
      <c r="DO12" s="863"/>
      <c r="DP12" s="863"/>
      <c r="DQ12" s="1345"/>
      <c r="DR12" s="1343"/>
      <c r="DS12" s="1343"/>
      <c r="DT12" s="863"/>
      <c r="DU12" s="863"/>
      <c r="DV12" s="863"/>
      <c r="DW12" s="863"/>
      <c r="DX12" s="863"/>
      <c r="DY12" s="1345"/>
    </row>
    <row r="13" spans="1:140" collapsed="1">
      <c r="A13" s="19" t="s">
        <v>776</v>
      </c>
      <c r="B13" s="1342">
        <v>4</v>
      </c>
      <c r="C13" s="1343">
        <v>-4</v>
      </c>
      <c r="D13" s="863"/>
      <c r="E13" s="1343">
        <v>12</v>
      </c>
      <c r="F13" s="863">
        <f t="shared" si="12"/>
        <v>12</v>
      </c>
      <c r="G13" s="1343">
        <v>4</v>
      </c>
      <c r="H13" s="1344">
        <f t="shared" si="13"/>
        <v>16</v>
      </c>
      <c r="I13" s="1345">
        <f t="shared" si="14"/>
        <v>16</v>
      </c>
      <c r="J13" s="1343">
        <v>1</v>
      </c>
      <c r="K13" s="1343">
        <v>0</v>
      </c>
      <c r="L13" s="863"/>
      <c r="M13" s="1343">
        <v>2</v>
      </c>
      <c r="N13" s="863">
        <f t="shared" si="16"/>
        <v>2</v>
      </c>
      <c r="O13" s="1343">
        <v>0</v>
      </c>
      <c r="P13" s="1344">
        <f t="shared" si="74"/>
        <v>2</v>
      </c>
      <c r="Q13" s="1345">
        <f t="shared" si="75"/>
        <v>2</v>
      </c>
      <c r="R13" s="1343">
        <v>1</v>
      </c>
      <c r="S13" s="1343">
        <v>0</v>
      </c>
      <c r="T13" s="863"/>
      <c r="U13" s="1343">
        <v>1</v>
      </c>
      <c r="V13" s="863">
        <f t="shared" si="20"/>
        <v>1</v>
      </c>
      <c r="W13" s="1343">
        <v>2</v>
      </c>
      <c r="X13" s="1344">
        <f t="shared" si="76"/>
        <v>3</v>
      </c>
      <c r="Y13" s="1345">
        <f t="shared" si="77"/>
        <v>3</v>
      </c>
      <c r="Z13" s="1343">
        <v>0</v>
      </c>
      <c r="AA13" s="1343">
        <v>2</v>
      </c>
      <c r="AB13" s="863"/>
      <c r="AC13" s="1343">
        <v>0</v>
      </c>
      <c r="AD13" s="863">
        <f t="shared" si="24"/>
        <v>0</v>
      </c>
      <c r="AE13" s="1343">
        <v>3</v>
      </c>
      <c r="AF13" s="1344">
        <f t="shared" si="78"/>
        <v>3</v>
      </c>
      <c r="AG13" s="1345">
        <f t="shared" si="79"/>
        <v>3</v>
      </c>
      <c r="AH13" s="1343">
        <v>1</v>
      </c>
      <c r="AI13" s="1343">
        <v>1</v>
      </c>
      <c r="AJ13" s="863"/>
      <c r="AK13" s="1343">
        <v>1</v>
      </c>
      <c r="AL13" s="863">
        <f t="shared" si="28"/>
        <v>1</v>
      </c>
      <c r="AM13" s="1343">
        <v>5</v>
      </c>
      <c r="AN13" s="1344">
        <f t="shared" si="80"/>
        <v>6</v>
      </c>
      <c r="AO13" s="1345">
        <f t="shared" si="81"/>
        <v>6</v>
      </c>
      <c r="AP13" s="1343">
        <v>2</v>
      </c>
      <c r="AQ13" s="1343">
        <v>2</v>
      </c>
      <c r="AR13" s="863"/>
      <c r="AS13" s="1343">
        <v>0</v>
      </c>
      <c r="AT13" s="863">
        <f t="shared" si="32"/>
        <v>0</v>
      </c>
      <c r="AU13" s="1343">
        <v>0</v>
      </c>
      <c r="AV13" s="1344">
        <f t="shared" si="82"/>
        <v>0</v>
      </c>
      <c r="AW13" s="1345">
        <f t="shared" si="83"/>
        <v>0</v>
      </c>
      <c r="AX13" s="1343">
        <v>3</v>
      </c>
      <c r="AY13" s="1343">
        <v>5</v>
      </c>
      <c r="AZ13" s="863">
        <f t="shared" si="35"/>
        <v>8</v>
      </c>
      <c r="BA13" s="1343">
        <v>6</v>
      </c>
      <c r="BB13" s="863">
        <f t="shared" si="36"/>
        <v>14</v>
      </c>
      <c r="BC13" s="1343">
        <v>6</v>
      </c>
      <c r="BD13" s="1344">
        <f t="shared" ref="BD13" si="84">BC13+BA13</f>
        <v>12</v>
      </c>
      <c r="BE13" s="1345">
        <f t="shared" ref="BE13" si="85">BD13+AZ13</f>
        <v>20</v>
      </c>
      <c r="BF13" s="1343">
        <v>6</v>
      </c>
      <c r="BG13" s="1343">
        <v>4</v>
      </c>
      <c r="BH13" s="863">
        <f t="shared" si="39"/>
        <v>10</v>
      </c>
      <c r="BI13" s="1343">
        <v>3</v>
      </c>
      <c r="BJ13" s="863">
        <f t="shared" si="40"/>
        <v>13</v>
      </c>
      <c r="BK13" s="1343">
        <v>5</v>
      </c>
      <c r="BL13" s="1344">
        <f t="shared" ref="BL13" si="86">BK13+BI13</f>
        <v>8</v>
      </c>
      <c r="BM13" s="1345">
        <f t="shared" ref="BM13" si="87">BL13+BH13</f>
        <v>18</v>
      </c>
      <c r="BN13" s="1343">
        <v>3</v>
      </c>
      <c r="BO13" s="1343">
        <v>5</v>
      </c>
      <c r="BP13" s="1344">
        <f t="shared" ref="BP13" si="88">BO13+BK13</f>
        <v>10</v>
      </c>
      <c r="BQ13" s="1343">
        <v>5</v>
      </c>
      <c r="BR13" s="863">
        <f t="shared" si="44"/>
        <v>15</v>
      </c>
      <c r="BS13" s="1343">
        <v>6</v>
      </c>
      <c r="BT13" s="1344">
        <f t="shared" ref="BT13" si="89">BS13+BQ13</f>
        <v>11</v>
      </c>
      <c r="BU13" s="1345">
        <f t="shared" ref="BU13" si="90">BT13+BP13</f>
        <v>21</v>
      </c>
      <c r="BV13" s="1343">
        <v>5</v>
      </c>
      <c r="BW13" s="1343">
        <v>5</v>
      </c>
      <c r="BX13" s="863">
        <f t="shared" si="47"/>
        <v>10</v>
      </c>
      <c r="BY13" s="1343">
        <v>5</v>
      </c>
      <c r="BZ13" s="863">
        <f t="shared" si="48"/>
        <v>15</v>
      </c>
      <c r="CA13" s="1343">
        <v>5</v>
      </c>
      <c r="CB13" s="1344">
        <f t="shared" ref="CB13" si="91">CA13+BY13</f>
        <v>10</v>
      </c>
      <c r="CC13" s="1345">
        <f t="shared" ref="CC13" si="92">CB13+BX13</f>
        <v>20</v>
      </c>
      <c r="CD13" s="1343">
        <v>4</v>
      </c>
      <c r="CE13" s="1343">
        <v>5</v>
      </c>
      <c r="CF13" s="863">
        <f t="shared" ref="CF13:CH13" si="93">CD13+CE13</f>
        <v>9</v>
      </c>
      <c r="CG13" s="1343">
        <v>2</v>
      </c>
      <c r="CH13" s="863">
        <f t="shared" si="93"/>
        <v>11</v>
      </c>
      <c r="CI13" s="1343">
        <v>7</v>
      </c>
      <c r="CJ13" s="1344">
        <f t="shared" ref="CJ13" si="94">CI13+CG13</f>
        <v>9</v>
      </c>
      <c r="CK13" s="1345">
        <f>INDEX('Income Statement'!8:8, MATCH(Interims!CK$1,'Income Statement'!$3:$3,0))</f>
        <v>18</v>
      </c>
      <c r="CL13" s="1343">
        <v>4</v>
      </c>
      <c r="CM13" s="1343">
        <v>4</v>
      </c>
      <c r="CN13" s="863">
        <f t="shared" ref="CN13:CP13" si="95">CL13+CM13</f>
        <v>8</v>
      </c>
      <c r="CO13" s="1343">
        <v>4</v>
      </c>
      <c r="CP13" s="863">
        <f t="shared" si="95"/>
        <v>12</v>
      </c>
      <c r="CQ13" s="1343">
        <v>4</v>
      </c>
      <c r="CR13" s="1344">
        <f t="shared" ref="CR13" si="96">CQ13+CO13</f>
        <v>8</v>
      </c>
      <c r="CS13" s="1345">
        <f>INDEX('Income Statement'!8:8, MATCH(Interims!CS$1,'Income Statement'!$3:$3,0))</f>
        <v>16</v>
      </c>
      <c r="CT13" s="1343">
        <v>2</v>
      </c>
      <c r="CU13" s="1343">
        <v>3</v>
      </c>
      <c r="CV13" s="863">
        <f t="shared" ref="CV13" si="97">CT13+CU13</f>
        <v>5</v>
      </c>
      <c r="CW13" s="1343">
        <v>3</v>
      </c>
      <c r="CX13" s="863">
        <f t="shared" ref="CX13" si="98">CV13+CW13</f>
        <v>8</v>
      </c>
      <c r="CY13" s="1343">
        <v>3</v>
      </c>
      <c r="CZ13" s="1344">
        <f t="shared" ref="CZ13" si="99">CY13+CW13</f>
        <v>6</v>
      </c>
      <c r="DA13" s="1345">
        <f>INDEX('Income Statement'!8:8, MATCH(Interims!DA$1,'Income Statement'!$3:$3,0))</f>
        <v>11</v>
      </c>
      <c r="DB13" s="1343">
        <v>3</v>
      </c>
      <c r="DC13" s="1343">
        <v>2</v>
      </c>
      <c r="DD13" s="863">
        <f t="shared" ref="DD13" si="100">DB13+DC13</f>
        <v>5</v>
      </c>
      <c r="DE13" s="1343">
        <v>2</v>
      </c>
      <c r="DF13" s="863">
        <f t="shared" ref="DF13" si="101">DD13+DE13</f>
        <v>7</v>
      </c>
      <c r="DG13" s="1343">
        <v>2</v>
      </c>
      <c r="DH13" s="1344">
        <f t="shared" ref="DH13" si="102">DG13+DE13</f>
        <v>4</v>
      </c>
      <c r="DI13" s="1345">
        <f>INDEX('Income Statement'!8:8, MATCH(Interims!DI$1,'Income Statement'!$3:$3,0))</f>
        <v>10</v>
      </c>
      <c r="DJ13" s="1343">
        <v>2</v>
      </c>
      <c r="DK13" s="1343">
        <v>2</v>
      </c>
      <c r="DL13" s="863">
        <f t="shared" si="68"/>
        <v>4</v>
      </c>
      <c r="DM13" s="863">
        <f t="shared" si="69"/>
        <v>2</v>
      </c>
      <c r="DN13" s="863">
        <f>DL13+DM13</f>
        <v>6</v>
      </c>
      <c r="DO13" s="863">
        <f t="shared" si="70"/>
        <v>4</v>
      </c>
      <c r="DP13" s="863">
        <f t="shared" si="71"/>
        <v>6</v>
      </c>
      <c r="DQ13" s="1345">
        <f>INDEX('Income Statement'!8:8, MATCH(Interims!DQ$1,'Income Statement'!$3:$3,0))</f>
        <v>10</v>
      </c>
      <c r="DR13" s="1344">
        <f>(DB13/$DI$13)*$DY$13</f>
        <v>3</v>
      </c>
      <c r="DS13" s="1344">
        <f t="shared" ref="DS13:DX13" si="103">(DC13/$DI$13)*$DY$13</f>
        <v>2</v>
      </c>
      <c r="DT13" s="1344">
        <f t="shared" si="103"/>
        <v>5</v>
      </c>
      <c r="DU13" s="1344">
        <f t="shared" si="103"/>
        <v>2</v>
      </c>
      <c r="DV13" s="1344">
        <f t="shared" si="103"/>
        <v>7</v>
      </c>
      <c r="DW13" s="1344">
        <f t="shared" si="103"/>
        <v>2</v>
      </c>
      <c r="DX13" s="1344">
        <f t="shared" si="103"/>
        <v>4</v>
      </c>
      <c r="DY13" s="1345">
        <f>INDEX('Income Statement'!8:8, MATCH(Interims!DY$1,'Income Statement'!$3:$3,0))</f>
        <v>10</v>
      </c>
    </row>
    <row r="14" spans="1:140" hidden="1" outlineLevel="1">
      <c r="A14" s="19" t="s">
        <v>975</v>
      </c>
      <c r="B14" s="1342"/>
      <c r="C14" s="1343"/>
      <c r="D14" s="863"/>
      <c r="E14" s="1343"/>
      <c r="F14" s="863"/>
      <c r="G14" s="1343"/>
      <c r="H14" s="1343"/>
      <c r="I14" s="1347"/>
      <c r="J14" s="1343"/>
      <c r="K14" s="1343"/>
      <c r="L14" s="863"/>
      <c r="M14" s="1343"/>
      <c r="N14" s="863"/>
      <c r="O14" s="1343"/>
      <c r="P14" s="1343"/>
      <c r="Q14" s="1347"/>
      <c r="R14" s="1343"/>
      <c r="S14" s="1343"/>
      <c r="T14" s="863"/>
      <c r="U14" s="1343"/>
      <c r="V14" s="863"/>
      <c r="W14" s="1343"/>
      <c r="X14" s="1343"/>
      <c r="Y14" s="1347"/>
      <c r="Z14" s="1343"/>
      <c r="AA14" s="1343"/>
      <c r="AB14" s="863"/>
      <c r="AC14" s="1343"/>
      <c r="AD14" s="863"/>
      <c r="AE14" s="1343"/>
      <c r="AF14" s="1343"/>
      <c r="AG14" s="1347"/>
      <c r="AH14" s="1343"/>
      <c r="AI14" s="1343"/>
      <c r="AJ14" s="863"/>
      <c r="AK14" s="1343"/>
      <c r="AL14" s="863"/>
      <c r="AM14" s="1343"/>
      <c r="AN14" s="1343"/>
      <c r="AO14" s="1347"/>
      <c r="AP14" s="1343"/>
      <c r="AQ14" s="1343"/>
      <c r="AR14" s="863"/>
      <c r="AS14" s="1343"/>
      <c r="AT14" s="863"/>
      <c r="AU14" s="1343"/>
      <c r="AV14" s="1343"/>
      <c r="AW14" s="1347"/>
      <c r="AX14" s="1343"/>
      <c r="AY14" s="1343"/>
      <c r="AZ14" s="863"/>
      <c r="BA14" s="1343"/>
      <c r="BB14" s="863"/>
      <c r="BC14" s="1343"/>
      <c r="BD14" s="1343"/>
      <c r="BE14" s="1347"/>
      <c r="BF14" s="1343"/>
      <c r="BG14" s="1343"/>
      <c r="BH14" s="863"/>
      <c r="BI14" s="1343"/>
      <c r="BJ14" s="863"/>
      <c r="BK14" s="1343"/>
      <c r="BL14" s="1343"/>
      <c r="BM14" s="1347"/>
      <c r="BN14" s="1343"/>
      <c r="BO14" s="1343"/>
      <c r="BP14" s="863"/>
      <c r="BQ14" s="1343"/>
      <c r="BR14" s="863"/>
      <c r="BS14" s="1343"/>
      <c r="BT14" s="1343"/>
      <c r="BU14" s="1347"/>
      <c r="BV14" s="1343"/>
      <c r="BW14" s="1343"/>
      <c r="BX14" s="863"/>
      <c r="BY14" s="1343"/>
      <c r="BZ14" s="863"/>
      <c r="CA14" s="1343"/>
      <c r="CB14" s="1343"/>
      <c r="CC14" s="1347"/>
      <c r="CD14" s="1343"/>
      <c r="CE14" s="1343"/>
      <c r="CF14" s="863"/>
      <c r="CG14" s="1343"/>
      <c r="CH14" s="1343"/>
      <c r="CI14" s="1343"/>
      <c r="CJ14" s="1343"/>
      <c r="CK14" s="1347"/>
      <c r="CL14" s="1343"/>
      <c r="CM14" s="1343"/>
      <c r="CN14" s="863"/>
      <c r="CO14" s="1343"/>
      <c r="CP14" s="863"/>
      <c r="CQ14" s="1343"/>
      <c r="CR14" s="1343"/>
      <c r="CS14" s="1347"/>
      <c r="CT14" s="1343"/>
      <c r="CU14" s="1343"/>
      <c r="CV14" s="863"/>
      <c r="CW14" s="1343"/>
      <c r="CX14" s="863"/>
      <c r="CY14" s="1343"/>
      <c r="CZ14" s="1343"/>
      <c r="DA14" s="1347"/>
      <c r="DB14" s="1343"/>
      <c r="DC14" s="1343"/>
      <c r="DD14" s="863"/>
      <c r="DE14" s="1343"/>
      <c r="DF14" s="863"/>
      <c r="DG14" s="1343"/>
      <c r="DH14" s="1343"/>
      <c r="DI14" s="1347"/>
      <c r="DJ14" s="342"/>
      <c r="DQ14" s="1347"/>
      <c r="DR14" s="342"/>
      <c r="DT14" s="1349"/>
      <c r="DY14" s="1347"/>
    </row>
    <row r="15" spans="1:140" hidden="1" outlineLevel="1">
      <c r="A15" s="19" t="s">
        <v>743</v>
      </c>
      <c r="B15" s="1342"/>
      <c r="C15" s="1343"/>
      <c r="D15" s="863"/>
      <c r="E15" s="1343"/>
      <c r="F15" s="863"/>
      <c r="G15" s="1343"/>
      <c r="H15" s="1343"/>
      <c r="I15" s="1347"/>
      <c r="J15" s="1343"/>
      <c r="K15" s="1343"/>
      <c r="L15" s="863"/>
      <c r="M15" s="1343"/>
      <c r="N15" s="863"/>
      <c r="O15" s="1343"/>
      <c r="P15" s="1343"/>
      <c r="Q15" s="1347"/>
      <c r="R15" s="1343"/>
      <c r="S15" s="1343"/>
      <c r="T15" s="863"/>
      <c r="U15" s="1343"/>
      <c r="V15" s="863"/>
      <c r="W15" s="1343"/>
      <c r="X15" s="1343"/>
      <c r="Y15" s="1347"/>
      <c r="Z15" s="1343"/>
      <c r="AA15" s="1343"/>
      <c r="AB15" s="863"/>
      <c r="AC15" s="1343"/>
      <c r="AD15" s="863"/>
      <c r="AE15" s="1343"/>
      <c r="AF15" s="1343"/>
      <c r="AG15" s="1347"/>
      <c r="AH15" s="1343"/>
      <c r="AI15" s="1343"/>
      <c r="AJ15" s="863"/>
      <c r="AK15" s="1343"/>
      <c r="AL15" s="863"/>
      <c r="AM15" s="1343"/>
      <c r="AN15" s="1343"/>
      <c r="AO15" s="1347"/>
      <c r="AP15" s="1343"/>
      <c r="AQ15" s="1343"/>
      <c r="AR15" s="863"/>
      <c r="AS15" s="1343"/>
      <c r="AT15" s="863"/>
      <c r="AU15" s="1343"/>
      <c r="AV15" s="1343"/>
      <c r="AW15" s="1347"/>
      <c r="AX15" s="1343"/>
      <c r="AY15" s="1343"/>
      <c r="AZ15" s="863"/>
      <c r="BA15" s="1343"/>
      <c r="BB15" s="863"/>
      <c r="BC15" s="1343"/>
      <c r="BD15" s="1343"/>
      <c r="BE15" s="1347"/>
      <c r="BF15" s="1343"/>
      <c r="BG15" s="1343"/>
      <c r="BH15" s="863"/>
      <c r="BI15" s="1343"/>
      <c r="BJ15" s="863"/>
      <c r="BK15" s="1343"/>
      <c r="BL15" s="1343"/>
      <c r="BM15" s="1347"/>
      <c r="BN15" s="1343"/>
      <c r="BO15" s="1343"/>
      <c r="BP15" s="863"/>
      <c r="BQ15" s="1343"/>
      <c r="BR15" s="863"/>
      <c r="BS15" s="1343"/>
      <c r="BT15" s="1343"/>
      <c r="BU15" s="1347"/>
      <c r="BV15" s="1343"/>
      <c r="BW15" s="1343"/>
      <c r="BX15" s="863"/>
      <c r="BY15" s="1343"/>
      <c r="BZ15" s="863"/>
      <c r="CA15" s="1343"/>
      <c r="CB15" s="1343"/>
      <c r="CC15" s="1347"/>
      <c r="CD15" s="1343"/>
      <c r="CE15" s="1343"/>
      <c r="CF15" s="863"/>
      <c r="CG15" s="1343"/>
      <c r="CH15" s="1343"/>
      <c r="CI15" s="1343"/>
      <c r="CJ15" s="1343"/>
      <c r="CL15" s="1343"/>
      <c r="CM15" s="1343"/>
      <c r="CN15" s="863"/>
      <c r="CO15" s="1343"/>
      <c r="CP15" s="863"/>
      <c r="CQ15" s="1343"/>
      <c r="CR15" s="1343"/>
      <c r="CT15" s="1343"/>
      <c r="CU15" s="1343"/>
      <c r="CV15" s="863"/>
      <c r="CW15" s="1343"/>
      <c r="CX15" s="863"/>
      <c r="CY15" s="1343"/>
      <c r="CZ15" s="1343"/>
      <c r="DB15" s="1343"/>
      <c r="DC15" s="1343"/>
      <c r="DD15" s="863"/>
      <c r="DE15" s="1343"/>
      <c r="DF15" s="863"/>
      <c r="DG15" s="1343"/>
      <c r="DH15" s="1343"/>
      <c r="DJ15" s="342"/>
      <c r="DR15" s="342"/>
      <c r="DT15" s="1349"/>
    </row>
    <row r="16" spans="1:140" s="331" customFormat="1" ht="11.25" collapsed="1">
      <c r="A16" s="1329" t="s">
        <v>1008</v>
      </c>
      <c r="B16" s="1330">
        <f t="shared" ref="B16:AM16" si="104">SUM(B6:B15)</f>
        <v>2681</v>
      </c>
      <c r="C16" s="1331">
        <f t="shared" si="104"/>
        <v>2933</v>
      </c>
      <c r="D16" s="1331">
        <f t="shared" si="11"/>
        <v>5614</v>
      </c>
      <c r="E16" s="1331">
        <f t="shared" si="104"/>
        <v>2736</v>
      </c>
      <c r="F16" s="1331">
        <f t="shared" si="12"/>
        <v>8350</v>
      </c>
      <c r="G16" s="1331">
        <f t="shared" ref="G16" si="105">SUM(G6:G15)</f>
        <v>3386</v>
      </c>
      <c r="H16" s="1331">
        <f t="shared" si="13"/>
        <v>6122</v>
      </c>
      <c r="I16" s="1332">
        <f t="shared" si="14"/>
        <v>11736</v>
      </c>
      <c r="J16" s="1330">
        <f t="shared" si="104"/>
        <v>3108</v>
      </c>
      <c r="K16" s="1331">
        <f t="shared" si="104"/>
        <v>3305</v>
      </c>
      <c r="L16" s="1331">
        <f t="shared" si="15"/>
        <v>6413</v>
      </c>
      <c r="M16" s="1331">
        <f t="shared" si="104"/>
        <v>3134</v>
      </c>
      <c r="N16" s="1331">
        <f t="shared" si="16"/>
        <v>9547</v>
      </c>
      <c r="O16" s="1331">
        <f t="shared" si="104"/>
        <v>4013</v>
      </c>
      <c r="P16" s="1331">
        <f t="shared" ref="P16" si="106">O16+M16</f>
        <v>7147</v>
      </c>
      <c r="Q16" s="1332">
        <f t="shared" ref="Q16" si="107">P16+L16</f>
        <v>13560</v>
      </c>
      <c r="R16" s="1331">
        <f t="shared" si="104"/>
        <v>3333</v>
      </c>
      <c r="S16" s="1331">
        <f t="shared" si="104"/>
        <v>3574</v>
      </c>
      <c r="T16" s="1331">
        <f t="shared" si="19"/>
        <v>6907</v>
      </c>
      <c r="U16" s="1331">
        <f t="shared" si="104"/>
        <v>3361</v>
      </c>
      <c r="V16" s="1331">
        <f t="shared" si="20"/>
        <v>10268</v>
      </c>
      <c r="W16" s="1331">
        <f t="shared" si="104"/>
        <v>4095</v>
      </c>
      <c r="X16" s="1331">
        <f t="shared" ref="X16" si="108">W16+U16</f>
        <v>7456</v>
      </c>
      <c r="Y16" s="1332">
        <f t="shared" ref="Y16" si="109">X16+T16</f>
        <v>14363</v>
      </c>
      <c r="Z16" s="1331">
        <f t="shared" si="104"/>
        <v>3443</v>
      </c>
      <c r="AA16" s="1331">
        <f t="shared" si="104"/>
        <v>3765</v>
      </c>
      <c r="AB16" s="1331">
        <f t="shared" si="23"/>
        <v>7208</v>
      </c>
      <c r="AC16" s="1331">
        <f t="shared" si="104"/>
        <v>3589</v>
      </c>
      <c r="AD16" s="1331">
        <f t="shared" si="24"/>
        <v>10797</v>
      </c>
      <c r="AE16" s="1331">
        <f t="shared" si="104"/>
        <v>4558</v>
      </c>
      <c r="AF16" s="1331">
        <f t="shared" ref="AF16" si="110">AE16+AC16</f>
        <v>8147</v>
      </c>
      <c r="AG16" s="1332">
        <f t="shared" ref="AG16" si="111">AF16+AB16</f>
        <v>15355</v>
      </c>
      <c r="AH16" s="1331">
        <f t="shared" si="104"/>
        <v>3935</v>
      </c>
      <c r="AI16" s="1331">
        <f t="shared" si="104"/>
        <v>4468</v>
      </c>
      <c r="AJ16" s="1331">
        <f t="shared" si="27"/>
        <v>8403</v>
      </c>
      <c r="AK16" s="1331">
        <f t="shared" si="104"/>
        <v>4141</v>
      </c>
      <c r="AL16" s="1331">
        <f t="shared" si="28"/>
        <v>12544</v>
      </c>
      <c r="AM16" s="1331">
        <f t="shared" si="104"/>
        <v>4870</v>
      </c>
      <c r="AN16" s="1331">
        <f t="shared" ref="AN16" si="112">AM16+AK16</f>
        <v>9011</v>
      </c>
      <c r="AO16" s="1332">
        <f t="shared" ref="AO16" si="113">AN16+AJ16</f>
        <v>17414</v>
      </c>
      <c r="AP16" s="1331">
        <f>SUM(AP6:AP15)-AP12</f>
        <v>3791</v>
      </c>
      <c r="AQ16" s="1331">
        <f>SUM(AQ6:AQ15)-AQ12</f>
        <v>4196</v>
      </c>
      <c r="AR16" s="1331">
        <f t="shared" si="31"/>
        <v>7987</v>
      </c>
      <c r="AS16" s="1331">
        <f>SUM(AS6:AS15)-AS12</f>
        <v>3517</v>
      </c>
      <c r="AT16" s="1331">
        <f t="shared" si="32"/>
        <v>11504</v>
      </c>
      <c r="AU16" s="1331">
        <f>SUM(AU6:AU15)-AU12</f>
        <v>4274</v>
      </c>
      <c r="AV16" s="1331">
        <f t="shared" ref="AV16" si="114">AU16+AS16</f>
        <v>7791</v>
      </c>
      <c r="AW16" s="1332">
        <f t="shared" ref="AW16" si="115">AV16+AR16</f>
        <v>15778</v>
      </c>
      <c r="AX16" s="1331">
        <f>SUM(AX6:AX15)</f>
        <v>3982</v>
      </c>
      <c r="AY16" s="1331">
        <f>SUM(AY6:AY15)</f>
        <v>4056</v>
      </c>
      <c r="AZ16" s="1331">
        <f t="shared" si="35"/>
        <v>8038</v>
      </c>
      <c r="BA16" s="1331">
        <f>SUM(BA6:BA15)</f>
        <v>3815</v>
      </c>
      <c r="BB16" s="1331">
        <f t="shared" si="36"/>
        <v>11853</v>
      </c>
      <c r="BC16" s="1331">
        <f>SUM(BC6:BC15)</f>
        <v>4100</v>
      </c>
      <c r="BD16" s="1331">
        <f t="shared" ref="BD16" si="116">BC16+BA16</f>
        <v>7915</v>
      </c>
      <c r="BE16" s="1332">
        <f t="shared" ref="BE16" si="117">BD16+AZ16</f>
        <v>15953</v>
      </c>
      <c r="BF16" s="1331">
        <f t="shared" ref="BF16:CL16" si="118">SUM(BF10:BF15,BF6)</f>
        <v>4222</v>
      </c>
      <c r="BG16" s="1331">
        <f t="shared" si="118"/>
        <v>5285</v>
      </c>
      <c r="BH16" s="1331">
        <f t="shared" si="39"/>
        <v>9507</v>
      </c>
      <c r="BI16" s="1331">
        <f t="shared" si="118"/>
        <v>5348</v>
      </c>
      <c r="BJ16" s="1331">
        <f t="shared" si="40"/>
        <v>14855</v>
      </c>
      <c r="BK16" s="1331">
        <f t="shared" si="118"/>
        <v>6195</v>
      </c>
      <c r="BL16" s="1331">
        <f t="shared" ref="BL16" si="119">BK16+BI16</f>
        <v>11543</v>
      </c>
      <c r="BM16" s="1332">
        <f t="shared" ref="BM16" si="120">BL16+BH16</f>
        <v>21050</v>
      </c>
      <c r="BN16" s="1331">
        <f t="shared" si="118"/>
        <v>5781</v>
      </c>
      <c r="BO16" s="1331">
        <f t="shared" si="118"/>
        <v>6322</v>
      </c>
      <c r="BP16" s="1331">
        <f t="shared" si="43"/>
        <v>12103</v>
      </c>
      <c r="BQ16" s="1331">
        <f t="shared" si="118"/>
        <v>6095</v>
      </c>
      <c r="BR16" s="1331">
        <f t="shared" si="44"/>
        <v>18198</v>
      </c>
      <c r="BS16" s="1331">
        <f t="shared" si="118"/>
        <v>6443</v>
      </c>
      <c r="BT16" s="1331">
        <f t="shared" ref="BT16" si="121">BS16+BQ16</f>
        <v>12538</v>
      </c>
      <c r="BU16" s="1332">
        <f t="shared" ref="BU16" si="122">BT16+BP16</f>
        <v>24641</v>
      </c>
      <c r="BV16" s="1331">
        <f t="shared" si="118"/>
        <v>5383</v>
      </c>
      <c r="BW16" s="1331">
        <f t="shared" si="118"/>
        <v>3384</v>
      </c>
      <c r="BX16" s="1331">
        <f t="shared" si="47"/>
        <v>8767</v>
      </c>
      <c r="BY16" s="1331">
        <f t="shared" si="118"/>
        <v>3382</v>
      </c>
      <c r="BZ16" s="1331">
        <f t="shared" si="48"/>
        <v>12149</v>
      </c>
      <c r="CA16" s="1331">
        <f t="shared" si="118"/>
        <v>4349</v>
      </c>
      <c r="CB16" s="1331">
        <f t="shared" ref="CB16" si="123">CA16+BY16</f>
        <v>7731</v>
      </c>
      <c r="CC16" s="1332">
        <f t="shared" ref="CC16" si="124">CB16+BX16</f>
        <v>16498</v>
      </c>
      <c r="CD16" s="1331">
        <f t="shared" si="118"/>
        <v>3342</v>
      </c>
      <c r="CE16" s="1331">
        <f t="shared" si="118"/>
        <v>3534</v>
      </c>
      <c r="CF16" s="1331">
        <f t="shared" si="51"/>
        <v>6876</v>
      </c>
      <c r="CG16" s="1331">
        <f t="shared" si="118"/>
        <v>3734</v>
      </c>
      <c r="CH16" s="1331">
        <f t="shared" si="51"/>
        <v>10610</v>
      </c>
      <c r="CI16" s="1331">
        <f t="shared" si="118"/>
        <v>4647</v>
      </c>
      <c r="CJ16" s="1331">
        <f t="shared" ref="CJ16" si="125">CI16+CG16</f>
        <v>8381</v>
      </c>
      <c r="CK16" s="1510">
        <f>INDEX('Income Statement'!9:9, MATCH(Interims!CK$1,'Income Statement'!$3:$3,0))</f>
        <v>15257</v>
      </c>
      <c r="CL16" s="1331">
        <f t="shared" si="118"/>
        <v>4071</v>
      </c>
      <c r="CM16" s="1331">
        <v>4489</v>
      </c>
      <c r="CN16" s="1331">
        <f t="shared" si="60"/>
        <v>8560</v>
      </c>
      <c r="CO16" s="1331">
        <f>SUM(CO10:CO15,CO6)</f>
        <v>4849</v>
      </c>
      <c r="CP16" s="1331">
        <f t="shared" si="60"/>
        <v>13409</v>
      </c>
      <c r="CQ16" s="1331">
        <v>5626</v>
      </c>
      <c r="CR16" s="1331">
        <f t="shared" ref="CR16" si="126">CQ16+CO16</f>
        <v>10475</v>
      </c>
      <c r="CS16" s="1510">
        <f>INDEX('Income Statement'!9:9, MATCH(Interims!CS$1,'Income Statement'!$3:$3,0))</f>
        <v>19035</v>
      </c>
      <c r="CT16" s="1331">
        <f>SUM(CT10:CT15,CT6)</f>
        <v>5266</v>
      </c>
      <c r="CU16" s="1331">
        <v>5679</v>
      </c>
      <c r="CV16" s="1331">
        <f t="shared" si="62"/>
        <v>10945</v>
      </c>
      <c r="CW16" s="1331">
        <f>SUM(CW10:CW15,CW6)</f>
        <v>5825</v>
      </c>
      <c r="CX16" s="1331">
        <f t="shared" si="63"/>
        <v>16770</v>
      </c>
      <c r="CY16" s="1331">
        <v>6429</v>
      </c>
      <c r="CZ16" s="1331">
        <f t="shared" ref="CZ16" si="127">CY16+CW16</f>
        <v>12254</v>
      </c>
      <c r="DA16" s="1510">
        <f>INDEX('Income Statement'!9:9, MATCH(Interims!DA$1,'Income Statement'!$3:$3,0))</f>
        <v>23199</v>
      </c>
      <c r="DB16" s="1331">
        <f>SUM(DB10:DB15,DB6)</f>
        <v>6220</v>
      </c>
      <c r="DC16" s="1331">
        <v>6827</v>
      </c>
      <c r="DD16" s="1331">
        <f t="shared" si="65"/>
        <v>13047</v>
      </c>
      <c r="DE16" s="1331">
        <f>SUM(DE10:DE15,DE6)</f>
        <v>6639</v>
      </c>
      <c r="DF16" s="1331">
        <f t="shared" si="66"/>
        <v>19686</v>
      </c>
      <c r="DG16" s="1331">
        <v>7630</v>
      </c>
      <c r="DH16" s="1331">
        <f t="shared" ref="DH16" si="128">DG16+DE16</f>
        <v>14269</v>
      </c>
      <c r="DI16" s="1510">
        <f>INDEX('Income Statement'!9:9, MATCH(Interims!DI$1,'Income Statement'!$3:$3,0))</f>
        <v>27317</v>
      </c>
      <c r="DJ16" s="1331">
        <f>SUM(DJ10:DJ15,DJ6)</f>
        <v>7257</v>
      </c>
      <c r="DK16" s="1331">
        <f>SUM(DK10:DK15,DK6)-1</f>
        <v>7512</v>
      </c>
      <c r="DL16" s="1331">
        <f>SUM(DL10:DL15,DL6)-1</f>
        <v>14769</v>
      </c>
      <c r="DM16" s="1331">
        <f t="shared" ref="DM16:DP16" si="129">SUM(DM10:DM15,DM6)</f>
        <v>7532.0285523581715</v>
      </c>
      <c r="DN16" s="1331">
        <f t="shared" si="129"/>
        <v>22302.02855235817</v>
      </c>
      <c r="DO16" s="1331">
        <f t="shared" si="129"/>
        <v>8693.9383700452145</v>
      </c>
      <c r="DP16" s="1331">
        <f t="shared" si="129"/>
        <v>16225.966922403386</v>
      </c>
      <c r="DQ16" s="1510">
        <f>INDEX('Income Statement'!9:9, MATCH(Interims!DQ$1,'Income Statement'!$3:$3,0))</f>
        <v>30995.966922403386</v>
      </c>
      <c r="DR16" s="1331">
        <f>(DB16/$DI$16)*$DY$16</f>
        <v>7860.2626778759422</v>
      </c>
      <c r="DS16" s="1331">
        <f t="shared" ref="DS16:DX16" si="130">(DC16/$DI$16)*$DY$16</f>
        <v>8627.3333282731601</v>
      </c>
      <c r="DT16" s="1331">
        <f t="shared" si="130"/>
        <v>16487.596006149106</v>
      </c>
      <c r="DU16" s="1331">
        <f t="shared" si="130"/>
        <v>8389.7562569804468</v>
      </c>
      <c r="DV16" s="1331">
        <f t="shared" si="130"/>
        <v>24877.352263129549</v>
      </c>
      <c r="DW16" s="1331">
        <f t="shared" si="130"/>
        <v>9642.0907125712929</v>
      </c>
      <c r="DX16" s="1331">
        <f t="shared" si="130"/>
        <v>18031.846969551741</v>
      </c>
      <c r="DY16" s="1510">
        <f>INDEX('Income Statement'!9:9, MATCH(Interims!DY$1,'Income Statement'!$3:$3,0))</f>
        <v>34520.706683526871</v>
      </c>
      <c r="DZ16" s="1331"/>
      <c r="EA16" s="1331"/>
      <c r="EB16" s="1331"/>
      <c r="EC16" s="1331"/>
      <c r="ED16" s="1331"/>
      <c r="EE16" s="1331"/>
      <c r="EF16" s="1331"/>
      <c r="EG16" s="1510"/>
    </row>
    <row r="17" spans="1:137">
      <c r="A17" s="213"/>
      <c r="B17" s="1348"/>
      <c r="C17" s="1349"/>
      <c r="D17" s="1349"/>
      <c r="E17" s="1349"/>
      <c r="F17" s="1349"/>
      <c r="G17" s="1349"/>
      <c r="H17" s="1349"/>
      <c r="I17" s="1350"/>
      <c r="J17" s="1349"/>
      <c r="K17" s="1349"/>
      <c r="L17" s="1349"/>
      <c r="M17" s="1349"/>
      <c r="N17" s="1349"/>
      <c r="O17" s="1349"/>
      <c r="P17" s="1349"/>
      <c r="Q17" s="1350"/>
      <c r="R17" s="1349"/>
      <c r="S17" s="1349"/>
      <c r="T17" s="1349"/>
      <c r="U17" s="1349"/>
      <c r="V17" s="1349"/>
      <c r="W17" s="1349"/>
      <c r="X17" s="1349"/>
      <c r="Y17" s="1350"/>
      <c r="Z17" s="1349"/>
      <c r="AA17" s="1349"/>
      <c r="AB17" s="1349"/>
      <c r="AC17" s="1349"/>
      <c r="AD17" s="1349"/>
      <c r="AE17" s="1349"/>
      <c r="AF17" s="1349"/>
      <c r="AG17" s="1350"/>
      <c r="AH17" s="1349"/>
      <c r="AI17" s="1349"/>
      <c r="AJ17" s="1349"/>
      <c r="AK17" s="1349"/>
      <c r="AL17" s="1349"/>
      <c r="AM17" s="1349"/>
      <c r="AN17" s="1349"/>
      <c r="AO17" s="1350"/>
      <c r="AP17" s="1349"/>
      <c r="AQ17" s="1349"/>
      <c r="AR17" s="1349"/>
      <c r="AS17" s="1349"/>
      <c r="AT17" s="1349"/>
      <c r="AU17" s="1349"/>
      <c r="AV17" s="1349"/>
      <c r="AW17" s="1350"/>
      <c r="AX17" s="1349"/>
      <c r="AY17" s="1349"/>
      <c r="AZ17" s="1349"/>
      <c r="BA17" s="1349"/>
      <c r="BB17" s="1349"/>
      <c r="BC17" s="1349"/>
      <c r="BD17" s="1349"/>
      <c r="BE17" s="1350"/>
      <c r="BF17" s="1349"/>
      <c r="BG17" s="1349"/>
      <c r="BH17" s="1349"/>
      <c r="BI17" s="1349"/>
      <c r="BJ17" s="1349"/>
      <c r="BK17" s="1349"/>
      <c r="BL17" s="1349"/>
      <c r="BM17" s="1350"/>
      <c r="BN17" s="1349"/>
      <c r="BO17" s="1349"/>
      <c r="BP17" s="1349"/>
      <c r="BQ17" s="1349"/>
      <c r="BR17" s="1349"/>
      <c r="BS17" s="1349"/>
      <c r="BT17" s="1349"/>
      <c r="BU17" s="1350"/>
      <c r="BV17" s="1349"/>
      <c r="BW17" s="1349"/>
      <c r="BX17" s="1349"/>
      <c r="BY17" s="1349"/>
      <c r="BZ17" s="1349"/>
      <c r="CA17" s="1349"/>
      <c r="CB17" s="1349"/>
      <c r="CC17" s="1350"/>
      <c r="CD17" s="1349"/>
      <c r="CE17" s="1349"/>
      <c r="CF17" s="1349"/>
      <c r="CG17" s="1349"/>
      <c r="CH17" s="1349"/>
      <c r="CI17" s="1349"/>
      <c r="CJ17" s="1349"/>
      <c r="CK17" s="1350"/>
      <c r="CL17" s="1349"/>
      <c r="CM17" s="1349"/>
      <c r="CN17" s="1349"/>
      <c r="CO17" s="1349"/>
      <c r="CP17" s="1349"/>
      <c r="CQ17" s="1349"/>
      <c r="CR17" s="1349"/>
      <c r="CS17" s="1350"/>
      <c r="CT17" s="1349"/>
      <c r="CU17" s="1349"/>
      <c r="CV17" s="1349"/>
      <c r="CW17" s="1349"/>
      <c r="CX17" s="1349"/>
      <c r="CY17" s="1349"/>
      <c r="CZ17" s="1349"/>
      <c r="DA17" s="1350"/>
      <c r="DB17" s="1349"/>
      <c r="DC17" s="1349"/>
      <c r="DD17" s="1349"/>
      <c r="DE17" s="1349"/>
      <c r="DF17" s="1349"/>
      <c r="DG17" s="1349"/>
      <c r="DH17" s="1349"/>
      <c r="DI17" s="1350"/>
      <c r="DR17"/>
      <c r="DT17" s="1349"/>
    </row>
    <row r="18" spans="1:137">
      <c r="A18" s="306" t="s">
        <v>1910</v>
      </c>
      <c r="B18" s="1351"/>
      <c r="C18" s="1352"/>
      <c r="D18" s="1352"/>
      <c r="E18" s="1352"/>
      <c r="F18" s="1352"/>
      <c r="G18" s="1352"/>
      <c r="H18" s="1352"/>
      <c r="I18" s="1353"/>
      <c r="J18" s="1352"/>
      <c r="K18" s="1352"/>
      <c r="L18" s="1352"/>
      <c r="M18" s="1352"/>
      <c r="N18" s="1352"/>
      <c r="O18" s="1352"/>
      <c r="P18" s="1352"/>
      <c r="Q18" s="1353"/>
      <c r="R18" s="1352"/>
      <c r="S18" s="1352"/>
      <c r="T18" s="1352"/>
      <c r="U18" s="1352"/>
      <c r="V18" s="1352"/>
      <c r="W18" s="1352"/>
      <c r="X18" s="1352"/>
      <c r="Y18" s="1353"/>
      <c r="Z18" s="1352"/>
      <c r="AA18" s="1352"/>
      <c r="AB18" s="1352"/>
      <c r="AC18" s="1352"/>
      <c r="AD18" s="1352"/>
      <c r="AE18" s="1352"/>
      <c r="AF18" s="1352"/>
      <c r="AG18" s="1353"/>
      <c r="AH18" s="1352"/>
      <c r="AI18" s="1352"/>
      <c r="AJ18" s="1352"/>
      <c r="AK18" s="1352"/>
      <c r="AL18" s="1352"/>
      <c r="AM18" s="1352"/>
      <c r="AN18" s="1352"/>
      <c r="AO18" s="1353"/>
      <c r="AP18" s="1352"/>
      <c r="AQ18" s="1352"/>
      <c r="AR18" s="1352"/>
      <c r="AS18" s="1352"/>
      <c r="AT18" s="1352"/>
      <c r="AU18" s="1352"/>
      <c r="AV18" s="1352"/>
      <c r="AW18" s="1353"/>
      <c r="AX18" s="1352"/>
      <c r="AY18" s="1352"/>
      <c r="AZ18" s="1352"/>
      <c r="BA18" s="1352"/>
      <c r="BB18" s="1352"/>
      <c r="BC18" s="1352"/>
      <c r="BD18" s="1352"/>
      <c r="BE18" s="1353"/>
      <c r="BF18" s="1352"/>
      <c r="BG18" s="1352"/>
      <c r="BH18" s="1352"/>
      <c r="BI18" s="1352"/>
      <c r="BJ18" s="1352"/>
      <c r="BK18" s="1352"/>
      <c r="BL18" s="1352"/>
      <c r="BM18" s="1353"/>
      <c r="BN18" s="1352"/>
      <c r="BO18" s="1352"/>
      <c r="BP18" s="1352"/>
      <c r="BQ18" s="1352"/>
      <c r="BR18" s="1352"/>
      <c r="BS18" s="1352"/>
      <c r="BT18" s="1352"/>
      <c r="BU18" s="1353"/>
      <c r="BV18" s="1352"/>
      <c r="BW18" s="1352"/>
      <c r="BX18" s="1352"/>
      <c r="BY18" s="1352"/>
      <c r="BZ18" s="1352"/>
      <c r="CA18" s="1352"/>
      <c r="CB18" s="1352"/>
      <c r="CC18" s="1353"/>
      <c r="CD18" s="1352"/>
      <c r="CE18" s="1352"/>
      <c r="CF18" s="1352"/>
      <c r="CG18" s="1352"/>
      <c r="CH18" s="1352"/>
      <c r="CI18" s="1352"/>
      <c r="CJ18" s="1352"/>
      <c r="CK18" s="1353"/>
      <c r="CL18" s="1352"/>
      <c r="CM18" s="1352"/>
      <c r="CN18" s="1352"/>
      <c r="CO18" s="1352"/>
      <c r="CP18" s="1352"/>
      <c r="CQ18" s="1352"/>
      <c r="CR18" s="1352"/>
      <c r="CS18" s="1353"/>
      <c r="CT18" s="1352"/>
      <c r="CU18" s="1352"/>
      <c r="CV18" s="1352"/>
      <c r="CW18" s="1352"/>
      <c r="CX18" s="1352"/>
      <c r="CY18" s="1352"/>
      <c r="CZ18" s="1352"/>
      <c r="DA18" s="1353"/>
      <c r="DB18" s="1352"/>
      <c r="DC18" s="1352"/>
      <c r="DD18" s="1352"/>
      <c r="DE18" s="1352"/>
      <c r="DF18" s="1352"/>
      <c r="DG18" s="1352"/>
      <c r="DH18" s="1352"/>
      <c r="DI18" s="1353"/>
      <c r="DJ18" s="306"/>
      <c r="DK18" s="306"/>
      <c r="DL18" s="1352"/>
      <c r="DM18" s="306"/>
      <c r="DN18" s="306"/>
      <c r="DO18" s="306"/>
      <c r="DP18" s="306"/>
      <c r="DQ18" s="1327"/>
      <c r="DR18" s="306"/>
      <c r="DS18" s="306"/>
      <c r="DT18" s="1352"/>
      <c r="DU18" s="306"/>
      <c r="DV18" s="306"/>
      <c r="DW18" s="306"/>
      <c r="DX18" s="306"/>
      <c r="DY18" s="1327"/>
      <c r="DZ18" s="306"/>
      <c r="EA18" s="306"/>
      <c r="EB18" s="306"/>
      <c r="EC18" s="306"/>
      <c r="ED18" s="306"/>
      <c r="EE18" s="306"/>
      <c r="EF18" s="306"/>
      <c r="EG18" s="1327"/>
    </row>
    <row r="19" spans="1:137">
      <c r="A19" s="19" t="s">
        <v>978</v>
      </c>
      <c r="B19" s="1342"/>
      <c r="C19" s="1343"/>
      <c r="D19" s="1343"/>
      <c r="E19" s="1343"/>
      <c r="F19" s="1343"/>
      <c r="G19" s="1343"/>
      <c r="H19" s="1343"/>
      <c r="I19" s="1347"/>
      <c r="J19" s="1343"/>
      <c r="K19" s="1343"/>
      <c r="L19" s="1343"/>
      <c r="M19" s="1343"/>
      <c r="N19" s="1343"/>
      <c r="O19" s="1343"/>
      <c r="P19" s="1343"/>
      <c r="Q19" s="1347"/>
      <c r="R19" s="1343"/>
      <c r="S19" s="1343"/>
      <c r="T19" s="1343"/>
      <c r="U19" s="1343"/>
      <c r="V19" s="1343"/>
      <c r="W19" s="1343"/>
      <c r="X19" s="1343"/>
      <c r="Y19" s="1347"/>
      <c r="Z19" s="1343"/>
      <c r="AA19" s="1343"/>
      <c r="AB19" s="1343"/>
      <c r="AC19" s="1343"/>
      <c r="AD19" s="1343"/>
      <c r="AE19" s="1343"/>
      <c r="AF19" s="1343"/>
      <c r="AG19" s="1347"/>
      <c r="AH19" s="1343"/>
      <c r="AI19" s="1343"/>
      <c r="AJ19" s="1343"/>
      <c r="AK19" s="1343"/>
      <c r="AL19" s="1343"/>
      <c r="AM19" s="1343"/>
      <c r="AN19" s="1343"/>
      <c r="AO19" s="1347"/>
      <c r="AP19" s="1343"/>
      <c r="AQ19" s="1343"/>
      <c r="AR19" s="1343"/>
      <c r="AS19" s="1343"/>
      <c r="AT19" s="1343"/>
      <c r="AU19" s="1344"/>
      <c r="AV19" s="1343"/>
      <c r="AW19" s="1345"/>
      <c r="AX19" s="1343"/>
      <c r="AY19" s="1344"/>
      <c r="AZ19" s="1343"/>
      <c r="BA19" s="1344"/>
      <c r="BB19" s="1343"/>
      <c r="BC19" s="1344"/>
      <c r="BD19" s="1343"/>
      <c r="BE19" s="1345"/>
      <c r="BF19" s="1343"/>
      <c r="BG19" s="1349"/>
      <c r="BH19" s="1349"/>
      <c r="BI19" s="1349"/>
      <c r="BJ19" s="1349"/>
      <c r="BK19" s="1349"/>
      <c r="BL19" s="1349"/>
      <c r="BM19" s="1350"/>
      <c r="BN19" s="1349"/>
      <c r="BO19" s="1349"/>
      <c r="BP19" s="1349"/>
      <c r="BQ19" s="1349"/>
      <c r="BR19" s="1349"/>
      <c r="BS19" s="1349"/>
      <c r="BT19" s="1349"/>
      <c r="BU19" s="1350"/>
      <c r="BV19" s="1349"/>
      <c r="BW19" s="1349"/>
      <c r="BX19" s="1349"/>
      <c r="BY19" s="1349"/>
      <c r="BZ19" s="1349"/>
      <c r="CA19" s="1349"/>
      <c r="CB19" s="1349"/>
      <c r="CC19" s="1350"/>
      <c r="CD19" s="1375">
        <f>CD6/BV6-1</f>
        <v>-0.37484981978374043</v>
      </c>
      <c r="CE19" s="1375">
        <f t="shared" ref="CE19" si="131">CE6/BW6-1</f>
        <v>8.9032258064516201E-2</v>
      </c>
      <c r="CF19" s="1375">
        <f t="shared" ref="CF19" si="132">CF6/BX6-1</f>
        <v>-0.19718309859154926</v>
      </c>
      <c r="CG19" s="1375">
        <f t="shared" ref="CG19" si="133">CG6/BY6-1</f>
        <v>0.16228351507376515</v>
      </c>
      <c r="CH19" s="1375">
        <f t="shared" ref="CH19" si="134">CH6/BZ6-1</f>
        <v>-9.721726721369961E-2</v>
      </c>
      <c r="CI19" s="1375">
        <f t="shared" ref="CI19" si="135">CI6/CA6-1</f>
        <v>0.15605250364608647</v>
      </c>
      <c r="CJ19" s="1375">
        <f t="shared" ref="CJ19" si="136">CJ6/CB6-1</f>
        <v>0.15873893805309724</v>
      </c>
      <c r="CK19" s="1376">
        <f t="shared" ref="CK19" si="137">CK6/CC6-1</f>
        <v>-2.9231371525512251E-2</v>
      </c>
      <c r="CL19" s="1375">
        <f>CL6/CD6-1</f>
        <v>0.24407431133888524</v>
      </c>
      <c r="CM19" s="1375">
        <f t="shared" ref="CM19:CS19" si="138">CM6/CE6-1</f>
        <v>0.32345971563981046</v>
      </c>
      <c r="CN19" s="1375">
        <f t="shared" si="138"/>
        <v>0.28531855955678664</v>
      </c>
      <c r="CO19" s="1375">
        <f t="shared" si="138"/>
        <v>0.38134657836644581</v>
      </c>
      <c r="CP19" s="1375">
        <f t="shared" si="138"/>
        <v>0.31969966409800432</v>
      </c>
      <c r="CQ19" s="1375">
        <f t="shared" si="138"/>
        <v>0.18881412952060561</v>
      </c>
      <c r="CR19" s="1375">
        <f t="shared" si="138"/>
        <v>0.2720763723150359</v>
      </c>
      <c r="CS19" s="1376">
        <f t="shared" si="138"/>
        <v>0.27785992740959808</v>
      </c>
      <c r="CT19" s="1375">
        <f>CT6/CL6-1</f>
        <v>0.39752832131822857</v>
      </c>
      <c r="CU19" s="1375">
        <f t="shared" ref="CU19" si="139">CU6/CM6-1</f>
        <v>0.32632050134288271</v>
      </c>
      <c r="CV19" s="1375">
        <f t="shared" ref="CV19" si="140">CV6/CN6-1</f>
        <v>0.3594348659003832</v>
      </c>
      <c r="CW19" s="1375">
        <f t="shared" ref="CW19" si="141">CW6/CO6-1</f>
        <v>0.2317219336795846</v>
      </c>
      <c r="CX19" s="1375">
        <f t="shared" ref="CX19" si="142">CX6/CP6-1</f>
        <v>0.31157358886060793</v>
      </c>
      <c r="CY19" s="1375">
        <f t="shared" ref="CY19" si="143">CY6/CQ6-1</f>
        <v>0.10222851078882211</v>
      </c>
      <c r="CZ19" s="1375">
        <f t="shared" ref="CZ19" si="144">CZ6/CR6-1</f>
        <v>0.16303939962476544</v>
      </c>
      <c r="DA19" s="1376">
        <f t="shared" ref="DA19" si="145">DA6/CS6-1</f>
        <v>0.24931622133389442</v>
      </c>
      <c r="DB19" s="1375">
        <f>DB6/CT6-1</f>
        <v>0.14112011790714818</v>
      </c>
      <c r="DC19" s="1375">
        <f t="shared" ref="DC19" si="146">DC6/CU6-1</f>
        <v>0.13533580830239611</v>
      </c>
      <c r="DD19" s="1375">
        <f t="shared" ref="DD19" si="147">DD6/CV6-1</f>
        <v>0.13810110974106049</v>
      </c>
      <c r="DE19" s="1375">
        <f t="shared" ref="DE19" si="148">DE6/CW6-1</f>
        <v>8.3036003892312582E-2</v>
      </c>
      <c r="DF19" s="1375">
        <f t="shared" ref="DF19" si="149">DF6/CX6-1</f>
        <v>0.11872146118721472</v>
      </c>
      <c r="DG19" s="1375">
        <f t="shared" ref="DG19" si="150">DG6/CY6-1</f>
        <v>0.23620025673940948</v>
      </c>
      <c r="DH19" s="1375">
        <f t="shared" ref="DH19" si="151">DH6/CZ6-1</f>
        <v>0.16002581061461529</v>
      </c>
      <c r="DI19" s="1376">
        <f t="shared" ref="DI19" si="152">DI6/DA6-1</f>
        <v>0.14954530144829903</v>
      </c>
      <c r="DJ19" s="1375">
        <f>DJ6/DB6-1</f>
        <v>0.18953826283500153</v>
      </c>
      <c r="DK19" s="1375">
        <f>DK6/DC6-1</f>
        <v>0.14655172413793105</v>
      </c>
      <c r="DL19" s="1375">
        <f t="shared" ref="DL19:DQ19" si="153">DL6/DD6-1</f>
        <v>0.16715678687509672</v>
      </c>
      <c r="DM19" s="1375">
        <f t="shared" si="153"/>
        <v>0.12588852532624917</v>
      </c>
      <c r="DN19" s="1375">
        <f t="shared" si="153"/>
        <v>0.15309610061881074</v>
      </c>
      <c r="DO19" s="1375">
        <f t="shared" si="153"/>
        <v>5.6668837406440131E-2</v>
      </c>
      <c r="DP19" s="1375">
        <f t="shared" si="153"/>
        <v>8.8809643687102424E-2</v>
      </c>
      <c r="DQ19" s="1376">
        <f t="shared" si="153"/>
        <v>0.12588852532624917</v>
      </c>
      <c r="DR19" s="1375">
        <f>DR6/DJ6-1</f>
        <v>6.142757366206375E-2</v>
      </c>
      <c r="DS19" s="1375">
        <f>DS6/DK6-1</f>
        <v>0.10122263611654492</v>
      </c>
      <c r="DT19" s="1375">
        <f t="shared" ref="DT19" si="154">DT6/DL6-1</f>
        <v>8.1781579216623213E-2</v>
      </c>
      <c r="DU19" s="1375">
        <f t="shared" ref="DU19" si="155">DU6/DM6-1</f>
        <v>0.12143314697454222</v>
      </c>
      <c r="DV19" s="1375">
        <f t="shared" ref="DV19" si="156">DV6/DN6-1</f>
        <v>9.497266656401071E-2</v>
      </c>
      <c r="DW19" s="1375">
        <f t="shared" ref="DW19" si="157">DW6/DO6-1</f>
        <v>0.19489538008727014</v>
      </c>
      <c r="DX19" s="1375">
        <f t="shared" ref="DX19" si="158">DX6/DP6-1</f>
        <v>0.15962300611472657</v>
      </c>
      <c r="DY19" s="1376">
        <f t="shared" ref="DY19" si="159">DY6/DQ6-1</f>
        <v>0.12143314697454222</v>
      </c>
    </row>
    <row r="20" spans="1:137" hidden="1" outlineLevel="1">
      <c r="A20" s="291" t="s">
        <v>977</v>
      </c>
      <c r="B20" s="1342"/>
      <c r="C20" s="1343"/>
      <c r="D20" s="1343"/>
      <c r="E20" s="1343"/>
      <c r="F20" s="1343"/>
      <c r="G20" s="1343"/>
      <c r="H20" s="1343"/>
      <c r="I20" s="1347"/>
      <c r="J20" s="1343"/>
      <c r="K20" s="1343"/>
      <c r="L20" s="1343"/>
      <c r="M20" s="1343"/>
      <c r="N20" s="1343"/>
      <c r="O20" s="1343"/>
      <c r="P20" s="1343"/>
      <c r="Q20" s="1347"/>
      <c r="R20" s="1343"/>
      <c r="S20" s="1343"/>
      <c r="T20" s="1343"/>
      <c r="U20" s="1343"/>
      <c r="V20" s="1343"/>
      <c r="W20" s="1343"/>
      <c r="X20" s="1343"/>
      <c r="Y20" s="1347"/>
      <c r="Z20" s="1343"/>
      <c r="AA20" s="1343"/>
      <c r="AB20" s="1343"/>
      <c r="AC20" s="1343"/>
      <c r="AD20" s="1343"/>
      <c r="AE20" s="1343"/>
      <c r="AF20" s="1343"/>
      <c r="AG20" s="1347"/>
      <c r="AH20" s="1343"/>
      <c r="AI20" s="1343"/>
      <c r="AJ20" s="1343"/>
      <c r="AK20" s="1343"/>
      <c r="AL20" s="1343"/>
      <c r="AM20" s="1343"/>
      <c r="AN20" s="1343"/>
      <c r="AO20" s="1347"/>
      <c r="AP20" s="1343"/>
      <c r="AQ20" s="1343"/>
      <c r="AR20" s="1343"/>
      <c r="AS20" s="1343"/>
      <c r="AT20" s="1343"/>
      <c r="AU20" s="1343"/>
      <c r="AV20" s="1343"/>
      <c r="AW20" s="1347"/>
      <c r="AX20" s="1343"/>
      <c r="AY20" s="1343"/>
      <c r="AZ20" s="1343"/>
      <c r="BA20" s="1343"/>
      <c r="BB20" s="1343"/>
      <c r="BC20" s="1343"/>
      <c r="BD20" s="1343"/>
      <c r="BE20" s="1347"/>
      <c r="BF20" s="1343"/>
      <c r="BG20" s="1349"/>
      <c r="BH20" s="1349"/>
      <c r="BI20" s="1349"/>
      <c r="BJ20" s="1349"/>
      <c r="BK20" s="1349"/>
      <c r="BL20" s="1349"/>
      <c r="BM20" s="1350"/>
      <c r="BN20" s="1349"/>
      <c r="BO20" s="1349"/>
      <c r="BP20" s="1349"/>
      <c r="BQ20" s="1349"/>
      <c r="BR20" s="1349"/>
      <c r="BS20" s="1349"/>
      <c r="BT20" s="1349"/>
      <c r="BU20" s="1350"/>
      <c r="BV20" s="1349"/>
      <c r="BW20" s="1349"/>
      <c r="BX20" s="1349"/>
      <c r="BY20" s="1349"/>
      <c r="BZ20" s="1349"/>
      <c r="CA20" s="1349"/>
      <c r="CB20" s="1349"/>
      <c r="CC20" s="1350"/>
      <c r="CD20" s="1375">
        <f t="shared" ref="CD20:CD24" si="160">CD7/BV7-1</f>
        <v>-0.11411051564219576</v>
      </c>
      <c r="CE20" s="1375"/>
      <c r="CF20" s="1375"/>
      <c r="CG20" s="1375"/>
      <c r="CH20" s="1375"/>
      <c r="CI20" s="1375"/>
      <c r="CJ20" s="1375"/>
      <c r="CK20" s="1376"/>
      <c r="CL20" s="1375">
        <f t="shared" ref="CL20:CL26" si="161">CL7/CD7-1</f>
        <v>0.3032171835406583</v>
      </c>
      <c r="CM20" s="1377"/>
      <c r="CN20" s="1377"/>
      <c r="CO20" s="1377"/>
      <c r="CP20" s="1377"/>
      <c r="CQ20" s="1377"/>
      <c r="CR20" s="1377"/>
      <c r="CS20" s="1378"/>
      <c r="CT20" s="1375"/>
      <c r="CU20" s="1375"/>
      <c r="CV20" s="1375"/>
      <c r="CW20" s="1375"/>
      <c r="CX20" s="1375"/>
      <c r="CY20" s="1375"/>
      <c r="CZ20" s="1375"/>
      <c r="DA20" s="1376"/>
      <c r="DB20" s="1375"/>
      <c r="DC20" s="1375"/>
      <c r="DD20" s="1375"/>
      <c r="DE20" s="1375"/>
      <c r="DF20" s="1375"/>
      <c r="DG20" s="1375"/>
      <c r="DH20" s="1375"/>
      <c r="DI20" s="1376"/>
      <c r="DJ20" s="1375"/>
      <c r="DK20" s="1375"/>
      <c r="DL20" s="1375"/>
      <c r="DM20" s="1375"/>
      <c r="DN20" s="1375"/>
      <c r="DO20" s="1375"/>
      <c r="DP20" s="1375"/>
      <c r="DQ20" s="1376"/>
      <c r="DR20" s="1375"/>
      <c r="DS20" s="1375"/>
      <c r="DT20" s="1375"/>
      <c r="DU20" s="1375"/>
      <c r="DV20" s="1375"/>
      <c r="DW20" s="1375"/>
      <c r="DX20" s="1375"/>
      <c r="DY20" s="1376"/>
    </row>
    <row r="21" spans="1:137" hidden="1" outlineLevel="1">
      <c r="A21" s="291" t="s">
        <v>744</v>
      </c>
      <c r="B21" s="1342"/>
      <c r="C21" s="1343"/>
      <c r="D21" s="1343"/>
      <c r="E21" s="1343"/>
      <c r="F21" s="1343"/>
      <c r="G21" s="1343"/>
      <c r="H21" s="1343"/>
      <c r="I21" s="1347"/>
      <c r="J21" s="1343"/>
      <c r="K21" s="1343"/>
      <c r="L21" s="1343"/>
      <c r="M21" s="1343"/>
      <c r="N21" s="1343"/>
      <c r="O21" s="1343"/>
      <c r="P21" s="1343"/>
      <c r="Q21" s="1347"/>
      <c r="R21" s="1343"/>
      <c r="S21" s="1343"/>
      <c r="T21" s="1343"/>
      <c r="U21" s="1343"/>
      <c r="V21" s="1343"/>
      <c r="W21" s="1343"/>
      <c r="X21" s="1343"/>
      <c r="Y21" s="1347"/>
      <c r="Z21" s="1343"/>
      <c r="AA21" s="1343"/>
      <c r="AB21" s="1343"/>
      <c r="AC21" s="1343"/>
      <c r="AD21" s="1343"/>
      <c r="AE21" s="1343"/>
      <c r="AF21" s="1343"/>
      <c r="AG21" s="1347"/>
      <c r="AH21" s="1343"/>
      <c r="AI21" s="1343"/>
      <c r="AJ21" s="1343"/>
      <c r="AK21" s="1343"/>
      <c r="AL21" s="1343"/>
      <c r="AM21" s="1343"/>
      <c r="AN21" s="1343"/>
      <c r="AO21" s="1347"/>
      <c r="AP21" s="1343"/>
      <c r="AQ21" s="1343"/>
      <c r="AR21" s="1343"/>
      <c r="AS21" s="1343"/>
      <c r="AT21" s="1343"/>
      <c r="AU21" s="1343"/>
      <c r="AV21" s="1343"/>
      <c r="AW21" s="1347"/>
      <c r="AX21" s="1343"/>
      <c r="AY21" s="1343"/>
      <c r="AZ21" s="1343"/>
      <c r="BA21" s="1343"/>
      <c r="BB21" s="1343"/>
      <c r="BC21" s="1343"/>
      <c r="BD21" s="1343"/>
      <c r="BE21" s="1347"/>
      <c r="BF21" s="1343"/>
      <c r="BG21" s="1349"/>
      <c r="BH21" s="1349"/>
      <c r="BI21" s="1349"/>
      <c r="BJ21" s="1349"/>
      <c r="BK21" s="1349"/>
      <c r="BL21" s="1349"/>
      <c r="BM21" s="1350"/>
      <c r="BN21" s="1349"/>
      <c r="BO21" s="1349"/>
      <c r="BP21" s="1349"/>
      <c r="BQ21" s="1349"/>
      <c r="BR21" s="1349"/>
      <c r="BS21" s="1349"/>
      <c r="BT21" s="1349"/>
      <c r="BU21" s="1350"/>
      <c r="BV21" s="1349"/>
      <c r="BW21" s="1349"/>
      <c r="BX21" s="1349"/>
      <c r="BY21" s="1349"/>
      <c r="BZ21" s="1349"/>
      <c r="CA21" s="1349"/>
      <c r="CB21" s="1349"/>
      <c r="CC21" s="1350"/>
      <c r="CD21" s="1375">
        <f t="shared" si="160"/>
        <v>1.0000000000000009E-2</v>
      </c>
      <c r="CE21" s="1375"/>
      <c r="CF21" s="1375"/>
      <c r="CG21" s="1375"/>
      <c r="CH21" s="1375"/>
      <c r="CI21" s="1375"/>
      <c r="CJ21" s="1375"/>
      <c r="CK21" s="1376"/>
      <c r="CL21" s="1375">
        <f t="shared" si="161"/>
        <v>0.17365395066416078</v>
      </c>
      <c r="CM21" s="1377"/>
      <c r="CN21" s="1377"/>
      <c r="CO21" s="1377"/>
      <c r="CP21" s="1377"/>
      <c r="CQ21" s="1377"/>
      <c r="CR21" s="1377"/>
      <c r="CS21" s="1378"/>
      <c r="CT21" s="1375"/>
      <c r="CU21" s="1375"/>
      <c r="CV21" s="1375"/>
      <c r="CW21" s="1375"/>
      <c r="CX21" s="1375"/>
      <c r="CY21" s="1375"/>
      <c r="CZ21" s="1375"/>
      <c r="DA21" s="1376"/>
      <c r="DB21" s="1375"/>
      <c r="DC21" s="1375"/>
      <c r="DD21" s="1375"/>
      <c r="DE21" s="1375"/>
      <c r="DF21" s="1375"/>
      <c r="DG21" s="1375"/>
      <c r="DH21" s="1375"/>
      <c r="DI21" s="1376"/>
      <c r="DJ21" s="1375"/>
      <c r="DK21" s="1375"/>
      <c r="DL21" s="1375"/>
      <c r="DM21" s="1375"/>
      <c r="DN21" s="1375"/>
      <c r="DO21" s="1375"/>
      <c r="DP21" s="1375"/>
      <c r="DQ21" s="1376"/>
      <c r="DR21" s="1375"/>
      <c r="DS21" s="1375"/>
      <c r="DT21" s="1375"/>
      <c r="DU21" s="1375"/>
      <c r="DV21" s="1375"/>
      <c r="DW21" s="1375"/>
      <c r="DX21" s="1375"/>
      <c r="DY21" s="1376"/>
    </row>
    <row r="22" spans="1:137" hidden="1" outlineLevel="1">
      <c r="A22" s="291" t="s">
        <v>1243</v>
      </c>
      <c r="B22" s="1342"/>
      <c r="C22" s="1343"/>
      <c r="D22" s="1343"/>
      <c r="E22" s="1343"/>
      <c r="F22" s="1343"/>
      <c r="G22" s="1343"/>
      <c r="H22" s="1343"/>
      <c r="I22" s="1347"/>
      <c r="J22" s="1343"/>
      <c r="K22" s="1343"/>
      <c r="L22" s="1343"/>
      <c r="M22" s="1343"/>
      <c r="N22" s="1343"/>
      <c r="O22" s="1343"/>
      <c r="P22" s="1343"/>
      <c r="Q22" s="1347"/>
      <c r="R22" s="1343"/>
      <c r="S22" s="1343"/>
      <c r="T22" s="1343"/>
      <c r="U22" s="1343"/>
      <c r="V22" s="1343"/>
      <c r="W22" s="1343"/>
      <c r="X22" s="1343"/>
      <c r="Y22" s="1347"/>
      <c r="Z22" s="1343"/>
      <c r="AA22" s="1343"/>
      <c r="AB22" s="1343"/>
      <c r="AC22" s="1343"/>
      <c r="AD22" s="1343"/>
      <c r="AE22" s="1343"/>
      <c r="AF22" s="1343"/>
      <c r="AG22" s="1347"/>
      <c r="AH22" s="1343"/>
      <c r="AI22" s="1343"/>
      <c r="AJ22" s="1343"/>
      <c r="AK22" s="1343"/>
      <c r="AL22" s="1343"/>
      <c r="AM22" s="1343"/>
      <c r="AN22" s="1343"/>
      <c r="AO22" s="1347"/>
      <c r="AP22" s="1343"/>
      <c r="AQ22" s="1343"/>
      <c r="AR22" s="1343"/>
      <c r="AS22" s="1343"/>
      <c r="AT22" s="1343"/>
      <c r="AU22" s="1343"/>
      <c r="AV22" s="1343"/>
      <c r="AW22" s="1347"/>
      <c r="AX22" s="1343"/>
      <c r="AY22" s="1343"/>
      <c r="AZ22" s="1343"/>
      <c r="BA22" s="1343"/>
      <c r="BB22" s="1343"/>
      <c r="BC22" s="1343"/>
      <c r="BD22" s="1343"/>
      <c r="BE22" s="1347"/>
      <c r="BF22" s="1343"/>
      <c r="BG22" s="1349"/>
      <c r="BH22" s="1349"/>
      <c r="BI22" s="1349"/>
      <c r="BJ22" s="1349"/>
      <c r="BK22" s="1349"/>
      <c r="BL22" s="1349"/>
      <c r="BM22" s="1350"/>
      <c r="BN22" s="1349"/>
      <c r="BO22" s="1349"/>
      <c r="BP22" s="1349"/>
      <c r="BQ22" s="1349"/>
      <c r="BR22" s="1349"/>
      <c r="BS22" s="1349"/>
      <c r="BT22" s="1349"/>
      <c r="BU22" s="1350"/>
      <c r="BV22" s="1349"/>
      <c r="BW22" s="1349"/>
      <c r="BX22" s="1349"/>
      <c r="BY22" s="1349"/>
      <c r="BZ22" s="1349"/>
      <c r="CA22" s="1349"/>
      <c r="CB22" s="1349"/>
      <c r="CC22" s="1350"/>
      <c r="CD22" s="1375">
        <f t="shared" si="160"/>
        <v>-0.13684908567120702</v>
      </c>
      <c r="CE22" s="1375"/>
      <c r="CF22" s="1375"/>
      <c r="CG22" s="1375"/>
      <c r="CH22" s="1375"/>
      <c r="CI22" s="1375"/>
      <c r="CJ22" s="1375"/>
      <c r="CK22" s="1376"/>
      <c r="CL22" s="1375">
        <f t="shared" si="161"/>
        <v>-0.28223343341039153</v>
      </c>
      <c r="CM22" s="1377"/>
      <c r="CN22" s="1377"/>
      <c r="CO22" s="1377"/>
      <c r="CP22" s="1377"/>
      <c r="CQ22" s="1377"/>
      <c r="CR22" s="1377"/>
      <c r="CS22" s="1378"/>
      <c r="CT22" s="1375"/>
      <c r="CU22" s="1375"/>
      <c r="CV22" s="1375"/>
      <c r="CW22" s="1375"/>
      <c r="CX22" s="1375"/>
      <c r="CY22" s="1375"/>
      <c r="CZ22" s="1375"/>
      <c r="DA22" s="1376"/>
      <c r="DB22" s="1375"/>
      <c r="DC22" s="1375"/>
      <c r="DD22" s="1375"/>
      <c r="DE22" s="1375"/>
      <c r="DF22" s="1375"/>
      <c r="DG22" s="1375"/>
      <c r="DH22" s="1375"/>
      <c r="DI22" s="1376"/>
      <c r="DJ22" s="1375"/>
      <c r="DK22" s="1375"/>
      <c r="DL22" s="1375"/>
      <c r="DM22" s="1375"/>
      <c r="DN22" s="1375"/>
      <c r="DO22" s="1375"/>
      <c r="DP22" s="1375"/>
      <c r="DQ22" s="1376"/>
      <c r="DR22" s="1375"/>
      <c r="DS22" s="1375"/>
      <c r="DT22" s="1375"/>
      <c r="DU22" s="1375"/>
      <c r="DV22" s="1375"/>
      <c r="DW22" s="1375"/>
      <c r="DX22" s="1375"/>
      <c r="DY22" s="1376"/>
    </row>
    <row r="23" spans="1:137" collapsed="1">
      <c r="A23" s="19" t="s">
        <v>1930</v>
      </c>
      <c r="B23" s="1342"/>
      <c r="C23" s="1343"/>
      <c r="D23" s="1343"/>
      <c r="E23" s="1343"/>
      <c r="F23" s="1343"/>
      <c r="G23" s="1343"/>
      <c r="H23" s="1343"/>
      <c r="I23" s="1347"/>
      <c r="J23" s="1343"/>
      <c r="K23" s="1343"/>
      <c r="L23" s="1343"/>
      <c r="M23" s="1343"/>
      <c r="N23" s="1343"/>
      <c r="O23" s="1343"/>
      <c r="P23" s="1343"/>
      <c r="Q23" s="1347"/>
      <c r="R23" s="1343"/>
      <c r="S23" s="1343"/>
      <c r="T23" s="1343"/>
      <c r="U23" s="1343"/>
      <c r="V23" s="1343"/>
      <c r="W23" s="1343"/>
      <c r="X23" s="1343"/>
      <c r="Y23" s="1347"/>
      <c r="Z23" s="1343"/>
      <c r="AA23" s="1343"/>
      <c r="AB23" s="1343"/>
      <c r="AC23" s="1343"/>
      <c r="AD23" s="1343"/>
      <c r="AE23" s="1343"/>
      <c r="AF23" s="1343"/>
      <c r="AG23" s="1347"/>
      <c r="AH23" s="1343"/>
      <c r="AI23" s="1343"/>
      <c r="AJ23" s="1343"/>
      <c r="AK23" s="1343"/>
      <c r="AL23" s="1343"/>
      <c r="AM23" s="1343"/>
      <c r="AN23" s="1343"/>
      <c r="AO23" s="1347"/>
      <c r="AP23" s="1343"/>
      <c r="AQ23" s="1343"/>
      <c r="AR23" s="1343"/>
      <c r="AS23" s="1343"/>
      <c r="AT23" s="1343"/>
      <c r="AU23" s="1344"/>
      <c r="AV23" s="1343"/>
      <c r="AW23" s="1347"/>
      <c r="AX23" s="1343"/>
      <c r="AY23" s="1344"/>
      <c r="AZ23" s="1343"/>
      <c r="BA23" s="1343"/>
      <c r="BB23" s="1343"/>
      <c r="BC23" s="1344"/>
      <c r="BD23" s="1343"/>
      <c r="BE23" s="1347"/>
      <c r="BF23" s="1343"/>
      <c r="BG23" s="1349"/>
      <c r="BH23" s="1349"/>
      <c r="BI23" s="1349"/>
      <c r="BJ23" s="1349"/>
      <c r="BK23" s="1349"/>
      <c r="BL23" s="1349"/>
      <c r="BM23" s="1350"/>
      <c r="BN23" s="1349"/>
      <c r="BO23" s="1349"/>
      <c r="BP23" s="1349"/>
      <c r="BQ23" s="1349"/>
      <c r="BR23" s="1349"/>
      <c r="BS23" s="1349"/>
      <c r="BT23" s="1349"/>
      <c r="BU23" s="1350"/>
      <c r="BV23" s="1349"/>
      <c r="BW23" s="1349"/>
      <c r="BX23" s="1349"/>
      <c r="BY23" s="1349"/>
      <c r="BZ23" s="1349"/>
      <c r="CA23" s="1349"/>
      <c r="CB23" s="1349"/>
      <c r="CC23" s="1350"/>
      <c r="CD23" s="1375">
        <f t="shared" si="160"/>
        <v>-0.33058984910836764</v>
      </c>
      <c r="CE23" s="1375">
        <f t="shared" ref="CE23:CE24" si="162">CE10/BW10-1</f>
        <v>3.9283252929014578E-2</v>
      </c>
      <c r="CF23" s="1375">
        <f t="shared" ref="CF23:CF24" si="163">CF10/BX10-1</f>
        <v>-0.183067619571193</v>
      </c>
      <c r="CG23" s="1375">
        <f t="shared" ref="CG23:CG24" si="164">CG10/BY10-1</f>
        <v>5.0650239561943922E-2</v>
      </c>
      <c r="CH23" s="1375">
        <f t="shared" ref="CH23:CH24" si="165">CH10/BZ10-1</f>
        <v>-0.11610119631300253</v>
      </c>
      <c r="CI23" s="1375">
        <f t="shared" ref="CI23:CI24" si="166">CI10/CA10-1</f>
        <v>1.3377926421404673E-2</v>
      </c>
      <c r="CJ23" s="1375">
        <f t="shared" ref="CJ23:CJ24" si="167">CJ10/CB10-1</f>
        <v>3.0107526881720359E-2</v>
      </c>
      <c r="CK23" s="1376">
        <f t="shared" ref="CK23:CK24" si="168">CK10/CC10-1</f>
        <v>-8.2402437255186367E-2</v>
      </c>
      <c r="CL23" s="1375">
        <f t="shared" si="161"/>
        <v>0.17213114754098369</v>
      </c>
      <c r="CM23" s="1375">
        <f t="shared" ref="CM23:CM24" si="169">CM10/CE10-1</f>
        <v>0.18700265251989401</v>
      </c>
      <c r="CN23" s="1375">
        <f t="shared" ref="CN23:CN24" si="170">CN10/CF10-1</f>
        <v>0.17967698519515474</v>
      </c>
      <c r="CO23" s="1375">
        <f t="shared" ref="CO23:CO24" si="171">CO10/CG10-1</f>
        <v>0.18566775244299683</v>
      </c>
      <c r="CP23" s="1375">
        <f t="shared" ref="CP23:CP24" si="172">CP10/CH10-1</f>
        <v>0.1817173285999556</v>
      </c>
      <c r="CQ23" s="1375">
        <f t="shared" ref="CQ23:CQ24" si="173">CQ10/CI10-1</f>
        <v>0.21507150715071499</v>
      </c>
      <c r="CR23" s="1375">
        <f t="shared" ref="CR23:CR24" si="174">CR10/CJ10-1</f>
        <v>0.20161049806143749</v>
      </c>
      <c r="CS23" s="1376">
        <f t="shared" ref="CS23:CS24" si="175">CS10/CK10-1</f>
        <v>0.19130434782608696</v>
      </c>
      <c r="CT23" s="1375">
        <f t="shared" ref="CT23:CT24" si="176">CT10/CL10-1</f>
        <v>0.14568764568764569</v>
      </c>
      <c r="CU23" s="1375">
        <f t="shared" ref="CU23:CU24" si="177">CU10/CM10-1</f>
        <v>0.19217877094972069</v>
      </c>
      <c r="CV23" s="1375">
        <f t="shared" ref="CV23:CV24" si="178">CV10/CN10-1</f>
        <v>0.16942384483742146</v>
      </c>
      <c r="CW23" s="1375">
        <f t="shared" ref="CW23:CW24" si="179">CW10/CO10-1</f>
        <v>0.17252747252747258</v>
      </c>
      <c r="CX23" s="1375">
        <f t="shared" ref="CX23:CX24" si="180">CX10/CP10-1</f>
        <v>0.17048441607209908</v>
      </c>
      <c r="CY23" s="1375">
        <f t="shared" ref="CY23:CY24" si="181">CY10/CQ10-1</f>
        <v>0.17745586238116795</v>
      </c>
      <c r="CZ23" s="1375">
        <f t="shared" ref="CZ23:CZ24" si="182">CZ10/CR10-1</f>
        <v>0.17522958550508805</v>
      </c>
      <c r="DA23" s="1376">
        <f t="shared" ref="DA23:DA24" si="183">DA10/CS10-1</f>
        <v>0.17252820172528205</v>
      </c>
      <c r="DB23" s="1375">
        <f t="shared" ref="DB23:DB24" si="184">DB10/CT10-1</f>
        <v>0.24313326551373349</v>
      </c>
      <c r="DC23" s="1375">
        <f t="shared" ref="DC23:DC24" si="185">DC10/CU10-1</f>
        <v>0.27741330834114342</v>
      </c>
      <c r="DD23" s="1375">
        <f t="shared" ref="DD23:DD24" si="186">DD10/CV10-1</f>
        <v>0.26097560975609757</v>
      </c>
      <c r="DE23" s="1375">
        <f t="shared" ref="DE23:DE24" si="187">DE10/CW10-1</f>
        <v>0.18416119962511712</v>
      </c>
      <c r="DF23" s="1375">
        <f t="shared" ref="DF23:DF24" si="188">DF10/CX10-1</f>
        <v>0.23468078280397808</v>
      </c>
      <c r="DG23" s="1375">
        <f t="shared" ref="DG23:DG24" si="189">DG10/CY10-1</f>
        <v>0.12302960399846219</v>
      </c>
      <c r="DH23" s="1375">
        <f t="shared" ref="DH23:DH24" si="190">DH10/CZ10-1</f>
        <v>0.15058078141499465</v>
      </c>
      <c r="DI23" s="1376">
        <f t="shared" ref="DI23:DK24" si="191">DI10/DA10-1</f>
        <v>0.20181097906055467</v>
      </c>
      <c r="DJ23" s="1375">
        <f t="shared" si="191"/>
        <v>0.1387070376432078</v>
      </c>
      <c r="DK23" s="1375">
        <f t="shared" si="191"/>
        <v>3.6683785766691068E-2</v>
      </c>
      <c r="DL23" s="1375">
        <f t="shared" ref="DL23:DL24" si="192">DL10/DD10-1</f>
        <v>8.4912959381044484E-2</v>
      </c>
      <c r="DM23" s="1375">
        <f t="shared" ref="DM23:DM24" si="193">DM10/DE10-1</f>
        <v>0.14818956250230109</v>
      </c>
      <c r="DN23" s="1375">
        <f t="shared" ref="DN23:DN24" si="194">DN10/DF10-1</f>
        <v>0.10568728393443094</v>
      </c>
      <c r="DO23" s="1375">
        <f t="shared" ref="DO23:DO24" si="195">DO10/DG10-1</f>
        <v>0.26018546737628157</v>
      </c>
      <c r="DP23" s="1375">
        <f t="shared" ref="DP23:DP24" si="196">DP10/DH10-1</f>
        <v>0.20823729343785469</v>
      </c>
      <c r="DQ23" s="1376">
        <f t="shared" ref="DQ23:DQ24" si="197">DQ10/DI10-1</f>
        <v>0.14818956250230109</v>
      </c>
      <c r="DR23" s="1375">
        <f t="shared" ref="DR23:DR24" si="198">DR10/DJ10-1</f>
        <v>0.11576216829408237</v>
      </c>
      <c r="DS23" s="1375">
        <f t="shared" ref="DS23:DS24" si="199">DS10/DK10-1</f>
        <v>0.22556776793116828</v>
      </c>
      <c r="DT23" s="1375">
        <f t="shared" ref="DT23:DT24" si="200">DT10/DL10-1</f>
        <v>0.17108586673844051</v>
      </c>
      <c r="DU23" s="1375">
        <f t="shared" ref="DU23:DU24" si="201">DU10/DM10-1</f>
        <v>0.10654745075682626</v>
      </c>
      <c r="DV23" s="1375">
        <f t="shared" ref="DV23:DV24" si="202">DV10/DN10-1</f>
        <v>0.14908279387235956</v>
      </c>
      <c r="DW23" s="1375">
        <f t="shared" ref="DW23:DW24" si="203">DW10/DO10-1</f>
        <v>8.2057492836868917E-3</v>
      </c>
      <c r="DX23" s="1375">
        <f t="shared" ref="DX23:DX24" si="204">DX10/DP10-1</f>
        <v>5.1553565076135399E-2</v>
      </c>
      <c r="DY23" s="1376">
        <f t="shared" ref="DY23:DY24" si="205">DY10/DQ10-1</f>
        <v>0.10654745075682626</v>
      </c>
    </row>
    <row r="24" spans="1:137">
      <c r="A24" s="19" t="s">
        <v>1293</v>
      </c>
      <c r="B24" s="1342"/>
      <c r="C24" s="1343"/>
      <c r="D24" s="1343"/>
      <c r="E24" s="1343"/>
      <c r="F24" s="1343"/>
      <c r="G24" s="1343"/>
      <c r="H24" s="1343"/>
      <c r="I24" s="1347"/>
      <c r="J24" s="1343"/>
      <c r="K24" s="1343"/>
      <c r="L24" s="1343"/>
      <c r="M24" s="1343"/>
      <c r="N24" s="1343"/>
      <c r="O24" s="1343"/>
      <c r="P24" s="1343"/>
      <c r="Q24" s="1347"/>
      <c r="R24" s="1343"/>
      <c r="S24" s="1343"/>
      <c r="T24" s="1343"/>
      <c r="U24" s="1343"/>
      <c r="V24" s="1343"/>
      <c r="W24" s="1343"/>
      <c r="X24" s="1343"/>
      <c r="Y24" s="1347"/>
      <c r="Z24" s="1343"/>
      <c r="AA24" s="1343"/>
      <c r="AB24" s="1343"/>
      <c r="AC24" s="1343"/>
      <c r="AD24" s="1343"/>
      <c r="AE24" s="1343"/>
      <c r="AF24" s="1343"/>
      <c r="AG24" s="1347"/>
      <c r="AH24" s="1343"/>
      <c r="AI24" s="1343"/>
      <c r="AJ24" s="1343"/>
      <c r="AK24" s="1343"/>
      <c r="AL24" s="1343"/>
      <c r="AM24" s="1343"/>
      <c r="AN24" s="1343"/>
      <c r="AO24" s="1347"/>
      <c r="AP24" s="1343"/>
      <c r="AQ24" s="1343"/>
      <c r="AR24" s="1343"/>
      <c r="AS24" s="1343"/>
      <c r="AT24" s="1343"/>
      <c r="AU24" s="1344"/>
      <c r="AV24" s="1343"/>
      <c r="AW24" s="1347"/>
      <c r="AX24" s="1343"/>
      <c r="AY24" s="1344"/>
      <c r="AZ24" s="1343"/>
      <c r="BA24" s="1343"/>
      <c r="BB24" s="1343"/>
      <c r="BC24" s="1344"/>
      <c r="BD24" s="1343"/>
      <c r="BE24" s="1347"/>
      <c r="BF24" s="1343"/>
      <c r="BG24" s="1349"/>
      <c r="BH24" s="1349"/>
      <c r="BI24" s="1349"/>
      <c r="BJ24" s="1349"/>
      <c r="BK24" s="1349"/>
      <c r="BL24" s="1349"/>
      <c r="BM24" s="1350"/>
      <c r="BN24" s="1349"/>
      <c r="BO24" s="1349"/>
      <c r="BP24" s="1349"/>
      <c r="BQ24" s="1349"/>
      <c r="BR24" s="1349"/>
      <c r="BS24" s="1349"/>
      <c r="BT24" s="1349"/>
      <c r="BU24" s="1350"/>
      <c r="BV24" s="1349"/>
      <c r="BW24" s="1349"/>
      <c r="BX24" s="1349"/>
      <c r="BY24" s="1349"/>
      <c r="BZ24" s="1349"/>
      <c r="CA24" s="1349"/>
      <c r="CB24" s="1349"/>
      <c r="CC24" s="1350"/>
      <c r="CD24" s="1375">
        <f t="shared" si="160"/>
        <v>-0.54899135446685876</v>
      </c>
      <c r="CE24" s="1375">
        <f t="shared" si="162"/>
        <v>-0.11904761904761907</v>
      </c>
      <c r="CF24" s="1375">
        <f t="shared" si="163"/>
        <v>-0.39738805970149249</v>
      </c>
      <c r="CG24" s="1375">
        <f t="shared" si="164"/>
        <v>7.8431372549019551E-2</v>
      </c>
      <c r="CH24" s="1375">
        <f t="shared" si="165"/>
        <v>-0.2785164450664801</v>
      </c>
      <c r="CI24" s="1375">
        <f t="shared" si="166"/>
        <v>-9.9391480730223081E-2</v>
      </c>
      <c r="CJ24" s="1375">
        <f t="shared" si="167"/>
        <v>-2.4705882352941133E-2</v>
      </c>
      <c r="CK24" s="1376">
        <f t="shared" si="168"/>
        <v>-0.2325702393340271</v>
      </c>
      <c r="CL24" s="1375">
        <f t="shared" si="161"/>
        <v>0.30670926517571884</v>
      </c>
      <c r="CM24" s="1375">
        <f t="shared" si="169"/>
        <v>0.38438438438438438</v>
      </c>
      <c r="CN24" s="1375">
        <f t="shared" si="170"/>
        <v>0.34674922600619196</v>
      </c>
      <c r="CO24" s="1375">
        <f t="shared" si="171"/>
        <v>0.35584415584415585</v>
      </c>
      <c r="CP24" s="1375">
        <f t="shared" si="172"/>
        <v>0.35014548981571281</v>
      </c>
      <c r="CQ24" s="1375">
        <f t="shared" si="173"/>
        <v>0.31981981981981988</v>
      </c>
      <c r="CR24" s="1375">
        <f t="shared" si="174"/>
        <v>0.33655006031363088</v>
      </c>
      <c r="CS24" s="1376">
        <f t="shared" si="175"/>
        <v>0.34101694915254233</v>
      </c>
      <c r="CT24" s="1375">
        <f t="shared" si="176"/>
        <v>0.42787286063569674</v>
      </c>
      <c r="CU24" s="1375">
        <f t="shared" si="177"/>
        <v>0.25596529284164848</v>
      </c>
      <c r="CV24" s="1375">
        <f t="shared" si="178"/>
        <v>0.33678160919540234</v>
      </c>
      <c r="CW24" s="1375">
        <f t="shared" si="179"/>
        <v>0.15900383141762453</v>
      </c>
      <c r="CX24" s="1375">
        <f t="shared" si="180"/>
        <v>0.27011494252873569</v>
      </c>
      <c r="CY24" s="1375">
        <f t="shared" si="181"/>
        <v>0.20989761092150161</v>
      </c>
      <c r="CZ24" s="1375">
        <f t="shared" si="182"/>
        <v>0.1859205776173285</v>
      </c>
      <c r="DA24" s="1376">
        <f t="shared" si="183"/>
        <v>0.25227502527805856</v>
      </c>
      <c r="DB24" s="1375">
        <f t="shared" si="184"/>
        <v>0.15753424657534243</v>
      </c>
      <c r="DC24" s="1375">
        <f t="shared" si="185"/>
        <v>0.26943005181347157</v>
      </c>
      <c r="DD24" s="1375">
        <f t="shared" si="186"/>
        <v>0.21324161650902829</v>
      </c>
      <c r="DE24" s="1375">
        <f t="shared" si="187"/>
        <v>0.27438016528925613</v>
      </c>
      <c r="DF24" s="1375">
        <f t="shared" si="188"/>
        <v>0.23416289592760187</v>
      </c>
      <c r="DG24" s="1375">
        <f t="shared" si="189"/>
        <v>0.20592383638928058</v>
      </c>
      <c r="DH24" s="1375">
        <f t="shared" si="190"/>
        <v>0.23744292237442921</v>
      </c>
      <c r="DI24" s="1376">
        <f t="shared" si="191"/>
        <v>0.22607993540573279</v>
      </c>
      <c r="DJ24" s="1375">
        <f t="shared" si="191"/>
        <v>0.16568047337278102</v>
      </c>
      <c r="DK24" s="1375">
        <f t="shared" si="191"/>
        <v>0.12653061224489792</v>
      </c>
      <c r="DL24" s="1375">
        <f t="shared" si="192"/>
        <v>0.14528703047484059</v>
      </c>
      <c r="DM24" s="1375">
        <f t="shared" si="193"/>
        <v>0.12738228514981875</v>
      </c>
      <c r="DN24" s="1375">
        <f t="shared" si="194"/>
        <v>0.13896046830912478</v>
      </c>
      <c r="DO24" s="1375">
        <f t="shared" si="195"/>
        <v>9.7834220057882781E-2</v>
      </c>
      <c r="DP24" s="1375">
        <f t="shared" si="196"/>
        <v>0.11184501845018469</v>
      </c>
      <c r="DQ24" s="1376">
        <f t="shared" si="197"/>
        <v>0.12738228514981897</v>
      </c>
      <c r="DR24" s="1375">
        <f t="shared" si="198"/>
        <v>6.8627577976529741E-2</v>
      </c>
      <c r="DS24" s="1375">
        <f t="shared" si="199"/>
        <v>0.10576515845633327</v>
      </c>
      <c r="DT24" s="1375">
        <f t="shared" si="200"/>
        <v>8.7655991737221051E-2</v>
      </c>
      <c r="DU24" s="1375">
        <f t="shared" si="201"/>
        <v>0.10492981605556317</v>
      </c>
      <c r="DV24" s="1375">
        <f t="shared" si="202"/>
        <v>9.3697573897534747E-2</v>
      </c>
      <c r="DW24" s="1375">
        <f t="shared" si="203"/>
        <v>0.13466885818991137</v>
      </c>
      <c r="DX24" s="1375">
        <f t="shared" si="204"/>
        <v>0.12037044757484017</v>
      </c>
      <c r="DY24" s="1376">
        <f t="shared" si="205"/>
        <v>0.10492981605556295</v>
      </c>
    </row>
    <row r="25" spans="1:137" hidden="1" outlineLevel="1">
      <c r="A25" s="19" t="s">
        <v>976</v>
      </c>
      <c r="B25" s="1342"/>
      <c r="C25" s="1343"/>
      <c r="D25" s="1343"/>
      <c r="E25" s="1343"/>
      <c r="F25" s="1343"/>
      <c r="G25" s="1343"/>
      <c r="H25" s="1343"/>
      <c r="I25" s="1347"/>
      <c r="J25" s="1343"/>
      <c r="K25" s="1343"/>
      <c r="L25" s="1343"/>
      <c r="M25" s="1343"/>
      <c r="N25" s="1343"/>
      <c r="O25" s="1343"/>
      <c r="P25" s="1343"/>
      <c r="Q25" s="1347"/>
      <c r="R25" s="1343"/>
      <c r="S25" s="1343"/>
      <c r="T25" s="1343"/>
      <c r="U25" s="1343"/>
      <c r="V25" s="1343"/>
      <c r="W25" s="1343"/>
      <c r="X25" s="1343"/>
      <c r="Y25" s="1347"/>
      <c r="Z25" s="1343"/>
      <c r="AA25" s="1343"/>
      <c r="AB25" s="1343"/>
      <c r="AC25" s="1343"/>
      <c r="AD25" s="1343"/>
      <c r="AE25" s="1343"/>
      <c r="AF25" s="1343"/>
      <c r="AG25" s="1347"/>
      <c r="AH25" s="1343"/>
      <c r="AI25" s="1343"/>
      <c r="AJ25" s="1343"/>
      <c r="AK25" s="1343"/>
      <c r="AL25" s="1343"/>
      <c r="AM25" s="1343"/>
      <c r="AN25" s="1343"/>
      <c r="AO25" s="1347"/>
      <c r="AP25" s="1343"/>
      <c r="AQ25" s="1343"/>
      <c r="AR25" s="1343"/>
      <c r="AS25" s="1343"/>
      <c r="AT25" s="1343"/>
      <c r="AU25" s="1343"/>
      <c r="AV25" s="1343"/>
      <c r="AW25" s="1347"/>
      <c r="AX25" s="1343"/>
      <c r="AY25" s="1343"/>
      <c r="AZ25" s="1343"/>
      <c r="BA25" s="1343"/>
      <c r="BB25" s="1343"/>
      <c r="BC25" s="1343"/>
      <c r="BD25" s="1343"/>
      <c r="BE25" s="1347"/>
      <c r="BF25" s="1343"/>
      <c r="BG25" s="1349"/>
      <c r="BH25" s="1349"/>
      <c r="BI25" s="1349"/>
      <c r="BJ25" s="1349"/>
      <c r="BK25" s="1349"/>
      <c r="BL25" s="1349"/>
      <c r="BM25" s="1350"/>
      <c r="BN25" s="1349"/>
      <c r="BO25" s="1349"/>
      <c r="BP25" s="1349"/>
      <c r="BQ25" s="1349"/>
      <c r="BR25" s="1349"/>
      <c r="BS25" s="1349"/>
      <c r="BT25" s="1349"/>
      <c r="BU25" s="1350"/>
      <c r="BV25" s="1349"/>
      <c r="BW25" s="1349"/>
      <c r="BX25" s="1349"/>
      <c r="BY25" s="1349"/>
      <c r="BZ25" s="1349"/>
      <c r="CA25" s="1349"/>
      <c r="CB25" s="1349"/>
      <c r="CC25" s="1350"/>
      <c r="CD25" s="1375"/>
      <c r="CE25" s="1375"/>
      <c r="CF25" s="1375"/>
      <c r="CG25" s="1375"/>
      <c r="CH25" s="1375"/>
      <c r="CI25" s="1375"/>
      <c r="CJ25" s="1375"/>
      <c r="CK25" s="1376"/>
      <c r="CL25" s="1375"/>
      <c r="CM25" s="1377"/>
      <c r="CN25" s="1377"/>
      <c r="CO25" s="1377"/>
      <c r="CP25" s="1377"/>
      <c r="CQ25" s="1377"/>
      <c r="CR25" s="1377"/>
      <c r="CS25" s="1378"/>
      <c r="CT25" s="1375"/>
      <c r="CU25" s="1375"/>
      <c r="CV25" s="1375"/>
      <c r="CW25" s="1375"/>
      <c r="CX25" s="1375"/>
      <c r="CY25" s="1375"/>
      <c r="CZ25" s="1375"/>
      <c r="DA25" s="1376"/>
      <c r="DB25" s="1375"/>
      <c r="DC25" s="1375"/>
      <c r="DD25" s="1375"/>
      <c r="DE25" s="1375"/>
      <c r="DF25" s="1375"/>
      <c r="DG25" s="1375"/>
      <c r="DH25" s="1375"/>
      <c r="DI25" s="1376"/>
      <c r="DJ25" s="1375"/>
      <c r="DK25" s="1375"/>
      <c r="DL25" s="1375"/>
      <c r="DM25" s="1375"/>
      <c r="DN25" s="1375"/>
      <c r="DO25" s="1375"/>
      <c r="DP25" s="1375"/>
      <c r="DQ25" s="1376"/>
      <c r="DR25" s="1375"/>
      <c r="DS25" s="1375"/>
      <c r="DT25" s="1375"/>
      <c r="DU25" s="1375"/>
      <c r="DV25" s="1375"/>
      <c r="DW25" s="1375"/>
      <c r="DX25" s="1375"/>
      <c r="DY25" s="1376"/>
    </row>
    <row r="26" spans="1:137" collapsed="1">
      <c r="A26" s="19" t="s">
        <v>776</v>
      </c>
      <c r="B26" s="1342"/>
      <c r="C26" s="1343"/>
      <c r="D26" s="1343"/>
      <c r="E26" s="1343"/>
      <c r="F26" s="1343"/>
      <c r="G26" s="1343"/>
      <c r="H26" s="1343"/>
      <c r="I26" s="1347"/>
      <c r="J26" s="1343"/>
      <c r="K26" s="1343"/>
      <c r="L26" s="1343"/>
      <c r="M26" s="1343"/>
      <c r="N26" s="1343"/>
      <c r="O26" s="1343"/>
      <c r="P26" s="1343"/>
      <c r="Q26" s="1347"/>
      <c r="R26" s="1343"/>
      <c r="S26" s="1343"/>
      <c r="T26" s="1343"/>
      <c r="U26" s="1343"/>
      <c r="V26" s="1343"/>
      <c r="W26" s="1343"/>
      <c r="X26" s="1343"/>
      <c r="Y26" s="1347"/>
      <c r="Z26" s="1343"/>
      <c r="AA26" s="1343"/>
      <c r="AB26" s="1343"/>
      <c r="AC26" s="1343"/>
      <c r="AD26" s="1343"/>
      <c r="AE26" s="1343"/>
      <c r="AF26" s="1343"/>
      <c r="AG26" s="1347"/>
      <c r="AH26" s="1343"/>
      <c r="AI26" s="1343"/>
      <c r="AJ26" s="1343"/>
      <c r="AK26" s="1343"/>
      <c r="AL26" s="1343"/>
      <c r="AM26" s="1343"/>
      <c r="AN26" s="1343"/>
      <c r="AO26" s="1347"/>
      <c r="AP26" s="1343"/>
      <c r="AQ26" s="1343"/>
      <c r="AR26" s="1343"/>
      <c r="AS26" s="1343"/>
      <c r="AT26" s="1343"/>
      <c r="AU26" s="1344"/>
      <c r="AV26" s="1343"/>
      <c r="AW26" s="1347"/>
      <c r="AX26" s="1343"/>
      <c r="AY26" s="1344"/>
      <c r="AZ26" s="1343"/>
      <c r="BA26" s="1343"/>
      <c r="BB26" s="1343"/>
      <c r="BC26" s="1344"/>
      <c r="BD26" s="1343"/>
      <c r="BE26" s="1347"/>
      <c r="BF26" s="1343"/>
      <c r="BG26" s="1349"/>
      <c r="BH26" s="1349"/>
      <c r="BI26" s="1349"/>
      <c r="BJ26" s="1349"/>
      <c r="BK26" s="1349"/>
      <c r="BL26" s="1349"/>
      <c r="BM26" s="1350"/>
      <c r="BN26" s="1349"/>
      <c r="BO26" s="1349"/>
      <c r="BP26" s="1349"/>
      <c r="BQ26" s="1349"/>
      <c r="BR26" s="1349"/>
      <c r="BS26" s="1349"/>
      <c r="BT26" s="1349"/>
      <c r="BU26" s="1350"/>
      <c r="BV26" s="1349"/>
      <c r="BW26" s="1349"/>
      <c r="BX26" s="1349"/>
      <c r="BY26" s="1349"/>
      <c r="BZ26" s="1349"/>
      <c r="CA26" s="1349"/>
      <c r="CB26" s="1349"/>
      <c r="CC26" s="1350"/>
      <c r="CD26" s="1375">
        <f t="shared" ref="CD26" si="206">CD13/BV13-1</f>
        <v>-0.19999999999999996</v>
      </c>
      <c r="CE26" s="1375">
        <f t="shared" ref="CE26" si="207">CE13/BW13-1</f>
        <v>0</v>
      </c>
      <c r="CF26" s="1375">
        <f t="shared" ref="CF26" si="208">CF13/BX13-1</f>
        <v>-9.9999999999999978E-2</v>
      </c>
      <c r="CG26" s="1375">
        <f t="shared" ref="CG26" si="209">CG13/BY13-1</f>
        <v>-0.6</v>
      </c>
      <c r="CH26" s="1375">
        <f t="shared" ref="CH26" si="210">CH13/BZ13-1</f>
        <v>-0.26666666666666672</v>
      </c>
      <c r="CI26" s="1375">
        <f t="shared" ref="CI26" si="211">CI13/CA13-1</f>
        <v>0.39999999999999991</v>
      </c>
      <c r="CJ26" s="1375">
        <f t="shared" ref="CJ26" si="212">CJ13/CB13-1</f>
        <v>-9.9999999999999978E-2</v>
      </c>
      <c r="CK26" s="1376">
        <f t="shared" ref="CK26" si="213">CK13/CC13-1</f>
        <v>-9.9999999999999978E-2</v>
      </c>
      <c r="CL26" s="1375">
        <f t="shared" si="161"/>
        <v>0</v>
      </c>
      <c r="CM26" s="1375">
        <f t="shared" ref="CM26" si="214">CM13/CE13-1</f>
        <v>-0.19999999999999996</v>
      </c>
      <c r="CN26" s="1375">
        <f t="shared" ref="CN26" si="215">CN13/CF13-1</f>
        <v>-0.11111111111111116</v>
      </c>
      <c r="CO26" s="1375">
        <f t="shared" ref="CO26" si="216">CO13/CG13-1</f>
        <v>1</v>
      </c>
      <c r="CP26" s="1375">
        <f t="shared" ref="CP26" si="217">CP13/CH13-1</f>
        <v>9.0909090909090828E-2</v>
      </c>
      <c r="CQ26" s="1375">
        <f t="shared" ref="CQ26" si="218">CQ13/CI13-1</f>
        <v>-0.4285714285714286</v>
      </c>
      <c r="CR26" s="1375">
        <f t="shared" ref="CR26" si="219">CR13/CJ13-1</f>
        <v>-0.11111111111111116</v>
      </c>
      <c r="CS26" s="1376">
        <f t="shared" ref="CS26" si="220">CS13/CK13-1</f>
        <v>-0.11111111111111116</v>
      </c>
      <c r="CT26" s="1375">
        <f t="shared" ref="CT26" si="221">CT13/CL13-1</f>
        <v>-0.5</v>
      </c>
      <c r="CU26" s="1375">
        <f t="shared" ref="CU26" si="222">CU13/CM13-1</f>
        <v>-0.25</v>
      </c>
      <c r="CV26" s="1375">
        <f t="shared" ref="CV26" si="223">CV13/CN13-1</f>
        <v>-0.375</v>
      </c>
      <c r="CW26" s="1375">
        <f t="shared" ref="CW26" si="224">CW13/CO13-1</f>
        <v>-0.25</v>
      </c>
      <c r="CX26" s="1375">
        <f t="shared" ref="CX26" si="225">CX13/CP13-1</f>
        <v>-0.33333333333333337</v>
      </c>
      <c r="CY26" s="1375">
        <f t="shared" ref="CY26" si="226">CY13/CQ13-1</f>
        <v>-0.25</v>
      </c>
      <c r="CZ26" s="1375">
        <f t="shared" ref="CZ26" si="227">CZ13/CR13-1</f>
        <v>-0.25</v>
      </c>
      <c r="DA26" s="1376">
        <f t="shared" ref="DA26" si="228">DA13/CS13-1</f>
        <v>-0.3125</v>
      </c>
      <c r="DB26" s="1375">
        <f t="shared" ref="DB26" si="229">DB13/CT13-1</f>
        <v>0.5</v>
      </c>
      <c r="DC26" s="1375">
        <f t="shared" ref="DC26" si="230">DC13/CU13-1</f>
        <v>-0.33333333333333337</v>
      </c>
      <c r="DD26" s="1375">
        <f t="shared" ref="DD26" si="231">DD13/CV13-1</f>
        <v>0</v>
      </c>
      <c r="DE26" s="1375">
        <f t="shared" ref="DE26" si="232">DE13/CW13-1</f>
        <v>-0.33333333333333337</v>
      </c>
      <c r="DF26" s="1375">
        <f t="shared" ref="DF26" si="233">DF13/CX13-1</f>
        <v>-0.125</v>
      </c>
      <c r="DG26" s="1375">
        <f t="shared" ref="DG26" si="234">DG13/CY13-1</f>
        <v>-0.33333333333333337</v>
      </c>
      <c r="DH26" s="1375">
        <f t="shared" ref="DH26" si="235">DH13/CZ13-1</f>
        <v>-0.33333333333333337</v>
      </c>
      <c r="DI26" s="1376">
        <f t="shared" ref="DI26:DK26" si="236">DI13/DA13-1</f>
        <v>-9.0909090909090939E-2</v>
      </c>
      <c r="DJ26" s="1375">
        <f t="shared" si="236"/>
        <v>-0.33333333333333337</v>
      </c>
      <c r="DK26" s="1375">
        <f t="shared" si="236"/>
        <v>0</v>
      </c>
      <c r="DL26" s="1375">
        <f t="shared" ref="DL26" si="237">DL13/DD13-1</f>
        <v>-0.19999999999999996</v>
      </c>
      <c r="DM26" s="1375">
        <f t="shared" ref="DM26" si="238">DM13/DE13-1</f>
        <v>0</v>
      </c>
      <c r="DN26" s="1375">
        <f t="shared" ref="DN26" si="239">DN13/DF13-1</f>
        <v>-0.1428571428571429</v>
      </c>
      <c r="DO26" s="1375">
        <f t="shared" ref="DO26" si="240">DO13/DG13-1</f>
        <v>1</v>
      </c>
      <c r="DP26" s="1375">
        <f t="shared" ref="DP26" si="241">DP13/DH13-1</f>
        <v>0.5</v>
      </c>
      <c r="DQ26" s="1376">
        <f t="shared" ref="DQ26" si="242">DQ13/DI13-1</f>
        <v>0</v>
      </c>
      <c r="DR26" s="1375">
        <f t="shared" ref="DR26" si="243">DR13/DJ13-1</f>
        <v>0.5</v>
      </c>
      <c r="DS26" s="1375">
        <f t="shared" ref="DS26" si="244">DS13/DK13-1</f>
        <v>0</v>
      </c>
      <c r="DT26" s="1375">
        <f t="shared" ref="DT26" si="245">DT13/DL13-1</f>
        <v>0.25</v>
      </c>
      <c r="DU26" s="1375">
        <f t="shared" ref="DU26" si="246">DU13/DM13-1</f>
        <v>0</v>
      </c>
      <c r="DV26" s="1375">
        <f t="shared" ref="DV26" si="247">DV13/DN13-1</f>
        <v>0.16666666666666674</v>
      </c>
      <c r="DW26" s="1375">
        <f t="shared" ref="DW26" si="248">DW13/DO13-1</f>
        <v>-0.5</v>
      </c>
      <c r="DX26" s="1375">
        <f t="shared" ref="DX26" si="249">DX13/DP13-1</f>
        <v>-0.33333333333333337</v>
      </c>
      <c r="DY26" s="1376">
        <f t="shared" ref="DY26" si="250">DY13/DQ13-1</f>
        <v>0</v>
      </c>
    </row>
    <row r="27" spans="1:137" hidden="1" outlineLevel="1">
      <c r="A27" s="19" t="s">
        <v>975</v>
      </c>
      <c r="B27" s="1342"/>
      <c r="C27" s="1343"/>
      <c r="D27" s="1343"/>
      <c r="E27" s="1343"/>
      <c r="F27" s="1343"/>
      <c r="G27" s="1343"/>
      <c r="H27" s="1343"/>
      <c r="I27" s="1347"/>
      <c r="J27" s="1343"/>
      <c r="K27" s="1343"/>
      <c r="L27" s="1343"/>
      <c r="M27" s="1343"/>
      <c r="N27" s="1343"/>
      <c r="O27" s="1343"/>
      <c r="P27" s="1343"/>
      <c r="Q27" s="1347"/>
      <c r="R27" s="1343"/>
      <c r="S27" s="1343"/>
      <c r="T27" s="1343"/>
      <c r="U27" s="1343"/>
      <c r="V27" s="1343"/>
      <c r="W27" s="1343"/>
      <c r="X27" s="1343"/>
      <c r="Y27" s="1347"/>
      <c r="Z27" s="1343"/>
      <c r="AA27" s="1343"/>
      <c r="AB27" s="1343"/>
      <c r="AC27" s="1343"/>
      <c r="AD27" s="1343"/>
      <c r="AE27" s="1343"/>
      <c r="AF27" s="1343"/>
      <c r="AG27" s="1347"/>
      <c r="AH27" s="1343"/>
      <c r="AI27" s="1343"/>
      <c r="AJ27" s="1343"/>
      <c r="AK27" s="1343"/>
      <c r="AL27" s="1343"/>
      <c r="AM27" s="1343"/>
      <c r="AN27" s="1343"/>
      <c r="AO27" s="1347"/>
      <c r="AP27" s="1343"/>
      <c r="AQ27" s="1343"/>
      <c r="AR27" s="1343"/>
      <c r="AS27" s="1343"/>
      <c r="AT27" s="1343"/>
      <c r="AU27" s="1343"/>
      <c r="AV27" s="1343"/>
      <c r="AW27" s="1347"/>
      <c r="AX27" s="1343"/>
      <c r="AY27" s="1343"/>
      <c r="AZ27" s="1343"/>
      <c r="BA27" s="1343"/>
      <c r="BB27" s="1343"/>
      <c r="BC27" s="1343"/>
      <c r="BD27" s="1343"/>
      <c r="BE27" s="1347"/>
      <c r="BF27" s="1343"/>
      <c r="BG27" s="1349"/>
      <c r="BH27" s="1349"/>
      <c r="BI27" s="1349"/>
      <c r="BJ27" s="1349"/>
      <c r="BK27" s="1349"/>
      <c r="BL27" s="1349"/>
      <c r="BM27" s="1350"/>
      <c r="BN27" s="1349"/>
      <c r="BO27" s="1349"/>
      <c r="BP27" s="1349"/>
      <c r="BQ27" s="1349"/>
      <c r="BR27" s="1349"/>
      <c r="BS27" s="1349"/>
      <c r="BT27" s="1349"/>
      <c r="BU27" s="1350"/>
      <c r="BV27" s="1349"/>
      <c r="BW27" s="1349"/>
      <c r="BX27" s="1349"/>
      <c r="BY27" s="1349"/>
      <c r="BZ27" s="1349"/>
      <c r="CA27" s="1349"/>
      <c r="CB27" s="1349"/>
      <c r="CC27" s="1350"/>
      <c r="CD27" s="1349"/>
      <c r="CE27" s="1349"/>
      <c r="CF27" s="1349"/>
      <c r="CG27" s="1349"/>
      <c r="CH27" s="1349"/>
      <c r="CI27" s="1349"/>
      <c r="CJ27" s="1349"/>
      <c r="CK27" s="1350"/>
      <c r="CL27" s="1349"/>
      <c r="CM27" s="1349"/>
      <c r="CN27" s="1349"/>
      <c r="CO27" s="1349"/>
      <c r="CP27" s="1349"/>
      <c r="CQ27" s="1349"/>
      <c r="CR27" s="1349"/>
      <c r="CS27" s="1350"/>
      <c r="CT27" s="1349"/>
      <c r="CU27" s="1349"/>
      <c r="CV27" s="1349"/>
      <c r="CW27" s="1349"/>
      <c r="CX27" s="1349"/>
      <c r="CY27" s="1349"/>
      <c r="CZ27" s="1349"/>
      <c r="DA27" s="1350"/>
      <c r="DB27" s="1349"/>
      <c r="DC27" s="1349"/>
      <c r="DD27" s="1349"/>
      <c r="DE27" s="1349"/>
      <c r="DF27" s="1349"/>
      <c r="DG27" s="1349"/>
      <c r="DH27" s="1349"/>
      <c r="DI27" s="1350"/>
      <c r="DR27"/>
      <c r="DT27" s="1349"/>
    </row>
    <row r="28" spans="1:137" hidden="1" outlineLevel="1">
      <c r="A28" s="19" t="s">
        <v>743</v>
      </c>
      <c r="B28" s="1342"/>
      <c r="C28" s="1343"/>
      <c r="D28" s="1343"/>
      <c r="E28" s="1343"/>
      <c r="F28" s="1343"/>
      <c r="G28" s="1343"/>
      <c r="H28" s="1343"/>
      <c r="I28" s="1347"/>
      <c r="J28" s="1343"/>
      <c r="K28" s="1343"/>
      <c r="L28" s="1343"/>
      <c r="M28" s="1343"/>
      <c r="N28" s="1343"/>
      <c r="O28" s="1343"/>
      <c r="P28" s="1343"/>
      <c r="Q28" s="1347"/>
      <c r="R28" s="1343"/>
      <c r="S28" s="1343"/>
      <c r="T28" s="1343"/>
      <c r="U28" s="1343"/>
      <c r="V28" s="1343"/>
      <c r="W28" s="1343"/>
      <c r="X28" s="1343"/>
      <c r="Y28" s="1347"/>
      <c r="Z28" s="1343"/>
      <c r="AA28" s="1343"/>
      <c r="AB28" s="1343"/>
      <c r="AC28" s="1343"/>
      <c r="AD28" s="1343"/>
      <c r="AE28" s="1343"/>
      <c r="AF28" s="1343"/>
      <c r="AG28" s="1347"/>
      <c r="AH28" s="1343"/>
      <c r="AI28" s="1343"/>
      <c r="AJ28" s="1343"/>
      <c r="AK28" s="1343"/>
      <c r="AL28" s="1343"/>
      <c r="AM28" s="1343"/>
      <c r="AN28" s="1343"/>
      <c r="AO28" s="1347"/>
      <c r="AP28" s="1343"/>
      <c r="AQ28" s="1343"/>
      <c r="AR28" s="1343"/>
      <c r="AS28" s="1343"/>
      <c r="AT28" s="1343"/>
      <c r="AU28" s="1343"/>
      <c r="AV28" s="1343"/>
      <c r="AW28" s="1347"/>
      <c r="AX28" s="1343"/>
      <c r="AY28" s="1343"/>
      <c r="AZ28" s="1343"/>
      <c r="BA28" s="1343"/>
      <c r="BB28" s="1343"/>
      <c r="BC28" s="1343"/>
      <c r="BD28" s="1343"/>
      <c r="BE28" s="1347"/>
      <c r="BF28" s="1343"/>
      <c r="BG28" s="1349"/>
      <c r="BH28" s="1349"/>
      <c r="BI28" s="1349"/>
      <c r="BJ28" s="1349"/>
      <c r="BK28" s="1349"/>
      <c r="BL28" s="1349"/>
      <c r="BM28" s="1350"/>
      <c r="BN28" s="1349"/>
      <c r="BO28" s="1349"/>
      <c r="BP28" s="1349"/>
      <c r="BQ28" s="1349"/>
      <c r="BR28" s="1349"/>
      <c r="BS28" s="1349"/>
      <c r="BT28" s="1349"/>
      <c r="BU28" s="1350"/>
      <c r="BV28" s="1349"/>
      <c r="BW28" s="1349"/>
      <c r="BX28" s="1349"/>
      <c r="BY28" s="1349"/>
      <c r="BZ28" s="1349"/>
      <c r="CA28" s="1349"/>
      <c r="CB28" s="1349"/>
      <c r="CC28" s="1350"/>
      <c r="CD28" s="1349"/>
      <c r="CE28" s="1349"/>
      <c r="CF28" s="1349"/>
      <c r="CG28" s="1349"/>
      <c r="CH28" s="1349"/>
      <c r="CI28" s="1349"/>
      <c r="CJ28" s="1349"/>
      <c r="CK28" s="1350"/>
      <c r="CL28" s="1349"/>
      <c r="CM28" s="1349"/>
      <c r="CN28" s="1349"/>
      <c r="CO28" s="1349"/>
      <c r="CP28" s="1349"/>
      <c r="CQ28" s="1349"/>
      <c r="CR28" s="1349"/>
      <c r="CS28" s="1350"/>
      <c r="CT28" s="1349"/>
      <c r="CU28" s="1349"/>
      <c r="CV28" s="1349"/>
      <c r="CW28" s="1349"/>
      <c r="CX28" s="1349"/>
      <c r="CY28" s="1349"/>
      <c r="CZ28" s="1349"/>
      <c r="DA28" s="1350"/>
      <c r="DB28" s="1349"/>
      <c r="DC28" s="1349"/>
      <c r="DD28" s="1349"/>
      <c r="DE28" s="1349"/>
      <c r="DF28" s="1349"/>
      <c r="DG28" s="1349"/>
      <c r="DH28" s="1349"/>
      <c r="DI28" s="1350"/>
      <c r="DR28"/>
      <c r="DT28" s="1349"/>
    </row>
    <row r="29" spans="1:137" s="331" customFormat="1" ht="11.25" collapsed="1">
      <c r="A29" s="1329" t="s">
        <v>1008</v>
      </c>
      <c r="B29" s="1330">
        <f t="shared" ref="B29:AM29" si="251">SUM(B19:B28)</f>
        <v>0</v>
      </c>
      <c r="C29" s="1331">
        <f t="shared" si="251"/>
        <v>0</v>
      </c>
      <c r="D29" s="1331">
        <f t="shared" ref="D29" si="252">B29+C29</f>
        <v>0</v>
      </c>
      <c r="E29" s="1331">
        <f t="shared" si="251"/>
        <v>0</v>
      </c>
      <c r="F29" s="1331">
        <f t="shared" ref="F29" si="253">D29+E29</f>
        <v>0</v>
      </c>
      <c r="G29" s="1331">
        <f t="shared" ref="G29" si="254">SUM(G19:G28)</f>
        <v>0</v>
      </c>
      <c r="H29" s="1331">
        <f t="shared" ref="H29" si="255">G29+E29</f>
        <v>0</v>
      </c>
      <c r="I29" s="1332">
        <f t="shared" ref="I29" si="256">H29+D29</f>
        <v>0</v>
      </c>
      <c r="J29" s="1330">
        <f t="shared" si="251"/>
        <v>0</v>
      </c>
      <c r="K29" s="1331">
        <f t="shared" si="251"/>
        <v>0</v>
      </c>
      <c r="L29" s="1331">
        <f t="shared" ref="L29" si="257">J29+K29</f>
        <v>0</v>
      </c>
      <c r="M29" s="1331">
        <f t="shared" si="251"/>
        <v>0</v>
      </c>
      <c r="N29" s="1331">
        <f t="shared" ref="N29" si="258">L29+M29</f>
        <v>0</v>
      </c>
      <c r="O29" s="1331">
        <f t="shared" si="251"/>
        <v>0</v>
      </c>
      <c r="P29" s="1331">
        <f t="shared" ref="P29" si="259">O29+M29</f>
        <v>0</v>
      </c>
      <c r="Q29" s="1332">
        <f t="shared" ref="Q29" si="260">P29+L29</f>
        <v>0</v>
      </c>
      <c r="R29" s="1331">
        <f t="shared" si="251"/>
        <v>0</v>
      </c>
      <c r="S29" s="1331">
        <f t="shared" si="251"/>
        <v>0</v>
      </c>
      <c r="T29" s="1331">
        <f t="shared" ref="T29" si="261">R29+S29</f>
        <v>0</v>
      </c>
      <c r="U29" s="1331">
        <f t="shared" si="251"/>
        <v>0</v>
      </c>
      <c r="V29" s="1331">
        <f t="shared" ref="V29" si="262">T29+U29</f>
        <v>0</v>
      </c>
      <c r="W29" s="1331">
        <f t="shared" si="251"/>
        <v>0</v>
      </c>
      <c r="X29" s="1331">
        <f t="shared" ref="X29" si="263">W29+U29</f>
        <v>0</v>
      </c>
      <c r="Y29" s="1332">
        <f t="shared" ref="Y29" si="264">X29+T29</f>
        <v>0</v>
      </c>
      <c r="Z29" s="1331">
        <f t="shared" si="251"/>
        <v>0</v>
      </c>
      <c r="AA29" s="1331">
        <f t="shared" si="251"/>
        <v>0</v>
      </c>
      <c r="AB29" s="1331">
        <f t="shared" ref="AB29" si="265">Z29+AA29</f>
        <v>0</v>
      </c>
      <c r="AC29" s="1331">
        <f t="shared" si="251"/>
        <v>0</v>
      </c>
      <c r="AD29" s="1331">
        <f t="shared" ref="AD29" si="266">AB29+AC29</f>
        <v>0</v>
      </c>
      <c r="AE29" s="1331">
        <f t="shared" si="251"/>
        <v>0</v>
      </c>
      <c r="AF29" s="1331">
        <f t="shared" ref="AF29" si="267">AE29+AC29</f>
        <v>0</v>
      </c>
      <c r="AG29" s="1332"/>
      <c r="AH29" s="1331">
        <f t="shared" si="251"/>
        <v>0</v>
      </c>
      <c r="AI29" s="1331">
        <f t="shared" si="251"/>
        <v>0</v>
      </c>
      <c r="AJ29" s="1331">
        <f t="shared" ref="AJ29" si="268">AH29+AI29</f>
        <v>0</v>
      </c>
      <c r="AK29" s="1331">
        <f t="shared" si="251"/>
        <v>0</v>
      </c>
      <c r="AL29" s="1331">
        <f t="shared" ref="AL29" si="269">AJ29+AK29</f>
        <v>0</v>
      </c>
      <c r="AM29" s="1331">
        <f t="shared" si="251"/>
        <v>0</v>
      </c>
      <c r="AN29" s="1331">
        <f t="shared" ref="AN29" si="270">AM29+AK29</f>
        <v>0</v>
      </c>
      <c r="AO29" s="1332">
        <f t="shared" ref="AO29" si="271">AN29+AJ29</f>
        <v>0</v>
      </c>
      <c r="AP29" s="1331">
        <f>SUM(AP19:AP28)-AP25</f>
        <v>0</v>
      </c>
      <c r="AQ29" s="1331">
        <f>SUM(AQ19:AQ28)-AQ25</f>
        <v>0</v>
      </c>
      <c r="AR29" s="1331">
        <f t="shared" ref="AR29" si="272">AP29+AQ29</f>
        <v>0</v>
      </c>
      <c r="AS29" s="1331">
        <f>SUM(AS19:AS28)-AS25</f>
        <v>0</v>
      </c>
      <c r="AT29" s="1331">
        <f t="shared" ref="AT29" si="273">AR29+AS29</f>
        <v>0</v>
      </c>
      <c r="AU29" s="1331">
        <f>SUM(AU19:AU28)-AU25</f>
        <v>0</v>
      </c>
      <c r="AV29" s="1331">
        <f t="shared" ref="AV29" si="274">AU29+AS29</f>
        <v>0</v>
      </c>
      <c r="AW29" s="1332">
        <f t="shared" ref="AW29" si="275">AV29+AR29</f>
        <v>0</v>
      </c>
      <c r="AX29" s="1331">
        <f>SUM(AX19:AX28)</f>
        <v>0</v>
      </c>
      <c r="AY29" s="1331">
        <f>SUM(AY19:AY28)</f>
        <v>0</v>
      </c>
      <c r="AZ29" s="1331">
        <f t="shared" ref="AZ29" si="276">AX29+AY29</f>
        <v>0</v>
      </c>
      <c r="BA29" s="1331">
        <f>SUM(BA19:BA28)</f>
        <v>0</v>
      </c>
      <c r="BB29" s="1331">
        <f t="shared" ref="BB29" si="277">AZ29+BA29</f>
        <v>0</v>
      </c>
      <c r="BC29" s="1331">
        <f>SUM(BC19:BC28)</f>
        <v>0</v>
      </c>
      <c r="BD29" s="1331">
        <f t="shared" ref="BD29" si="278">BC29+BA29</f>
        <v>0</v>
      </c>
      <c r="BE29" s="1332">
        <f t="shared" ref="BE29" si="279">BD29+AZ29</f>
        <v>0</v>
      </c>
      <c r="BF29" s="1331">
        <f t="shared" ref="BF29:CA29" si="280">SUM(BF23:BF28,BF19)</f>
        <v>0</v>
      </c>
      <c r="BG29" s="1331">
        <f t="shared" si="280"/>
        <v>0</v>
      </c>
      <c r="BH29" s="1331">
        <f t="shared" ref="BH29" si="281">BF29+BG29</f>
        <v>0</v>
      </c>
      <c r="BI29" s="1331">
        <f t="shared" si="280"/>
        <v>0</v>
      </c>
      <c r="BJ29" s="1331">
        <f t="shared" ref="BJ29" si="282">BH29+BI29</f>
        <v>0</v>
      </c>
      <c r="BK29" s="1331">
        <f t="shared" si="280"/>
        <v>0</v>
      </c>
      <c r="BL29" s="1331">
        <f t="shared" ref="BL29" si="283">BK29+BI29</f>
        <v>0</v>
      </c>
      <c r="BM29" s="1332">
        <f t="shared" ref="BM29" si="284">BL29+BH29</f>
        <v>0</v>
      </c>
      <c r="BN29" s="1331">
        <f t="shared" si="280"/>
        <v>0</v>
      </c>
      <c r="BO29" s="1331">
        <f t="shared" si="280"/>
        <v>0</v>
      </c>
      <c r="BP29" s="1331">
        <f t="shared" ref="BP29" si="285">BN29+BO29</f>
        <v>0</v>
      </c>
      <c r="BQ29" s="1331">
        <f t="shared" si="280"/>
        <v>0</v>
      </c>
      <c r="BR29" s="1331">
        <f t="shared" ref="BR29" si="286">BP29+BQ29</f>
        <v>0</v>
      </c>
      <c r="BS29" s="1331">
        <f t="shared" si="280"/>
        <v>0</v>
      </c>
      <c r="BT29" s="1331">
        <f t="shared" ref="BT29" si="287">BS29+BQ29</f>
        <v>0</v>
      </c>
      <c r="BU29" s="1332">
        <f t="shared" ref="BU29" si="288">BT29+BP29</f>
        <v>0</v>
      </c>
      <c r="BV29" s="1331">
        <f t="shared" si="280"/>
        <v>0</v>
      </c>
      <c r="BW29" s="1331">
        <f t="shared" si="280"/>
        <v>0</v>
      </c>
      <c r="BX29" s="1331">
        <f t="shared" ref="BX29" si="289">BV29+BW29</f>
        <v>0</v>
      </c>
      <c r="BY29" s="1331">
        <f t="shared" si="280"/>
        <v>0</v>
      </c>
      <c r="BZ29" s="1331">
        <f t="shared" ref="BZ29" si="290">BX29+BY29</f>
        <v>0</v>
      </c>
      <c r="CA29" s="1331">
        <f t="shared" si="280"/>
        <v>0</v>
      </c>
      <c r="CB29" s="1331">
        <f t="shared" ref="CB29" si="291">CA29+BY29</f>
        <v>0</v>
      </c>
      <c r="CC29" s="1332">
        <f t="shared" ref="CC29" si="292">CB29+BX29</f>
        <v>0</v>
      </c>
      <c r="CD29" s="1515">
        <f t="shared" ref="CD29" si="293">(CD16/BV16)-1</f>
        <v>-0.37915660412409435</v>
      </c>
      <c r="CE29" s="1515">
        <f t="shared" ref="CE29" si="294">(CE16/BW16)-1</f>
        <v>4.4326241134751809E-2</v>
      </c>
      <c r="CF29" s="1515">
        <f t="shared" ref="CF29" si="295">(CF16/BX16)-1</f>
        <v>-0.21569522071404124</v>
      </c>
      <c r="CG29" s="1515">
        <f t="shared" ref="CG29" si="296">(CG16/BY16)-1</f>
        <v>0.10408042578355992</v>
      </c>
      <c r="CH29" s="1515">
        <f t="shared" ref="CH29" si="297">(CH16/BZ16)-1</f>
        <v>-0.12667709276483663</v>
      </c>
      <c r="CI29" s="1515">
        <f t="shared" ref="CI29:CK29" si="298">(CI16/CA16)-1</f>
        <v>6.8521499195217217E-2</v>
      </c>
      <c r="CJ29" s="1515">
        <f t="shared" si="298"/>
        <v>8.4077092226102712E-2</v>
      </c>
      <c r="CK29" s="1529">
        <f t="shared" si="298"/>
        <v>-7.5221238938053103E-2</v>
      </c>
      <c r="CL29" s="1515">
        <f t="shared" ref="CL29" si="299">(CL16/CD16)-1</f>
        <v>0.21813285457809695</v>
      </c>
      <c r="CM29" s="1515">
        <f t="shared" ref="CM29" si="300">(CM16/CE16)-1</f>
        <v>0.27023203169213361</v>
      </c>
      <c r="CN29" s="1515">
        <f t="shared" ref="CN29" si="301">(CN16/CF16)-1</f>
        <v>0.24490983129726596</v>
      </c>
      <c r="CO29" s="1515">
        <f t="shared" ref="CO29" si="302">(CO16/CG16)-1</f>
        <v>0.2986073915372256</v>
      </c>
      <c r="CP29" s="1515">
        <f t="shared" ref="CP29" si="303">(CP16/CH16)-1</f>
        <v>0.26380772855796408</v>
      </c>
      <c r="CQ29" s="1515">
        <f t="shared" ref="CQ29:CS29" si="304">(CQ16/CI16)-1</f>
        <v>0.21067355282978273</v>
      </c>
      <c r="CR29" s="1515">
        <f t="shared" si="304"/>
        <v>0.24985085312015265</v>
      </c>
      <c r="CS29" s="1529">
        <f t="shared" si="304"/>
        <v>0.24762404142360883</v>
      </c>
      <c r="CT29" s="1515">
        <f t="shared" ref="CT29" si="305">(CT16/CL16)-1</f>
        <v>0.29353967084254484</v>
      </c>
      <c r="CU29" s="1515">
        <f t="shared" ref="CU29" si="306">(CU16/CM16)-1</f>
        <v>0.26509244820672762</v>
      </c>
      <c r="CV29" s="1515">
        <f t="shared" ref="CV29" si="307">(CV16/CN16)-1</f>
        <v>0.2786214953271029</v>
      </c>
      <c r="CW29" s="1515">
        <f t="shared" ref="CW29" si="308">(CW16/CO16)-1</f>
        <v>0.2012786141472469</v>
      </c>
      <c r="CX29" s="1515">
        <f t="shared" ref="CX29" si="309">(CX16/CP16)-1</f>
        <v>0.25065254679692739</v>
      </c>
      <c r="CY29" s="1515">
        <f t="shared" ref="CY29:DA29" si="310">(CY16/CQ16)-1</f>
        <v>0.14273018130110193</v>
      </c>
      <c r="CZ29" s="1515">
        <f t="shared" si="310"/>
        <v>0.16983293556085921</v>
      </c>
      <c r="DA29" s="1529">
        <f t="shared" si="310"/>
        <v>0.21875492513790395</v>
      </c>
      <c r="DB29" s="1515">
        <f t="shared" ref="DB29" si="311">(DB16/CT16)-1</f>
        <v>0.18116217242688948</v>
      </c>
      <c r="DC29" s="1515">
        <f t="shared" ref="DC29" si="312">(DC16/CU16)-1</f>
        <v>0.20214826553970777</v>
      </c>
      <c r="DD29" s="1515">
        <f t="shared" ref="DD29" si="313">(DD16/CV16)-1</f>
        <v>0.19205116491548657</v>
      </c>
      <c r="DE29" s="1515">
        <f t="shared" ref="DE29" si="314">(DE16/CW16)-1</f>
        <v>0.13974248927038624</v>
      </c>
      <c r="DF29" s="1515">
        <f t="shared" ref="DF29" si="315">(DF16/CX16)-1</f>
        <v>0.17388193202146685</v>
      </c>
      <c r="DG29" s="1515">
        <f t="shared" ref="DG29:DI29" si="316">(DG16/CY16)-1</f>
        <v>0.18680976823767304</v>
      </c>
      <c r="DH29" s="1515">
        <f t="shared" si="316"/>
        <v>0.16443610249714369</v>
      </c>
      <c r="DI29" s="1529">
        <f t="shared" si="316"/>
        <v>0.17750765119186163</v>
      </c>
      <c r="DJ29" s="1515">
        <f t="shared" ref="DJ29" si="317">(DJ16/DB16)-1</f>
        <v>0.16672025723472661</v>
      </c>
      <c r="DK29" s="1515">
        <f t="shared" ref="DK29" si="318">(DK16/DC16)-1</f>
        <v>0.10033689761242126</v>
      </c>
      <c r="DL29" s="1515">
        <f t="shared" ref="DL29" si="319">(DL16/DD16)-1</f>
        <v>0.13198436422166004</v>
      </c>
      <c r="DM29" s="1515">
        <f t="shared" ref="DM29" si="320">(DM16/DE16)-1</f>
        <v>0.1345125097692681</v>
      </c>
      <c r="DN29" s="1515">
        <f t="shared" ref="DN29" si="321">(DN16/DF16)-1</f>
        <v>0.13288776553683679</v>
      </c>
      <c r="DO29" s="1515">
        <f t="shared" ref="DO29:DQ29" si="322">(DO16/DG16)-1</f>
        <v>0.13944146396398627</v>
      </c>
      <c r="DP29" s="1515">
        <f t="shared" si="322"/>
        <v>0.13714814790128149</v>
      </c>
      <c r="DQ29" s="1529">
        <f t="shared" si="322"/>
        <v>0.13467682843662865</v>
      </c>
      <c r="DR29" s="1515">
        <f t="shared" ref="DR29:DW29" si="323">(DR16/DJ16)-1</f>
        <v>8.3128383336908085E-2</v>
      </c>
      <c r="DS29" s="1515">
        <f t="shared" si="323"/>
        <v>0.14847355275201801</v>
      </c>
      <c r="DT29" s="1515">
        <f t="shared" si="323"/>
        <v>0.11636508945420188</v>
      </c>
      <c r="DU29" s="1515">
        <f t="shared" si="323"/>
        <v>0.11387738358396593</v>
      </c>
      <c r="DV29" s="1515">
        <f t="shared" si="323"/>
        <v>0.1154748638548877</v>
      </c>
      <c r="DW29" s="1515">
        <f t="shared" si="323"/>
        <v>0.10905901355281267</v>
      </c>
      <c r="DX29" s="1515">
        <f>(DX16/DP16)-1</f>
        <v>0.11129568153223302</v>
      </c>
      <c r="DY29" s="1529">
        <f>(DY16/DQ16)-1</f>
        <v>0.11371607699632236</v>
      </c>
      <c r="DZ29" s="1331"/>
      <c r="EA29" s="1331"/>
      <c r="EB29" s="1331"/>
      <c r="EC29" s="1331"/>
      <c r="ED29" s="1331"/>
      <c r="EE29" s="1331"/>
      <c r="EF29" s="1331"/>
      <c r="EG29" s="1510"/>
    </row>
    <row r="30" spans="1:137">
      <c r="A30" s="214" t="s">
        <v>1582</v>
      </c>
      <c r="B30" s="1348"/>
      <c r="C30" s="1349"/>
      <c r="D30" s="1349"/>
      <c r="E30" s="1349"/>
      <c r="F30" s="1349"/>
      <c r="G30" s="1349"/>
      <c r="H30" s="1349"/>
      <c r="I30" s="1350"/>
      <c r="J30" s="1349"/>
      <c r="K30" s="1349"/>
      <c r="L30" s="1349"/>
      <c r="M30" s="1349"/>
      <c r="N30" s="1349"/>
      <c r="O30" s="1349"/>
      <c r="P30" s="1349"/>
      <c r="Q30" s="1350"/>
      <c r="R30" s="1349"/>
      <c r="S30" s="1349"/>
      <c r="T30" s="1349"/>
      <c r="U30" s="1349"/>
      <c r="V30" s="1349"/>
      <c r="W30" s="1349"/>
      <c r="X30" s="1349"/>
      <c r="Y30" s="1350"/>
      <c r="Z30" s="1349"/>
      <c r="AA30" s="1349"/>
      <c r="AB30" s="1349"/>
      <c r="AC30" s="1349"/>
      <c r="AD30" s="1349"/>
      <c r="AE30" s="1349"/>
      <c r="AF30" s="1349"/>
      <c r="AG30" s="1350"/>
      <c r="AH30" s="1349"/>
      <c r="AI30" s="1349"/>
      <c r="AJ30" s="1349"/>
      <c r="AK30" s="1349"/>
      <c r="AL30" s="1349"/>
      <c r="AM30" s="1349"/>
      <c r="AN30" s="1349"/>
      <c r="AO30" s="1350"/>
      <c r="AP30" s="1349"/>
      <c r="AQ30" s="1349"/>
      <c r="AR30" s="1349"/>
      <c r="AS30" s="1349"/>
      <c r="AT30" s="1349"/>
      <c r="AU30" s="1349"/>
      <c r="AV30" s="1349"/>
      <c r="AW30" s="1350"/>
      <c r="AX30" s="1349"/>
      <c r="AY30" s="1349"/>
      <c r="AZ30" s="1349"/>
      <c r="BA30" s="1349"/>
      <c r="BB30" s="1349"/>
      <c r="BC30" s="1349"/>
      <c r="BD30" s="1349"/>
      <c r="BE30" s="1350"/>
      <c r="BF30" s="1349"/>
      <c r="BG30" s="1349"/>
      <c r="BH30" s="1349"/>
      <c r="BI30" s="1349"/>
      <c r="BJ30" s="1349"/>
      <c r="BK30" s="1349"/>
      <c r="BL30" s="1349"/>
      <c r="BM30" s="1350"/>
      <c r="BN30" s="1349"/>
      <c r="BO30" s="1349"/>
      <c r="BP30" s="1349"/>
      <c r="BQ30" s="1349"/>
      <c r="BR30" s="1349"/>
      <c r="BS30" s="1349"/>
      <c r="BT30" s="1349"/>
      <c r="BU30" s="1350"/>
      <c r="BV30" s="1349"/>
      <c r="BW30" s="1349"/>
      <c r="BX30" s="1349"/>
      <c r="BY30" s="1349"/>
      <c r="BZ30" s="1349"/>
      <c r="CA30" s="1349"/>
      <c r="CB30" s="1349"/>
      <c r="CC30" s="1350"/>
      <c r="CD30" s="1349"/>
      <c r="CE30" s="1349"/>
      <c r="CF30" s="1349"/>
      <c r="CG30" s="1349"/>
      <c r="CH30" s="1349"/>
      <c r="CI30" s="1349"/>
      <c r="CJ30" s="1349"/>
      <c r="CK30" s="1350"/>
      <c r="CL30" s="1349"/>
      <c r="CM30" s="1349"/>
      <c r="CN30" s="1349"/>
      <c r="CO30" s="1349"/>
      <c r="CP30" s="1349"/>
      <c r="CQ30" s="1349"/>
      <c r="CR30" s="1349"/>
      <c r="CS30" s="1350"/>
      <c r="CT30" s="1349"/>
      <c r="CU30" s="1349"/>
      <c r="CV30" s="1349"/>
      <c r="CW30" s="1349"/>
      <c r="CX30" s="1349"/>
      <c r="CY30" s="1349"/>
      <c r="CZ30" s="1349"/>
      <c r="DA30" s="1350"/>
      <c r="DB30" s="1349"/>
      <c r="DC30" s="1349"/>
      <c r="DD30" s="1349"/>
      <c r="DE30" s="1349"/>
      <c r="DF30" s="1349"/>
      <c r="DG30" s="1349"/>
      <c r="DH30" s="1349"/>
      <c r="DI30" s="1350"/>
      <c r="DR30"/>
      <c r="DT30" s="1349"/>
    </row>
    <row r="31" spans="1:137">
      <c r="B31" s="1348"/>
      <c r="C31" s="1349"/>
      <c r="D31" s="1349"/>
      <c r="E31" s="1349"/>
      <c r="F31" s="1349"/>
      <c r="G31" s="1349"/>
      <c r="H31" s="1349"/>
      <c r="I31" s="1350"/>
      <c r="J31" s="1349"/>
      <c r="K31" s="1349"/>
      <c r="L31" s="1349"/>
      <c r="M31" s="1349"/>
      <c r="N31" s="1349"/>
      <c r="O31" s="1349"/>
      <c r="P31" s="1349"/>
      <c r="Q31" s="1350"/>
      <c r="R31" s="1349"/>
      <c r="S31" s="1349"/>
      <c r="T31" s="1349"/>
      <c r="U31" s="1349"/>
      <c r="V31" s="1349"/>
      <c r="W31" s="1349"/>
      <c r="X31" s="1349"/>
      <c r="Y31" s="1350"/>
      <c r="Z31" s="1349"/>
      <c r="AA31" s="1349"/>
      <c r="AB31" s="1349"/>
      <c r="AC31" s="1349"/>
      <c r="AD31" s="1349"/>
      <c r="AE31" s="1349"/>
      <c r="AF31" s="1349"/>
      <c r="AG31" s="1350"/>
      <c r="AH31" s="1349"/>
      <c r="AI31" s="1349"/>
      <c r="AJ31" s="1349"/>
      <c r="AK31" s="1349"/>
      <c r="AL31" s="1349"/>
      <c r="AM31" s="1349"/>
      <c r="AN31" s="1349"/>
      <c r="AO31" s="1350"/>
      <c r="AP31" s="1349"/>
      <c r="AQ31" s="1349"/>
      <c r="AR31" s="1349"/>
      <c r="AS31" s="1349"/>
      <c r="AT31" s="1349"/>
      <c r="AU31" s="1349"/>
      <c r="AV31" s="1349"/>
      <c r="AW31" s="1350"/>
      <c r="AX31" s="1349"/>
      <c r="AY31" s="1349"/>
      <c r="AZ31" s="1349"/>
      <c r="BA31" s="1349"/>
      <c r="BB31" s="1349"/>
      <c r="BC31" s="1349"/>
      <c r="BD31" s="1349"/>
      <c r="BE31" s="1350"/>
      <c r="BF31" s="1349"/>
      <c r="BG31" s="1349"/>
      <c r="BH31" s="1349"/>
      <c r="BI31" s="1349"/>
      <c r="BJ31" s="1349"/>
      <c r="BK31" s="1349"/>
      <c r="BL31" s="1349"/>
      <c r="BM31" s="1350"/>
      <c r="BN31" s="1349"/>
      <c r="BO31" s="1349"/>
      <c r="BP31" s="1349"/>
      <c r="BQ31" s="1349"/>
      <c r="BR31" s="1349"/>
      <c r="BS31" s="1349"/>
      <c r="BT31" s="1349"/>
      <c r="BU31" s="1350"/>
      <c r="BV31" s="1349"/>
      <c r="BW31" s="1349"/>
      <c r="BX31" s="1349"/>
      <c r="BY31" s="1349"/>
      <c r="BZ31" s="1349"/>
      <c r="CA31" s="1349"/>
      <c r="CB31" s="1349"/>
      <c r="CC31" s="1350"/>
      <c r="CD31" s="1349"/>
      <c r="CE31" s="1349"/>
      <c r="CF31" s="1349"/>
      <c r="CG31" s="1349"/>
      <c r="CH31" s="1349"/>
      <c r="CI31" s="1349"/>
      <c r="CJ31" s="1349"/>
      <c r="CK31" s="1350"/>
      <c r="CL31" s="1349"/>
      <c r="CM31" s="1349"/>
      <c r="CN31" s="1349"/>
      <c r="CO31" s="1349"/>
      <c r="CP31" s="1349"/>
      <c r="CQ31" s="1349"/>
      <c r="CR31" s="1349"/>
      <c r="CS31" s="1350"/>
      <c r="CT31" s="1349"/>
      <c r="CU31" s="1349"/>
      <c r="CV31" s="1349"/>
      <c r="CW31" s="1349"/>
      <c r="CX31" s="1349"/>
      <c r="CY31" s="1349"/>
      <c r="CZ31" s="1349"/>
      <c r="DA31" s="1350"/>
      <c r="DB31" s="1349"/>
      <c r="DC31" s="1349"/>
      <c r="DD31" s="1349"/>
      <c r="DE31" s="1349"/>
      <c r="DF31" s="1349"/>
      <c r="DG31" s="1349"/>
      <c r="DH31" s="1349"/>
      <c r="DI31" s="1350"/>
      <c r="DR31"/>
      <c r="DT31" s="1349"/>
    </row>
    <row r="32" spans="1:137">
      <c r="A32" s="306" t="s">
        <v>1469</v>
      </c>
      <c r="B32" s="1351"/>
      <c r="C32" s="1352"/>
      <c r="D32" s="1352"/>
      <c r="E32" s="1352"/>
      <c r="F32" s="1352"/>
      <c r="G32" s="1352"/>
      <c r="H32" s="1352"/>
      <c r="I32" s="1353"/>
      <c r="J32" s="1352"/>
      <c r="K32" s="1352"/>
      <c r="L32" s="1352"/>
      <c r="M32" s="1352"/>
      <c r="N32" s="1352"/>
      <c r="O32" s="1352"/>
      <c r="P32" s="1352"/>
      <c r="Q32" s="1353"/>
      <c r="R32" s="1352"/>
      <c r="S32" s="1352"/>
      <c r="T32" s="1352"/>
      <c r="U32" s="1352"/>
      <c r="V32" s="1352"/>
      <c r="W32" s="1352"/>
      <c r="X32" s="1352"/>
      <c r="Y32" s="1353"/>
      <c r="Z32" s="1352"/>
      <c r="AA32" s="1352"/>
      <c r="AB32" s="1352"/>
      <c r="AC32" s="1352"/>
      <c r="AD32" s="1352"/>
      <c r="AE32" s="1352"/>
      <c r="AF32" s="1352"/>
      <c r="AG32" s="1353"/>
      <c r="AH32" s="1352"/>
      <c r="AI32" s="1352"/>
      <c r="AJ32" s="1352"/>
      <c r="AK32" s="1352"/>
      <c r="AL32" s="1352"/>
      <c r="AM32" s="1352"/>
      <c r="AN32" s="1352"/>
      <c r="AO32" s="1353"/>
      <c r="AP32" s="1352"/>
      <c r="AQ32" s="1352"/>
      <c r="AR32" s="1352"/>
      <c r="AS32" s="1352"/>
      <c r="AT32" s="1352"/>
      <c r="AU32" s="1352"/>
      <c r="AV32" s="1352"/>
      <c r="AW32" s="1353"/>
      <c r="AX32" s="1352"/>
      <c r="AY32" s="1352"/>
      <c r="AZ32" s="1352"/>
      <c r="BA32" s="1352"/>
      <c r="BB32" s="1352"/>
      <c r="BC32" s="1352"/>
      <c r="BD32" s="1352"/>
      <c r="BE32" s="1353"/>
      <c r="BF32" s="1352"/>
      <c r="BG32" s="1352"/>
      <c r="BH32" s="1352"/>
      <c r="BI32" s="1352"/>
      <c r="BJ32" s="1352"/>
      <c r="BK32" s="1352"/>
      <c r="BL32" s="1352"/>
      <c r="BM32" s="1353"/>
      <c r="BN32" s="1352"/>
      <c r="BO32" s="1352"/>
      <c r="BP32" s="1352"/>
      <c r="BQ32" s="1352"/>
      <c r="BR32" s="1352"/>
      <c r="BS32" s="1352"/>
      <c r="BT32" s="1352"/>
      <c r="BU32" s="1353"/>
      <c r="BV32" s="1352"/>
      <c r="BW32" s="1352"/>
      <c r="BX32" s="1352"/>
      <c r="BY32" s="1352"/>
      <c r="BZ32" s="1352"/>
      <c r="CA32" s="1352"/>
      <c r="CB32" s="1352"/>
      <c r="CC32" s="1353"/>
      <c r="CD32" s="1352"/>
      <c r="CE32" s="1352"/>
      <c r="CF32" s="1352"/>
      <c r="CG32" s="1352"/>
      <c r="CH32" s="1352"/>
      <c r="CI32" s="1352"/>
      <c r="CJ32" s="1352"/>
      <c r="CK32" s="1353"/>
      <c r="CL32" s="1352"/>
      <c r="CM32" s="1352"/>
      <c r="CN32" s="1352"/>
      <c r="CO32" s="1352"/>
      <c r="CP32" s="1352"/>
      <c r="CQ32" s="1352"/>
      <c r="CR32" s="1352"/>
      <c r="CS32" s="1353"/>
      <c r="CT32" s="1352"/>
      <c r="CU32" s="1352"/>
      <c r="CV32" s="1352"/>
      <c r="CW32" s="1352"/>
      <c r="CX32" s="1352"/>
      <c r="CY32" s="1352"/>
      <c r="CZ32" s="1352"/>
      <c r="DA32" s="1353"/>
      <c r="DB32" s="1352"/>
      <c r="DC32" s="1352"/>
      <c r="DD32" s="1352"/>
      <c r="DE32" s="1352"/>
      <c r="DF32" s="1352"/>
      <c r="DG32" s="1352"/>
      <c r="DH32" s="1352"/>
      <c r="DI32" s="1353"/>
      <c r="DJ32" s="306"/>
      <c r="DK32" s="306"/>
      <c r="DL32" s="1352"/>
      <c r="DM32" s="306"/>
      <c r="DN32" s="306"/>
      <c r="DO32" s="306"/>
      <c r="DP32" s="306"/>
      <c r="DQ32" s="1327"/>
      <c r="DR32" s="306"/>
      <c r="DS32" s="306"/>
      <c r="DT32" s="1352"/>
      <c r="DU32" s="306"/>
      <c r="DV32" s="306"/>
      <c r="DW32" s="306"/>
      <c r="DX32" s="306"/>
      <c r="DY32" s="1327"/>
      <c r="DZ32" s="306"/>
      <c r="EA32" s="306"/>
      <c r="EB32" s="306"/>
      <c r="EC32" s="306"/>
      <c r="ED32" s="306"/>
      <c r="EE32" s="306"/>
      <c r="EF32" s="306"/>
      <c r="EG32" s="1327"/>
    </row>
    <row r="33" spans="1:137">
      <c r="A33" s="19" t="s">
        <v>978</v>
      </c>
      <c r="B33" s="1348"/>
      <c r="C33" s="1349"/>
      <c r="D33" s="1343">
        <v>424</v>
      </c>
      <c r="E33" s="1349"/>
      <c r="F33" s="1349"/>
      <c r="G33" s="1349"/>
      <c r="H33" s="1343">
        <v>485</v>
      </c>
      <c r="I33" s="1350"/>
      <c r="J33" s="1349"/>
      <c r="K33" s="1349"/>
      <c r="L33" s="492">
        <v>512</v>
      </c>
      <c r="M33" s="260"/>
      <c r="N33" s="1349"/>
      <c r="O33" s="1349"/>
      <c r="P33" s="492">
        <v>564</v>
      </c>
      <c r="Q33" s="1350"/>
      <c r="R33" s="1349"/>
      <c r="S33" s="1349"/>
      <c r="T33" s="492">
        <v>631</v>
      </c>
      <c r="U33" s="492"/>
      <c r="V33" s="1349"/>
      <c r="W33" s="1349"/>
      <c r="X33" s="492">
        <v>727</v>
      </c>
      <c r="Y33" s="1347"/>
      <c r="Z33" s="1349"/>
      <c r="AA33" s="1349"/>
      <c r="AB33" s="492">
        <v>727</v>
      </c>
      <c r="AC33" s="260"/>
      <c r="AD33" s="1349"/>
      <c r="AE33" s="1349"/>
      <c r="AF33" s="492">
        <v>906</v>
      </c>
      <c r="AG33" s="1347"/>
      <c r="AH33" s="1349"/>
      <c r="AI33" s="1349"/>
      <c r="AJ33" s="492">
        <v>944</v>
      </c>
      <c r="AK33" s="492"/>
      <c r="AL33" s="492"/>
      <c r="AM33" s="492"/>
      <c r="AN33" s="492">
        <v>889</v>
      </c>
      <c r="AO33" s="1347"/>
      <c r="AP33" s="492"/>
      <c r="AQ33" s="492"/>
      <c r="AR33" s="492">
        <v>942</v>
      </c>
      <c r="AS33" s="1349"/>
      <c r="AT33" s="1349"/>
      <c r="AU33" s="1349"/>
      <c r="AV33" s="492">
        <v>844</v>
      </c>
      <c r="AW33" s="1350"/>
      <c r="AX33" s="1349"/>
      <c r="AY33" s="1349"/>
      <c r="AZ33" s="492">
        <v>849</v>
      </c>
      <c r="BA33" s="492"/>
      <c r="BB33" s="1349"/>
      <c r="BC33" s="1349"/>
      <c r="BD33" s="492">
        <v>667</v>
      </c>
      <c r="BE33" s="1350"/>
      <c r="BF33" s="1349"/>
      <c r="BG33" s="1349"/>
      <c r="BH33" s="492">
        <v>915</v>
      </c>
      <c r="BI33" s="492"/>
      <c r="BJ33" s="1349"/>
      <c r="BK33" s="1349"/>
      <c r="BL33" s="492">
        <v>1115</v>
      </c>
      <c r="BM33" s="1350"/>
      <c r="BN33" s="1349"/>
      <c r="BO33" s="1349"/>
      <c r="BP33" s="492">
        <v>1227</v>
      </c>
      <c r="BQ33" s="492"/>
      <c r="BR33" s="492"/>
      <c r="BS33" s="492"/>
      <c r="BT33" s="492">
        <v>1258</v>
      </c>
      <c r="BU33" s="1350"/>
      <c r="BV33" s="1349"/>
      <c r="BW33" s="1349"/>
      <c r="BX33" s="492">
        <v>699</v>
      </c>
      <c r="BY33" s="492"/>
      <c r="BZ33" s="1349"/>
      <c r="CA33" s="1349"/>
      <c r="CB33" s="492">
        <v>493</v>
      </c>
      <c r="CC33" s="1350"/>
      <c r="CD33" s="1349"/>
      <c r="CE33" s="1349"/>
      <c r="CF33" s="492">
        <v>504</v>
      </c>
      <c r="CG33" s="492"/>
      <c r="CH33" s="1349"/>
      <c r="CI33" s="1349"/>
      <c r="CJ33" s="492">
        <v>838</v>
      </c>
      <c r="CK33" s="1511">
        <f>INDEX('Income Statement'!19:19, MATCH(Interims!CK$1,'Income Statement'!$3:$3,0))</f>
        <v>1342</v>
      </c>
      <c r="CL33" s="1349"/>
      <c r="CM33" s="1349"/>
      <c r="CN33" s="492">
        <v>723</v>
      </c>
      <c r="CO33" s="492"/>
      <c r="CP33" s="492"/>
      <c r="CQ33" s="492"/>
      <c r="CR33" s="492">
        <v>987</v>
      </c>
      <c r="CS33" s="1511">
        <f>INDEX('Income Statement'!19:19, MATCH(Interims!CS$1,'Income Statement'!$3:$3,0))</f>
        <v>1710</v>
      </c>
      <c r="CT33" s="1349"/>
      <c r="CU33" s="1349"/>
      <c r="CV33" s="492">
        <v>1051</v>
      </c>
      <c r="CW33" s="492"/>
      <c r="CX33" s="1349"/>
      <c r="CY33" s="1349"/>
      <c r="CZ33" s="492">
        <v>1339</v>
      </c>
      <c r="DA33" s="1511">
        <f>INDEX('Income Statement'!19:19, MATCH(Interims!DA$1,'Income Statement'!$3:$3,0))</f>
        <v>2390</v>
      </c>
      <c r="DB33" s="1349"/>
      <c r="DC33" s="1349"/>
      <c r="DD33" s="492">
        <v>1285</v>
      </c>
      <c r="DE33" s="492"/>
      <c r="DF33" s="1349"/>
      <c r="DG33" s="1349"/>
      <c r="DH33" s="492">
        <v>1534</v>
      </c>
      <c r="DI33" s="1511">
        <f>INDEX('Income Statement'!19:19, MATCH(Interims!DI$1,'Income Statement'!$3:$3,0))</f>
        <v>2819</v>
      </c>
      <c r="DL33" s="492">
        <v>1758</v>
      </c>
      <c r="DP33" s="1520">
        <f>DQ33-DL33</f>
        <v>1740.7921191512232</v>
      </c>
      <c r="DQ33" s="1511">
        <f>INDEX('Income Statement'!19:19, MATCH(Interims!DQ$1,'Income Statement'!$3:$3,0))</f>
        <v>3498.7921191512232</v>
      </c>
      <c r="DR33"/>
      <c r="DT33" s="1520">
        <f>(DD33/DI33)*DY33</f>
        <v>1817.6454349548214</v>
      </c>
      <c r="DX33" s="1520">
        <f>DY33-DT33</f>
        <v>2169.8584414168836</v>
      </c>
      <c r="DY33" s="1511">
        <f>INDEX('Income Statement'!19:19, MATCH(Interims!DY$1,'Income Statement'!$3:$3,0))</f>
        <v>3987.5038763717052</v>
      </c>
    </row>
    <row r="34" spans="1:137" hidden="1" outlineLevel="1">
      <c r="A34" s="291" t="s">
        <v>977</v>
      </c>
      <c r="B34" s="1348"/>
      <c r="C34" s="1349"/>
      <c r="D34" s="1343">
        <v>99</v>
      </c>
      <c r="E34" s="1349"/>
      <c r="F34" s="1349"/>
      <c r="G34" s="1349"/>
      <c r="H34" s="1343">
        <v>103</v>
      </c>
      <c r="I34" s="1350"/>
      <c r="J34" s="1349"/>
      <c r="K34" s="1349"/>
      <c r="L34" s="492">
        <v>134</v>
      </c>
      <c r="M34" s="260"/>
      <c r="N34" s="1349"/>
      <c r="O34" s="1349"/>
      <c r="P34" s="492">
        <v>152</v>
      </c>
      <c r="Q34" s="1350"/>
      <c r="R34" s="1349"/>
      <c r="S34" s="1349"/>
      <c r="T34" s="492">
        <v>174</v>
      </c>
      <c r="U34" s="492"/>
      <c r="V34" s="1349"/>
      <c r="W34" s="1349"/>
      <c r="X34" s="492">
        <v>202</v>
      </c>
      <c r="Y34" s="1347"/>
      <c r="Z34" s="1349"/>
      <c r="AA34" s="1349"/>
      <c r="AB34" s="492">
        <v>197</v>
      </c>
      <c r="AC34" s="260"/>
      <c r="AD34" s="1349"/>
      <c r="AE34" s="1349"/>
      <c r="AF34" s="492">
        <v>229</v>
      </c>
      <c r="AG34" s="1347"/>
      <c r="AH34" s="1349"/>
      <c r="AI34" s="1349"/>
      <c r="AJ34" s="492">
        <v>199</v>
      </c>
      <c r="AK34" s="492"/>
      <c r="AL34" s="492"/>
      <c r="AM34" s="492"/>
      <c r="AN34" s="492">
        <v>267</v>
      </c>
      <c r="AO34" s="1347"/>
      <c r="AP34" s="492"/>
      <c r="AQ34" s="492"/>
      <c r="AR34" s="492">
        <v>271</v>
      </c>
      <c r="AS34" s="1349"/>
      <c r="AT34" s="1349"/>
      <c r="AU34" s="1349"/>
      <c r="AV34" s="492">
        <v>296</v>
      </c>
      <c r="AW34" s="1350"/>
      <c r="AX34" s="1349"/>
      <c r="AY34" s="1349"/>
      <c r="AZ34" s="492">
        <v>327</v>
      </c>
      <c r="BA34" s="492"/>
      <c r="BB34" s="1349"/>
      <c r="BC34" s="1349"/>
      <c r="BD34" s="492">
        <v>292</v>
      </c>
      <c r="BE34" s="1350"/>
      <c r="BF34" s="1349"/>
      <c r="BG34" s="1349"/>
      <c r="BH34" s="492">
        <v>300</v>
      </c>
      <c r="BI34" s="492"/>
      <c r="BJ34" s="1349"/>
      <c r="BK34" s="1349"/>
      <c r="BL34" s="492">
        <v>369</v>
      </c>
      <c r="BM34" s="1350"/>
      <c r="BN34" s="1349"/>
      <c r="BO34" s="1349"/>
      <c r="BP34" s="492"/>
      <c r="BQ34" s="492"/>
      <c r="BR34" s="492"/>
      <c r="BS34" s="492"/>
      <c r="BT34" s="492"/>
      <c r="BU34" s="1350"/>
      <c r="BV34" s="1349"/>
      <c r="BW34" s="1349"/>
      <c r="BX34" s="492"/>
      <c r="BY34" s="492"/>
      <c r="BZ34" s="1349"/>
      <c r="CA34" s="1349"/>
      <c r="CB34" s="492"/>
      <c r="CC34" s="1350"/>
      <c r="CD34" s="1349"/>
      <c r="CE34" s="1349"/>
      <c r="CF34" s="492"/>
      <c r="CG34" s="492"/>
      <c r="CH34" s="1349"/>
      <c r="CI34" s="1349"/>
      <c r="CJ34" s="492"/>
      <c r="CK34" s="1511"/>
      <c r="CL34" s="1349"/>
      <c r="CM34" s="1349"/>
      <c r="CN34" s="492"/>
      <c r="CO34" s="492"/>
      <c r="CP34" s="492"/>
      <c r="CQ34" s="492"/>
      <c r="CR34" s="492"/>
      <c r="CS34" s="1511"/>
      <c r="CT34" s="1349"/>
      <c r="CU34" s="1349"/>
      <c r="CV34" s="492"/>
      <c r="CW34" s="492"/>
      <c r="CX34" s="1349"/>
      <c r="CY34" s="1349"/>
      <c r="CZ34" s="492"/>
      <c r="DA34" s="1511"/>
      <c r="DB34" s="1349"/>
      <c r="DC34" s="1349"/>
      <c r="DD34" s="492"/>
      <c r="DE34" s="492"/>
      <c r="DF34" s="1349"/>
      <c r="DG34" s="1349"/>
      <c r="DH34" s="492"/>
      <c r="DI34" s="1511"/>
      <c r="DL34" s="492"/>
      <c r="DP34" s="1520"/>
      <c r="DQ34" s="1511"/>
      <c r="DR34"/>
      <c r="DT34" s="1520"/>
      <c r="DX34" s="1520"/>
      <c r="DY34" s="1511"/>
    </row>
    <row r="35" spans="1:137" hidden="1" outlineLevel="1">
      <c r="A35" s="291" t="s">
        <v>744</v>
      </c>
      <c r="B35" s="1348"/>
      <c r="C35" s="1349"/>
      <c r="D35" s="1343">
        <v>31</v>
      </c>
      <c r="E35" s="1349"/>
      <c r="F35" s="1349"/>
      <c r="G35" s="1349"/>
      <c r="H35" s="1343">
        <v>27</v>
      </c>
      <c r="I35" s="1350"/>
      <c r="J35" s="1349"/>
      <c r="K35" s="1349"/>
      <c r="L35" s="492">
        <v>45</v>
      </c>
      <c r="M35" s="260"/>
      <c r="N35" s="1349"/>
      <c r="O35" s="1349"/>
      <c r="P35" s="492">
        <v>34</v>
      </c>
      <c r="Q35" s="1350"/>
      <c r="R35" s="1349"/>
      <c r="S35" s="1349"/>
      <c r="T35" s="492">
        <v>45</v>
      </c>
      <c r="U35" s="492"/>
      <c r="V35" s="1349"/>
      <c r="W35" s="1349"/>
      <c r="X35" s="492">
        <v>39</v>
      </c>
      <c r="Y35" s="1347"/>
      <c r="Z35" s="1349"/>
      <c r="AA35" s="1349"/>
      <c r="AB35" s="492">
        <v>43</v>
      </c>
      <c r="AC35" s="260"/>
      <c r="AD35" s="1349"/>
      <c r="AE35" s="1349"/>
      <c r="AF35" s="492">
        <v>28</v>
      </c>
      <c r="AG35" s="1347"/>
      <c r="AH35" s="1349"/>
      <c r="AI35" s="1349"/>
      <c r="AJ35" s="492">
        <v>15</v>
      </c>
      <c r="AK35" s="492"/>
      <c r="AL35" s="492"/>
      <c r="AM35" s="492"/>
      <c r="AN35" s="492">
        <v>49</v>
      </c>
      <c r="AO35" s="1347"/>
      <c r="AP35" s="492"/>
      <c r="AQ35" s="492"/>
      <c r="AR35" s="492">
        <v>22</v>
      </c>
      <c r="AS35" s="1349"/>
      <c r="AT35" s="1349"/>
      <c r="AU35" s="1349"/>
      <c r="AV35" s="492">
        <v>54</v>
      </c>
      <c r="AW35" s="1350"/>
      <c r="AX35" s="1349"/>
      <c r="AY35" s="1349"/>
      <c r="AZ35" s="492">
        <v>40</v>
      </c>
      <c r="BA35" s="492"/>
      <c r="BB35" s="1349"/>
      <c r="BC35" s="1349"/>
      <c r="BD35" s="492">
        <v>53</v>
      </c>
      <c r="BE35" s="1350"/>
      <c r="BF35" s="1349"/>
      <c r="BG35" s="1349"/>
      <c r="BH35" s="492">
        <v>45</v>
      </c>
      <c r="BI35" s="492"/>
      <c r="BJ35" s="1349"/>
      <c r="BK35" s="1349"/>
      <c r="BL35" s="492">
        <v>73</v>
      </c>
      <c r="BM35" s="1350"/>
      <c r="BN35" s="1349"/>
      <c r="BO35" s="1349"/>
      <c r="BP35" s="492"/>
      <c r="BQ35" s="492"/>
      <c r="BR35" s="492"/>
      <c r="BS35" s="492"/>
      <c r="BT35" s="492"/>
      <c r="BU35" s="1350"/>
      <c r="BV35" s="1349"/>
      <c r="BW35" s="1349"/>
      <c r="BX35" s="492"/>
      <c r="BY35" s="492"/>
      <c r="BZ35" s="1349"/>
      <c r="CA35" s="1349"/>
      <c r="CB35" s="492"/>
      <c r="CC35" s="1350"/>
      <c r="CD35" s="1349"/>
      <c r="CE35" s="1349"/>
      <c r="CF35" s="492"/>
      <c r="CG35" s="492"/>
      <c r="CH35" s="1349"/>
      <c r="CI35" s="1349"/>
      <c r="CJ35" s="492"/>
      <c r="CK35" s="1511"/>
      <c r="CL35" s="1349"/>
      <c r="CM35" s="1349"/>
      <c r="CN35" s="492"/>
      <c r="CO35" s="492"/>
      <c r="CP35" s="492"/>
      <c r="CQ35" s="492"/>
      <c r="CR35" s="492"/>
      <c r="CS35" s="1511"/>
      <c r="CT35" s="1349"/>
      <c r="CU35" s="1349"/>
      <c r="CV35" s="492"/>
      <c r="CW35" s="492"/>
      <c r="CX35" s="1349"/>
      <c r="CY35" s="1349"/>
      <c r="CZ35" s="492"/>
      <c r="DA35" s="1511"/>
      <c r="DB35" s="1349"/>
      <c r="DC35" s="1349"/>
      <c r="DD35" s="492"/>
      <c r="DE35" s="492"/>
      <c r="DF35" s="1349"/>
      <c r="DG35" s="1349"/>
      <c r="DH35" s="492"/>
      <c r="DI35" s="1511"/>
      <c r="DL35" s="492"/>
      <c r="DP35" s="1520"/>
      <c r="DQ35" s="1511"/>
      <c r="DR35"/>
      <c r="DT35" s="1520"/>
      <c r="DX35" s="1520"/>
      <c r="DY35" s="1511"/>
    </row>
    <row r="36" spans="1:137" hidden="1" outlineLevel="1">
      <c r="A36" s="291" t="s">
        <v>1243</v>
      </c>
      <c r="B36" s="1348"/>
      <c r="C36" s="1349"/>
      <c r="D36" s="1343"/>
      <c r="E36" s="1349"/>
      <c r="F36" s="1349"/>
      <c r="G36" s="1349"/>
      <c r="H36" s="1343"/>
      <c r="I36" s="1350"/>
      <c r="J36" s="1349"/>
      <c r="K36" s="1349"/>
      <c r="L36" s="492"/>
      <c r="M36" s="260"/>
      <c r="N36" s="1349"/>
      <c r="O36" s="1349"/>
      <c r="P36" s="492"/>
      <c r="Q36" s="1350"/>
      <c r="R36" s="1349"/>
      <c r="S36" s="1349"/>
      <c r="T36" s="492"/>
      <c r="U36" s="492"/>
      <c r="V36" s="1349"/>
      <c r="W36" s="1349"/>
      <c r="X36" s="492"/>
      <c r="Y36" s="1347"/>
      <c r="Z36" s="1349"/>
      <c r="AA36" s="1349"/>
      <c r="AB36" s="492"/>
      <c r="AC36" s="260"/>
      <c r="AD36" s="1349"/>
      <c r="AE36" s="1349"/>
      <c r="AF36" s="492"/>
      <c r="AG36" s="1347"/>
      <c r="AH36" s="1349"/>
      <c r="AI36" s="1349"/>
      <c r="AJ36" s="492"/>
      <c r="AK36" s="492"/>
      <c r="AL36" s="492"/>
      <c r="AM36" s="492"/>
      <c r="AN36" s="492"/>
      <c r="AO36" s="1347"/>
      <c r="AP36" s="492"/>
      <c r="AQ36" s="492"/>
      <c r="AR36" s="492"/>
      <c r="AS36" s="1349"/>
      <c r="AT36" s="1349"/>
      <c r="AU36" s="1349"/>
      <c r="AV36" s="492"/>
      <c r="AW36" s="1350"/>
      <c r="AX36" s="1349"/>
      <c r="AY36" s="1349"/>
      <c r="AZ36" s="492"/>
      <c r="BA36" s="492"/>
      <c r="BB36" s="1349"/>
      <c r="BC36" s="1349"/>
      <c r="BD36" s="492"/>
      <c r="BE36" s="1350"/>
      <c r="BF36" s="1349"/>
      <c r="BG36" s="1349"/>
      <c r="BH36" s="492">
        <v>97</v>
      </c>
      <c r="BI36" s="492"/>
      <c r="BJ36" s="1349"/>
      <c r="BK36" s="1349"/>
      <c r="BL36" s="492">
        <v>108</v>
      </c>
      <c r="BM36" s="1350"/>
      <c r="BN36" s="1349"/>
      <c r="BO36" s="1349"/>
      <c r="BP36" s="492"/>
      <c r="BQ36" s="492"/>
      <c r="BR36" s="492"/>
      <c r="BS36" s="492"/>
      <c r="BT36" s="492"/>
      <c r="BU36" s="1350"/>
      <c r="BV36" s="1349"/>
      <c r="BW36" s="1349"/>
      <c r="BX36" s="492"/>
      <c r="BY36" s="492"/>
      <c r="BZ36" s="1349"/>
      <c r="CA36" s="1349"/>
      <c r="CB36" s="492"/>
      <c r="CC36" s="1350"/>
      <c r="CD36" s="1349"/>
      <c r="CE36" s="1349"/>
      <c r="CF36" s="492"/>
      <c r="CG36" s="492"/>
      <c r="CH36" s="1349"/>
      <c r="CI36" s="1349"/>
      <c r="CJ36" s="492"/>
      <c r="CK36" s="1511"/>
      <c r="CL36" s="1349"/>
      <c r="CM36" s="1349"/>
      <c r="CN36" s="492"/>
      <c r="CO36" s="492"/>
      <c r="CP36" s="492"/>
      <c r="CQ36" s="492"/>
      <c r="CR36" s="492"/>
      <c r="CS36" s="1511"/>
      <c r="CT36" s="1349"/>
      <c r="CU36" s="1349"/>
      <c r="CV36" s="492"/>
      <c r="CW36" s="492"/>
      <c r="CX36" s="1349"/>
      <c r="CY36" s="1349"/>
      <c r="CZ36" s="492"/>
      <c r="DA36" s="1511"/>
      <c r="DB36" s="1349"/>
      <c r="DC36" s="1349"/>
      <c r="DD36" s="492"/>
      <c r="DE36" s="492"/>
      <c r="DF36" s="1349"/>
      <c r="DG36" s="1349"/>
      <c r="DH36" s="492"/>
      <c r="DI36" s="1511"/>
      <c r="DL36" s="492"/>
      <c r="DP36" s="1520"/>
      <c r="DQ36" s="1511"/>
      <c r="DR36"/>
      <c r="DT36" s="1520"/>
      <c r="DX36" s="1520"/>
      <c r="DY36" s="1511"/>
    </row>
    <row r="37" spans="1:137" collapsed="1">
      <c r="A37" s="19" t="s">
        <v>1930</v>
      </c>
      <c r="B37" s="1348"/>
      <c r="C37" s="1349"/>
      <c r="D37" s="1343"/>
      <c r="E37" s="1349"/>
      <c r="F37" s="1349"/>
      <c r="G37" s="1349"/>
      <c r="H37" s="1343"/>
      <c r="I37" s="1350"/>
      <c r="J37" s="1349"/>
      <c r="K37" s="1349"/>
      <c r="L37" s="492"/>
      <c r="M37" s="260"/>
      <c r="N37" s="1349"/>
      <c r="O37" s="1349"/>
      <c r="P37" s="492"/>
      <c r="Q37" s="1350"/>
      <c r="R37" s="1349"/>
      <c r="S37" s="1349"/>
      <c r="T37" s="492"/>
      <c r="U37" s="492"/>
      <c r="V37" s="1349"/>
      <c r="W37" s="1349"/>
      <c r="X37" s="492"/>
      <c r="Y37" s="1347"/>
      <c r="Z37" s="1349"/>
      <c r="AA37" s="1349"/>
      <c r="AB37" s="492"/>
      <c r="AC37" s="260"/>
      <c r="AD37" s="1349"/>
      <c r="AE37" s="1349"/>
      <c r="AF37" s="492"/>
      <c r="AG37" s="1347"/>
      <c r="AH37" s="1349"/>
      <c r="AI37" s="1349"/>
      <c r="AJ37" s="492"/>
      <c r="AK37" s="492"/>
      <c r="AL37" s="492"/>
      <c r="AM37" s="492"/>
      <c r="AN37" s="492"/>
      <c r="AO37" s="1347"/>
      <c r="AP37" s="492"/>
      <c r="AQ37" s="492"/>
      <c r="AR37" s="492"/>
      <c r="AS37" s="1349"/>
      <c r="AT37" s="1349"/>
      <c r="AU37" s="1349"/>
      <c r="AV37" s="492"/>
      <c r="AW37" s="1350"/>
      <c r="AX37" s="1349"/>
      <c r="AY37" s="1349"/>
      <c r="AZ37" s="492"/>
      <c r="BA37" s="492"/>
      <c r="BB37" s="1349"/>
      <c r="BC37" s="1349"/>
      <c r="BD37" s="492"/>
      <c r="BE37" s="1350"/>
      <c r="BF37" s="1349"/>
      <c r="BG37" s="1349"/>
      <c r="BH37" s="492">
        <v>442</v>
      </c>
      <c r="BI37" s="492"/>
      <c r="BJ37" s="1349"/>
      <c r="BK37" s="1349"/>
      <c r="BL37" s="492">
        <v>550</v>
      </c>
      <c r="BM37" s="1350"/>
      <c r="BN37" s="1349"/>
      <c r="BO37" s="1349"/>
      <c r="BP37" s="492">
        <v>588</v>
      </c>
      <c r="BQ37" s="492"/>
      <c r="BR37" s="492"/>
      <c r="BS37" s="492"/>
      <c r="BT37" s="492">
        <v>621</v>
      </c>
      <c r="BU37" s="1350"/>
      <c r="BV37" s="1349"/>
      <c r="BW37" s="1349"/>
      <c r="BX37" s="492">
        <v>343</v>
      </c>
      <c r="BY37" s="492"/>
      <c r="BZ37" s="1349"/>
      <c r="CA37" s="1349"/>
      <c r="CB37" s="492">
        <v>344</v>
      </c>
      <c r="CC37" s="1350"/>
      <c r="CD37" s="1349"/>
      <c r="CE37" s="1349"/>
      <c r="CF37" s="492">
        <v>270</v>
      </c>
      <c r="CG37" s="492"/>
      <c r="CH37" s="1349"/>
      <c r="CI37" s="1349"/>
      <c r="CJ37" s="492">
        <v>380</v>
      </c>
      <c r="CK37" s="1511">
        <f>INDEX('Income Statement'!20:20, MATCH(Interims!CK$1,'Income Statement'!$3:$3,0))</f>
        <v>650</v>
      </c>
      <c r="CL37" s="1349"/>
      <c r="CM37" s="1349"/>
      <c r="CN37" s="492">
        <v>411</v>
      </c>
      <c r="CO37" s="492"/>
      <c r="CP37" s="492"/>
      <c r="CQ37" s="492"/>
      <c r="CR37" s="492">
        <v>463</v>
      </c>
      <c r="CS37" s="1511">
        <f>INDEX('Income Statement'!20:20, MATCH(Interims!CS$1,'Income Statement'!$3:$3,0))</f>
        <v>874</v>
      </c>
      <c r="CT37" s="1349"/>
      <c r="CU37" s="1349"/>
      <c r="CV37" s="492">
        <v>466</v>
      </c>
      <c r="CW37" s="492"/>
      <c r="CX37" s="1349"/>
      <c r="CY37" s="1349"/>
      <c r="CZ37" s="492">
        <v>526</v>
      </c>
      <c r="DA37" s="1511">
        <f>INDEX('Income Statement'!20:20, MATCH(Interims!DA$1,'Income Statement'!$3:$3,0))</f>
        <v>992</v>
      </c>
      <c r="DB37" s="1349"/>
      <c r="DC37" s="1349"/>
      <c r="DD37" s="492">
        <v>657</v>
      </c>
      <c r="DE37" s="492"/>
      <c r="DF37" s="1349"/>
      <c r="DG37" s="1349"/>
      <c r="DH37" s="492">
        <v>641</v>
      </c>
      <c r="DI37" s="1511">
        <f>INDEX('Income Statement'!20:20, MATCH(Interims!DI$1,'Income Statement'!$3:$3,0))</f>
        <v>1298</v>
      </c>
      <c r="DL37" s="492">
        <v>703</v>
      </c>
      <c r="DP37" s="1520">
        <f t="shared" ref="DP37:DP40" si="324">DQ37-DL37</f>
        <v>898.94377002255897</v>
      </c>
      <c r="DQ37" s="1511">
        <f>INDEX('Income Statement'!20:20, MATCH(Interims!DQ$1,'Income Statement'!$3:$3,0))</f>
        <v>1601.943770022559</v>
      </c>
      <c r="DR37"/>
      <c r="DT37" s="1520">
        <f t="shared" ref="DT37:DT39" si="325">(DD37/DI37)*DY37</f>
        <v>940.68950010493359</v>
      </c>
      <c r="DX37" s="1520">
        <f t="shared" ref="DX37:DX38" si="326">DY37-DT37</f>
        <v>917.78077559705071</v>
      </c>
      <c r="DY37" s="1511">
        <f>INDEX('Income Statement'!20:20, MATCH(Interims!DY$1,'Income Statement'!$3:$3,0))</f>
        <v>1858.4702757019843</v>
      </c>
    </row>
    <row r="38" spans="1:137">
      <c r="A38" s="19" t="s">
        <v>1293</v>
      </c>
      <c r="B38" s="1348"/>
      <c r="C38" s="1349"/>
      <c r="D38" s="1343"/>
      <c r="E38" s="1349"/>
      <c r="F38" s="1349"/>
      <c r="G38" s="1349"/>
      <c r="H38" s="1343"/>
      <c r="I38" s="1350"/>
      <c r="J38" s="1349"/>
      <c r="K38" s="1349"/>
      <c r="L38" s="492"/>
      <c r="M38" s="260"/>
      <c r="N38" s="1349"/>
      <c r="O38" s="1349"/>
      <c r="P38" s="492"/>
      <c r="Q38" s="1350"/>
      <c r="R38" s="1349"/>
      <c r="S38" s="1349"/>
      <c r="T38" s="492"/>
      <c r="U38" s="492"/>
      <c r="V38" s="1349"/>
      <c r="W38" s="1349"/>
      <c r="X38" s="492"/>
      <c r="Y38" s="1347"/>
      <c r="Z38" s="1349"/>
      <c r="AA38" s="1349"/>
      <c r="AB38" s="492"/>
      <c r="AC38" s="260"/>
      <c r="AD38" s="1349"/>
      <c r="AE38" s="1349"/>
      <c r="AF38" s="492"/>
      <c r="AG38" s="1347"/>
      <c r="AH38" s="1349"/>
      <c r="AI38" s="1349"/>
      <c r="AJ38" s="492"/>
      <c r="AK38" s="492"/>
      <c r="AL38" s="492"/>
      <c r="AM38" s="492"/>
      <c r="AN38" s="492"/>
      <c r="AO38" s="1347"/>
      <c r="AP38" s="492"/>
      <c r="AQ38" s="492"/>
      <c r="AR38" s="492"/>
      <c r="AS38" s="1349"/>
      <c r="AT38" s="1349"/>
      <c r="AU38" s="1349"/>
      <c r="AV38" s="492"/>
      <c r="AW38" s="1350"/>
      <c r="AX38" s="1349"/>
      <c r="AY38" s="1349"/>
      <c r="AZ38" s="492"/>
      <c r="BA38" s="492"/>
      <c r="BB38" s="1349"/>
      <c r="BC38" s="1349"/>
      <c r="BD38" s="492"/>
      <c r="BE38" s="1350"/>
      <c r="BF38" s="1349"/>
      <c r="BG38" s="1349"/>
      <c r="BH38" s="492">
        <v>32</v>
      </c>
      <c r="BI38" s="492"/>
      <c r="BJ38" s="1349"/>
      <c r="BK38" s="1349"/>
      <c r="BL38" s="492">
        <v>49</v>
      </c>
      <c r="BM38" s="1350"/>
      <c r="BN38" s="1349"/>
      <c r="BO38" s="1349"/>
      <c r="BP38" s="492">
        <v>85</v>
      </c>
      <c r="BQ38" s="492"/>
      <c r="BR38" s="492"/>
      <c r="BS38" s="492"/>
      <c r="BT38" s="492">
        <v>103</v>
      </c>
      <c r="BU38" s="1350"/>
      <c r="BV38" s="1349"/>
      <c r="BW38" s="1349"/>
      <c r="BX38" s="492">
        <v>-101</v>
      </c>
      <c r="BY38" s="492"/>
      <c r="BZ38" s="1349"/>
      <c r="CA38" s="1349"/>
      <c r="CB38" s="492">
        <v>-73</v>
      </c>
      <c r="CC38" s="1350"/>
      <c r="CD38" s="1349"/>
      <c r="CE38" s="1349"/>
      <c r="CF38" s="492">
        <v>-110</v>
      </c>
      <c r="CG38" s="492"/>
      <c r="CH38" s="1349"/>
      <c r="CI38" s="1349"/>
      <c r="CJ38" s="492">
        <v>-57</v>
      </c>
      <c r="CK38" s="1511">
        <f>INDEX('Income Statement'!21:21, MATCH(Interims!CK$1,'Income Statement'!$3:$3,0))</f>
        <v>-167</v>
      </c>
      <c r="CL38" s="1349"/>
      <c r="CM38" s="1349"/>
      <c r="CN38" s="492">
        <v>-82</v>
      </c>
      <c r="CO38" s="492"/>
      <c r="CP38" s="492"/>
      <c r="CQ38" s="492"/>
      <c r="CR38" s="492">
        <v>-58</v>
      </c>
      <c r="CS38" s="1511">
        <f>INDEX('Income Statement'!21:21, MATCH(Interims!CS$1,'Income Statement'!$3:$3,0))</f>
        <v>-140</v>
      </c>
      <c r="CT38" s="1349"/>
      <c r="CU38" s="1349"/>
      <c r="CV38" s="492">
        <v>-100</v>
      </c>
      <c r="CW38" s="492"/>
      <c r="CX38" s="1349"/>
      <c r="CY38" s="1349"/>
      <c r="CZ38" s="492">
        <v>-16</v>
      </c>
      <c r="DA38" s="1511">
        <f>INDEX('Income Statement'!21:21, MATCH(Interims!DA$1,'Income Statement'!$3:$3,0))</f>
        <v>-116</v>
      </c>
      <c r="DB38" s="1349"/>
      <c r="DC38" s="1349"/>
      <c r="DD38" s="492">
        <v>10</v>
      </c>
      <c r="DE38" s="492"/>
      <c r="DF38" s="1349"/>
      <c r="DG38" s="1349"/>
      <c r="DH38" s="492">
        <v>17</v>
      </c>
      <c r="DI38" s="1511">
        <f>INDEX('Income Statement'!21:21, MATCH(Interims!DI$1,'Income Statement'!$3:$3,0))</f>
        <v>27</v>
      </c>
      <c r="DL38" s="492">
        <v>27</v>
      </c>
      <c r="DP38" s="1520">
        <f t="shared" si="324"/>
        <v>79.692815508725715</v>
      </c>
      <c r="DQ38" s="1511">
        <f>INDEX('Income Statement'!21:21, MATCH(Interims!DQ$1,'Income Statement'!$3:$3,0))</f>
        <v>106.69281550872572</v>
      </c>
      <c r="DR38"/>
      <c r="DT38" s="1520">
        <f t="shared" si="325"/>
        <v>74.270891209039135</v>
      </c>
      <c r="DX38" s="1520">
        <f t="shared" si="326"/>
        <v>126.26051505536653</v>
      </c>
      <c r="DY38" s="1511">
        <f>INDEX('Income Statement'!21:21, MATCH(Interims!DY$1,'Income Statement'!$3:$3,0))</f>
        <v>200.53140626440566</v>
      </c>
    </row>
    <row r="39" spans="1:137" hidden="1" outlineLevel="1">
      <c r="A39" s="19" t="s">
        <v>976</v>
      </c>
      <c r="B39" s="1348"/>
      <c r="C39" s="1349"/>
      <c r="D39" s="1343">
        <v>59</v>
      </c>
      <c r="E39" s="1349"/>
      <c r="F39" s="1349"/>
      <c r="G39" s="1349"/>
      <c r="H39" s="1343">
        <v>80</v>
      </c>
      <c r="I39" s="1350"/>
      <c r="J39" s="1349"/>
      <c r="K39" s="1349"/>
      <c r="L39" s="492">
        <v>66</v>
      </c>
      <c r="M39" s="260"/>
      <c r="N39" s="1349"/>
      <c r="O39" s="1349"/>
      <c r="P39" s="492">
        <v>79</v>
      </c>
      <c r="Q39" s="1350"/>
      <c r="R39" s="1349"/>
      <c r="S39" s="1349"/>
      <c r="T39" s="492">
        <v>65</v>
      </c>
      <c r="U39" s="492"/>
      <c r="V39" s="1349"/>
      <c r="W39" s="1349"/>
      <c r="X39" s="492">
        <v>55</v>
      </c>
      <c r="Y39" s="1347"/>
      <c r="Z39" s="1349"/>
      <c r="AA39" s="1349"/>
      <c r="AB39" s="492">
        <v>64</v>
      </c>
      <c r="AC39" s="260"/>
      <c r="AD39" s="1349"/>
      <c r="AE39" s="1349"/>
      <c r="AF39" s="492">
        <v>70</v>
      </c>
      <c r="AG39" s="1347"/>
      <c r="AH39" s="1349"/>
      <c r="AI39" s="1349"/>
      <c r="AJ39" s="492">
        <v>66</v>
      </c>
      <c r="AK39" s="492"/>
      <c r="AL39" s="492"/>
      <c r="AM39" s="492"/>
      <c r="AN39" s="492">
        <v>85</v>
      </c>
      <c r="AO39" s="1347"/>
      <c r="AP39" s="492"/>
      <c r="AQ39" s="492"/>
      <c r="AR39" s="492">
        <v>79</v>
      </c>
      <c r="AS39" s="1349"/>
      <c r="AT39" s="1349"/>
      <c r="AU39" s="1349"/>
      <c r="AV39" s="492">
        <v>-79</v>
      </c>
      <c r="AW39" s="1350"/>
      <c r="AX39" s="1349"/>
      <c r="AY39" s="1349"/>
      <c r="AZ39" s="492"/>
      <c r="BA39" s="492"/>
      <c r="BB39" s="1349"/>
      <c r="BC39" s="1349"/>
      <c r="BD39" s="492"/>
      <c r="BE39" s="1350"/>
      <c r="BF39" s="1349"/>
      <c r="BG39" s="1349"/>
      <c r="BH39" s="492"/>
      <c r="BI39" s="492"/>
      <c r="BJ39" s="1349"/>
      <c r="BK39" s="1349"/>
      <c r="BL39" s="492"/>
      <c r="BM39" s="1350"/>
      <c r="BN39" s="1349"/>
      <c r="BO39" s="1349"/>
      <c r="BP39" s="492"/>
      <c r="BQ39" s="492"/>
      <c r="BR39" s="492"/>
      <c r="BS39" s="492"/>
      <c r="BT39" s="492"/>
      <c r="BU39" s="1350"/>
      <c r="BV39" s="1349"/>
      <c r="BW39" s="1349"/>
      <c r="BX39" s="492"/>
      <c r="BY39" s="492"/>
      <c r="BZ39" s="1349"/>
      <c r="CA39" s="1349"/>
      <c r="CB39" s="492"/>
      <c r="CC39" s="1350"/>
      <c r="CD39" s="1349"/>
      <c r="CE39" s="1349"/>
      <c r="CF39" s="492"/>
      <c r="CG39" s="492"/>
      <c r="CH39" s="1349"/>
      <c r="CI39" s="1349"/>
      <c r="CJ39" s="492"/>
      <c r="CK39" s="1511"/>
      <c r="CL39" s="1349"/>
      <c r="CM39" s="1349"/>
      <c r="CN39" s="492"/>
      <c r="CO39" s="492"/>
      <c r="CP39" s="492"/>
      <c r="CQ39" s="492"/>
      <c r="CR39" s="492"/>
      <c r="CS39" s="1511"/>
      <c r="CT39" s="1349"/>
      <c r="CU39" s="1349"/>
      <c r="CV39" s="492"/>
      <c r="CW39" s="492"/>
      <c r="CX39" s="1349"/>
      <c r="CY39" s="1349"/>
      <c r="CZ39" s="492"/>
      <c r="DA39" s="1511"/>
      <c r="DB39" s="1349"/>
      <c r="DC39" s="1349"/>
      <c r="DD39" s="492"/>
      <c r="DE39" s="492"/>
      <c r="DF39" s="1349"/>
      <c r="DG39" s="1349"/>
      <c r="DH39" s="492"/>
      <c r="DI39" s="1511"/>
      <c r="DL39" s="492"/>
      <c r="DP39" s="1520"/>
      <c r="DQ39" s="1511"/>
      <c r="DR39"/>
      <c r="DT39" s="1520" t="e">
        <f t="shared" si="325"/>
        <v>#DIV/0!</v>
      </c>
      <c r="DX39" s="1520"/>
      <c r="DY39" s="1511"/>
    </row>
    <row r="40" spans="1:137" collapsed="1">
      <c r="A40" s="19" t="s">
        <v>776</v>
      </c>
      <c r="B40" s="1348"/>
      <c r="C40" s="1349"/>
      <c r="D40" s="1343">
        <v>-59</v>
      </c>
      <c r="E40" s="1349"/>
      <c r="F40" s="1349"/>
      <c r="G40" s="1349"/>
      <c r="H40" s="1343">
        <v>-60</v>
      </c>
      <c r="I40" s="1350"/>
      <c r="J40" s="1349"/>
      <c r="K40" s="1349"/>
      <c r="L40" s="492">
        <v>-76</v>
      </c>
      <c r="M40" s="260"/>
      <c r="N40" s="1349"/>
      <c r="O40" s="1349"/>
      <c r="P40" s="492">
        <v>-66</v>
      </c>
      <c r="Q40" s="1350"/>
      <c r="R40" s="1349"/>
      <c r="S40" s="1349"/>
      <c r="T40" s="492">
        <v>-68</v>
      </c>
      <c r="U40" s="492"/>
      <c r="V40" s="1349"/>
      <c r="W40" s="1349"/>
      <c r="X40" s="492">
        <v>-90</v>
      </c>
      <c r="Y40" s="1347"/>
      <c r="Z40" s="1349"/>
      <c r="AA40" s="1349"/>
      <c r="AB40" s="492">
        <v>-75</v>
      </c>
      <c r="AC40" s="260"/>
      <c r="AD40" s="1349"/>
      <c r="AE40" s="1349"/>
      <c r="AF40" s="492">
        <v>-100</v>
      </c>
      <c r="AG40" s="1347"/>
      <c r="AH40" s="1349"/>
      <c r="AI40" s="1349"/>
      <c r="AJ40" s="492">
        <v>-53</v>
      </c>
      <c r="AK40" s="492"/>
      <c r="AL40" s="492"/>
      <c r="AM40" s="492"/>
      <c r="AN40" s="492">
        <v>-29</v>
      </c>
      <c r="AO40" s="1347"/>
      <c r="AP40" s="492"/>
      <c r="AQ40" s="492"/>
      <c r="AR40" s="492">
        <v>-5</v>
      </c>
      <c r="AS40" s="1349"/>
      <c r="AT40" s="1349"/>
      <c r="AU40" s="1349"/>
      <c r="AV40" s="492">
        <v>-20</v>
      </c>
      <c r="AW40" s="1350"/>
      <c r="AX40" s="1349"/>
      <c r="AY40" s="1349"/>
      <c r="AZ40" s="492">
        <v>2</v>
      </c>
      <c r="BA40" s="492"/>
      <c r="BB40" s="1349"/>
      <c r="BC40" s="1349"/>
      <c r="BD40" s="492">
        <v>-38</v>
      </c>
      <c r="BE40" s="1350"/>
      <c r="BF40" s="1349"/>
      <c r="BG40" s="1349"/>
      <c r="BH40" s="492">
        <v>-3</v>
      </c>
      <c r="BI40" s="492"/>
      <c r="BJ40" s="1349"/>
      <c r="BK40" s="1349"/>
      <c r="BL40" s="492">
        <v>-77</v>
      </c>
      <c r="BM40" s="1350"/>
      <c r="BN40" s="1349"/>
      <c r="BO40" s="1349"/>
      <c r="BP40" s="492">
        <v>-17</v>
      </c>
      <c r="BQ40" s="492"/>
      <c r="BR40" s="492"/>
      <c r="BS40" s="492"/>
      <c r="BT40" s="492">
        <v>-45</v>
      </c>
      <c r="BU40" s="1350"/>
      <c r="BV40" s="1349"/>
      <c r="BW40" s="1349"/>
      <c r="BX40" s="492">
        <v>6</v>
      </c>
      <c r="BY40" s="492"/>
      <c r="BZ40" s="1349"/>
      <c r="CA40" s="1349"/>
      <c r="CB40" s="492">
        <v>-25</v>
      </c>
      <c r="CC40" s="1350"/>
      <c r="CD40" s="1349"/>
      <c r="CE40" s="1349"/>
      <c r="CF40" s="492">
        <v>-5</v>
      </c>
      <c r="CG40" s="492"/>
      <c r="CH40" s="1349"/>
      <c r="CI40" s="1349"/>
      <c r="CJ40" s="492">
        <v>-15</v>
      </c>
      <c r="CK40" s="1511">
        <f>INDEX('Income Statement'!22:22, MATCH(Interims!CK$1,'Income Statement'!$3:$3,0))</f>
        <v>-20</v>
      </c>
      <c r="CL40" s="1349"/>
      <c r="CM40" s="1349"/>
      <c r="CN40" s="492">
        <v>-5</v>
      </c>
      <c r="CO40" s="492"/>
      <c r="CP40" s="492"/>
      <c r="CQ40" s="492"/>
      <c r="CR40" s="492">
        <v>-31</v>
      </c>
      <c r="CS40" s="1511">
        <f>INDEX('Income Statement'!22:22, MATCH(Interims!CS$1,'Income Statement'!$3:$3,0))</f>
        <v>-36</v>
      </c>
      <c r="CT40" s="1349"/>
      <c r="CU40" s="1349"/>
      <c r="CV40" s="492">
        <v>-20</v>
      </c>
      <c r="CW40" s="492"/>
      <c r="CX40" s="1349"/>
      <c r="CY40" s="1349"/>
      <c r="CZ40" s="492">
        <v>-80</v>
      </c>
      <c r="DA40" s="1511">
        <f>INDEX('Income Statement'!22:22, MATCH(Interims!DA$1,'Income Statement'!$3:$3,0))</f>
        <v>-100</v>
      </c>
      <c r="DB40" s="1349"/>
      <c r="DC40" s="1349"/>
      <c r="DD40" s="492">
        <v>22</v>
      </c>
      <c r="DE40" s="492"/>
      <c r="DF40" s="1349"/>
      <c r="DG40" s="1349"/>
      <c r="DH40" s="492">
        <v>-47</v>
      </c>
      <c r="DI40" s="1511">
        <f>INDEX('Income Statement'!22:22, MATCH(Interims!DI$1,'Income Statement'!$3:$3,0))</f>
        <v>-25</v>
      </c>
      <c r="DL40" s="492">
        <v>22</v>
      </c>
      <c r="DP40" s="1520">
        <f t="shared" si="324"/>
        <v>-50.366920710915721</v>
      </c>
      <c r="DQ40" s="1511">
        <f>INDEX('Income Statement'!22:22, MATCH(Interims!DQ$1,'Income Statement'!$3:$3,0))</f>
        <v>-28.366920710915718</v>
      </c>
      <c r="DR40"/>
      <c r="DT40" s="1520">
        <v>22</v>
      </c>
      <c r="DX40" s="1520">
        <f>DY40-DT40</f>
        <v>-53.59269565062678</v>
      </c>
      <c r="DY40" s="1511">
        <f>INDEX('Income Statement'!22:22, MATCH(Interims!DY$1,'Income Statement'!$3:$3,0))</f>
        <v>-31.59269565062678</v>
      </c>
    </row>
    <row r="41" spans="1:137" hidden="1" outlineLevel="1">
      <c r="A41" s="19" t="s">
        <v>975</v>
      </c>
      <c r="B41" s="1348"/>
      <c r="C41" s="1349"/>
      <c r="D41" s="1349"/>
      <c r="E41" s="1349"/>
      <c r="F41" s="1349"/>
      <c r="G41" s="1349"/>
      <c r="H41" s="1349"/>
      <c r="I41" s="1350"/>
      <c r="J41" s="1349"/>
      <c r="K41" s="1349"/>
      <c r="L41" s="1349"/>
      <c r="M41" s="1349"/>
      <c r="N41" s="1349"/>
      <c r="O41" s="1349"/>
      <c r="P41" s="1349"/>
      <c r="Q41" s="1350"/>
      <c r="R41" s="1349"/>
      <c r="S41" s="1349"/>
      <c r="T41" s="1349"/>
      <c r="U41" s="1349"/>
      <c r="V41" s="1349"/>
      <c r="W41" s="1349"/>
      <c r="X41" s="1349"/>
      <c r="Y41" s="1347"/>
      <c r="Z41" s="1349"/>
      <c r="AA41" s="1349"/>
      <c r="AB41" s="1349"/>
      <c r="AC41" s="1349"/>
      <c r="AD41" s="1349"/>
      <c r="AE41" s="1349"/>
      <c r="AF41" s="1349"/>
      <c r="AG41" s="1347"/>
      <c r="AH41" s="1349"/>
      <c r="AI41" s="1349"/>
      <c r="AJ41" s="1349"/>
      <c r="AK41" s="1349"/>
      <c r="AL41" s="1349"/>
      <c r="AM41" s="1349"/>
      <c r="AN41" s="1349"/>
      <c r="AO41" s="1347"/>
      <c r="AP41" s="1349"/>
      <c r="AQ41" s="1349"/>
      <c r="AR41" s="1349"/>
      <c r="AS41" s="1349"/>
      <c r="AT41" s="1349"/>
      <c r="AU41" s="1349"/>
      <c r="AV41" s="1349"/>
      <c r="AW41" s="1350"/>
      <c r="AX41" s="1349"/>
      <c r="AY41" s="1349"/>
      <c r="AZ41" s="1349"/>
      <c r="BA41" s="1349"/>
      <c r="BB41" s="1349"/>
      <c r="BC41" s="1349"/>
      <c r="BD41" s="1349"/>
      <c r="BE41" s="1350"/>
      <c r="BF41" s="1349"/>
      <c r="BG41" s="1349"/>
      <c r="BH41" s="1349"/>
      <c r="BI41" s="1349"/>
      <c r="BJ41" s="1349"/>
      <c r="BK41" s="1349"/>
      <c r="BL41" s="1349"/>
      <c r="BM41" s="1350"/>
      <c r="BN41" s="1349"/>
      <c r="BO41" s="1349"/>
      <c r="BP41" s="1349"/>
      <c r="BQ41" s="1349"/>
      <c r="BR41" s="1349"/>
      <c r="BS41" s="1349"/>
      <c r="BT41" s="1349"/>
      <c r="BU41" s="1350"/>
      <c r="BV41" s="1349"/>
      <c r="BW41" s="1349"/>
      <c r="BX41" s="1349"/>
      <c r="BY41" s="1349"/>
      <c r="BZ41" s="1349"/>
      <c r="CA41" s="1349"/>
      <c r="CB41" s="1349"/>
      <c r="CC41" s="1350"/>
      <c r="CD41" s="1349"/>
      <c r="CE41" s="1349"/>
      <c r="CF41" s="1349"/>
      <c r="CG41" s="1349"/>
      <c r="CH41" s="1349"/>
      <c r="CI41" s="1349"/>
      <c r="CJ41" s="1349"/>
      <c r="CK41" s="1512"/>
      <c r="CL41" s="1349"/>
      <c r="CM41" s="1349"/>
      <c r="CN41" s="1349"/>
      <c r="CO41" s="1349"/>
      <c r="CP41" s="1349"/>
      <c r="CQ41" s="1349"/>
      <c r="CR41" s="1349"/>
      <c r="CS41" s="1512"/>
      <c r="CT41" s="1349"/>
      <c r="CU41" s="1349"/>
      <c r="CV41" s="1349"/>
      <c r="CW41" s="1349"/>
      <c r="CX41" s="1349"/>
      <c r="CY41" s="1349"/>
      <c r="CZ41" s="1349"/>
      <c r="DA41" s="1512"/>
      <c r="DB41" s="1349"/>
      <c r="DC41" s="1349"/>
      <c r="DD41" s="1349"/>
      <c r="DE41" s="1349"/>
      <c r="DF41" s="1349"/>
      <c r="DG41" s="1349"/>
      <c r="DH41" s="1349"/>
      <c r="DI41" s="1512"/>
      <c r="DQ41" s="1512"/>
      <c r="DR41"/>
      <c r="DT41" s="1349"/>
      <c r="DY41" s="1512"/>
    </row>
    <row r="42" spans="1:137" hidden="1" outlineLevel="1">
      <c r="A42" s="19" t="s">
        <v>743</v>
      </c>
      <c r="B42" s="1348"/>
      <c r="C42" s="1349"/>
      <c r="D42" s="1349"/>
      <c r="E42" s="1349"/>
      <c r="F42" s="1349"/>
      <c r="G42" s="1349"/>
      <c r="H42" s="1349"/>
      <c r="I42" s="1350"/>
      <c r="J42" s="1349"/>
      <c r="K42" s="1349"/>
      <c r="L42" s="1349"/>
      <c r="M42" s="1349"/>
      <c r="N42" s="1349"/>
      <c r="O42" s="1349"/>
      <c r="P42" s="1349"/>
      <c r="Q42" s="1350"/>
      <c r="R42" s="1349"/>
      <c r="S42" s="1349"/>
      <c r="T42" s="1349"/>
      <c r="U42" s="1349"/>
      <c r="V42" s="1349"/>
      <c r="W42" s="1349"/>
      <c r="X42" s="1349"/>
      <c r="Y42" s="1347"/>
      <c r="Z42" s="1349"/>
      <c r="AA42" s="1349"/>
      <c r="AB42" s="1349"/>
      <c r="AC42" s="1349"/>
      <c r="AD42" s="1349"/>
      <c r="AE42" s="1349"/>
      <c r="AF42" s="1349"/>
      <c r="AG42" s="1347"/>
      <c r="AH42" s="1349"/>
      <c r="AI42" s="1349"/>
      <c r="AJ42" s="1349"/>
      <c r="AK42" s="1349"/>
      <c r="AL42" s="1349"/>
      <c r="AM42" s="1349"/>
      <c r="AN42" s="1349"/>
      <c r="AO42" s="1347"/>
      <c r="AP42" s="1349"/>
      <c r="AQ42" s="1349"/>
      <c r="AR42" s="1349"/>
      <c r="AS42" s="1349"/>
      <c r="AT42" s="1349"/>
      <c r="AU42" s="1349"/>
      <c r="AV42" s="1349"/>
      <c r="AW42" s="1350"/>
      <c r="AX42" s="1349"/>
      <c r="AY42" s="1349"/>
      <c r="AZ42" s="1349"/>
      <c r="BA42" s="1349"/>
      <c r="BB42" s="1349"/>
      <c r="BC42" s="1349"/>
      <c r="BD42" s="1349"/>
      <c r="BE42" s="1350"/>
      <c r="BF42" s="1349"/>
      <c r="BG42" s="1349"/>
      <c r="BH42" s="1349"/>
      <c r="BI42" s="1349"/>
      <c r="BJ42" s="1349"/>
      <c r="BK42" s="1349"/>
      <c r="BL42" s="1349"/>
      <c r="BM42" s="1350"/>
      <c r="BN42" s="1349"/>
      <c r="BO42" s="1349"/>
      <c r="BP42" s="1349"/>
      <c r="BQ42" s="1349"/>
      <c r="BR42" s="1349"/>
      <c r="BS42" s="1349"/>
      <c r="BT42" s="1349"/>
      <c r="BU42" s="1350"/>
      <c r="BV42" s="1349"/>
      <c r="BW42" s="1349"/>
      <c r="BX42" s="1349"/>
      <c r="BY42" s="1349"/>
      <c r="BZ42" s="1349"/>
      <c r="CA42" s="1349"/>
      <c r="CB42" s="1349"/>
      <c r="CC42" s="1350"/>
      <c r="CD42" s="1349"/>
      <c r="CE42" s="1349"/>
      <c r="CF42" s="1349"/>
      <c r="CG42" s="1349"/>
      <c r="CH42" s="1349"/>
      <c r="CI42" s="1349"/>
      <c r="CJ42" s="1349"/>
      <c r="CK42" s="1513"/>
      <c r="CL42" s="1349"/>
      <c r="CM42" s="1349"/>
      <c r="CN42" s="1349"/>
      <c r="CO42" s="1349"/>
      <c r="CP42" s="1349"/>
      <c r="CQ42" s="1349"/>
      <c r="CR42" s="1349"/>
      <c r="CS42" s="1513"/>
      <c r="CT42" s="1349"/>
      <c r="CU42" s="1349"/>
      <c r="CV42" s="1349"/>
      <c r="CW42" s="1349"/>
      <c r="CX42" s="1349"/>
      <c r="CY42" s="1349"/>
      <c r="CZ42" s="1349"/>
      <c r="DA42" s="1513"/>
      <c r="DB42" s="1349"/>
      <c r="DC42" s="1349"/>
      <c r="DD42" s="1349"/>
      <c r="DE42" s="1349"/>
      <c r="DF42" s="1349"/>
      <c r="DG42" s="1349"/>
      <c r="DH42" s="1349"/>
      <c r="DI42" s="1513"/>
      <c r="DQ42" s="1513"/>
      <c r="DR42"/>
      <c r="DT42" s="1349"/>
      <c r="DY42" s="1513"/>
    </row>
    <row r="43" spans="1:137" s="331" customFormat="1" ht="11.25" collapsed="1">
      <c r="A43" s="1329" t="s">
        <v>1008</v>
      </c>
      <c r="B43" s="1330"/>
      <c r="C43" s="1331"/>
      <c r="D43" s="1331">
        <f>SUM(D33:D40)</f>
        <v>554</v>
      </c>
      <c r="E43" s="1331"/>
      <c r="F43" s="1331"/>
      <c r="G43" s="1331"/>
      <c r="H43" s="1331">
        <f t="shared" ref="H43:AF43" si="327">SUM(H33:H40)</f>
        <v>635</v>
      </c>
      <c r="I43" s="1331"/>
      <c r="J43" s="1331"/>
      <c r="K43" s="1331"/>
      <c r="L43" s="1331">
        <f t="shared" si="327"/>
        <v>681</v>
      </c>
      <c r="M43" s="1331"/>
      <c r="N43" s="1331"/>
      <c r="O43" s="1331"/>
      <c r="P43" s="1331">
        <f t="shared" si="327"/>
        <v>763</v>
      </c>
      <c r="Q43" s="1331"/>
      <c r="R43" s="1331"/>
      <c r="S43" s="1331"/>
      <c r="T43" s="1331">
        <f t="shared" si="327"/>
        <v>847</v>
      </c>
      <c r="U43" s="1331"/>
      <c r="V43" s="1331"/>
      <c r="W43" s="1331"/>
      <c r="X43" s="1331">
        <f t="shared" si="327"/>
        <v>933</v>
      </c>
      <c r="Y43" s="1332"/>
      <c r="Z43" s="1331"/>
      <c r="AA43" s="1331"/>
      <c r="AB43" s="1331">
        <f t="shared" si="327"/>
        <v>956</v>
      </c>
      <c r="AC43" s="1331"/>
      <c r="AD43" s="1331"/>
      <c r="AE43" s="1331"/>
      <c r="AF43" s="1331">
        <f t="shared" si="327"/>
        <v>1133</v>
      </c>
      <c r="AG43" s="1332"/>
      <c r="AH43" s="1331"/>
      <c r="AI43" s="1331"/>
      <c r="AJ43" s="1331">
        <f>SUM(AJ33:AJ40)</f>
        <v>1171</v>
      </c>
      <c r="AK43" s="1331"/>
      <c r="AL43" s="1331"/>
      <c r="AM43" s="1331"/>
      <c r="AN43" s="1331">
        <f>SUM(AN33:AN40)</f>
        <v>1261</v>
      </c>
      <c r="AO43" s="1332"/>
      <c r="AP43" s="1331"/>
      <c r="AQ43" s="1331"/>
      <c r="AR43" s="1331">
        <f>SUM(AR33:AR40)</f>
        <v>1309</v>
      </c>
      <c r="AS43" s="1331"/>
      <c r="AT43" s="1331"/>
      <c r="AU43" s="1331"/>
      <c r="AV43" s="1331">
        <f>SUM(AV33:AV40)</f>
        <v>1095</v>
      </c>
      <c r="AW43" s="1332"/>
      <c r="AX43" s="1331"/>
      <c r="AY43" s="1331"/>
      <c r="AZ43" s="1331">
        <f>SUM(AZ33:AZ40)</f>
        <v>1218</v>
      </c>
      <c r="BA43" s="1331"/>
      <c r="BB43" s="1331"/>
      <c r="BC43" s="1331"/>
      <c r="BD43" s="1331">
        <f>SUM(BD33:BD40)</f>
        <v>974</v>
      </c>
      <c r="BE43" s="1332"/>
      <c r="BF43" s="1331"/>
      <c r="BG43" s="1331"/>
      <c r="BH43" s="1331">
        <f>SUM(BH33:BH40)</f>
        <v>1828</v>
      </c>
      <c r="BI43" s="1331"/>
      <c r="BJ43" s="1331"/>
      <c r="BK43" s="1331"/>
      <c r="BL43" s="1331">
        <f>SUM(BL33:BL40)</f>
        <v>2187</v>
      </c>
      <c r="BM43" s="1332"/>
      <c r="BN43" s="1331"/>
      <c r="BO43" s="1331"/>
      <c r="BP43" s="1331">
        <f>SUM(BP33:BP40)</f>
        <v>1883</v>
      </c>
      <c r="BQ43" s="1331"/>
      <c r="BR43" s="1331"/>
      <c r="BS43" s="1331"/>
      <c r="BT43" s="1331">
        <f>SUM(BT33:BT40)</f>
        <v>1937</v>
      </c>
      <c r="BU43" s="1332"/>
      <c r="BV43" s="1331"/>
      <c r="BW43" s="1331"/>
      <c r="BX43" s="1331">
        <f>SUM(BX33:BX40)</f>
        <v>947</v>
      </c>
      <c r="BY43" s="1331"/>
      <c r="BZ43" s="1331"/>
      <c r="CA43" s="1331"/>
      <c r="CB43" s="1331">
        <f>SUM(CB33:CB40)</f>
        <v>739</v>
      </c>
      <c r="CC43" s="1332"/>
      <c r="CD43" s="1331"/>
      <c r="CE43" s="1331"/>
      <c r="CF43" s="1331">
        <f>SUM(CF33:CF40)</f>
        <v>659</v>
      </c>
      <c r="CG43" s="1331"/>
      <c r="CH43" s="1331"/>
      <c r="CI43" s="1331"/>
      <c r="CJ43" s="1331">
        <f>SUM(CJ33:CJ40)</f>
        <v>1146</v>
      </c>
      <c r="CK43" s="1514">
        <f>INDEX('Income Statement'!23:23, MATCH(Interims!CK$1,'Income Statement'!$3:$3,0))</f>
        <v>1805</v>
      </c>
      <c r="CL43" s="1331"/>
      <c r="CM43" s="1331"/>
      <c r="CN43" s="1331">
        <f>SUM(CN33:CN40)</f>
        <v>1047</v>
      </c>
      <c r="CO43" s="1331"/>
      <c r="CP43" s="1331"/>
      <c r="CQ43" s="1331"/>
      <c r="CR43" s="1331">
        <f>SUM(CR33:CR40)</f>
        <v>1361</v>
      </c>
      <c r="CS43" s="1514">
        <f>INDEX('Income Statement'!23:23, MATCH(Interims!CS$1,'Income Statement'!$3:$3,0))</f>
        <v>2408</v>
      </c>
      <c r="CT43" s="1331"/>
      <c r="CU43" s="1331"/>
      <c r="CV43" s="1331">
        <f>SUM(CV33:CV40)</f>
        <v>1397</v>
      </c>
      <c r="CW43" s="1331"/>
      <c r="CX43" s="1331"/>
      <c r="CY43" s="1331"/>
      <c r="CZ43" s="1331">
        <f>SUM(CZ33:CZ40)</f>
        <v>1769</v>
      </c>
      <c r="DA43" s="1514">
        <f>INDEX('Income Statement'!23:23, MATCH(Interims!DA$1,'Income Statement'!$3:$3,0))</f>
        <v>3166</v>
      </c>
      <c r="DB43" s="1331"/>
      <c r="DC43" s="1331"/>
      <c r="DD43" s="1331">
        <f>SUM(DD33:DD40)</f>
        <v>1974</v>
      </c>
      <c r="DE43" s="1331"/>
      <c r="DF43" s="1331"/>
      <c r="DG43" s="1331"/>
      <c r="DH43" s="1331">
        <f>SUM(DH33:DH40)</f>
        <v>2145</v>
      </c>
      <c r="DI43" s="1514">
        <f>INDEX('Income Statement'!23:23, MATCH(Interims!DI$1,'Income Statement'!$3:$3,0))</f>
        <v>4119</v>
      </c>
      <c r="DJ43" s="1331"/>
      <c r="DK43" s="1331"/>
      <c r="DL43" s="1331">
        <f>SUM(DL33:DL40)</f>
        <v>2510</v>
      </c>
      <c r="DM43" s="1331"/>
      <c r="DN43" s="1331"/>
      <c r="DO43" s="1331"/>
      <c r="DP43" s="1331">
        <f>SUM(DP33:DP40)</f>
        <v>2669.0617839715924</v>
      </c>
      <c r="DQ43" s="1514">
        <f>INDEX('Income Statement'!23:23, MATCH(Interims!DQ$1,'Income Statement'!$3:$3,0))</f>
        <v>5179.0617839715915</v>
      </c>
      <c r="DR43" s="1331"/>
      <c r="DS43" s="1331"/>
      <c r="DT43" s="1331">
        <f>DT33+DT37+DT38+DT40</f>
        <v>2854.6058262687943</v>
      </c>
      <c r="DU43" s="1331"/>
      <c r="DV43" s="1331"/>
      <c r="DW43" s="1331"/>
      <c r="DX43" s="1331">
        <f>DY43-DT43</f>
        <v>3160.3070364186747</v>
      </c>
      <c r="DY43" s="1514">
        <f>INDEX('Income Statement'!23:23, MATCH(Interims!DY$1,'Income Statement'!$3:$3,0))</f>
        <v>6014.912862687469</v>
      </c>
      <c r="DZ43" s="1331"/>
      <c r="EA43" s="1331"/>
      <c r="EB43" s="1331"/>
      <c r="EC43" s="1331"/>
      <c r="ED43" s="1331"/>
      <c r="EE43" s="1331"/>
      <c r="EF43" s="1331"/>
      <c r="EG43" s="1510"/>
    </row>
    <row r="44" spans="1:137">
      <c r="A44" s="213"/>
      <c r="B44" s="1348"/>
      <c r="C44" s="1349"/>
      <c r="D44" s="1349"/>
      <c r="E44" s="1349"/>
      <c r="F44" s="1349"/>
      <c r="G44" s="1349"/>
      <c r="H44" s="1349"/>
      <c r="I44" s="1350"/>
      <c r="J44" s="1349"/>
      <c r="K44" s="1349"/>
      <c r="L44" s="1349"/>
      <c r="M44" s="1349"/>
      <c r="N44" s="1349"/>
      <c r="O44" s="1349"/>
      <c r="P44" s="1349"/>
      <c r="Q44" s="1350"/>
      <c r="R44" s="1349"/>
      <c r="S44" s="1349"/>
      <c r="T44" s="1349"/>
      <c r="U44" s="1349"/>
      <c r="V44" s="1349"/>
      <c r="W44" s="1349"/>
      <c r="X44" s="1349"/>
      <c r="Y44" s="1350"/>
      <c r="Z44" s="1349"/>
      <c r="AA44" s="1349"/>
      <c r="AB44" s="1349"/>
      <c r="AC44" s="1349"/>
      <c r="AD44" s="1349"/>
      <c r="AE44" s="1349"/>
      <c r="AF44" s="1349"/>
      <c r="AG44" s="1350"/>
      <c r="AH44" s="1349"/>
      <c r="AI44" s="1349"/>
      <c r="AJ44" s="1349"/>
      <c r="AK44" s="1349"/>
      <c r="AL44" s="1349"/>
      <c r="AM44" s="1349"/>
      <c r="AN44" s="1349"/>
      <c r="AO44" s="1350"/>
      <c r="AP44" s="1349"/>
      <c r="AQ44" s="1349"/>
      <c r="AR44" s="1349"/>
      <c r="AS44" s="1349"/>
      <c r="AT44" s="1349"/>
      <c r="AU44" s="1349"/>
      <c r="AV44" s="1349"/>
      <c r="AW44" s="1350"/>
      <c r="AX44" s="1349"/>
      <c r="AY44" s="1349"/>
      <c r="AZ44" s="1349"/>
      <c r="BA44" s="1349"/>
      <c r="BB44" s="1349"/>
      <c r="BC44" s="1349"/>
      <c r="BD44" s="1349"/>
      <c r="BE44" s="1350"/>
      <c r="BF44" s="1349"/>
      <c r="BG44" s="1349"/>
      <c r="BH44" s="1349"/>
      <c r="BI44" s="1349"/>
      <c r="BJ44" s="1349"/>
      <c r="BK44" s="1349"/>
      <c r="BL44" s="1349"/>
      <c r="BM44" s="1350"/>
      <c r="BN44" s="1349"/>
      <c r="BO44" s="1349"/>
      <c r="BP44" s="1349"/>
      <c r="BQ44" s="1349"/>
      <c r="BR44" s="1349"/>
      <c r="BS44" s="1349"/>
      <c r="BT44" s="1349"/>
      <c r="BU44" s="1350"/>
      <c r="BV44" s="1349"/>
      <c r="BW44" s="1349"/>
      <c r="BX44" s="1349"/>
      <c r="BY44" s="1349"/>
      <c r="BZ44" s="1349"/>
      <c r="CA44" s="1349"/>
      <c r="CB44" s="1349"/>
      <c r="CC44" s="1350"/>
      <c r="CD44" s="1349"/>
      <c r="CE44" s="1349"/>
      <c r="CF44" s="1349"/>
      <c r="CG44" s="1349"/>
      <c r="CH44" s="1349"/>
      <c r="CI44" s="1349"/>
      <c r="CJ44" s="1349"/>
      <c r="CK44" s="1350"/>
      <c r="CL44" s="1349"/>
      <c r="CM44" s="1349"/>
      <c r="CN44" s="1349"/>
      <c r="CO44" s="1349"/>
      <c r="CP44" s="1349"/>
      <c r="CQ44" s="1349"/>
      <c r="CR44" s="1349"/>
      <c r="CS44" s="1350"/>
      <c r="CT44" s="1349"/>
      <c r="CU44" s="1349"/>
      <c r="CV44" s="1349"/>
      <c r="CW44" s="1349"/>
      <c r="CX44" s="1349"/>
      <c r="CY44" s="1349"/>
      <c r="CZ44" s="1349"/>
      <c r="DA44" s="1350"/>
      <c r="DB44" s="1349"/>
      <c r="DC44" s="1349"/>
      <c r="DD44" s="1349"/>
      <c r="DE44" s="1349"/>
      <c r="DF44" s="1349"/>
      <c r="DG44" s="1349"/>
      <c r="DH44" s="1349"/>
      <c r="DI44" s="1350"/>
      <c r="DR44"/>
      <c r="DT44" s="1349"/>
    </row>
    <row r="45" spans="1:137">
      <c r="A45" s="306" t="s">
        <v>1470</v>
      </c>
      <c r="B45" s="1351"/>
      <c r="C45" s="1352"/>
      <c r="D45" s="1352"/>
      <c r="E45" s="1352"/>
      <c r="F45" s="1352"/>
      <c r="G45" s="1352"/>
      <c r="H45" s="1352"/>
      <c r="I45" s="1353"/>
      <c r="J45" s="1352"/>
      <c r="K45" s="1352"/>
      <c r="L45" s="1352"/>
      <c r="M45" s="1352"/>
      <c r="N45" s="1352"/>
      <c r="O45" s="1352"/>
      <c r="P45" s="1352"/>
      <c r="Q45" s="1353"/>
      <c r="R45" s="1352"/>
      <c r="S45" s="1352"/>
      <c r="T45" s="1352"/>
      <c r="U45" s="1352"/>
      <c r="V45" s="1352"/>
      <c r="W45" s="1352"/>
      <c r="X45" s="1352"/>
      <c r="Y45" s="1353"/>
      <c r="Z45" s="1352"/>
      <c r="AA45" s="1352"/>
      <c r="AB45" s="1352"/>
      <c r="AC45" s="1352"/>
      <c r="AD45" s="1352"/>
      <c r="AE45" s="1352"/>
      <c r="AF45" s="1352"/>
      <c r="AG45" s="1353"/>
      <c r="AH45" s="1352"/>
      <c r="AI45" s="1352"/>
      <c r="AJ45" s="1352"/>
      <c r="AK45" s="1352"/>
      <c r="AL45" s="1352"/>
      <c r="AM45" s="1352"/>
      <c r="AN45" s="1352"/>
      <c r="AO45" s="1353"/>
      <c r="AP45" s="1352"/>
      <c r="AQ45" s="1352"/>
      <c r="AR45" s="1352"/>
      <c r="AS45" s="1352"/>
      <c r="AT45" s="1352"/>
      <c r="AU45" s="1352"/>
      <c r="AV45" s="1352"/>
      <c r="AW45" s="1353"/>
      <c r="AX45" s="1352"/>
      <c r="AY45" s="1352"/>
      <c r="AZ45" s="1352"/>
      <c r="BA45" s="1352"/>
      <c r="BB45" s="1352"/>
      <c r="BC45" s="1352"/>
      <c r="BD45" s="1352"/>
      <c r="BE45" s="1353"/>
      <c r="BF45" s="1352"/>
      <c r="BG45" s="1352"/>
      <c r="BH45" s="1352"/>
      <c r="BI45" s="1352"/>
      <c r="BJ45" s="1352"/>
      <c r="BK45" s="1352"/>
      <c r="BL45" s="1352"/>
      <c r="BM45" s="1353"/>
      <c r="BN45" s="1352"/>
      <c r="BO45" s="1352"/>
      <c r="BP45" s="1352"/>
      <c r="BQ45" s="1352"/>
      <c r="BR45" s="1352"/>
      <c r="BS45" s="1352"/>
      <c r="BT45" s="1352"/>
      <c r="BU45" s="1353"/>
      <c r="BV45" s="1352"/>
      <c r="BW45" s="1352"/>
      <c r="BX45" s="1352"/>
      <c r="BY45" s="1352"/>
      <c r="BZ45" s="1352"/>
      <c r="CA45" s="1352"/>
      <c r="CB45" s="1352"/>
      <c r="CC45" s="1353"/>
      <c r="CD45" s="1352"/>
      <c r="CE45" s="1352"/>
      <c r="CF45" s="1352"/>
      <c r="CG45" s="1352"/>
      <c r="CH45" s="1352"/>
      <c r="CI45" s="1352"/>
      <c r="CJ45" s="1352"/>
      <c r="CK45" s="1353"/>
      <c r="CL45" s="1352"/>
      <c r="CM45" s="1352"/>
      <c r="CN45" s="1352"/>
      <c r="CO45" s="1352"/>
      <c r="CP45" s="1352"/>
      <c r="CQ45" s="1352"/>
      <c r="CR45" s="1352"/>
      <c r="CS45" s="1353"/>
      <c r="CT45" s="1352"/>
      <c r="CU45" s="1352"/>
      <c r="CV45" s="1352"/>
      <c r="CW45" s="1352"/>
      <c r="CX45" s="1352"/>
      <c r="CY45" s="1352"/>
      <c r="CZ45" s="1352"/>
      <c r="DA45" s="1353"/>
      <c r="DB45" s="1352"/>
      <c r="DC45" s="1352"/>
      <c r="DD45" s="1352"/>
      <c r="DE45" s="1352"/>
      <c r="DF45" s="1352"/>
      <c r="DG45" s="1352"/>
      <c r="DH45" s="1352"/>
      <c r="DI45" s="1353"/>
      <c r="DJ45" s="306"/>
      <c r="DK45" s="306"/>
      <c r="DL45" s="1352"/>
      <c r="DM45" s="306"/>
      <c r="DN45" s="306"/>
      <c r="DO45" s="306"/>
      <c r="DP45" s="306"/>
      <c r="DQ45" s="1327"/>
      <c r="DR45" s="306"/>
      <c r="DS45" s="306"/>
      <c r="DT45" s="1352"/>
      <c r="DU45" s="306"/>
      <c r="DV45" s="306"/>
      <c r="DW45" s="306"/>
      <c r="DX45" s="306"/>
      <c r="DY45" s="1327"/>
      <c r="DZ45" s="306"/>
      <c r="EA45" s="306"/>
      <c r="EB45" s="306"/>
      <c r="EC45" s="306"/>
      <c r="ED45" s="306"/>
      <c r="EE45" s="306"/>
      <c r="EF45" s="306"/>
      <c r="EG45" s="1327"/>
    </row>
    <row r="46" spans="1:137">
      <c r="A46" s="19" t="s">
        <v>978</v>
      </c>
      <c r="B46" s="1348"/>
      <c r="C46" s="1349"/>
      <c r="D46" s="1349"/>
      <c r="E46" s="1349"/>
      <c r="F46" s="1349"/>
      <c r="G46" s="1349"/>
      <c r="H46" s="1349"/>
      <c r="I46" s="1350"/>
      <c r="J46" s="1349"/>
      <c r="K46" s="1349"/>
      <c r="L46" s="1349"/>
      <c r="M46" s="1349"/>
      <c r="N46" s="1349"/>
      <c r="O46" s="1349"/>
      <c r="P46" s="1349"/>
      <c r="Q46" s="1350"/>
      <c r="R46" s="1349"/>
      <c r="S46" s="1349"/>
      <c r="T46" s="1349"/>
      <c r="U46" s="1349"/>
      <c r="V46" s="1349"/>
      <c r="W46" s="1349"/>
      <c r="X46" s="1349"/>
      <c r="Y46" s="1350"/>
      <c r="Z46" s="1349"/>
      <c r="AA46" s="1349"/>
      <c r="AB46" s="1349"/>
      <c r="AC46" s="1349"/>
      <c r="AD46" s="1349"/>
      <c r="AE46" s="1349"/>
      <c r="AF46" s="1349"/>
      <c r="AG46" s="1350"/>
      <c r="AH46" s="1349"/>
      <c r="AI46" s="1349"/>
      <c r="AJ46" s="1349"/>
      <c r="AK46" s="1349"/>
      <c r="AL46" s="1349"/>
      <c r="AM46" s="1349"/>
      <c r="AN46" s="1349"/>
      <c r="AO46" s="1350"/>
      <c r="AP46" s="1349"/>
      <c r="AQ46" s="1349"/>
      <c r="AR46" s="1349"/>
      <c r="AS46" s="1349"/>
      <c r="AT46" s="1349"/>
      <c r="AU46" s="1349"/>
      <c r="AV46" s="1349"/>
      <c r="AW46" s="1350"/>
      <c r="AX46" s="1349"/>
      <c r="AY46" s="1349"/>
      <c r="AZ46" s="1349"/>
      <c r="BA46" s="1349"/>
      <c r="BB46" s="1349"/>
      <c r="BC46" s="1349"/>
      <c r="BD46" s="1349"/>
      <c r="BE46" s="1350"/>
      <c r="BF46" s="1349"/>
      <c r="BG46" s="1349"/>
      <c r="BH46" s="1349"/>
      <c r="BI46" s="1349"/>
      <c r="BJ46" s="1349"/>
      <c r="BK46" s="1349"/>
      <c r="BL46" s="1349"/>
      <c r="BM46" s="1350"/>
      <c r="BN46" s="1349"/>
      <c r="BO46" s="1349"/>
      <c r="BP46" s="1349"/>
      <c r="BQ46" s="1349"/>
      <c r="BR46" s="1349"/>
      <c r="BS46" s="1349"/>
      <c r="BT46" s="1349"/>
      <c r="BU46" s="1350"/>
      <c r="BV46" s="1349"/>
      <c r="BW46" s="1349"/>
      <c r="BX46" s="1349"/>
      <c r="BY46" s="1349"/>
      <c r="BZ46" s="1349"/>
      <c r="CA46" s="1349"/>
      <c r="CB46" s="1349"/>
      <c r="CC46" s="1350"/>
      <c r="CD46" s="1349"/>
      <c r="CE46" s="1349"/>
      <c r="CF46" s="1517">
        <f>CF33/CF6</f>
        <v>0.15512465373961218</v>
      </c>
      <c r="CG46" s="1377"/>
      <c r="CH46" s="1377"/>
      <c r="CI46" s="1377"/>
      <c r="CJ46" s="1517">
        <f>CJ33/CJ6</f>
        <v>0.2</v>
      </c>
      <c r="CK46" s="1518">
        <f>CK33/CK6</f>
        <v>0.1804005914773491</v>
      </c>
      <c r="CL46" s="1377"/>
      <c r="CM46" s="1377"/>
      <c r="CN46" s="1517">
        <f>CN33/CN6</f>
        <v>0.17313218390804597</v>
      </c>
      <c r="CO46" s="1377"/>
      <c r="CP46" s="1377"/>
      <c r="CQ46" s="1377"/>
      <c r="CR46" s="1517">
        <f>CR33/CR6</f>
        <v>0.18517823639774858</v>
      </c>
      <c r="CS46" s="1518">
        <f>CS33/CS6</f>
        <v>0.17988638754470859</v>
      </c>
      <c r="CT46" s="1377"/>
      <c r="CU46" s="1377"/>
      <c r="CV46" s="1517">
        <f>CV33/CV6</f>
        <v>0.18513299277787565</v>
      </c>
      <c r="CW46" s="1377"/>
      <c r="CX46" s="1377"/>
      <c r="CY46" s="1377"/>
      <c r="CZ46" s="1517">
        <f>CZ33/CZ6</f>
        <v>0.21600258106146153</v>
      </c>
      <c r="DA46" s="1518">
        <f>DA33/DA6</f>
        <v>0.20124621084540248</v>
      </c>
      <c r="DB46" s="1377"/>
      <c r="DC46" s="1377"/>
      <c r="DD46" s="1517">
        <f>DD33/DD6</f>
        <v>0.19888562142083269</v>
      </c>
      <c r="DE46" s="1377"/>
      <c r="DF46" s="1377"/>
      <c r="DG46" s="1377"/>
      <c r="DH46" s="1517">
        <f>DH33/DH6</f>
        <v>0.2133222083159505</v>
      </c>
      <c r="DI46" s="1518">
        <f>DI33/DI6</f>
        <v>0.20648989159097569</v>
      </c>
      <c r="DL46" s="1517">
        <f>DL33/DL6</f>
        <v>0.23312558016178225</v>
      </c>
      <c r="DM46" s="1377"/>
      <c r="DN46" s="1377"/>
      <c r="DO46" s="1377"/>
      <c r="DP46" s="1517">
        <f>DP33/DP6</f>
        <v>0.22233388886837721</v>
      </c>
      <c r="DQ46" s="1518">
        <f>DQ33/DQ6</f>
        <v>0.227628411165855</v>
      </c>
      <c r="DR46"/>
      <c r="DT46" s="1517">
        <f>DT33/DT6</f>
        <v>0.22281306220129871</v>
      </c>
      <c r="DU46" s="1377"/>
      <c r="DV46" s="1377"/>
      <c r="DW46" s="1377"/>
      <c r="DX46" s="1517">
        <f>DX33/DX6</f>
        <v>0.23898647941897694</v>
      </c>
      <c r="DY46" s="1518">
        <f>DY33/DY6</f>
        <v>0.23133218344451026</v>
      </c>
    </row>
    <row r="47" spans="1:137" hidden="1" outlineLevel="1">
      <c r="A47" s="291" t="s">
        <v>977</v>
      </c>
      <c r="B47" s="1348"/>
      <c r="C47" s="1349"/>
      <c r="D47" s="1349"/>
      <c r="E47" s="1349"/>
      <c r="F47" s="1349"/>
      <c r="G47" s="1349"/>
      <c r="H47" s="1349"/>
      <c r="I47" s="1350"/>
      <c r="J47" s="1349"/>
      <c r="K47" s="1349"/>
      <c r="L47" s="1349"/>
      <c r="M47" s="1349"/>
      <c r="N47" s="1349"/>
      <c r="O47" s="1349"/>
      <c r="P47" s="1349"/>
      <c r="Q47" s="1350"/>
      <c r="R47" s="1349"/>
      <c r="S47" s="1349"/>
      <c r="T47" s="1349"/>
      <c r="U47" s="1349"/>
      <c r="V47" s="1349"/>
      <c r="W47" s="1349"/>
      <c r="X47" s="1349"/>
      <c r="Y47" s="1350"/>
      <c r="Z47" s="1349"/>
      <c r="AA47" s="1349"/>
      <c r="AB47" s="1349"/>
      <c r="AC47" s="1349"/>
      <c r="AD47" s="1349"/>
      <c r="AE47" s="1349"/>
      <c r="AF47" s="1349"/>
      <c r="AG47" s="1350"/>
      <c r="AH47" s="1349"/>
      <c r="AI47" s="1349"/>
      <c r="AJ47" s="1349"/>
      <c r="AK47" s="1349"/>
      <c r="AL47" s="1349"/>
      <c r="AM47" s="1349"/>
      <c r="AN47" s="1349"/>
      <c r="AO47" s="1350"/>
      <c r="AP47" s="1349"/>
      <c r="AQ47" s="1349"/>
      <c r="AR47" s="1349"/>
      <c r="AS47" s="1349"/>
      <c r="AT47" s="1349"/>
      <c r="AU47" s="1349"/>
      <c r="AV47" s="1349"/>
      <c r="AW47" s="1350"/>
      <c r="AX47" s="1349"/>
      <c r="AY47" s="1349"/>
      <c r="AZ47" s="1349"/>
      <c r="BA47" s="1349"/>
      <c r="BB47" s="1349"/>
      <c r="BC47" s="1349"/>
      <c r="BD47" s="1349"/>
      <c r="BE47" s="1350"/>
      <c r="BF47" s="1349"/>
      <c r="BG47" s="1349"/>
      <c r="BH47" s="1349"/>
      <c r="BI47" s="1349"/>
      <c r="BJ47" s="1349"/>
      <c r="BK47" s="1349"/>
      <c r="BL47" s="1349"/>
      <c r="BM47" s="1350"/>
      <c r="BN47" s="1349"/>
      <c r="BO47" s="1349"/>
      <c r="BP47" s="1349"/>
      <c r="BQ47" s="1349"/>
      <c r="BR47" s="1349"/>
      <c r="BS47" s="1349"/>
      <c r="BT47" s="1349"/>
      <c r="BU47" s="1350"/>
      <c r="BV47" s="1349"/>
      <c r="BW47" s="1349"/>
      <c r="BX47" s="1349"/>
      <c r="BY47" s="1349"/>
      <c r="BZ47" s="1349"/>
      <c r="CA47" s="1349"/>
      <c r="CB47" s="1349"/>
      <c r="CC47" s="1350"/>
      <c r="CD47" s="1349"/>
      <c r="CE47" s="1349"/>
      <c r="CF47" s="1517"/>
      <c r="CG47" s="1377"/>
      <c r="CH47" s="1377"/>
      <c r="CI47" s="1377"/>
      <c r="CJ47" s="1517"/>
      <c r="CK47" s="1518"/>
      <c r="CL47" s="1377"/>
      <c r="CM47" s="1377"/>
      <c r="CN47" s="1517"/>
      <c r="CO47" s="1377"/>
      <c r="CP47" s="1377"/>
      <c r="CQ47" s="1377"/>
      <c r="CR47" s="1517"/>
      <c r="CS47" s="1518"/>
      <c r="CT47" s="1377"/>
      <c r="CU47" s="1377"/>
      <c r="CV47" s="1517"/>
      <c r="CW47" s="1377"/>
      <c r="CX47" s="1377"/>
      <c r="CY47" s="1377"/>
      <c r="CZ47" s="1517"/>
      <c r="DA47" s="1518"/>
      <c r="DB47" s="1377"/>
      <c r="DC47" s="1377"/>
      <c r="DD47" s="1517"/>
      <c r="DE47" s="1377"/>
      <c r="DF47" s="1377"/>
      <c r="DG47" s="1377"/>
      <c r="DH47" s="1517"/>
      <c r="DI47" s="1518"/>
      <c r="DL47" s="1517"/>
      <c r="DM47" s="1377"/>
      <c r="DN47" s="1377"/>
      <c r="DO47" s="1377"/>
      <c r="DP47" s="1517"/>
      <c r="DQ47" s="1518"/>
      <c r="DR47"/>
      <c r="DT47" s="1517"/>
      <c r="DU47" s="1377"/>
      <c r="DV47" s="1377"/>
      <c r="DW47" s="1377"/>
      <c r="DX47" s="1517"/>
      <c r="DY47" s="1518"/>
    </row>
    <row r="48" spans="1:137" hidden="1" outlineLevel="1">
      <c r="A48" s="291" t="s">
        <v>744</v>
      </c>
      <c r="B48" s="1348"/>
      <c r="C48" s="1349"/>
      <c r="D48" s="1349"/>
      <c r="E48" s="1349"/>
      <c r="F48" s="1349"/>
      <c r="G48" s="1349"/>
      <c r="H48" s="1349"/>
      <c r="I48" s="1350"/>
      <c r="J48" s="1349"/>
      <c r="K48" s="1349"/>
      <c r="L48" s="1349"/>
      <c r="M48" s="1349"/>
      <c r="N48" s="1349"/>
      <c r="O48" s="1349"/>
      <c r="P48" s="1349"/>
      <c r="Q48" s="1350"/>
      <c r="R48" s="1349"/>
      <c r="S48" s="1349"/>
      <c r="T48" s="1349"/>
      <c r="U48" s="1349"/>
      <c r="V48" s="1349"/>
      <c r="W48" s="1349"/>
      <c r="X48" s="1349"/>
      <c r="Y48" s="1350"/>
      <c r="Z48" s="1349"/>
      <c r="AA48" s="1349"/>
      <c r="AB48" s="1349"/>
      <c r="AC48" s="1349"/>
      <c r="AD48" s="1349"/>
      <c r="AE48" s="1349"/>
      <c r="AF48" s="1349"/>
      <c r="AG48" s="1350"/>
      <c r="AH48" s="1349"/>
      <c r="AI48" s="1349"/>
      <c r="AJ48" s="1349"/>
      <c r="AK48" s="1349"/>
      <c r="AL48" s="1349"/>
      <c r="AM48" s="1349"/>
      <c r="AN48" s="1349"/>
      <c r="AO48" s="1350"/>
      <c r="AP48" s="1349"/>
      <c r="AQ48" s="1349"/>
      <c r="AR48" s="1349"/>
      <c r="AS48" s="1349"/>
      <c r="AT48" s="1349"/>
      <c r="AU48" s="1349"/>
      <c r="AV48" s="1349"/>
      <c r="AW48" s="1350"/>
      <c r="AX48" s="1349"/>
      <c r="AY48" s="1349"/>
      <c r="AZ48" s="1349"/>
      <c r="BA48" s="1349"/>
      <c r="BB48" s="1349"/>
      <c r="BC48" s="1349"/>
      <c r="BD48" s="1349"/>
      <c r="BE48" s="1350"/>
      <c r="BF48" s="1349"/>
      <c r="BG48" s="1349"/>
      <c r="BH48" s="1349"/>
      <c r="BI48" s="1349"/>
      <c r="BJ48" s="1349"/>
      <c r="BK48" s="1349"/>
      <c r="BL48" s="1349"/>
      <c r="BM48" s="1350"/>
      <c r="BN48" s="1349"/>
      <c r="BO48" s="1349"/>
      <c r="BP48" s="1349"/>
      <c r="BQ48" s="1349"/>
      <c r="BR48" s="1349"/>
      <c r="BS48" s="1349"/>
      <c r="BT48" s="1349"/>
      <c r="BU48" s="1350"/>
      <c r="BV48" s="1349"/>
      <c r="BW48" s="1349"/>
      <c r="BX48" s="1349"/>
      <c r="BY48" s="1349"/>
      <c r="BZ48" s="1349"/>
      <c r="CA48" s="1349"/>
      <c r="CB48" s="1349"/>
      <c r="CC48" s="1350"/>
      <c r="CD48" s="1349"/>
      <c r="CE48" s="1349"/>
      <c r="CF48" s="1517"/>
      <c r="CG48" s="1377"/>
      <c r="CH48" s="1377"/>
      <c r="CI48" s="1377"/>
      <c r="CJ48" s="1517"/>
      <c r="CK48" s="1518"/>
      <c r="CL48" s="1377"/>
      <c r="CM48" s="1377"/>
      <c r="CN48" s="1517"/>
      <c r="CO48" s="1377"/>
      <c r="CP48" s="1377"/>
      <c r="CQ48" s="1377"/>
      <c r="CR48" s="1517"/>
      <c r="CS48" s="1518"/>
      <c r="CT48" s="1377"/>
      <c r="CU48" s="1377"/>
      <c r="CV48" s="1517"/>
      <c r="CW48" s="1377"/>
      <c r="CX48" s="1377"/>
      <c r="CY48" s="1377"/>
      <c r="CZ48" s="1517"/>
      <c r="DA48" s="1518"/>
      <c r="DB48" s="1377"/>
      <c r="DC48" s="1377"/>
      <c r="DD48" s="1517"/>
      <c r="DE48" s="1377"/>
      <c r="DF48" s="1377"/>
      <c r="DG48" s="1377"/>
      <c r="DH48" s="1517"/>
      <c r="DI48" s="1518"/>
      <c r="DL48" s="1517"/>
      <c r="DM48" s="1377"/>
      <c r="DN48" s="1377"/>
      <c r="DO48" s="1377"/>
      <c r="DP48" s="1517"/>
      <c r="DQ48" s="1518"/>
      <c r="DR48"/>
      <c r="DT48" s="1517"/>
      <c r="DU48" s="1377"/>
      <c r="DV48" s="1377"/>
      <c r="DW48" s="1377"/>
      <c r="DX48" s="1517"/>
      <c r="DY48" s="1518"/>
    </row>
    <row r="49" spans="1:137" hidden="1" outlineLevel="1">
      <c r="A49" s="291" t="s">
        <v>1243</v>
      </c>
      <c r="B49" s="1348"/>
      <c r="C49" s="1349"/>
      <c r="D49" s="1349"/>
      <c r="E49" s="1349"/>
      <c r="F49" s="1349"/>
      <c r="G49" s="1349"/>
      <c r="H49" s="1349"/>
      <c r="I49" s="1350"/>
      <c r="J49" s="1349"/>
      <c r="K49" s="1349"/>
      <c r="L49" s="1349"/>
      <c r="M49" s="1349"/>
      <c r="N49" s="1349"/>
      <c r="O49" s="1349"/>
      <c r="P49" s="1349"/>
      <c r="Q49" s="1350"/>
      <c r="R49" s="1349"/>
      <c r="S49" s="1349"/>
      <c r="T49" s="1349"/>
      <c r="U49" s="1349"/>
      <c r="V49" s="1349"/>
      <c r="W49" s="1349"/>
      <c r="X49" s="1349"/>
      <c r="Y49" s="1350"/>
      <c r="Z49" s="1349"/>
      <c r="AA49" s="1349"/>
      <c r="AB49" s="1349"/>
      <c r="AC49" s="1349"/>
      <c r="AD49" s="1349"/>
      <c r="AE49" s="1349"/>
      <c r="AF49" s="1349"/>
      <c r="AG49" s="1350"/>
      <c r="AH49" s="1349"/>
      <c r="AI49" s="1349"/>
      <c r="AJ49" s="1349"/>
      <c r="AK49" s="1349"/>
      <c r="AL49" s="1349"/>
      <c r="AM49" s="1349"/>
      <c r="AN49" s="1349"/>
      <c r="AO49" s="1350"/>
      <c r="AP49" s="1349"/>
      <c r="AQ49" s="1349"/>
      <c r="AR49" s="1349"/>
      <c r="AS49" s="1349"/>
      <c r="AT49" s="1349"/>
      <c r="AU49" s="1349"/>
      <c r="AV49" s="1349"/>
      <c r="AW49" s="1350"/>
      <c r="AX49" s="1349"/>
      <c r="AY49" s="1349"/>
      <c r="AZ49" s="1349"/>
      <c r="BA49" s="1349"/>
      <c r="BB49" s="1349"/>
      <c r="BC49" s="1349"/>
      <c r="BD49" s="1349"/>
      <c r="BE49" s="1350"/>
      <c r="BF49" s="1349"/>
      <c r="BG49" s="1349"/>
      <c r="BH49" s="1349"/>
      <c r="BI49" s="1349"/>
      <c r="BJ49" s="1349"/>
      <c r="BK49" s="1349"/>
      <c r="BL49" s="1349"/>
      <c r="BM49" s="1350"/>
      <c r="BN49" s="1349"/>
      <c r="BO49" s="1349"/>
      <c r="BP49" s="1349"/>
      <c r="BQ49" s="1349"/>
      <c r="BR49" s="1349"/>
      <c r="BS49" s="1349"/>
      <c r="BT49" s="1349"/>
      <c r="BU49" s="1350"/>
      <c r="BV49" s="1349"/>
      <c r="BW49" s="1349"/>
      <c r="BX49" s="1349"/>
      <c r="BY49" s="1349"/>
      <c r="BZ49" s="1349"/>
      <c r="CA49" s="1349"/>
      <c r="CB49" s="1349"/>
      <c r="CC49" s="1350"/>
      <c r="CD49" s="1349"/>
      <c r="CE49" s="1349"/>
      <c r="CF49" s="1517"/>
      <c r="CG49" s="1377"/>
      <c r="CH49" s="1377"/>
      <c r="CI49" s="1377"/>
      <c r="CJ49" s="1517"/>
      <c r="CK49" s="1518"/>
      <c r="CL49" s="1377"/>
      <c r="CM49" s="1377"/>
      <c r="CN49" s="1517"/>
      <c r="CO49" s="1377"/>
      <c r="CP49" s="1377"/>
      <c r="CQ49" s="1377"/>
      <c r="CR49" s="1517"/>
      <c r="CS49" s="1518"/>
      <c r="CT49" s="1377"/>
      <c r="CU49" s="1377"/>
      <c r="CV49" s="1517"/>
      <c r="CW49" s="1377"/>
      <c r="CX49" s="1377"/>
      <c r="CY49" s="1377"/>
      <c r="CZ49" s="1517"/>
      <c r="DA49" s="1518"/>
      <c r="DB49" s="1377"/>
      <c r="DC49" s="1377"/>
      <c r="DD49" s="1517"/>
      <c r="DE49" s="1377"/>
      <c r="DF49" s="1377"/>
      <c r="DG49" s="1377"/>
      <c r="DH49" s="1517"/>
      <c r="DI49" s="1518"/>
      <c r="DL49" s="1517"/>
      <c r="DM49" s="1377"/>
      <c r="DN49" s="1377"/>
      <c r="DO49" s="1377"/>
      <c r="DP49" s="1517"/>
      <c r="DQ49" s="1518"/>
      <c r="DR49"/>
      <c r="DT49" s="1517"/>
      <c r="DU49" s="1377"/>
      <c r="DV49" s="1377"/>
      <c r="DW49" s="1377"/>
      <c r="DX49" s="1517"/>
      <c r="DY49" s="1518"/>
    </row>
    <row r="50" spans="1:137" collapsed="1">
      <c r="A50" s="19" t="s">
        <v>1930</v>
      </c>
      <c r="B50" s="1348"/>
      <c r="C50" s="1349"/>
      <c r="D50" s="1349"/>
      <c r="E50" s="1349"/>
      <c r="F50" s="1349"/>
      <c r="G50" s="1349"/>
      <c r="H50" s="1349"/>
      <c r="I50" s="1350"/>
      <c r="J50" s="1349"/>
      <c r="K50" s="1349"/>
      <c r="L50" s="1349"/>
      <c r="M50" s="1349"/>
      <c r="N50" s="1349"/>
      <c r="O50" s="1349"/>
      <c r="P50" s="1349"/>
      <c r="Q50" s="1350"/>
      <c r="R50" s="1349"/>
      <c r="S50" s="1349"/>
      <c r="T50" s="1349"/>
      <c r="U50" s="1349"/>
      <c r="V50" s="1349"/>
      <c r="W50" s="1349"/>
      <c r="X50" s="1349"/>
      <c r="Y50" s="1350"/>
      <c r="Z50" s="1349"/>
      <c r="AA50" s="1349"/>
      <c r="AB50" s="1349"/>
      <c r="AC50" s="1349"/>
      <c r="AD50" s="1349"/>
      <c r="AE50" s="1349"/>
      <c r="AF50" s="1349"/>
      <c r="AG50" s="1350"/>
      <c r="AH50" s="1349"/>
      <c r="AI50" s="1349"/>
      <c r="AJ50" s="1349"/>
      <c r="AK50" s="1349"/>
      <c r="AL50" s="1349"/>
      <c r="AM50" s="1349"/>
      <c r="AN50" s="1349"/>
      <c r="AO50" s="1350"/>
      <c r="AP50" s="1349"/>
      <c r="AQ50" s="1349"/>
      <c r="AR50" s="1349"/>
      <c r="AS50" s="1349"/>
      <c r="AT50" s="1349"/>
      <c r="AU50" s="1349"/>
      <c r="AV50" s="1349"/>
      <c r="AW50" s="1350"/>
      <c r="AX50" s="1349"/>
      <c r="AY50" s="1349"/>
      <c r="AZ50" s="1349"/>
      <c r="BA50" s="1349"/>
      <c r="BB50" s="1349"/>
      <c r="BC50" s="1349"/>
      <c r="BD50" s="1349"/>
      <c r="BE50" s="1350"/>
      <c r="BF50" s="1349"/>
      <c r="BG50" s="1349"/>
      <c r="BH50" s="1349"/>
      <c r="BI50" s="1349"/>
      <c r="BJ50" s="1349"/>
      <c r="BK50" s="1349"/>
      <c r="BL50" s="1349"/>
      <c r="BM50" s="1350"/>
      <c r="BN50" s="1349"/>
      <c r="BO50" s="1349"/>
      <c r="BP50" s="1349"/>
      <c r="BQ50" s="1349"/>
      <c r="BR50" s="1349"/>
      <c r="BS50" s="1349"/>
      <c r="BT50" s="1349"/>
      <c r="BU50" s="1350"/>
      <c r="BV50" s="1349"/>
      <c r="BW50" s="1349"/>
      <c r="BX50" s="1349"/>
      <c r="BY50" s="1349"/>
      <c r="BZ50" s="1349"/>
      <c r="CA50" s="1349"/>
      <c r="CB50" s="1349"/>
      <c r="CC50" s="1350"/>
      <c r="CD50" s="1349"/>
      <c r="CE50" s="1349"/>
      <c r="CF50" s="1517">
        <f t="shared" ref="CF50:CF51" si="328">CF37/CF10</f>
        <v>9.0847913862718704E-2</v>
      </c>
      <c r="CG50" s="1377"/>
      <c r="CH50" s="1377"/>
      <c r="CI50" s="1377"/>
      <c r="CJ50" s="1517">
        <f t="shared" ref="CJ50:CK50" si="329">CJ37/CJ10</f>
        <v>0.11333134506412168</v>
      </c>
      <c r="CK50" s="1518">
        <f t="shared" si="329"/>
        <v>0.10276679841897234</v>
      </c>
      <c r="CL50" s="1377"/>
      <c r="CM50" s="1377"/>
      <c r="CN50" s="1517">
        <f t="shared" ref="CN50:CN51" si="330">CN37/CN10</f>
        <v>0.11722760981175129</v>
      </c>
      <c r="CO50" s="1377"/>
      <c r="CP50" s="1377"/>
      <c r="CQ50" s="1377"/>
      <c r="CR50" s="1517">
        <f t="shared" ref="CR50:CS50" si="331">CR37/CR10</f>
        <v>0.1149168528170762</v>
      </c>
      <c r="CS50" s="1518">
        <f t="shared" si="331"/>
        <v>0.11599203715992037</v>
      </c>
      <c r="CT50" s="1377"/>
      <c r="CU50" s="1377"/>
      <c r="CV50" s="1517">
        <f t="shared" ref="CV50:CV51" si="332">CV37/CV10</f>
        <v>0.11365853658536586</v>
      </c>
      <c r="CW50" s="1377"/>
      <c r="CX50" s="1377"/>
      <c r="CY50" s="1377"/>
      <c r="CZ50" s="1517">
        <f t="shared" ref="CZ50:DA50" si="333">CZ37/CZ10</f>
        <v>0.11108764519535375</v>
      </c>
      <c r="DA50" s="1518">
        <f t="shared" si="333"/>
        <v>0.11228070175438597</v>
      </c>
      <c r="DB50" s="1377"/>
      <c r="DC50" s="1377"/>
      <c r="DD50" s="1517">
        <f t="shared" ref="DD50:DD51" si="334">DD37/DD10</f>
        <v>0.12707930367504836</v>
      </c>
      <c r="DE50" s="1377"/>
      <c r="DF50" s="1377"/>
      <c r="DG50" s="1377"/>
      <c r="DH50" s="1517">
        <f t="shared" ref="DH50:DI50" si="335">DH37/DH10</f>
        <v>0.11765785609397944</v>
      </c>
      <c r="DI50" s="1518">
        <f t="shared" si="335"/>
        <v>0.12224524392540968</v>
      </c>
      <c r="DL50" s="1517">
        <f t="shared" ref="DL50:DL51" si="336">DL37/DL10</f>
        <v>0.12533428418612944</v>
      </c>
      <c r="DM50" s="1377"/>
      <c r="DN50" s="1377"/>
      <c r="DO50" s="1377"/>
      <c r="DP50" s="1517">
        <f t="shared" ref="DP50:DQ51" si="337">DP37/DP10</f>
        <v>0.13656618941438417</v>
      </c>
      <c r="DQ50" s="1518">
        <f t="shared" si="337"/>
        <v>0.13139866479125725</v>
      </c>
      <c r="DR50"/>
      <c r="DT50" s="1517">
        <f t="shared" ref="DT50:DT51" si="338">DT37/DT10</f>
        <v>0.14320959507156439</v>
      </c>
      <c r="DU50" s="1377"/>
      <c r="DV50" s="1377"/>
      <c r="DW50" s="1377"/>
      <c r="DX50" s="1517">
        <f t="shared" ref="DX50:DY50" si="339">DX37/DX10</f>
        <v>0.13259227459487238</v>
      </c>
      <c r="DY50" s="1518">
        <f t="shared" si="339"/>
        <v>0.13776194372884279</v>
      </c>
    </row>
    <row r="51" spans="1:137">
      <c r="A51" s="19" t="s">
        <v>1293</v>
      </c>
      <c r="B51" s="1348"/>
      <c r="C51" s="1349"/>
      <c r="D51" s="1349"/>
      <c r="E51" s="1349"/>
      <c r="F51" s="1349"/>
      <c r="G51" s="1349"/>
      <c r="H51" s="1349"/>
      <c r="I51" s="1350"/>
      <c r="J51" s="1349"/>
      <c r="K51" s="1349"/>
      <c r="L51" s="1349"/>
      <c r="M51" s="1349"/>
      <c r="N51" s="1349"/>
      <c r="O51" s="1349"/>
      <c r="P51" s="1349"/>
      <c r="Q51" s="1350"/>
      <c r="R51" s="1349"/>
      <c r="S51" s="1349"/>
      <c r="T51" s="1349"/>
      <c r="U51" s="1349"/>
      <c r="V51" s="1349"/>
      <c r="W51" s="1349"/>
      <c r="X51" s="1349"/>
      <c r="Y51" s="1350"/>
      <c r="Z51" s="1349"/>
      <c r="AA51" s="1349"/>
      <c r="AB51" s="1349"/>
      <c r="AC51" s="1349"/>
      <c r="AD51" s="1349"/>
      <c r="AE51" s="1349"/>
      <c r="AF51" s="1349"/>
      <c r="AG51" s="1350"/>
      <c r="AH51" s="1349"/>
      <c r="AI51" s="1349"/>
      <c r="AJ51" s="1349"/>
      <c r="AK51" s="1349"/>
      <c r="AL51" s="1349"/>
      <c r="AM51" s="1349"/>
      <c r="AN51" s="1349"/>
      <c r="AO51" s="1350"/>
      <c r="AP51" s="1349"/>
      <c r="AQ51" s="1349"/>
      <c r="AR51" s="1349"/>
      <c r="AS51" s="1349"/>
      <c r="AT51" s="1349"/>
      <c r="AU51" s="1349"/>
      <c r="AV51" s="1349"/>
      <c r="AW51" s="1350"/>
      <c r="AX51" s="1349"/>
      <c r="AY51" s="1349"/>
      <c r="AZ51" s="1349"/>
      <c r="BA51" s="1349"/>
      <c r="BB51" s="1349"/>
      <c r="BC51" s="1349"/>
      <c r="BD51" s="1349"/>
      <c r="BE51" s="1350"/>
      <c r="BF51" s="1349"/>
      <c r="BG51" s="1349"/>
      <c r="BH51" s="1349"/>
      <c r="BI51" s="1349"/>
      <c r="BJ51" s="1349"/>
      <c r="BK51" s="1349"/>
      <c r="BL51" s="1349"/>
      <c r="BM51" s="1350"/>
      <c r="BN51" s="1349"/>
      <c r="BO51" s="1349"/>
      <c r="BP51" s="1349"/>
      <c r="BQ51" s="1349"/>
      <c r="BR51" s="1349"/>
      <c r="BS51" s="1349"/>
      <c r="BT51" s="1349"/>
      <c r="BU51" s="1350"/>
      <c r="BV51" s="1349"/>
      <c r="BW51" s="1349"/>
      <c r="BX51" s="1349"/>
      <c r="BY51" s="1349"/>
      <c r="BZ51" s="1349"/>
      <c r="CA51" s="1349"/>
      <c r="CB51" s="1349"/>
      <c r="CC51" s="1350"/>
      <c r="CD51" s="1349"/>
      <c r="CE51" s="1349"/>
      <c r="CF51" s="1517">
        <f t="shared" si="328"/>
        <v>-0.17027863777089783</v>
      </c>
      <c r="CG51" s="1377"/>
      <c r="CH51" s="1377"/>
      <c r="CI51" s="1377"/>
      <c r="CJ51" s="1517">
        <f t="shared" ref="CJ51:CK51" si="340">CJ38/CJ11</f>
        <v>-6.8757539203860074E-2</v>
      </c>
      <c r="CK51" s="1518">
        <f t="shared" si="340"/>
        <v>-0.11322033898305085</v>
      </c>
      <c r="CL51" s="1377"/>
      <c r="CM51" s="1377"/>
      <c r="CN51" s="1517">
        <f t="shared" si="330"/>
        <v>-9.4252873563218389E-2</v>
      </c>
      <c r="CO51" s="1377"/>
      <c r="CP51" s="1377"/>
      <c r="CQ51" s="1377"/>
      <c r="CR51" s="1517">
        <f t="shared" ref="CR51:CS51" si="341">CR38/CR11</f>
        <v>-5.2346570397111915E-2</v>
      </c>
      <c r="CS51" s="1518">
        <f t="shared" si="341"/>
        <v>-7.0778564206268962E-2</v>
      </c>
      <c r="CT51" s="1377"/>
      <c r="CU51" s="1377"/>
      <c r="CV51" s="1517">
        <f t="shared" si="332"/>
        <v>-8.5984522785898534E-2</v>
      </c>
      <c r="CW51" s="1377"/>
      <c r="CX51" s="1377"/>
      <c r="CY51" s="1377"/>
      <c r="CZ51" s="1517">
        <f t="shared" ref="CZ51:DA51" si="342">CZ38/CZ11</f>
        <v>-1.2176560121765601E-2</v>
      </c>
      <c r="DA51" s="1518">
        <f t="shared" si="342"/>
        <v>-4.6830843762616065E-2</v>
      </c>
      <c r="DB51" s="1377"/>
      <c r="DC51" s="1377"/>
      <c r="DD51" s="1517">
        <f t="shared" si="334"/>
        <v>7.0871722182849041E-3</v>
      </c>
      <c r="DE51" s="1377"/>
      <c r="DF51" s="1377"/>
      <c r="DG51" s="1377"/>
      <c r="DH51" s="1517">
        <f t="shared" ref="DH51:DI51" si="343">DH38/DH11</f>
        <v>1.0455104551045511E-2</v>
      </c>
      <c r="DI51" s="1518">
        <f t="shared" si="343"/>
        <v>8.8903523213697735E-3</v>
      </c>
      <c r="DL51" s="1517">
        <f t="shared" si="336"/>
        <v>1.6707920792079209E-2</v>
      </c>
      <c r="DM51" s="1377"/>
      <c r="DN51" s="1377"/>
      <c r="DO51" s="1377"/>
      <c r="DP51" s="1517">
        <f t="shared" si="337"/>
        <v>4.4081298058879399E-2</v>
      </c>
      <c r="DQ51" s="1518">
        <f t="shared" si="337"/>
        <v>3.1161559032415378E-2</v>
      </c>
      <c r="DR51"/>
      <c r="DT51" s="1517">
        <f t="shared" si="338"/>
        <v>4.225574102081308E-2</v>
      </c>
      <c r="DU51" s="1377"/>
      <c r="DV51" s="1377"/>
      <c r="DW51" s="1377"/>
      <c r="DX51" s="1517">
        <f t="shared" ref="DX51:DY51" si="344">DX38/DX11</f>
        <v>6.2336313644910407E-2</v>
      </c>
      <c r="DY51" s="1518">
        <f t="shared" si="344"/>
        <v>5.3006814806385111E-2</v>
      </c>
    </row>
    <row r="52" spans="1:137" hidden="1" outlineLevel="1">
      <c r="A52" s="19" t="s">
        <v>976</v>
      </c>
      <c r="B52" s="1348"/>
      <c r="C52" s="1349"/>
      <c r="D52" s="1349"/>
      <c r="E52" s="1349"/>
      <c r="F52" s="1349"/>
      <c r="G52" s="1349"/>
      <c r="H52" s="1349"/>
      <c r="I52" s="1350"/>
      <c r="J52" s="1349"/>
      <c r="K52" s="1349"/>
      <c r="L52" s="1349"/>
      <c r="M52" s="1349"/>
      <c r="N52" s="1349"/>
      <c r="O52" s="1349"/>
      <c r="P52" s="1349"/>
      <c r="Q52" s="1350"/>
      <c r="R52" s="1349"/>
      <c r="S52" s="1349"/>
      <c r="T52" s="1349"/>
      <c r="U52" s="1349"/>
      <c r="V52" s="1349"/>
      <c r="W52" s="1349"/>
      <c r="X52" s="1349"/>
      <c r="Y52" s="1350"/>
      <c r="Z52" s="1349"/>
      <c r="AA52" s="1349"/>
      <c r="AB52" s="1349"/>
      <c r="AC52" s="1349"/>
      <c r="AD52" s="1349"/>
      <c r="AE52" s="1349"/>
      <c r="AF52" s="1349"/>
      <c r="AG52" s="1350"/>
      <c r="AH52" s="1349"/>
      <c r="AI52" s="1349"/>
      <c r="AJ52" s="1349"/>
      <c r="AK52" s="1349"/>
      <c r="AL52" s="1349"/>
      <c r="AM52" s="1349"/>
      <c r="AN52" s="1349"/>
      <c r="AO52" s="1350"/>
      <c r="AP52" s="1349"/>
      <c r="AQ52" s="1349"/>
      <c r="AR52" s="1349"/>
      <c r="AS52" s="1349"/>
      <c r="AT52" s="1349"/>
      <c r="AU52" s="1349"/>
      <c r="AV52" s="1349"/>
      <c r="AW52" s="1350"/>
      <c r="AX52" s="1349"/>
      <c r="AY52" s="1349"/>
      <c r="AZ52" s="1349"/>
      <c r="BA52" s="1349"/>
      <c r="BB52" s="1349"/>
      <c r="BC52" s="1349"/>
      <c r="BD52" s="1349"/>
      <c r="BE52" s="1350"/>
      <c r="BF52" s="1349"/>
      <c r="BG52" s="1349"/>
      <c r="BH52" s="1349"/>
      <c r="BI52" s="1349"/>
      <c r="BJ52" s="1349"/>
      <c r="BK52" s="1349"/>
      <c r="BL52" s="1349"/>
      <c r="BM52" s="1350"/>
      <c r="BN52" s="1349"/>
      <c r="BO52" s="1349"/>
      <c r="BP52" s="1349"/>
      <c r="BQ52" s="1349"/>
      <c r="BR52" s="1349"/>
      <c r="BS52" s="1349"/>
      <c r="BT52" s="1349"/>
      <c r="BU52" s="1350"/>
      <c r="BV52" s="1349"/>
      <c r="BW52" s="1349"/>
      <c r="BX52" s="1349"/>
      <c r="BY52" s="1349"/>
      <c r="BZ52" s="1349"/>
      <c r="CA52" s="1349"/>
      <c r="CB52" s="1349"/>
      <c r="CC52" s="1350"/>
      <c r="CD52" s="1349"/>
      <c r="CE52" s="1349"/>
      <c r="CF52" s="1349"/>
      <c r="CL52" s="1377"/>
      <c r="CM52" s="1377"/>
      <c r="CN52" s="1349"/>
      <c r="CT52" s="1377"/>
      <c r="CU52" s="1377"/>
      <c r="CV52" s="1349"/>
      <c r="DB52" s="1377"/>
      <c r="DC52" s="1377"/>
      <c r="DD52" s="1349"/>
      <c r="DR52"/>
      <c r="DT52" s="1349"/>
    </row>
    <row r="53" spans="1:137" collapsed="1">
      <c r="A53" s="19" t="s">
        <v>776</v>
      </c>
      <c r="B53" s="1348"/>
      <c r="C53" s="1349"/>
      <c r="D53" s="1349"/>
      <c r="E53" s="1349"/>
      <c r="F53" s="1349"/>
      <c r="G53" s="1349"/>
      <c r="H53" s="1349"/>
      <c r="I53" s="1350"/>
      <c r="J53" s="1349"/>
      <c r="K53" s="1349"/>
      <c r="L53" s="1349"/>
      <c r="M53" s="1349"/>
      <c r="N53" s="1349"/>
      <c r="O53" s="1349"/>
      <c r="P53" s="1349"/>
      <c r="Q53" s="1350"/>
      <c r="R53" s="1349"/>
      <c r="S53" s="1349"/>
      <c r="T53" s="1349"/>
      <c r="U53" s="1349"/>
      <c r="V53" s="1349"/>
      <c r="W53" s="1349"/>
      <c r="X53" s="1349"/>
      <c r="Y53" s="1350"/>
      <c r="Z53" s="1349"/>
      <c r="AA53" s="1349"/>
      <c r="AB53" s="1349"/>
      <c r="AC53" s="1349"/>
      <c r="AD53" s="1349"/>
      <c r="AE53" s="1349"/>
      <c r="AF53" s="1349"/>
      <c r="AG53" s="1350"/>
      <c r="AH53" s="1349"/>
      <c r="AI53" s="1349"/>
      <c r="AJ53" s="1349"/>
      <c r="AK53" s="1349"/>
      <c r="AL53" s="1349"/>
      <c r="AM53" s="1349"/>
      <c r="AN53" s="1349"/>
      <c r="AO53" s="1350"/>
      <c r="AP53" s="1349"/>
      <c r="AQ53" s="1349"/>
      <c r="AR53" s="1349"/>
      <c r="AS53" s="1349"/>
      <c r="AT53" s="1349"/>
      <c r="AU53" s="1349"/>
      <c r="AV53" s="1349"/>
      <c r="AW53" s="1350"/>
      <c r="AX53" s="1349"/>
      <c r="AY53" s="1349"/>
      <c r="AZ53" s="1349"/>
      <c r="BA53" s="1349"/>
      <c r="BB53" s="1349"/>
      <c r="BC53" s="1349"/>
      <c r="BD53" s="1349"/>
      <c r="BE53" s="1350"/>
      <c r="BF53" s="1349"/>
      <c r="BG53" s="1349"/>
      <c r="BH53" s="1349"/>
      <c r="BI53" s="1349"/>
      <c r="BJ53" s="1349"/>
      <c r="BK53" s="1349"/>
      <c r="BL53" s="1349"/>
      <c r="BM53" s="1350"/>
      <c r="BN53" s="1349"/>
      <c r="BO53" s="1349"/>
      <c r="BP53" s="1349"/>
      <c r="BQ53" s="1349"/>
      <c r="BR53" s="1349"/>
      <c r="BS53" s="1349"/>
      <c r="BT53" s="1349"/>
      <c r="BU53" s="1350"/>
      <c r="BV53" s="1349"/>
      <c r="BW53" s="1349"/>
      <c r="BX53" s="1349"/>
      <c r="BY53" s="1349"/>
      <c r="BZ53" s="1349"/>
      <c r="CA53" s="1349"/>
      <c r="CB53" s="1349"/>
      <c r="CC53" s="1350"/>
      <c r="CD53" s="1349"/>
      <c r="CE53" s="1349"/>
      <c r="CF53" s="1349"/>
      <c r="CL53" s="1349"/>
      <c r="CM53" s="1349"/>
      <c r="CN53" s="1349"/>
      <c r="CT53" s="1349"/>
      <c r="CU53" s="1349"/>
      <c r="CV53" s="1349"/>
      <c r="DB53" s="1349"/>
      <c r="DC53" s="1349"/>
      <c r="DD53" s="1349"/>
      <c r="DR53"/>
      <c r="DT53" s="1349"/>
    </row>
    <row r="54" spans="1:137" hidden="1" outlineLevel="1">
      <c r="A54" s="19" t="s">
        <v>975</v>
      </c>
      <c r="B54" s="1348"/>
      <c r="C54" s="1349"/>
      <c r="D54" s="1349"/>
      <c r="E54" s="1349"/>
      <c r="F54" s="1349"/>
      <c r="G54" s="1349"/>
      <c r="H54" s="1349"/>
      <c r="I54" s="1350"/>
      <c r="J54" s="1349"/>
      <c r="K54" s="1349"/>
      <c r="L54" s="1349"/>
      <c r="M54" s="1349"/>
      <c r="N54" s="1349"/>
      <c r="O54" s="1349"/>
      <c r="P54" s="1349"/>
      <c r="Q54" s="1350"/>
      <c r="R54" s="1349"/>
      <c r="S54" s="1349"/>
      <c r="T54" s="1349"/>
      <c r="U54" s="1349"/>
      <c r="V54" s="1349"/>
      <c r="W54" s="1349"/>
      <c r="X54" s="1349"/>
      <c r="Y54" s="1350"/>
      <c r="Z54" s="1349"/>
      <c r="AA54" s="1349"/>
      <c r="AB54" s="1349"/>
      <c r="AC54" s="1349"/>
      <c r="AD54" s="1349"/>
      <c r="AE54" s="1349"/>
      <c r="AF54" s="1349"/>
      <c r="AG54" s="1350"/>
      <c r="AH54" s="1349"/>
      <c r="AI54" s="1349"/>
      <c r="AJ54" s="1349"/>
      <c r="AK54" s="1349"/>
      <c r="AL54" s="1349"/>
      <c r="AM54" s="1349"/>
      <c r="AN54" s="1349"/>
      <c r="AO54" s="1350"/>
      <c r="AP54" s="1349"/>
      <c r="AQ54" s="1349"/>
      <c r="AR54" s="1349"/>
      <c r="AS54" s="1349"/>
      <c r="AT54" s="1349"/>
      <c r="AU54" s="1349"/>
      <c r="AV54" s="1349"/>
      <c r="AW54" s="1350"/>
      <c r="AX54" s="1349"/>
      <c r="AY54" s="1349"/>
      <c r="AZ54" s="1349"/>
      <c r="BA54" s="1349"/>
      <c r="BB54" s="1349"/>
      <c r="BC54" s="1349"/>
      <c r="BD54" s="1349"/>
      <c r="BE54" s="1350"/>
      <c r="BF54" s="1349"/>
      <c r="BG54" s="1349"/>
      <c r="BH54" s="1349"/>
      <c r="BI54" s="1349"/>
      <c r="BJ54" s="1349"/>
      <c r="BK54" s="1349"/>
      <c r="BL54" s="1349"/>
      <c r="BM54" s="1350"/>
      <c r="BN54" s="1349"/>
      <c r="BO54" s="1349"/>
      <c r="BP54" s="1349"/>
      <c r="BQ54" s="1349"/>
      <c r="BR54" s="1349"/>
      <c r="BS54" s="1349"/>
      <c r="BT54" s="1349"/>
      <c r="BU54" s="1350"/>
      <c r="BV54" s="1349"/>
      <c r="BW54" s="1349"/>
      <c r="BX54" s="1349"/>
      <c r="BY54" s="1349"/>
      <c r="BZ54" s="1349"/>
      <c r="CA54" s="1349"/>
      <c r="CB54" s="1349"/>
      <c r="CC54" s="1350"/>
      <c r="CD54" s="1349"/>
      <c r="CE54" s="1349"/>
      <c r="CF54" s="1349"/>
      <c r="CL54" s="1349"/>
      <c r="CM54" s="1349"/>
      <c r="CN54" s="1349"/>
      <c r="CT54" s="1349"/>
      <c r="CU54" s="1349"/>
      <c r="CV54" s="1349"/>
      <c r="DB54" s="1349"/>
      <c r="DC54" s="1349"/>
      <c r="DD54" s="1349"/>
      <c r="DR54"/>
      <c r="DT54" s="1349"/>
    </row>
    <row r="55" spans="1:137" hidden="1" outlineLevel="1">
      <c r="A55" s="19" t="s">
        <v>743</v>
      </c>
      <c r="B55" s="1348"/>
      <c r="C55" s="1349"/>
      <c r="D55" s="1349"/>
      <c r="E55" s="1349"/>
      <c r="F55" s="1349"/>
      <c r="G55" s="1349"/>
      <c r="H55" s="1349"/>
      <c r="I55" s="1350"/>
      <c r="J55" s="1349"/>
      <c r="K55" s="1349"/>
      <c r="L55" s="1349"/>
      <c r="M55" s="1349"/>
      <c r="N55" s="1349"/>
      <c r="O55" s="1349"/>
      <c r="P55" s="1349"/>
      <c r="Q55" s="1350"/>
      <c r="R55" s="1349"/>
      <c r="S55" s="1349"/>
      <c r="T55" s="1349"/>
      <c r="U55" s="1349"/>
      <c r="V55" s="1349"/>
      <c r="W55" s="1349"/>
      <c r="X55" s="1349"/>
      <c r="Y55" s="1350"/>
      <c r="Z55" s="1349"/>
      <c r="AA55" s="1349"/>
      <c r="AB55" s="1349"/>
      <c r="AC55" s="1349"/>
      <c r="AD55" s="1349"/>
      <c r="AE55" s="1349"/>
      <c r="AF55" s="1349"/>
      <c r="AG55" s="1350"/>
      <c r="AH55" s="1349"/>
      <c r="AI55" s="1349"/>
      <c r="AJ55" s="1349"/>
      <c r="AK55" s="1349"/>
      <c r="AL55" s="1349"/>
      <c r="AM55" s="1349"/>
      <c r="AN55" s="1349"/>
      <c r="AO55" s="1350"/>
      <c r="AP55" s="1349"/>
      <c r="AQ55" s="1349"/>
      <c r="AR55" s="1349"/>
      <c r="AS55" s="1349"/>
      <c r="AT55" s="1349"/>
      <c r="AU55" s="1349"/>
      <c r="AV55" s="1349"/>
      <c r="AW55" s="1350"/>
      <c r="AX55" s="1349"/>
      <c r="AY55" s="1349"/>
      <c r="AZ55" s="1349"/>
      <c r="BA55" s="1349"/>
      <c r="BB55" s="1349"/>
      <c r="BC55" s="1349"/>
      <c r="BD55" s="1349"/>
      <c r="BE55" s="1350"/>
      <c r="BF55" s="1349"/>
      <c r="BG55" s="1349"/>
      <c r="BH55" s="1349"/>
      <c r="BI55" s="1349"/>
      <c r="BJ55" s="1349"/>
      <c r="BK55" s="1349"/>
      <c r="BL55" s="1349"/>
      <c r="BM55" s="1350"/>
      <c r="BN55" s="1349"/>
      <c r="BO55" s="1349"/>
      <c r="BP55" s="1349"/>
      <c r="BQ55" s="1349"/>
      <c r="BR55" s="1349"/>
      <c r="BS55" s="1349"/>
      <c r="BT55" s="1349"/>
      <c r="BU55" s="1350"/>
      <c r="BV55" s="1349"/>
      <c r="BW55" s="1349"/>
      <c r="BX55" s="1349"/>
      <c r="BY55" s="1349"/>
      <c r="BZ55" s="1349"/>
      <c r="CA55" s="1349"/>
      <c r="CB55" s="1349"/>
      <c r="CC55" s="1350"/>
      <c r="CD55" s="1349"/>
      <c r="CE55" s="1349"/>
      <c r="CF55" s="1349"/>
      <c r="CL55" s="1349"/>
      <c r="CM55" s="1349"/>
      <c r="CN55" s="1349"/>
      <c r="CT55" s="1349"/>
      <c r="CU55" s="1349"/>
      <c r="CV55" s="1349"/>
      <c r="DB55" s="1349"/>
      <c r="DC55" s="1349"/>
      <c r="DD55" s="1349"/>
      <c r="DR55"/>
      <c r="DT55" s="1349"/>
    </row>
    <row r="56" spans="1:137" s="331" customFormat="1" ht="12.75" customHeight="1" collapsed="1">
      <c r="A56" s="1329" t="s">
        <v>1008</v>
      </c>
      <c r="B56" s="1330">
        <f t="shared" ref="B56:AM56" si="345">SUM(B46:B55)</f>
        <v>0</v>
      </c>
      <c r="C56" s="1331">
        <f t="shared" si="345"/>
        <v>0</v>
      </c>
      <c r="D56" s="1331">
        <f t="shared" ref="D56" si="346">B56+C56</f>
        <v>0</v>
      </c>
      <c r="E56" s="1331">
        <f t="shared" si="345"/>
        <v>0</v>
      </c>
      <c r="F56" s="1331">
        <f t="shared" ref="F56" si="347">D56+E56</f>
        <v>0</v>
      </c>
      <c r="G56" s="1331">
        <f t="shared" ref="G56" si="348">SUM(G46:G55)</f>
        <v>0</v>
      </c>
      <c r="H56" s="1331">
        <f t="shared" ref="H56" si="349">G56+E56</f>
        <v>0</v>
      </c>
      <c r="I56" s="1332">
        <f t="shared" ref="I56" si="350">H56+D56</f>
        <v>0</v>
      </c>
      <c r="J56" s="1330">
        <f t="shared" si="345"/>
        <v>0</v>
      </c>
      <c r="K56" s="1331">
        <f t="shared" si="345"/>
        <v>0</v>
      </c>
      <c r="L56" s="1331">
        <f t="shared" ref="L56" si="351">J56+K56</f>
        <v>0</v>
      </c>
      <c r="M56" s="1331">
        <f t="shared" si="345"/>
        <v>0</v>
      </c>
      <c r="N56" s="1331">
        <f t="shared" ref="N56" si="352">L56+M56</f>
        <v>0</v>
      </c>
      <c r="O56" s="1331">
        <f t="shared" si="345"/>
        <v>0</v>
      </c>
      <c r="P56" s="1331">
        <f t="shared" ref="P56" si="353">O56+M56</f>
        <v>0</v>
      </c>
      <c r="Q56" s="1332">
        <f t="shared" ref="Q56" si="354">P56+L56</f>
        <v>0</v>
      </c>
      <c r="R56" s="1331">
        <f t="shared" si="345"/>
        <v>0</v>
      </c>
      <c r="S56" s="1331">
        <f t="shared" si="345"/>
        <v>0</v>
      </c>
      <c r="T56" s="1331">
        <f t="shared" ref="T56" si="355">R56+S56</f>
        <v>0</v>
      </c>
      <c r="U56" s="1331">
        <f t="shared" si="345"/>
        <v>0</v>
      </c>
      <c r="V56" s="1331">
        <f t="shared" ref="V56" si="356">T56+U56</f>
        <v>0</v>
      </c>
      <c r="W56" s="1331">
        <f t="shared" si="345"/>
        <v>0</v>
      </c>
      <c r="X56" s="1331">
        <f t="shared" ref="X56" si="357">W56+U56</f>
        <v>0</v>
      </c>
      <c r="Y56" s="1332">
        <f t="shared" ref="Y56" si="358">X56+T56</f>
        <v>0</v>
      </c>
      <c r="Z56" s="1331">
        <f t="shared" si="345"/>
        <v>0</v>
      </c>
      <c r="AA56" s="1331">
        <f t="shared" si="345"/>
        <v>0</v>
      </c>
      <c r="AB56" s="1331">
        <f t="shared" ref="AB56" si="359">Z56+AA56</f>
        <v>0</v>
      </c>
      <c r="AC56" s="1331">
        <f t="shared" si="345"/>
        <v>0</v>
      </c>
      <c r="AD56" s="1331">
        <f t="shared" ref="AD56" si="360">AB56+AC56</f>
        <v>0</v>
      </c>
      <c r="AE56" s="1331">
        <f t="shared" si="345"/>
        <v>0</v>
      </c>
      <c r="AF56" s="1331">
        <f t="shared" ref="AF56" si="361">AE56+AC56</f>
        <v>0</v>
      </c>
      <c r="AG56" s="1332">
        <f t="shared" ref="AG56" si="362">AF56+AB56</f>
        <v>0</v>
      </c>
      <c r="AH56" s="1331">
        <f t="shared" si="345"/>
        <v>0</v>
      </c>
      <c r="AI56" s="1331">
        <f t="shared" si="345"/>
        <v>0</v>
      </c>
      <c r="AJ56" s="1331">
        <f t="shared" ref="AJ56" si="363">AH56+AI56</f>
        <v>0</v>
      </c>
      <c r="AK56" s="1331">
        <f t="shared" si="345"/>
        <v>0</v>
      </c>
      <c r="AL56" s="1331">
        <f t="shared" ref="AL56" si="364">AJ56+AK56</f>
        <v>0</v>
      </c>
      <c r="AM56" s="1331">
        <f t="shared" si="345"/>
        <v>0</v>
      </c>
      <c r="AN56" s="1331">
        <f t="shared" ref="AN56" si="365">AM56+AK56</f>
        <v>0</v>
      </c>
      <c r="AO56" s="1332">
        <f t="shared" ref="AO56" si="366">AN56+AJ56</f>
        <v>0</v>
      </c>
      <c r="AP56" s="1331">
        <f>SUM(AP46:AP55)-AP52</f>
        <v>0</v>
      </c>
      <c r="AQ56" s="1331">
        <f>SUM(AQ46:AQ55)-AQ52</f>
        <v>0</v>
      </c>
      <c r="AR56" s="1331">
        <f t="shared" ref="AR56" si="367">AP56+AQ56</f>
        <v>0</v>
      </c>
      <c r="AS56" s="1331">
        <f>SUM(AS46:AS55)-AS52</f>
        <v>0</v>
      </c>
      <c r="AT56" s="1331">
        <f t="shared" ref="AT56" si="368">AR56+AS56</f>
        <v>0</v>
      </c>
      <c r="AU56" s="1331">
        <f>SUM(AU46:AU55)-AU52</f>
        <v>0</v>
      </c>
      <c r="AV56" s="1331">
        <f t="shared" ref="AV56" si="369">AU56+AS56</f>
        <v>0</v>
      </c>
      <c r="AW56" s="1332">
        <f t="shared" ref="AW56" si="370">AV56+AR56</f>
        <v>0</v>
      </c>
      <c r="AX56" s="1331">
        <f>SUM(AX46:AX55)</f>
        <v>0</v>
      </c>
      <c r="AY56" s="1331">
        <f>SUM(AY46:AY55)</f>
        <v>0</v>
      </c>
      <c r="AZ56" s="1331">
        <f t="shared" ref="AZ56" si="371">AX56+AY56</f>
        <v>0</v>
      </c>
      <c r="BA56" s="1331">
        <f>SUM(BA46:BA55)</f>
        <v>0</v>
      </c>
      <c r="BB56" s="1331">
        <f t="shared" ref="BB56" si="372">AZ56+BA56</f>
        <v>0</v>
      </c>
      <c r="BC56" s="1331">
        <f>SUM(BC46:BC55)</f>
        <v>0</v>
      </c>
      <c r="BD56" s="1331">
        <f t="shared" ref="BD56" si="373">BC56+BA56</f>
        <v>0</v>
      </c>
      <c r="BE56" s="1332">
        <f t="shared" ref="BE56" si="374">BD56+AZ56</f>
        <v>0</v>
      </c>
      <c r="BF56" s="1331">
        <f t="shared" ref="BF56:CA56" si="375">SUM(BF50:BF55,BF46)</f>
        <v>0</v>
      </c>
      <c r="BG56" s="1331">
        <f t="shared" si="375"/>
        <v>0</v>
      </c>
      <c r="BH56" s="1331">
        <f t="shared" ref="BH56" si="376">BF56+BG56</f>
        <v>0</v>
      </c>
      <c r="BI56" s="1331">
        <f t="shared" si="375"/>
        <v>0</v>
      </c>
      <c r="BJ56" s="1331">
        <f t="shared" ref="BJ56" si="377">BH56+BI56</f>
        <v>0</v>
      </c>
      <c r="BK56" s="1331">
        <f t="shared" si="375"/>
        <v>0</v>
      </c>
      <c r="BL56" s="1331">
        <f t="shared" ref="BL56" si="378">BK56+BI56</f>
        <v>0</v>
      </c>
      <c r="BM56" s="1332">
        <f t="shared" ref="BM56" si="379">BL56+BH56</f>
        <v>0</v>
      </c>
      <c r="BN56" s="1331">
        <f t="shared" si="375"/>
        <v>0</v>
      </c>
      <c r="BO56" s="1331">
        <f t="shared" si="375"/>
        <v>0</v>
      </c>
      <c r="BP56" s="1331">
        <f t="shared" ref="BP56" si="380">BN56+BO56</f>
        <v>0</v>
      </c>
      <c r="BQ56" s="1331">
        <f t="shared" si="375"/>
        <v>0</v>
      </c>
      <c r="BR56" s="1331">
        <f t="shared" ref="BR56" si="381">BP56+BQ56</f>
        <v>0</v>
      </c>
      <c r="BS56" s="1331">
        <f t="shared" si="375"/>
        <v>0</v>
      </c>
      <c r="BT56" s="1331">
        <f t="shared" ref="BT56" si="382">BS56+BQ56</f>
        <v>0</v>
      </c>
      <c r="BU56" s="1332">
        <f t="shared" ref="BU56" si="383">BT56+BP56</f>
        <v>0</v>
      </c>
      <c r="BV56" s="1331">
        <f t="shared" si="375"/>
        <v>0</v>
      </c>
      <c r="BW56" s="1331">
        <f t="shared" si="375"/>
        <v>0</v>
      </c>
      <c r="BX56" s="1331">
        <f t="shared" ref="BX56" si="384">BV56+BW56</f>
        <v>0</v>
      </c>
      <c r="BY56" s="1331">
        <f t="shared" si="375"/>
        <v>0</v>
      </c>
      <c r="BZ56" s="1331">
        <f t="shared" ref="BZ56" si="385">BX56+BY56</f>
        <v>0</v>
      </c>
      <c r="CA56" s="1331">
        <f t="shared" si="375"/>
        <v>0</v>
      </c>
      <c r="CB56" s="1331">
        <f t="shared" ref="CB56" si="386">CA56+BY56</f>
        <v>0</v>
      </c>
      <c r="CC56" s="1332">
        <f t="shared" ref="CC56" si="387">CB56+BX56</f>
        <v>0</v>
      </c>
      <c r="CD56" s="1331"/>
      <c r="CE56" s="1331"/>
      <c r="CF56" s="1516">
        <f>CF43/CF16</f>
        <v>9.5840605002908669E-2</v>
      </c>
      <c r="CG56" s="1331"/>
      <c r="CH56" s="1331"/>
      <c r="CI56" s="1331"/>
      <c r="CJ56" s="1516">
        <f>CJ43/CJ16</f>
        <v>0.13673785944398043</v>
      </c>
      <c r="CK56" s="1519">
        <f>CK43/CK16</f>
        <v>0.11830635118306351</v>
      </c>
      <c r="CL56" s="1331"/>
      <c r="CM56" s="1331"/>
      <c r="CN56" s="1516">
        <f>CN43/CN16</f>
        <v>0.12231308411214953</v>
      </c>
      <c r="CO56" s="1331"/>
      <c r="CP56" s="1331"/>
      <c r="CQ56" s="1331"/>
      <c r="CR56" s="1516">
        <f>CR43/CR16</f>
        <v>0.12992840095465394</v>
      </c>
      <c r="CS56" s="1519">
        <f>CS43/CS16</f>
        <v>0.12650380877331233</v>
      </c>
      <c r="CT56" s="1331"/>
      <c r="CU56" s="1331"/>
      <c r="CV56" s="1516">
        <f>CV43/CV16</f>
        <v>0.12763819095477386</v>
      </c>
      <c r="CW56" s="1331"/>
      <c r="CX56" s="1331"/>
      <c r="CY56" s="1331"/>
      <c r="CZ56" s="1516">
        <f>CZ43/CZ16</f>
        <v>0.14436102497143791</v>
      </c>
      <c r="DA56" s="1519">
        <f>DA43/DA16</f>
        <v>0.13647139962929436</v>
      </c>
      <c r="DB56" s="1331"/>
      <c r="DC56" s="1331"/>
      <c r="DD56" s="1516">
        <f>DD43/DD16</f>
        <v>0.15129914922970797</v>
      </c>
      <c r="DE56" s="1331"/>
      <c r="DF56" s="1331"/>
      <c r="DG56" s="1331"/>
      <c r="DH56" s="1516">
        <f>DH43/DH16</f>
        <v>0.15032588128109889</v>
      </c>
      <c r="DI56" s="1519">
        <f>DI43/DI16</f>
        <v>0.15078522531756783</v>
      </c>
      <c r="DJ56" s="1331"/>
      <c r="DK56" s="1331"/>
      <c r="DL56" s="1516">
        <f>DL43/DL16</f>
        <v>0.16995057214435641</v>
      </c>
      <c r="DM56" s="1331"/>
      <c r="DN56" s="1331"/>
      <c r="DO56" s="1331"/>
      <c r="DP56" s="1516">
        <f>DP43/DP16</f>
        <v>0.16449323462421134</v>
      </c>
      <c r="DQ56" s="1519">
        <f>DQ43/DQ16</f>
        <v>0.16708824722058432</v>
      </c>
      <c r="DR56" s="1331"/>
      <c r="DS56" s="1331"/>
      <c r="DT56" s="1516">
        <f>DT43/DT16</f>
        <v>0.17313657037715863</v>
      </c>
      <c r="DU56" s="1331"/>
      <c r="DV56" s="1331"/>
      <c r="DW56" s="1331"/>
      <c r="DX56" s="1516">
        <f>DX43/DX16</f>
        <v>0.17526252533947928</v>
      </c>
      <c r="DY56" s="1519">
        <f>DY43/DY16</f>
        <v>0.1742407221795885</v>
      </c>
      <c r="DZ56" s="1331"/>
      <c r="EA56" s="1331"/>
      <c r="EB56" s="1331"/>
      <c r="EC56" s="1331"/>
      <c r="ED56" s="1331"/>
      <c r="EE56" s="1331"/>
      <c r="EF56" s="1331"/>
      <c r="EG56" s="1510"/>
    </row>
    <row r="57" spans="1:137">
      <c r="A57" s="214"/>
      <c r="B57" s="1348"/>
      <c r="C57" s="1349"/>
      <c r="D57" s="1349"/>
      <c r="E57" s="1349"/>
      <c r="F57" s="1349"/>
      <c r="G57" s="1349"/>
      <c r="H57" s="1349"/>
      <c r="I57" s="1350"/>
      <c r="J57" s="1349"/>
      <c r="K57" s="1349"/>
      <c r="L57" s="1349"/>
      <c r="M57" s="1349"/>
      <c r="N57" s="1349"/>
      <c r="O57" s="1349"/>
      <c r="P57" s="1349"/>
      <c r="Q57" s="1350"/>
      <c r="R57" s="1349"/>
      <c r="S57" s="1349"/>
      <c r="T57" s="1349"/>
      <c r="U57" s="1349"/>
      <c r="V57" s="1349"/>
      <c r="W57" s="1349"/>
      <c r="X57" s="1349"/>
      <c r="Y57" s="1350"/>
      <c r="Z57" s="1349"/>
      <c r="AA57" s="1349"/>
      <c r="AB57" s="1349"/>
      <c r="AC57" s="1349"/>
      <c r="AD57" s="1349"/>
      <c r="AE57" s="1349"/>
      <c r="AF57" s="1349"/>
      <c r="AG57" s="1350"/>
      <c r="AH57" s="1349"/>
      <c r="AI57" s="1349"/>
      <c r="AJ57" s="1349"/>
      <c r="AK57" s="1349"/>
      <c r="AL57" s="1349"/>
      <c r="AM57" s="1349"/>
      <c r="AN57" s="1349"/>
      <c r="AO57" s="1350"/>
      <c r="AP57" s="1349"/>
      <c r="AQ57" s="1349"/>
      <c r="AR57" s="1349"/>
      <c r="AS57" s="1349"/>
      <c r="AT57" s="1349"/>
      <c r="AU57" s="1349"/>
      <c r="AV57" s="1349"/>
      <c r="AW57" s="1350"/>
      <c r="AX57" s="1349"/>
      <c r="AY57" s="1349"/>
      <c r="AZ57" s="1349"/>
      <c r="BA57" s="1349"/>
      <c r="BB57" s="1349"/>
      <c r="BC57" s="1349"/>
      <c r="BD57" s="1349"/>
      <c r="BE57" s="1350"/>
      <c r="BF57" s="1349"/>
      <c r="BG57" s="1349"/>
      <c r="BH57" s="1349"/>
      <c r="BI57" s="1349"/>
      <c r="BJ57" s="1349"/>
      <c r="BK57" s="1349"/>
      <c r="BL57" s="1349"/>
      <c r="BM57" s="1350"/>
      <c r="BN57" s="1349"/>
      <c r="BO57" s="1349"/>
      <c r="BP57" s="1349"/>
      <c r="BQ57" s="1349"/>
      <c r="BR57" s="1349"/>
      <c r="BS57" s="1349"/>
      <c r="BT57" s="1349"/>
      <c r="BU57" s="1350"/>
      <c r="BV57" s="1349"/>
      <c r="BW57" s="1349"/>
      <c r="BX57" s="1349"/>
      <c r="BY57" s="1349"/>
      <c r="BZ57" s="1349"/>
      <c r="CA57" s="1349"/>
      <c r="CB57" s="1349"/>
      <c r="CC57" s="1350"/>
      <c r="CD57" s="1349"/>
      <c r="CE57" s="1349"/>
      <c r="CF57" s="1349"/>
      <c r="CG57" s="1349"/>
      <c r="CH57" s="1349"/>
      <c r="CI57" s="1349"/>
      <c r="CJ57" s="1349"/>
      <c r="CK57" s="1350"/>
      <c r="CL57" s="1349"/>
      <c r="CM57" s="1349"/>
      <c r="CN57" s="1349"/>
      <c r="CO57" s="1349"/>
      <c r="CP57" s="1349"/>
      <c r="CQ57" s="1349"/>
      <c r="CR57" s="1349"/>
      <c r="CS57" s="1350"/>
      <c r="CT57" s="1349"/>
      <c r="CU57" s="1349"/>
      <c r="CV57" s="1349"/>
      <c r="CW57" s="1349"/>
      <c r="CX57" s="1349"/>
      <c r="CY57" s="1349"/>
      <c r="CZ57" s="1349"/>
      <c r="DA57" s="1350"/>
      <c r="DB57" s="1349"/>
      <c r="DC57" s="1349"/>
      <c r="DD57" s="1349"/>
      <c r="DE57" s="1349"/>
      <c r="DF57" s="1349"/>
      <c r="DG57" s="1349"/>
      <c r="DH57" s="1349"/>
      <c r="DI57" s="1350"/>
      <c r="DR57"/>
      <c r="DT57" s="1349"/>
    </row>
    <row r="58" spans="1:137">
      <c r="A58" s="306" t="s">
        <v>1552</v>
      </c>
      <c r="B58" s="1351"/>
      <c r="C58" s="1352"/>
      <c r="D58" s="1352"/>
      <c r="E58" s="1352"/>
      <c r="F58" s="1352"/>
      <c r="G58" s="1352"/>
      <c r="H58" s="1352"/>
      <c r="I58" s="1353"/>
      <c r="J58" s="1352"/>
      <c r="K58" s="1352"/>
      <c r="L58" s="1352"/>
      <c r="M58" s="1352"/>
      <c r="N58" s="1352"/>
      <c r="O58" s="1352"/>
      <c r="P58" s="1352"/>
      <c r="Q58" s="1353"/>
      <c r="R58" s="1352"/>
      <c r="S58" s="1352"/>
      <c r="T58" s="1352"/>
      <c r="U58" s="1352"/>
      <c r="V58" s="1352"/>
      <c r="W58" s="1352"/>
      <c r="X58" s="1352"/>
      <c r="Y58" s="1353"/>
      <c r="Z58" s="1352"/>
      <c r="AA58" s="1352"/>
      <c r="AB58" s="1352"/>
      <c r="AC58" s="1352"/>
      <c r="AD58" s="1352"/>
      <c r="AE58" s="1352"/>
      <c r="AF58" s="1352"/>
      <c r="AG58" s="1353"/>
      <c r="AH58" s="1352"/>
      <c r="AI58" s="1352"/>
      <c r="AJ58" s="1352"/>
      <c r="AK58" s="1352"/>
      <c r="AL58" s="1352"/>
      <c r="AM58" s="1352"/>
      <c r="AN58" s="1352"/>
      <c r="AO58" s="1353"/>
      <c r="AP58" s="1352"/>
      <c r="AQ58" s="1352"/>
      <c r="AR58" s="1352"/>
      <c r="AS58" s="1352"/>
      <c r="AT58" s="1352"/>
      <c r="AU58" s="1352"/>
      <c r="AV58" s="1352"/>
      <c r="AW58" s="1353"/>
      <c r="AX58" s="1352"/>
      <c r="AY58" s="1352"/>
      <c r="AZ58" s="1352"/>
      <c r="BA58" s="1352"/>
      <c r="BB58" s="1352"/>
      <c r="BC58" s="1352"/>
      <c r="BD58" s="1352"/>
      <c r="BE58" s="1353"/>
      <c r="BF58" s="1352"/>
      <c r="BG58" s="1352"/>
      <c r="BH58" s="1352"/>
      <c r="BI58" s="1352"/>
      <c r="BJ58" s="1352"/>
      <c r="BK58" s="1352"/>
      <c r="BL58" s="1352"/>
      <c r="BM58" s="1353"/>
      <c r="BN58" s="1352"/>
      <c r="BO58" s="1352"/>
      <c r="BP58" s="1352"/>
      <c r="BQ58" s="1352"/>
      <c r="BR58" s="1352"/>
      <c r="BS58" s="1352"/>
      <c r="BT58" s="1352"/>
      <c r="BU58" s="1353"/>
      <c r="BV58" s="1352"/>
      <c r="BW58" s="1352"/>
      <c r="BX58" s="1352"/>
      <c r="BY58" s="1352"/>
      <c r="BZ58" s="1352"/>
      <c r="CA58" s="1352"/>
      <c r="CB58" s="1352"/>
      <c r="CC58" s="1353"/>
      <c r="CD58" s="1352"/>
      <c r="CE58" s="1352"/>
      <c r="CF58" s="1352"/>
      <c r="CG58" s="1352"/>
      <c r="CH58" s="1352"/>
      <c r="CI58" s="1352"/>
      <c r="CJ58" s="1352"/>
      <c r="CK58" s="1353"/>
      <c r="CL58" s="1352"/>
      <c r="CM58" s="1352"/>
      <c r="CN58" s="1352"/>
      <c r="CO58" s="1352"/>
      <c r="CP58" s="1352"/>
      <c r="CQ58" s="1352"/>
      <c r="CR58" s="1352"/>
      <c r="CS58" s="1353"/>
      <c r="CT58" s="1352"/>
      <c r="CU58" s="1352"/>
      <c r="CV58" s="1352"/>
      <c r="CW58" s="1352"/>
      <c r="CX58" s="1352"/>
      <c r="CY58" s="1352"/>
      <c r="CZ58" s="1352"/>
      <c r="DA58" s="1353"/>
      <c r="DB58" s="1352"/>
      <c r="DC58" s="1352"/>
      <c r="DD58" s="1352"/>
      <c r="DE58" s="1352"/>
      <c r="DF58" s="1352"/>
      <c r="DG58" s="1352"/>
      <c r="DH58" s="1352"/>
      <c r="DI58" s="1353"/>
      <c r="DJ58" s="306"/>
      <c r="DK58" s="306"/>
      <c r="DL58" s="1352"/>
      <c r="DM58" s="306"/>
      <c r="DN58" s="306"/>
      <c r="DO58" s="306"/>
      <c r="DP58" s="306"/>
      <c r="DQ58" s="1327"/>
      <c r="DR58" s="306"/>
      <c r="DS58" s="306"/>
      <c r="DT58" s="1352"/>
      <c r="DU58" s="306"/>
      <c r="DV58" s="306"/>
      <c r="DW58" s="306"/>
      <c r="DX58" s="306"/>
      <c r="DY58" s="1327"/>
      <c r="DZ58" s="306"/>
      <c r="EA58" s="306"/>
      <c r="EB58" s="306"/>
      <c r="EC58" s="306"/>
      <c r="ED58" s="306"/>
      <c r="EE58" s="306"/>
      <c r="EF58" s="306"/>
      <c r="EG58" s="1327"/>
    </row>
    <row r="59" spans="1:137">
      <c r="A59" s="19" t="s">
        <v>978</v>
      </c>
      <c r="B59" s="1348"/>
      <c r="C59" s="1349"/>
      <c r="D59" s="1349"/>
      <c r="E59" s="1349"/>
      <c r="F59" s="1349"/>
      <c r="G59" s="1349"/>
      <c r="H59" s="1349"/>
      <c r="I59" s="1350"/>
      <c r="J59" s="1349"/>
      <c r="K59" s="1349"/>
      <c r="L59" s="1349"/>
      <c r="M59" s="1349"/>
      <c r="N59" s="1349"/>
      <c r="O59" s="1349"/>
      <c r="P59" s="1349"/>
      <c r="Q59" s="1350"/>
      <c r="R59" s="1349"/>
      <c r="S59" s="1349"/>
      <c r="T59" s="1349"/>
      <c r="U59" s="1349"/>
      <c r="V59" s="1349"/>
      <c r="W59" s="1349"/>
      <c r="X59" s="1349"/>
      <c r="Y59" s="1350"/>
      <c r="Z59" s="1349"/>
      <c r="AA59" s="1349"/>
      <c r="AB59" s="1349"/>
      <c r="AC59" s="1349"/>
      <c r="AD59" s="1349"/>
      <c r="AE59" s="1349"/>
      <c r="AF59" s="1349"/>
      <c r="AG59" s="1350"/>
      <c r="AH59" s="1349"/>
      <c r="AI59" s="1349"/>
      <c r="AJ59" s="1349"/>
      <c r="AK59" s="1349"/>
      <c r="AL59" s="1349"/>
      <c r="AM59" s="1349"/>
      <c r="AN59" s="1349"/>
      <c r="AO59" s="1350"/>
      <c r="AP59" s="1349"/>
      <c r="AQ59" s="1349"/>
      <c r="AR59" s="1349"/>
      <c r="AS59" s="1349"/>
      <c r="AT59" s="1349"/>
      <c r="AU59" s="1349"/>
      <c r="AV59" s="1349"/>
      <c r="AW59" s="1350"/>
      <c r="AX59" s="1349"/>
      <c r="AY59" s="1349"/>
      <c r="AZ59" s="1349"/>
      <c r="BA59" s="1349"/>
      <c r="BB59" s="1349"/>
      <c r="BC59" s="1349"/>
      <c r="BD59" s="1349"/>
      <c r="BE59" s="1350"/>
      <c r="BF59" s="1349"/>
      <c r="BG59" s="1349"/>
      <c r="BH59" s="1349"/>
      <c r="BI59" s="1349"/>
      <c r="BJ59" s="1349"/>
      <c r="BK59" s="1349"/>
      <c r="BL59" s="1349"/>
      <c r="BM59" s="1350"/>
      <c r="BN59" s="1349"/>
      <c r="BO59" s="1349"/>
      <c r="BP59" s="1349"/>
      <c r="BQ59" s="1349"/>
      <c r="BR59" s="1349"/>
      <c r="BS59" s="1349"/>
      <c r="BT59" s="1349"/>
      <c r="BU59" s="1350"/>
      <c r="BV59" s="1349"/>
      <c r="BW59" s="1349"/>
      <c r="BX59" s="1349"/>
      <c r="BY59" s="1349"/>
      <c r="BZ59" s="1349"/>
      <c r="CA59" s="1349"/>
      <c r="CB59" s="1349"/>
      <c r="CC59" s="1350"/>
      <c r="CD59" s="1349"/>
      <c r="CE59" s="1349"/>
      <c r="CF59" s="1517"/>
      <c r="CG59" s="1377"/>
      <c r="CH59" s="1377"/>
      <c r="CI59" s="1377"/>
      <c r="CJ59" s="1517"/>
      <c r="CK59" s="1518"/>
      <c r="CL59" s="1377"/>
      <c r="CM59" s="1377"/>
      <c r="CN59" s="1517">
        <f>(CN33/CF33)-1</f>
        <v>0.43452380952380953</v>
      </c>
      <c r="CO59" s="1377"/>
      <c r="CP59" s="1377"/>
      <c r="CQ59" s="1377"/>
      <c r="CR59" s="1517">
        <f t="shared" ref="CR59:CS59" si="388">(CR33/CJ33)-1</f>
        <v>0.17780429594272085</v>
      </c>
      <c r="CS59" s="1518">
        <f t="shared" si="388"/>
        <v>0.27421758569299559</v>
      </c>
      <c r="CT59" s="1377"/>
      <c r="CU59" s="1377"/>
      <c r="CV59" s="1517">
        <f>(CV33/CN33)-1</f>
        <v>0.45366528354080216</v>
      </c>
      <c r="CW59" s="1377"/>
      <c r="CX59" s="1377"/>
      <c r="CY59" s="1377"/>
      <c r="CZ59" s="1517">
        <f t="shared" ref="CZ59" si="389">(CZ33/CR33)-1</f>
        <v>0.35663627152988853</v>
      </c>
      <c r="DA59" s="1518">
        <f t="shared" ref="DA59" si="390">(DA33/CS33)-1</f>
        <v>0.39766081871345027</v>
      </c>
      <c r="DB59" s="1377"/>
      <c r="DC59" s="1377"/>
      <c r="DD59" s="1517">
        <f>(DD33/CV33)-1</f>
        <v>0.22264509990485259</v>
      </c>
      <c r="DE59" s="1377"/>
      <c r="DF59" s="1377"/>
      <c r="DG59" s="1377"/>
      <c r="DH59" s="1517">
        <f t="shared" ref="DH59" si="391">(DH33/CZ33)-1</f>
        <v>0.14563106796116498</v>
      </c>
      <c r="DI59" s="1518">
        <f t="shared" ref="DI59" si="392">(DI33/DA33)-1</f>
        <v>0.1794979079497907</v>
      </c>
      <c r="DL59" s="1517">
        <f>(DL33/DD33)-1</f>
        <v>0.36809338521400781</v>
      </c>
      <c r="DM59" s="1377"/>
      <c r="DN59" s="1377"/>
      <c r="DO59" s="1377"/>
      <c r="DP59" s="1517">
        <f t="shared" ref="DP59" si="393">(DP33/DH33)-1</f>
        <v>0.13480581430979344</v>
      </c>
      <c r="DQ59" s="1518">
        <f t="shared" ref="DQ59" si="394">(DQ33/DI33)-1</f>
        <v>0.24114654812033454</v>
      </c>
      <c r="DR59"/>
      <c r="DT59" s="1517">
        <f>(DT33/DL33)-1</f>
        <v>3.3928006231411567E-2</v>
      </c>
      <c r="DU59" s="1377"/>
      <c r="DV59" s="1377"/>
      <c r="DW59" s="1377"/>
      <c r="DX59" s="1517">
        <f t="shared" ref="DX59" si="395">(DX33/DP33)-1</f>
        <v>0.24647763368486797</v>
      </c>
      <c r="DY59" s="1518">
        <f t="shared" ref="DY59" si="396">(DY33/DQ33)-1</f>
        <v>0.13968013548030944</v>
      </c>
    </row>
    <row r="60" spans="1:137" hidden="1" outlineLevel="1">
      <c r="A60" s="291" t="s">
        <v>977</v>
      </c>
      <c r="B60" s="1348"/>
      <c r="C60" s="1349"/>
      <c r="D60" s="1349"/>
      <c r="E60" s="1349"/>
      <c r="F60" s="1349"/>
      <c r="G60" s="1349"/>
      <c r="H60" s="1349"/>
      <c r="I60" s="1350"/>
      <c r="J60" s="1349"/>
      <c r="K60" s="1349"/>
      <c r="L60" s="1349"/>
      <c r="M60" s="1349"/>
      <c r="N60" s="1349"/>
      <c r="O60" s="1349"/>
      <c r="P60" s="1349"/>
      <c r="Q60" s="1350"/>
      <c r="R60" s="1349"/>
      <c r="S60" s="1349"/>
      <c r="T60" s="1349"/>
      <c r="U60" s="1349"/>
      <c r="V60" s="1349"/>
      <c r="W60" s="1349"/>
      <c r="X60" s="1349"/>
      <c r="Y60" s="1350"/>
      <c r="Z60" s="1349"/>
      <c r="AA60" s="1349"/>
      <c r="AB60" s="1349"/>
      <c r="AC60" s="1349"/>
      <c r="AD60" s="1349"/>
      <c r="AE60" s="1349"/>
      <c r="AF60" s="1349"/>
      <c r="AG60" s="1350"/>
      <c r="AH60" s="1349"/>
      <c r="AI60" s="1349"/>
      <c r="AJ60" s="1349"/>
      <c r="AK60" s="1349"/>
      <c r="AL60" s="1349"/>
      <c r="AM60" s="1349"/>
      <c r="AN60" s="1349"/>
      <c r="AO60" s="1350"/>
      <c r="AP60" s="1349"/>
      <c r="AQ60" s="1349"/>
      <c r="AR60" s="1349"/>
      <c r="AS60" s="1349"/>
      <c r="AT60" s="1349"/>
      <c r="AU60" s="1349"/>
      <c r="AV60" s="1349"/>
      <c r="AW60" s="1350"/>
      <c r="AX60" s="1349"/>
      <c r="AY60" s="1349"/>
      <c r="AZ60" s="1349"/>
      <c r="BA60" s="1349"/>
      <c r="BB60" s="1349"/>
      <c r="BC60" s="1349"/>
      <c r="BD60" s="1349"/>
      <c r="BE60" s="1350"/>
      <c r="BF60" s="1349"/>
      <c r="BG60" s="1349"/>
      <c r="BH60" s="1349"/>
      <c r="BI60" s="1349"/>
      <c r="BJ60" s="1349"/>
      <c r="BK60" s="1349"/>
      <c r="BL60" s="1349"/>
      <c r="BM60" s="1350"/>
      <c r="BN60" s="1349"/>
      <c r="BO60" s="1349"/>
      <c r="BP60" s="1349"/>
      <c r="BQ60" s="1349"/>
      <c r="BR60" s="1349"/>
      <c r="BS60" s="1349"/>
      <c r="BT60" s="1349"/>
      <c r="BU60" s="1350"/>
      <c r="BV60" s="1349"/>
      <c r="BW60" s="1349"/>
      <c r="BX60" s="1349"/>
      <c r="BY60" s="1349"/>
      <c r="BZ60" s="1349"/>
      <c r="CA60" s="1349"/>
      <c r="CB60" s="1349"/>
      <c r="CC60" s="1350"/>
      <c r="CD60" s="1349"/>
      <c r="CE60" s="1349"/>
      <c r="CF60" s="1517"/>
      <c r="CG60" s="1377"/>
      <c r="CH60" s="1377"/>
      <c r="CI60" s="1377"/>
      <c r="CJ60" s="1517"/>
      <c r="CK60" s="1518"/>
      <c r="CL60" s="1377"/>
      <c r="CM60" s="1377"/>
      <c r="CN60" s="1517"/>
      <c r="CO60" s="1377"/>
      <c r="CP60" s="1377"/>
      <c r="CQ60" s="1377"/>
      <c r="CR60" s="1517"/>
      <c r="CS60" s="1518"/>
      <c r="CT60" s="1377"/>
      <c r="CU60" s="1377"/>
      <c r="CV60" s="1517"/>
      <c r="CW60" s="1377"/>
      <c r="CX60" s="1377"/>
      <c r="CY60" s="1377"/>
      <c r="CZ60" s="1517"/>
      <c r="DA60" s="1518"/>
      <c r="DB60" s="1377"/>
      <c r="DC60" s="1377"/>
      <c r="DD60" s="1517"/>
      <c r="DE60" s="1377"/>
      <c r="DF60" s="1377"/>
      <c r="DG60" s="1377"/>
      <c r="DH60" s="1517"/>
      <c r="DI60" s="1518"/>
      <c r="DL60" s="1517"/>
      <c r="DM60" s="1377"/>
      <c r="DN60" s="1377"/>
      <c r="DO60" s="1377"/>
      <c r="DP60" s="1517"/>
      <c r="DQ60" s="1518"/>
      <c r="DR60"/>
      <c r="DT60" s="1517"/>
      <c r="DU60" s="1377"/>
      <c r="DV60" s="1377"/>
      <c r="DW60" s="1377"/>
      <c r="DX60" s="1517"/>
      <c r="DY60" s="1518"/>
    </row>
    <row r="61" spans="1:137" hidden="1" outlineLevel="1">
      <c r="A61" s="291" t="s">
        <v>744</v>
      </c>
      <c r="B61" s="1348"/>
      <c r="C61" s="1349"/>
      <c r="D61" s="1349"/>
      <c r="E61" s="1349"/>
      <c r="F61" s="1349"/>
      <c r="G61" s="1349"/>
      <c r="H61" s="1349"/>
      <c r="I61" s="1350"/>
      <c r="J61" s="1349"/>
      <c r="K61" s="1349"/>
      <c r="L61" s="1349"/>
      <c r="M61" s="1349"/>
      <c r="N61" s="1349"/>
      <c r="O61" s="1349"/>
      <c r="P61" s="1349"/>
      <c r="Q61" s="1350"/>
      <c r="R61" s="1349"/>
      <c r="S61" s="1349"/>
      <c r="T61" s="1349"/>
      <c r="U61" s="1349"/>
      <c r="V61" s="1349"/>
      <c r="W61" s="1349"/>
      <c r="X61" s="1349"/>
      <c r="Y61" s="1350"/>
      <c r="Z61" s="1349"/>
      <c r="AA61" s="1349"/>
      <c r="AB61" s="1349"/>
      <c r="AC61" s="1349"/>
      <c r="AD61" s="1349"/>
      <c r="AE61" s="1349"/>
      <c r="AF61" s="1349"/>
      <c r="AG61" s="1350"/>
      <c r="AH61" s="1349"/>
      <c r="AI61" s="1349"/>
      <c r="AJ61" s="1349"/>
      <c r="AK61" s="1349"/>
      <c r="AL61" s="1349"/>
      <c r="AM61" s="1349"/>
      <c r="AN61" s="1349"/>
      <c r="AO61" s="1350"/>
      <c r="AP61" s="1349"/>
      <c r="AQ61" s="1349"/>
      <c r="AR61" s="1349"/>
      <c r="AS61" s="1349"/>
      <c r="AT61" s="1349"/>
      <c r="AU61" s="1349"/>
      <c r="AV61" s="1349"/>
      <c r="AW61" s="1350"/>
      <c r="AX61" s="1349"/>
      <c r="AY61" s="1349"/>
      <c r="AZ61" s="1349"/>
      <c r="BA61" s="1349"/>
      <c r="BB61" s="1349"/>
      <c r="BC61" s="1349"/>
      <c r="BD61" s="1349"/>
      <c r="BE61" s="1350"/>
      <c r="BF61" s="1349"/>
      <c r="BG61" s="1349"/>
      <c r="BH61" s="1349"/>
      <c r="BI61" s="1349"/>
      <c r="BJ61" s="1349"/>
      <c r="BK61" s="1349"/>
      <c r="BL61" s="1349"/>
      <c r="BM61" s="1350"/>
      <c r="BN61" s="1349"/>
      <c r="BO61" s="1349"/>
      <c r="BP61" s="1349"/>
      <c r="BQ61" s="1349"/>
      <c r="BR61" s="1349"/>
      <c r="BS61" s="1349"/>
      <c r="BT61" s="1349"/>
      <c r="BU61" s="1350"/>
      <c r="BV61" s="1349"/>
      <c r="BW61" s="1349"/>
      <c r="BX61" s="1349"/>
      <c r="BY61" s="1349"/>
      <c r="BZ61" s="1349"/>
      <c r="CA61" s="1349"/>
      <c r="CB61" s="1349"/>
      <c r="CC61" s="1350"/>
      <c r="CD61" s="1349"/>
      <c r="CE61" s="1349"/>
      <c r="CF61" s="1517"/>
      <c r="CG61" s="1377"/>
      <c r="CH61" s="1377"/>
      <c r="CI61" s="1377"/>
      <c r="CJ61" s="1517"/>
      <c r="CK61" s="1518"/>
      <c r="CL61" s="1377"/>
      <c r="CM61" s="1377"/>
      <c r="CN61" s="1517"/>
      <c r="CO61" s="1377"/>
      <c r="CP61" s="1377"/>
      <c r="CQ61" s="1377"/>
      <c r="CR61" s="1517"/>
      <c r="CS61" s="1518"/>
      <c r="CT61" s="1377"/>
      <c r="CU61" s="1377"/>
      <c r="CV61" s="1517"/>
      <c r="CW61" s="1377"/>
      <c r="CX61" s="1377"/>
      <c r="CY61" s="1377"/>
      <c r="CZ61" s="1517"/>
      <c r="DA61" s="1518"/>
      <c r="DB61" s="1377"/>
      <c r="DC61" s="1377"/>
      <c r="DD61" s="1517"/>
      <c r="DE61" s="1377"/>
      <c r="DF61" s="1377"/>
      <c r="DG61" s="1377"/>
      <c r="DH61" s="1517"/>
      <c r="DI61" s="1518"/>
      <c r="DL61" s="1517"/>
      <c r="DM61" s="1377"/>
      <c r="DN61" s="1377"/>
      <c r="DO61" s="1377"/>
      <c r="DP61" s="1517"/>
      <c r="DQ61" s="1518"/>
      <c r="DR61"/>
      <c r="DT61" s="1517"/>
      <c r="DU61" s="1377"/>
      <c r="DV61" s="1377"/>
      <c r="DW61" s="1377"/>
      <c r="DX61" s="1517"/>
      <c r="DY61" s="1518"/>
    </row>
    <row r="62" spans="1:137" hidden="1" outlineLevel="1">
      <c r="A62" s="291" t="s">
        <v>1243</v>
      </c>
      <c r="B62" s="1348"/>
      <c r="C62" s="1349"/>
      <c r="D62" s="1349"/>
      <c r="E62" s="1349"/>
      <c r="F62" s="1349"/>
      <c r="G62" s="1349"/>
      <c r="H62" s="1349"/>
      <c r="I62" s="1350"/>
      <c r="J62" s="1349"/>
      <c r="K62" s="1349"/>
      <c r="L62" s="1349"/>
      <c r="M62" s="1349"/>
      <c r="N62" s="1349"/>
      <c r="O62" s="1349"/>
      <c r="P62" s="1349"/>
      <c r="Q62" s="1350"/>
      <c r="R62" s="1349"/>
      <c r="S62" s="1349"/>
      <c r="T62" s="1349"/>
      <c r="U62" s="1349"/>
      <c r="V62" s="1349"/>
      <c r="W62" s="1349"/>
      <c r="X62" s="1349"/>
      <c r="Y62" s="1350"/>
      <c r="Z62" s="1349"/>
      <c r="AA62" s="1349"/>
      <c r="AB62" s="1349"/>
      <c r="AC62" s="1349"/>
      <c r="AD62" s="1349"/>
      <c r="AE62" s="1349"/>
      <c r="AF62" s="1349"/>
      <c r="AG62" s="1350"/>
      <c r="AH62" s="1349"/>
      <c r="AI62" s="1349"/>
      <c r="AJ62" s="1349"/>
      <c r="AK62" s="1349"/>
      <c r="AL62" s="1349"/>
      <c r="AM62" s="1349"/>
      <c r="AN62" s="1349"/>
      <c r="AO62" s="1350"/>
      <c r="AP62" s="1349"/>
      <c r="AQ62" s="1349"/>
      <c r="AR62" s="1349"/>
      <c r="AS62" s="1349"/>
      <c r="AT62" s="1349"/>
      <c r="AU62" s="1349"/>
      <c r="AV62" s="1349"/>
      <c r="AW62" s="1350"/>
      <c r="AX62" s="1349"/>
      <c r="AY62" s="1349"/>
      <c r="AZ62" s="1349"/>
      <c r="BA62" s="1349"/>
      <c r="BB62" s="1349"/>
      <c r="BC62" s="1349"/>
      <c r="BD62" s="1349"/>
      <c r="BE62" s="1350"/>
      <c r="BF62" s="1349"/>
      <c r="BG62" s="1349"/>
      <c r="BH62" s="1349"/>
      <c r="BI62" s="1349"/>
      <c r="BJ62" s="1349"/>
      <c r="BK62" s="1349"/>
      <c r="BL62" s="1349"/>
      <c r="BM62" s="1350"/>
      <c r="BN62" s="1349"/>
      <c r="BO62" s="1349"/>
      <c r="BP62" s="1349"/>
      <c r="BQ62" s="1349"/>
      <c r="BR62" s="1349"/>
      <c r="BS62" s="1349"/>
      <c r="BT62" s="1349"/>
      <c r="BU62" s="1350"/>
      <c r="BV62" s="1349"/>
      <c r="BW62" s="1349"/>
      <c r="BX62" s="1349"/>
      <c r="BY62" s="1349"/>
      <c r="BZ62" s="1349"/>
      <c r="CA62" s="1349"/>
      <c r="CB62" s="1349"/>
      <c r="CC62" s="1350"/>
      <c r="CD62" s="1349"/>
      <c r="CE62" s="1349"/>
      <c r="CF62" s="1517"/>
      <c r="CG62" s="1377"/>
      <c r="CH62" s="1377"/>
      <c r="CI62" s="1377"/>
      <c r="CJ62" s="1517"/>
      <c r="CK62" s="1518"/>
      <c r="CL62" s="1377"/>
      <c r="CM62" s="1377"/>
      <c r="CN62" s="1517"/>
      <c r="CO62" s="1377"/>
      <c r="CP62" s="1377"/>
      <c r="CQ62" s="1377"/>
      <c r="CR62" s="1517"/>
      <c r="CS62" s="1518"/>
      <c r="CT62" s="1377"/>
      <c r="CU62" s="1377"/>
      <c r="CV62" s="1517"/>
      <c r="CW62" s="1377"/>
      <c r="CX62" s="1377"/>
      <c r="CY62" s="1377"/>
      <c r="CZ62" s="1517"/>
      <c r="DA62" s="1518"/>
      <c r="DB62" s="1377"/>
      <c r="DC62" s="1377"/>
      <c r="DD62" s="1517"/>
      <c r="DE62" s="1377"/>
      <c r="DF62" s="1377"/>
      <c r="DG62" s="1377"/>
      <c r="DH62" s="1517"/>
      <c r="DI62" s="1518"/>
      <c r="DL62" s="1517"/>
      <c r="DM62" s="1377"/>
      <c r="DN62" s="1377"/>
      <c r="DO62" s="1377"/>
      <c r="DP62" s="1517"/>
      <c r="DQ62" s="1518"/>
      <c r="DR62"/>
      <c r="DT62" s="1517"/>
      <c r="DU62" s="1377"/>
      <c r="DV62" s="1377"/>
      <c r="DW62" s="1377"/>
      <c r="DX62" s="1517"/>
      <c r="DY62" s="1518"/>
    </row>
    <row r="63" spans="1:137" collapsed="1">
      <c r="A63" s="19" t="s">
        <v>1930</v>
      </c>
      <c r="B63" s="1348"/>
      <c r="C63" s="1349"/>
      <c r="D63" s="1349"/>
      <c r="E63" s="1349"/>
      <c r="F63" s="1349"/>
      <c r="G63" s="1349"/>
      <c r="H63" s="1349"/>
      <c r="I63" s="1350"/>
      <c r="J63" s="1349"/>
      <c r="K63" s="1349"/>
      <c r="L63" s="1349"/>
      <c r="M63" s="1349"/>
      <c r="N63" s="1349"/>
      <c r="O63" s="1349"/>
      <c r="P63" s="1349"/>
      <c r="Q63" s="1350"/>
      <c r="R63" s="1349"/>
      <c r="S63" s="1349"/>
      <c r="T63" s="1349"/>
      <c r="U63" s="1349"/>
      <c r="V63" s="1349"/>
      <c r="W63" s="1349"/>
      <c r="X63" s="1349"/>
      <c r="Y63" s="1350"/>
      <c r="Z63" s="1349"/>
      <c r="AA63" s="1349"/>
      <c r="AB63" s="1349"/>
      <c r="AC63" s="1349"/>
      <c r="AD63" s="1349"/>
      <c r="AE63" s="1349"/>
      <c r="AF63" s="1349"/>
      <c r="AG63" s="1350"/>
      <c r="AH63" s="1349"/>
      <c r="AI63" s="1349"/>
      <c r="AJ63" s="1349"/>
      <c r="AK63" s="1349"/>
      <c r="AL63" s="1349"/>
      <c r="AM63" s="1349"/>
      <c r="AN63" s="1349"/>
      <c r="AO63" s="1350"/>
      <c r="AP63" s="1349"/>
      <c r="AQ63" s="1349"/>
      <c r="AR63" s="1349"/>
      <c r="AS63" s="1349"/>
      <c r="AT63" s="1349"/>
      <c r="AU63" s="1349"/>
      <c r="AV63" s="1349"/>
      <c r="AW63" s="1350"/>
      <c r="AX63" s="1349"/>
      <c r="AY63" s="1349"/>
      <c r="AZ63" s="1349"/>
      <c r="BA63" s="1349"/>
      <c r="BB63" s="1349"/>
      <c r="BC63" s="1349"/>
      <c r="BD63" s="1349"/>
      <c r="BE63" s="1350"/>
      <c r="BF63" s="1349"/>
      <c r="BG63" s="1349"/>
      <c r="BH63" s="1349"/>
      <c r="BI63" s="1349"/>
      <c r="BJ63" s="1349"/>
      <c r="BK63" s="1349"/>
      <c r="BL63" s="1349"/>
      <c r="BM63" s="1350"/>
      <c r="BN63" s="1349"/>
      <c r="BO63" s="1349"/>
      <c r="BP63" s="1349"/>
      <c r="BQ63" s="1349"/>
      <c r="BR63" s="1349"/>
      <c r="BS63" s="1349"/>
      <c r="BT63" s="1349"/>
      <c r="BU63" s="1350"/>
      <c r="BV63" s="1349"/>
      <c r="BW63" s="1349"/>
      <c r="BX63" s="1349"/>
      <c r="BY63" s="1349"/>
      <c r="BZ63" s="1349"/>
      <c r="CA63" s="1349"/>
      <c r="CB63" s="1349"/>
      <c r="CC63" s="1350"/>
      <c r="CD63" s="1349"/>
      <c r="CE63" s="1349"/>
      <c r="CF63" s="1517"/>
      <c r="CG63" s="1377"/>
      <c r="CH63" s="1377"/>
      <c r="CI63" s="1377"/>
      <c r="CJ63" s="1517"/>
      <c r="CK63" s="1518"/>
      <c r="CL63" s="1377"/>
      <c r="CM63" s="1377"/>
      <c r="CN63" s="1517">
        <f>(CN37/CF37)-1</f>
        <v>0.52222222222222214</v>
      </c>
      <c r="CO63" s="1377"/>
      <c r="CP63" s="1377"/>
      <c r="CQ63" s="1377"/>
      <c r="CR63" s="1517">
        <f t="shared" ref="CR63:CS63" si="397">(CR37/CJ37)-1</f>
        <v>0.21842105263157885</v>
      </c>
      <c r="CS63" s="1518">
        <f t="shared" si="397"/>
        <v>0.34461538461538455</v>
      </c>
      <c r="CT63" s="1377"/>
      <c r="CU63" s="1377"/>
      <c r="CV63" s="1517">
        <f>(CV37/CN37)-1</f>
        <v>0.13381995133819946</v>
      </c>
      <c r="CW63" s="1377"/>
      <c r="CX63" s="1377"/>
      <c r="CY63" s="1377"/>
      <c r="CZ63" s="1517">
        <f t="shared" ref="CZ63:CZ64" si="398">(CZ37/CR37)-1</f>
        <v>0.13606911447084236</v>
      </c>
      <c r="DA63" s="1518">
        <f t="shared" ref="DA63:DA64" si="399">(DA37/CS37)-1</f>
        <v>0.13501144164759715</v>
      </c>
      <c r="DB63" s="1377"/>
      <c r="DC63" s="1377"/>
      <c r="DD63" s="1517">
        <f>(DD37/CV37)-1</f>
        <v>0.40987124463519309</v>
      </c>
      <c r="DE63" s="1377"/>
      <c r="DF63" s="1377"/>
      <c r="DG63" s="1377"/>
      <c r="DH63" s="1517">
        <f t="shared" ref="DH63:DH64" si="400">(DH37/CZ37)-1</f>
        <v>0.21863117870722437</v>
      </c>
      <c r="DI63" s="1518">
        <f t="shared" ref="DI63:DI64" si="401">(DI37/DA37)-1</f>
        <v>0.30846774193548376</v>
      </c>
      <c r="DL63" s="1517">
        <f>(DL37/DD37)-1</f>
        <v>7.0015220700152314E-2</v>
      </c>
      <c r="DM63" s="1377"/>
      <c r="DN63" s="1377"/>
      <c r="DO63" s="1377"/>
      <c r="DP63" s="1517">
        <f t="shared" ref="DP63:DP64" si="402">(DP37/DH37)-1</f>
        <v>0.40240837757029491</v>
      </c>
      <c r="DQ63" s="1518">
        <f t="shared" ref="DQ63:DQ64" si="403">(DQ37/DI37)-1</f>
        <v>0.2341631510189206</v>
      </c>
      <c r="DR63"/>
      <c r="DT63" s="1517">
        <f>(DT37/DL37)-1</f>
        <v>0.33810739701982029</v>
      </c>
      <c r="DU63" s="1377"/>
      <c r="DV63" s="1377"/>
      <c r="DW63" s="1377"/>
      <c r="DX63" s="1517">
        <f t="shared" ref="DX63:DX64" si="404">(DX37/DP37)-1</f>
        <v>2.0954598277063585E-2</v>
      </c>
      <c r="DY63" s="1518">
        <f t="shared" ref="DY63:DY64" si="405">(DY37/DQ37)-1</f>
        <v>0.16013452561809505</v>
      </c>
    </row>
    <row r="64" spans="1:137">
      <c r="A64" s="19" t="s">
        <v>1293</v>
      </c>
      <c r="B64" s="1348"/>
      <c r="C64" s="1349"/>
      <c r="D64" s="1349"/>
      <c r="E64" s="1349"/>
      <c r="F64" s="1349"/>
      <c r="G64" s="1349"/>
      <c r="H64" s="1349"/>
      <c r="I64" s="1350"/>
      <c r="J64" s="1349"/>
      <c r="K64" s="1349"/>
      <c r="L64" s="1349"/>
      <c r="M64" s="1349"/>
      <c r="N64" s="1349"/>
      <c r="O64" s="1349"/>
      <c r="P64" s="1349"/>
      <c r="Q64" s="1350"/>
      <c r="R64" s="1349"/>
      <c r="S64" s="1349"/>
      <c r="T64" s="1349"/>
      <c r="U64" s="1349"/>
      <c r="V64" s="1349"/>
      <c r="W64" s="1349"/>
      <c r="X64" s="1349"/>
      <c r="Y64" s="1350"/>
      <c r="Z64" s="1349"/>
      <c r="AA64" s="1349"/>
      <c r="AB64" s="1349"/>
      <c r="AC64" s="1349"/>
      <c r="AD64" s="1349"/>
      <c r="AE64" s="1349"/>
      <c r="AF64" s="1349"/>
      <c r="AG64" s="1350"/>
      <c r="AH64" s="1349"/>
      <c r="AI64" s="1349"/>
      <c r="AJ64" s="1349"/>
      <c r="AK64" s="1349"/>
      <c r="AL64" s="1349"/>
      <c r="AM64" s="1349"/>
      <c r="AN64" s="1349"/>
      <c r="AO64" s="1350"/>
      <c r="AP64" s="1349"/>
      <c r="AQ64" s="1349"/>
      <c r="AR64" s="1349"/>
      <c r="AS64" s="1349"/>
      <c r="AT64" s="1349"/>
      <c r="AU64" s="1349"/>
      <c r="AV64" s="1349"/>
      <c r="AW64" s="1350"/>
      <c r="AX64" s="1349"/>
      <c r="AY64" s="1349"/>
      <c r="AZ64" s="1349"/>
      <c r="BA64" s="1349"/>
      <c r="BB64" s="1349"/>
      <c r="BC64" s="1349"/>
      <c r="BD64" s="1349"/>
      <c r="BE64" s="1350"/>
      <c r="BF64" s="1349"/>
      <c r="BG64" s="1349"/>
      <c r="BH64" s="1349"/>
      <c r="BI64" s="1349"/>
      <c r="BJ64" s="1349"/>
      <c r="BK64" s="1349"/>
      <c r="BL64" s="1349"/>
      <c r="BM64" s="1350"/>
      <c r="BN64" s="1349"/>
      <c r="BO64" s="1349"/>
      <c r="BP64" s="1349"/>
      <c r="BQ64" s="1349"/>
      <c r="BR64" s="1349"/>
      <c r="BS64" s="1349"/>
      <c r="BT64" s="1349"/>
      <c r="BU64" s="1350"/>
      <c r="BV64" s="1349"/>
      <c r="BW64" s="1349"/>
      <c r="BX64" s="1349"/>
      <c r="BY64" s="1349"/>
      <c r="BZ64" s="1349"/>
      <c r="CA64" s="1349"/>
      <c r="CB64" s="1349"/>
      <c r="CC64" s="1350"/>
      <c r="CD64" s="1349"/>
      <c r="CE64" s="1349"/>
      <c r="CF64" s="1517"/>
      <c r="CG64" s="1377"/>
      <c r="CH64" s="1377"/>
      <c r="CI64" s="1377"/>
      <c r="CJ64" s="1517"/>
      <c r="CK64" s="1518"/>
      <c r="CL64" s="1377"/>
      <c r="CM64" s="1377"/>
      <c r="CN64" s="1517">
        <f>(CN38/CF38)-1</f>
        <v>-0.25454545454545452</v>
      </c>
      <c r="CO64" s="1377"/>
      <c r="CP64" s="1377"/>
      <c r="CQ64" s="1377"/>
      <c r="CR64" s="1517">
        <f t="shared" ref="CR64:CS64" si="406">(CR38/CJ38)-1</f>
        <v>1.7543859649122862E-2</v>
      </c>
      <c r="CS64" s="1518">
        <f t="shared" si="406"/>
        <v>-0.16167664670658688</v>
      </c>
      <c r="CT64" s="1377"/>
      <c r="CU64" s="1377"/>
      <c r="CV64" s="1517">
        <f>(CV38/CN38)-1</f>
        <v>0.21951219512195119</v>
      </c>
      <c r="CW64" s="1377"/>
      <c r="CX64" s="1377"/>
      <c r="CY64" s="1377"/>
      <c r="CZ64" s="1517">
        <f t="shared" si="398"/>
        <v>-0.72413793103448276</v>
      </c>
      <c r="DA64" s="1518">
        <f t="shared" si="399"/>
        <v>-0.17142857142857137</v>
      </c>
      <c r="DB64" s="1377"/>
      <c r="DC64" s="1377"/>
      <c r="DD64" s="1517">
        <f>(DD38/CV38)-1</f>
        <v>-1.1000000000000001</v>
      </c>
      <c r="DE64" s="1377"/>
      <c r="DF64" s="1377"/>
      <c r="DG64" s="1377"/>
      <c r="DH64" s="1517">
        <f t="shared" si="400"/>
        <v>-2.0625</v>
      </c>
      <c r="DI64" s="1518">
        <f t="shared" si="401"/>
        <v>-1.2327586206896552</v>
      </c>
      <c r="DL64" s="1517">
        <f>(DL38/DD38)-1</f>
        <v>1.7000000000000002</v>
      </c>
      <c r="DM64" s="1377"/>
      <c r="DN64" s="1377"/>
      <c r="DO64" s="1377"/>
      <c r="DP64" s="1517">
        <f t="shared" si="402"/>
        <v>3.6878126769838655</v>
      </c>
      <c r="DQ64" s="1518">
        <f t="shared" si="403"/>
        <v>2.951585759582434</v>
      </c>
      <c r="DR64"/>
      <c r="DT64" s="1517">
        <f>(DT38/DL38)-1</f>
        <v>1.7507737484829309</v>
      </c>
      <c r="DU64" s="1377"/>
      <c r="DV64" s="1377"/>
      <c r="DW64" s="1377"/>
      <c r="DX64" s="1517">
        <f t="shared" si="404"/>
        <v>0.58433999664050051</v>
      </c>
      <c r="DY64" s="1518">
        <f t="shared" si="405"/>
        <v>0.87952117776857697</v>
      </c>
    </row>
    <row r="65" spans="1:137">
      <c r="A65" s="19" t="s">
        <v>976</v>
      </c>
      <c r="B65" s="1348"/>
      <c r="C65" s="1349"/>
      <c r="D65" s="1349"/>
      <c r="E65" s="1349"/>
      <c r="F65" s="1349"/>
      <c r="G65" s="1349"/>
      <c r="H65" s="1349"/>
      <c r="I65" s="1350"/>
      <c r="J65" s="1349"/>
      <c r="K65" s="1349"/>
      <c r="L65" s="1349"/>
      <c r="M65" s="1349"/>
      <c r="N65" s="1349"/>
      <c r="O65" s="1349"/>
      <c r="P65" s="1349"/>
      <c r="Q65" s="1350"/>
      <c r="R65" s="1349"/>
      <c r="S65" s="1349"/>
      <c r="T65" s="1349"/>
      <c r="U65" s="1349"/>
      <c r="V65" s="1349"/>
      <c r="W65" s="1349"/>
      <c r="X65" s="1349"/>
      <c r="Y65" s="1350"/>
      <c r="Z65" s="1349"/>
      <c r="AA65" s="1349"/>
      <c r="AB65" s="1349"/>
      <c r="AC65" s="1349"/>
      <c r="AD65" s="1349"/>
      <c r="AE65" s="1349"/>
      <c r="AF65" s="1349"/>
      <c r="AG65" s="1350"/>
      <c r="AH65" s="1349"/>
      <c r="AI65" s="1349"/>
      <c r="AJ65" s="1349"/>
      <c r="AK65" s="1349"/>
      <c r="AL65" s="1349"/>
      <c r="AM65" s="1349"/>
      <c r="AN65" s="1349"/>
      <c r="AO65" s="1350"/>
      <c r="AP65" s="1349"/>
      <c r="AQ65" s="1349"/>
      <c r="AR65" s="1349"/>
      <c r="AS65" s="1349"/>
      <c r="AT65" s="1349"/>
      <c r="AU65" s="1349"/>
      <c r="AV65" s="1349"/>
      <c r="AW65" s="1350"/>
      <c r="AX65" s="1349"/>
      <c r="AY65" s="1349"/>
      <c r="AZ65" s="1349"/>
      <c r="BA65" s="1349"/>
      <c r="BB65" s="1349"/>
      <c r="BC65" s="1349"/>
      <c r="BD65" s="1349"/>
      <c r="BE65" s="1350"/>
      <c r="BF65" s="1349"/>
      <c r="BG65" s="1349"/>
      <c r="BH65" s="1349"/>
      <c r="BI65" s="1349"/>
      <c r="BJ65" s="1349"/>
      <c r="BK65" s="1349"/>
      <c r="BL65" s="1349"/>
      <c r="BM65" s="1350"/>
      <c r="BN65" s="1349"/>
      <c r="BO65" s="1349"/>
      <c r="BP65" s="1349"/>
      <c r="BQ65" s="1349"/>
      <c r="BR65" s="1349"/>
      <c r="BS65" s="1349"/>
      <c r="BT65" s="1349"/>
      <c r="BU65" s="1350"/>
      <c r="BV65" s="1349"/>
      <c r="BW65" s="1349"/>
      <c r="BX65" s="1349"/>
      <c r="BY65" s="1349"/>
      <c r="BZ65" s="1349"/>
      <c r="CA65" s="1349"/>
      <c r="CB65" s="1349"/>
      <c r="CC65" s="1350"/>
      <c r="CD65" s="1349"/>
      <c r="CE65" s="1349"/>
      <c r="CF65" s="1349"/>
      <c r="CL65" s="1377"/>
      <c r="CM65" s="1377"/>
      <c r="CN65" s="1349"/>
      <c r="CR65" s="1349"/>
      <c r="CS65" s="1350"/>
      <c r="CT65" s="1377"/>
      <c r="CU65" s="1377"/>
      <c r="CV65" s="1349"/>
      <c r="CZ65" s="1349"/>
      <c r="DA65" s="1350"/>
      <c r="DB65" s="1377"/>
      <c r="DC65" s="1377"/>
      <c r="DD65" s="1349"/>
      <c r="DH65" s="1349"/>
      <c r="DI65" s="1350"/>
      <c r="DP65" s="1349"/>
      <c r="DQ65" s="1350"/>
      <c r="DR65"/>
      <c r="DT65" s="1349"/>
      <c r="DX65" s="1349"/>
      <c r="DY65" s="1350"/>
    </row>
    <row r="66" spans="1:137">
      <c r="A66" s="19" t="s">
        <v>776</v>
      </c>
      <c r="B66" s="1348"/>
      <c r="C66" s="1349"/>
      <c r="D66" s="1349"/>
      <c r="E66" s="1349"/>
      <c r="F66" s="1349"/>
      <c r="G66" s="1349"/>
      <c r="H66" s="1349"/>
      <c r="I66" s="1350"/>
      <c r="J66" s="1349"/>
      <c r="K66" s="1349"/>
      <c r="L66" s="1349"/>
      <c r="M66" s="1349"/>
      <c r="N66" s="1349"/>
      <c r="O66" s="1349"/>
      <c r="P66" s="1349"/>
      <c r="Q66" s="1350"/>
      <c r="R66" s="1349"/>
      <c r="S66" s="1349"/>
      <c r="T66" s="1349"/>
      <c r="U66" s="1349"/>
      <c r="V66" s="1349"/>
      <c r="W66" s="1349"/>
      <c r="X66" s="1349"/>
      <c r="Y66" s="1350"/>
      <c r="Z66" s="1349"/>
      <c r="AA66" s="1349"/>
      <c r="AB66" s="1349"/>
      <c r="AC66" s="1349"/>
      <c r="AD66" s="1349"/>
      <c r="AE66" s="1349"/>
      <c r="AF66" s="1349"/>
      <c r="AG66" s="1350"/>
      <c r="AH66" s="1349"/>
      <c r="AI66" s="1349"/>
      <c r="AJ66" s="1349"/>
      <c r="AK66" s="1349"/>
      <c r="AL66" s="1349"/>
      <c r="AM66" s="1349"/>
      <c r="AN66" s="1349"/>
      <c r="AO66" s="1350"/>
      <c r="AP66" s="1349"/>
      <c r="AQ66" s="1349"/>
      <c r="AR66" s="1349"/>
      <c r="AS66" s="1349"/>
      <c r="AT66" s="1349"/>
      <c r="AU66" s="1349"/>
      <c r="AV66" s="1349"/>
      <c r="AW66" s="1350"/>
      <c r="AX66" s="1349"/>
      <c r="AY66" s="1349"/>
      <c r="AZ66" s="1349"/>
      <c r="BA66" s="1349"/>
      <c r="BB66" s="1349"/>
      <c r="BC66" s="1349"/>
      <c r="BD66" s="1349"/>
      <c r="BE66" s="1350"/>
      <c r="BF66" s="1349"/>
      <c r="BG66" s="1349"/>
      <c r="BH66" s="1349"/>
      <c r="BI66" s="1349"/>
      <c r="BJ66" s="1349"/>
      <c r="BK66" s="1349"/>
      <c r="BL66" s="1349"/>
      <c r="BM66" s="1350"/>
      <c r="BN66" s="1349"/>
      <c r="BO66" s="1349"/>
      <c r="BP66" s="1349"/>
      <c r="BQ66" s="1349"/>
      <c r="BR66" s="1349"/>
      <c r="BS66" s="1349"/>
      <c r="BT66" s="1349"/>
      <c r="BU66" s="1350"/>
      <c r="BV66" s="1349"/>
      <c r="BW66" s="1349"/>
      <c r="BX66" s="1349"/>
      <c r="BY66" s="1349"/>
      <c r="BZ66" s="1349"/>
      <c r="CA66" s="1349"/>
      <c r="CB66" s="1349"/>
      <c r="CC66" s="1350"/>
      <c r="CD66" s="1349"/>
      <c r="CE66" s="1349"/>
      <c r="CF66" s="1349"/>
      <c r="CL66" s="1349"/>
      <c r="CM66" s="1349"/>
      <c r="CN66" s="1517">
        <f>(CN40/CF40)-1</f>
        <v>0</v>
      </c>
      <c r="CR66" s="1517">
        <f t="shared" ref="CR66:CS66" si="407">(CR40/CJ40)-1</f>
        <v>1.0666666666666669</v>
      </c>
      <c r="CS66" s="1518">
        <f t="shared" si="407"/>
        <v>0.8</v>
      </c>
      <c r="CT66" s="1349"/>
      <c r="CU66" s="1349"/>
      <c r="CV66" s="1517">
        <f>(CV40/CN40)-1</f>
        <v>3</v>
      </c>
      <c r="CZ66" s="1517">
        <f t="shared" ref="CZ66" si="408">(CZ40/CR40)-1</f>
        <v>1.5806451612903225</v>
      </c>
      <c r="DA66" s="1518">
        <f t="shared" ref="DA66" si="409">(DA40/CS40)-1</f>
        <v>1.7777777777777777</v>
      </c>
      <c r="DB66" s="1349"/>
      <c r="DC66" s="1349"/>
      <c r="DD66" s="1517">
        <f>(DD40/CV40)-1</f>
        <v>-2.1</v>
      </c>
      <c r="DH66" s="1517">
        <f t="shared" ref="DH66" si="410">(DH40/CZ40)-1</f>
        <v>-0.41249999999999998</v>
      </c>
      <c r="DI66" s="1518">
        <f t="shared" ref="DI66" si="411">(DI40/DA40)-1</f>
        <v>-0.75</v>
      </c>
      <c r="DL66" s="1517">
        <f>(DL40/DD40)-1</f>
        <v>0</v>
      </c>
      <c r="DP66" s="1517">
        <f t="shared" ref="DP66" si="412">(DP40/DH40)-1</f>
        <v>7.163661087054729E-2</v>
      </c>
      <c r="DQ66" s="1518">
        <f t="shared" ref="DQ66" si="413">(DQ40/DI40)-1</f>
        <v>0.13467682843662865</v>
      </c>
      <c r="DR66"/>
      <c r="DT66" s="1517">
        <f>(DT40/DL40)-1</f>
        <v>0</v>
      </c>
      <c r="DX66" s="1517">
        <f t="shared" ref="DX66" si="414">(DX40/DP40)-1</f>
        <v>6.4045506339877489E-2</v>
      </c>
      <c r="DY66" s="1518">
        <f t="shared" ref="DY66" si="415">(DY40/DQ40)-1</f>
        <v>0.11371607699632236</v>
      </c>
    </row>
    <row r="67" spans="1:137" hidden="1" outlineLevel="1">
      <c r="A67" s="19" t="s">
        <v>975</v>
      </c>
      <c r="B67" s="1348"/>
      <c r="C67" s="1349"/>
      <c r="D67" s="1349"/>
      <c r="E67" s="1349"/>
      <c r="F67" s="1349"/>
      <c r="G67" s="1349"/>
      <c r="H67" s="1349"/>
      <c r="I67" s="1350"/>
      <c r="J67" s="1349"/>
      <c r="K67" s="1349"/>
      <c r="L67" s="1349"/>
      <c r="M67" s="1349"/>
      <c r="N67" s="1349"/>
      <c r="O67" s="1349"/>
      <c r="P67" s="1349"/>
      <c r="Q67" s="1350"/>
      <c r="R67" s="1349"/>
      <c r="S67" s="1349"/>
      <c r="T67" s="1349"/>
      <c r="U67" s="1349"/>
      <c r="V67" s="1349"/>
      <c r="W67" s="1349"/>
      <c r="X67" s="1349"/>
      <c r="Y67" s="1350"/>
      <c r="Z67" s="1349"/>
      <c r="AA67" s="1349"/>
      <c r="AB67" s="1349"/>
      <c r="AC67" s="1349"/>
      <c r="AD67" s="1349"/>
      <c r="AE67" s="1349"/>
      <c r="AF67" s="1349"/>
      <c r="AG67" s="1350"/>
      <c r="AH67" s="1349"/>
      <c r="AI67" s="1349"/>
      <c r="AJ67" s="1349"/>
      <c r="AK67" s="1349"/>
      <c r="AL67" s="1349"/>
      <c r="AM67" s="1349"/>
      <c r="AN67" s="1349"/>
      <c r="AO67" s="1350"/>
      <c r="AP67" s="1349"/>
      <c r="AQ67" s="1349"/>
      <c r="AR67" s="1349"/>
      <c r="AS67" s="1349"/>
      <c r="AT67" s="1349"/>
      <c r="AU67" s="1349"/>
      <c r="AV67" s="1349"/>
      <c r="AW67" s="1350"/>
      <c r="AX67" s="1349"/>
      <c r="AY67" s="1349"/>
      <c r="AZ67" s="1349"/>
      <c r="BA67" s="1349"/>
      <c r="BB67" s="1349"/>
      <c r="BC67" s="1349"/>
      <c r="BD67" s="1349"/>
      <c r="BE67" s="1350"/>
      <c r="BF67" s="1349"/>
      <c r="BG67" s="1349"/>
      <c r="BH67" s="1349"/>
      <c r="BI67" s="1349"/>
      <c r="BJ67" s="1349"/>
      <c r="BK67" s="1349"/>
      <c r="BL67" s="1349"/>
      <c r="BM67" s="1350"/>
      <c r="BN67" s="1349"/>
      <c r="BO67" s="1349"/>
      <c r="BP67" s="1349"/>
      <c r="BQ67" s="1349"/>
      <c r="BR67" s="1349"/>
      <c r="BS67" s="1349"/>
      <c r="BT67" s="1349"/>
      <c r="BU67" s="1350"/>
      <c r="BV67" s="1349"/>
      <c r="BW67" s="1349"/>
      <c r="BX67" s="1349"/>
      <c r="BY67" s="1349"/>
      <c r="BZ67" s="1349"/>
      <c r="CA67" s="1349"/>
      <c r="CB67" s="1349"/>
      <c r="CC67" s="1350"/>
      <c r="CD67" s="1349"/>
      <c r="CE67" s="1349"/>
      <c r="CF67" s="1349"/>
      <c r="CL67" s="1349"/>
      <c r="CM67" s="1349"/>
      <c r="CN67" s="1349"/>
      <c r="CR67" s="1349"/>
      <c r="CS67" s="1350"/>
      <c r="CT67" s="1349"/>
      <c r="CU67" s="1349"/>
      <c r="CV67" s="1349"/>
      <c r="CZ67" s="1349"/>
      <c r="DA67" s="1350"/>
      <c r="DB67" s="1349"/>
      <c r="DC67" s="1349"/>
      <c r="DD67" s="1349"/>
      <c r="DH67" s="1349"/>
      <c r="DI67" s="1350"/>
      <c r="DP67" s="1349"/>
      <c r="DQ67" s="1350"/>
      <c r="DR67"/>
      <c r="DT67" s="1349"/>
      <c r="DX67" s="1349"/>
      <c r="DY67" s="1350"/>
    </row>
    <row r="68" spans="1:137" hidden="1" outlineLevel="1">
      <c r="A68" s="19" t="s">
        <v>743</v>
      </c>
      <c r="B68" s="1348"/>
      <c r="C68" s="1349"/>
      <c r="D68" s="1349"/>
      <c r="E68" s="1349"/>
      <c r="F68" s="1349"/>
      <c r="G68" s="1349"/>
      <c r="H68" s="1349"/>
      <c r="I68" s="1350"/>
      <c r="J68" s="1349"/>
      <c r="K68" s="1349"/>
      <c r="L68" s="1349"/>
      <c r="M68" s="1349"/>
      <c r="N68" s="1349"/>
      <c r="O68" s="1349"/>
      <c r="P68" s="1349"/>
      <c r="Q68" s="1350"/>
      <c r="R68" s="1349"/>
      <c r="S68" s="1349"/>
      <c r="T68" s="1349"/>
      <c r="U68" s="1349"/>
      <c r="V68" s="1349"/>
      <c r="W68" s="1349"/>
      <c r="X68" s="1349"/>
      <c r="Y68" s="1350"/>
      <c r="Z68" s="1349"/>
      <c r="AA68" s="1349"/>
      <c r="AB68" s="1349"/>
      <c r="AC68" s="1349"/>
      <c r="AD68" s="1349"/>
      <c r="AE68" s="1349"/>
      <c r="AF68" s="1349"/>
      <c r="AG68" s="1350"/>
      <c r="AH68" s="1349"/>
      <c r="AI68" s="1349"/>
      <c r="AJ68" s="1349"/>
      <c r="AK68" s="1349"/>
      <c r="AL68" s="1349"/>
      <c r="AM68" s="1349"/>
      <c r="AN68" s="1349"/>
      <c r="AO68" s="1350"/>
      <c r="AP68" s="1349"/>
      <c r="AQ68" s="1349"/>
      <c r="AR68" s="1349"/>
      <c r="AS68" s="1349"/>
      <c r="AT68" s="1349"/>
      <c r="AU68" s="1349"/>
      <c r="AV68" s="1349"/>
      <c r="AW68" s="1350"/>
      <c r="AX68" s="1349"/>
      <c r="AY68" s="1349"/>
      <c r="AZ68" s="1349"/>
      <c r="BA68" s="1349"/>
      <c r="BB68" s="1349"/>
      <c r="BC68" s="1349"/>
      <c r="BD68" s="1349"/>
      <c r="BE68" s="1350"/>
      <c r="BF68" s="1349"/>
      <c r="BG68" s="1349"/>
      <c r="BH68" s="1349"/>
      <c r="BI68" s="1349"/>
      <c r="BJ68" s="1349"/>
      <c r="BK68" s="1349"/>
      <c r="BL68" s="1349"/>
      <c r="BM68" s="1350"/>
      <c r="BN68" s="1349"/>
      <c r="BO68" s="1349"/>
      <c r="BP68" s="1349"/>
      <c r="BQ68" s="1349"/>
      <c r="BR68" s="1349"/>
      <c r="BS68" s="1349"/>
      <c r="BT68" s="1349"/>
      <c r="BU68" s="1350"/>
      <c r="BV68" s="1349"/>
      <c r="BW68" s="1349"/>
      <c r="BX68" s="1349"/>
      <c r="BY68" s="1349"/>
      <c r="BZ68" s="1349"/>
      <c r="CA68" s="1349"/>
      <c r="CB68" s="1349"/>
      <c r="CC68" s="1350"/>
      <c r="CD68" s="1349"/>
      <c r="CE68" s="1349"/>
      <c r="CF68" s="1349"/>
      <c r="CL68" s="1349"/>
      <c r="CM68" s="1349"/>
      <c r="CN68" s="1349"/>
      <c r="CR68" s="1349"/>
      <c r="CS68" s="1350"/>
      <c r="CT68" s="1349"/>
      <c r="CU68" s="1349"/>
      <c r="CV68" s="1349"/>
      <c r="CZ68" s="1349"/>
      <c r="DA68" s="1350"/>
      <c r="DB68" s="1349"/>
      <c r="DC68" s="1349"/>
      <c r="DD68" s="1349"/>
      <c r="DH68" s="1349"/>
      <c r="DI68" s="1350"/>
      <c r="DP68" s="1349"/>
      <c r="DQ68" s="1350"/>
      <c r="DR68"/>
      <c r="DT68" s="1349"/>
      <c r="DX68" s="1349"/>
      <c r="DY68" s="1350"/>
    </row>
    <row r="69" spans="1:137" s="331" customFormat="1" ht="11.25" collapsed="1">
      <c r="A69" s="1329" t="s">
        <v>1008</v>
      </c>
      <c r="B69" s="1330">
        <f t="shared" ref="B69:AM69" si="416">SUM(B59:B68)</f>
        <v>0</v>
      </c>
      <c r="C69" s="1331">
        <f t="shared" si="416"/>
        <v>0</v>
      </c>
      <c r="D69" s="1331">
        <f t="shared" ref="D69" si="417">B69+C69</f>
        <v>0</v>
      </c>
      <c r="E69" s="1331">
        <f t="shared" si="416"/>
        <v>0</v>
      </c>
      <c r="F69" s="1331">
        <f t="shared" ref="F69" si="418">D69+E69</f>
        <v>0</v>
      </c>
      <c r="G69" s="1331">
        <f t="shared" ref="G69" si="419">SUM(G59:G68)</f>
        <v>0</v>
      </c>
      <c r="H69" s="1331">
        <f t="shared" ref="H69" si="420">G69+E69</f>
        <v>0</v>
      </c>
      <c r="I69" s="1332">
        <f t="shared" ref="I69" si="421">H69+D69</f>
        <v>0</v>
      </c>
      <c r="J69" s="1330">
        <f t="shared" si="416"/>
        <v>0</v>
      </c>
      <c r="K69" s="1331">
        <f t="shared" si="416"/>
        <v>0</v>
      </c>
      <c r="L69" s="1331">
        <f t="shared" ref="L69" si="422">J69+K69</f>
        <v>0</v>
      </c>
      <c r="M69" s="1331">
        <f t="shared" si="416"/>
        <v>0</v>
      </c>
      <c r="N69" s="1331">
        <f t="shared" ref="N69" si="423">L69+M69</f>
        <v>0</v>
      </c>
      <c r="O69" s="1331">
        <f t="shared" si="416"/>
        <v>0</v>
      </c>
      <c r="P69" s="1331">
        <f t="shared" ref="P69" si="424">O69+M69</f>
        <v>0</v>
      </c>
      <c r="Q69" s="1332">
        <f t="shared" ref="Q69" si="425">P69+L69</f>
        <v>0</v>
      </c>
      <c r="R69" s="1331">
        <f t="shared" si="416"/>
        <v>0</v>
      </c>
      <c r="S69" s="1331">
        <f t="shared" si="416"/>
        <v>0</v>
      </c>
      <c r="T69" s="1331">
        <f t="shared" ref="T69" si="426">R69+S69</f>
        <v>0</v>
      </c>
      <c r="U69" s="1331">
        <f t="shared" si="416"/>
        <v>0</v>
      </c>
      <c r="V69" s="1331">
        <f t="shared" ref="V69" si="427">T69+U69</f>
        <v>0</v>
      </c>
      <c r="W69" s="1331">
        <f t="shared" si="416"/>
        <v>0</v>
      </c>
      <c r="X69" s="1331">
        <f t="shared" ref="X69" si="428">W69+U69</f>
        <v>0</v>
      </c>
      <c r="Y69" s="1332">
        <f t="shared" ref="Y69" si="429">X69+T69</f>
        <v>0</v>
      </c>
      <c r="Z69" s="1331">
        <f t="shared" si="416"/>
        <v>0</v>
      </c>
      <c r="AA69" s="1331">
        <f t="shared" si="416"/>
        <v>0</v>
      </c>
      <c r="AB69" s="1331">
        <f t="shared" ref="AB69" si="430">Z69+AA69</f>
        <v>0</v>
      </c>
      <c r="AC69" s="1331">
        <f t="shared" si="416"/>
        <v>0</v>
      </c>
      <c r="AD69" s="1331">
        <f t="shared" ref="AD69" si="431">AB69+AC69</f>
        <v>0</v>
      </c>
      <c r="AE69" s="1331">
        <f t="shared" si="416"/>
        <v>0</v>
      </c>
      <c r="AF69" s="1331">
        <f t="shared" ref="AF69" si="432">AE69+AC69</f>
        <v>0</v>
      </c>
      <c r="AG69" s="1332">
        <f t="shared" ref="AG69" si="433">AF69+AB69</f>
        <v>0</v>
      </c>
      <c r="AH69" s="1331">
        <f t="shared" si="416"/>
        <v>0</v>
      </c>
      <c r="AI69" s="1331">
        <f t="shared" si="416"/>
        <v>0</v>
      </c>
      <c r="AJ69" s="1331">
        <f t="shared" ref="AJ69" si="434">AH69+AI69</f>
        <v>0</v>
      </c>
      <c r="AK69" s="1331">
        <f t="shared" si="416"/>
        <v>0</v>
      </c>
      <c r="AL69" s="1331">
        <f t="shared" ref="AL69" si="435">AJ69+AK69</f>
        <v>0</v>
      </c>
      <c r="AM69" s="1331">
        <f t="shared" si="416"/>
        <v>0</v>
      </c>
      <c r="AN69" s="1331">
        <f t="shared" ref="AN69" si="436">AM69+AK69</f>
        <v>0</v>
      </c>
      <c r="AO69" s="1332">
        <f t="shared" ref="AO69" si="437">AN69+AJ69</f>
        <v>0</v>
      </c>
      <c r="AP69" s="1331">
        <f>SUM(AP59:AP68)-AP65</f>
        <v>0</v>
      </c>
      <c r="AQ69" s="1331">
        <f>SUM(AQ59:AQ68)-AQ65</f>
        <v>0</v>
      </c>
      <c r="AR69" s="1331">
        <f t="shared" ref="AR69" si="438">AP69+AQ69</f>
        <v>0</v>
      </c>
      <c r="AS69" s="1331">
        <f>SUM(AS59:AS68)-AS65</f>
        <v>0</v>
      </c>
      <c r="AT69" s="1331">
        <f t="shared" ref="AT69" si="439">AR69+AS69</f>
        <v>0</v>
      </c>
      <c r="AU69" s="1331">
        <f>SUM(AU59:AU68)-AU65</f>
        <v>0</v>
      </c>
      <c r="AV69" s="1331">
        <f t="shared" ref="AV69" si="440">AU69+AS69</f>
        <v>0</v>
      </c>
      <c r="AW69" s="1332">
        <f t="shared" ref="AW69" si="441">AV69+AR69</f>
        <v>0</v>
      </c>
      <c r="AX69" s="1331">
        <f>SUM(AX59:AX68)</f>
        <v>0</v>
      </c>
      <c r="AY69" s="1331">
        <f>SUM(AY59:AY68)</f>
        <v>0</v>
      </c>
      <c r="AZ69" s="1331">
        <f t="shared" ref="AZ69" si="442">AX69+AY69</f>
        <v>0</v>
      </c>
      <c r="BA69" s="1331">
        <f>SUM(BA59:BA68)</f>
        <v>0</v>
      </c>
      <c r="BB69" s="1331">
        <f t="shared" ref="BB69" si="443">AZ69+BA69</f>
        <v>0</v>
      </c>
      <c r="BC69" s="1331">
        <f>SUM(BC59:BC68)</f>
        <v>0</v>
      </c>
      <c r="BD69" s="1331">
        <f t="shared" ref="BD69" si="444">BC69+BA69</f>
        <v>0</v>
      </c>
      <c r="BE69" s="1332">
        <f t="shared" ref="BE69" si="445">BD69+AZ69</f>
        <v>0</v>
      </c>
      <c r="BF69" s="1331">
        <f t="shared" ref="BF69:CA69" si="446">SUM(BF63:BF68,BF59)</f>
        <v>0</v>
      </c>
      <c r="BG69" s="1331">
        <f t="shared" si="446"/>
        <v>0</v>
      </c>
      <c r="BH69" s="1331">
        <f t="shared" ref="BH69" si="447">BF69+BG69</f>
        <v>0</v>
      </c>
      <c r="BI69" s="1331">
        <f t="shared" si="446"/>
        <v>0</v>
      </c>
      <c r="BJ69" s="1331">
        <f t="shared" ref="BJ69" si="448">BH69+BI69</f>
        <v>0</v>
      </c>
      <c r="BK69" s="1331">
        <f t="shared" si="446"/>
        <v>0</v>
      </c>
      <c r="BL69" s="1331">
        <f t="shared" ref="BL69" si="449">BK69+BI69</f>
        <v>0</v>
      </c>
      <c r="BM69" s="1332">
        <f t="shared" ref="BM69" si="450">BL69+BH69</f>
        <v>0</v>
      </c>
      <c r="BN69" s="1331">
        <f t="shared" si="446"/>
        <v>0</v>
      </c>
      <c r="BO69" s="1331">
        <f t="shared" si="446"/>
        <v>0</v>
      </c>
      <c r="BP69" s="1331">
        <f t="shared" ref="BP69" si="451">BN69+BO69</f>
        <v>0</v>
      </c>
      <c r="BQ69" s="1331">
        <f t="shared" si="446"/>
        <v>0</v>
      </c>
      <c r="BR69" s="1331">
        <f t="shared" ref="BR69" si="452">BP69+BQ69</f>
        <v>0</v>
      </c>
      <c r="BS69" s="1331">
        <f t="shared" si="446"/>
        <v>0</v>
      </c>
      <c r="BT69" s="1331">
        <f t="shared" ref="BT69" si="453">BS69+BQ69</f>
        <v>0</v>
      </c>
      <c r="BU69" s="1332">
        <f t="shared" ref="BU69" si="454">BT69+BP69</f>
        <v>0</v>
      </c>
      <c r="BV69" s="1331">
        <f t="shared" si="446"/>
        <v>0</v>
      </c>
      <c r="BW69" s="1331">
        <f t="shared" si="446"/>
        <v>0</v>
      </c>
      <c r="BX69" s="1331">
        <f t="shared" ref="BX69" si="455">BV69+BW69</f>
        <v>0</v>
      </c>
      <c r="BY69" s="1331">
        <f t="shared" si="446"/>
        <v>0</v>
      </c>
      <c r="BZ69" s="1331">
        <f t="shared" ref="BZ69" si="456">BX69+BY69</f>
        <v>0</v>
      </c>
      <c r="CA69" s="1331">
        <f t="shared" si="446"/>
        <v>0</v>
      </c>
      <c r="CB69" s="1331">
        <f t="shared" ref="CB69" si="457">CA69+BY69</f>
        <v>0</v>
      </c>
      <c r="CC69" s="1332">
        <f t="shared" ref="CC69" si="458">CB69+BX69</f>
        <v>0</v>
      </c>
      <c r="CD69" s="1331"/>
      <c r="CE69" s="1331"/>
      <c r="CF69" s="1516"/>
      <c r="CG69" s="1331"/>
      <c r="CH69" s="1331"/>
      <c r="CI69" s="1331"/>
      <c r="CJ69" s="1516"/>
      <c r="CK69" s="1519"/>
      <c r="CL69" s="1331"/>
      <c r="CM69" s="1331"/>
      <c r="CN69" s="1516">
        <f>(CN43/CF43)-1</f>
        <v>0.58877086494688924</v>
      </c>
      <c r="CO69" s="1331"/>
      <c r="CP69" s="1331"/>
      <c r="CQ69" s="1331"/>
      <c r="CR69" s="1516">
        <f t="shared" ref="CR69:CS69" si="459">(CR43/CJ43)-1</f>
        <v>0.18760907504363011</v>
      </c>
      <c r="CS69" s="1519">
        <f t="shared" si="459"/>
        <v>0.33407202216066478</v>
      </c>
      <c r="CT69" s="1331"/>
      <c r="CU69" s="1331"/>
      <c r="CV69" s="1516">
        <f>(CV43/CN43)-1</f>
        <v>0.33428844317096473</v>
      </c>
      <c r="CW69" s="1331"/>
      <c r="CX69" s="1331"/>
      <c r="CY69" s="1331"/>
      <c r="CZ69" s="1516">
        <f t="shared" ref="CZ69" si="460">(CZ43/CR43)-1</f>
        <v>0.29977957384276266</v>
      </c>
      <c r="DA69" s="1519">
        <f t="shared" ref="DA69" si="461">(DA43/CS43)-1</f>
        <v>0.3147840531561461</v>
      </c>
      <c r="DB69" s="1331"/>
      <c r="DC69" s="1331"/>
      <c r="DD69" s="1516">
        <f>(DD43/CV43)-1</f>
        <v>0.41302791696492491</v>
      </c>
      <c r="DE69" s="1331"/>
      <c r="DF69" s="1331"/>
      <c r="DG69" s="1331"/>
      <c r="DH69" s="1516">
        <f t="shared" ref="DH69" si="462">(DH43/CZ43)-1</f>
        <v>0.21254946297343125</v>
      </c>
      <c r="DI69" s="1519">
        <f t="shared" ref="DI69" si="463">(DI43/DA43)-1</f>
        <v>0.30101073910296905</v>
      </c>
      <c r="DJ69" s="1331"/>
      <c r="DK69" s="1331"/>
      <c r="DL69" s="1516">
        <f>(DL43/DD43)-1</f>
        <v>0.27152988855116522</v>
      </c>
      <c r="DM69" s="1331"/>
      <c r="DN69" s="1331"/>
      <c r="DO69" s="1331"/>
      <c r="DP69" s="1516">
        <f t="shared" ref="DP69" si="464">(DP43/DH43)-1</f>
        <v>0.24431784800540446</v>
      </c>
      <c r="DQ69" s="1519">
        <f t="shared" ref="DQ69" si="465">(DQ43/DI43)-1</f>
        <v>0.25735901528807759</v>
      </c>
      <c r="DR69" s="1331"/>
      <c r="DS69" s="1331"/>
      <c r="DT69" s="1516">
        <f>(DT43/DL43)-1</f>
        <v>0.13729315787601371</v>
      </c>
      <c r="DU69" s="1331"/>
      <c r="DV69" s="1331"/>
      <c r="DW69" s="1331"/>
      <c r="DX69" s="1516">
        <f t="shared" ref="DX69" si="466">(DX43/DP43)-1</f>
        <v>0.18405166017404961</v>
      </c>
      <c r="DY69" s="1519">
        <f t="shared" ref="DY69" si="467">(DY43/DQ43)-1</f>
        <v>0.16139044359399413</v>
      </c>
      <c r="DZ69" s="1331"/>
      <c r="EA69" s="1331"/>
      <c r="EB69" s="1331"/>
      <c r="EC69" s="1331"/>
      <c r="ED69" s="1331"/>
      <c r="EE69" s="1331"/>
      <c r="EF69" s="1331"/>
      <c r="EG69" s="1510"/>
    </row>
    <row r="70" spans="1:137">
      <c r="A70" s="19"/>
      <c r="DR70"/>
      <c r="DT70" s="1349"/>
    </row>
    <row r="71" spans="1:137">
      <c r="A71" s="1311" t="s">
        <v>1129</v>
      </c>
      <c r="B71" s="1527"/>
      <c r="CF71" s="492">
        <v>677</v>
      </c>
      <c r="CG71" s="492"/>
      <c r="CJ71" s="1520">
        <f>CK71-CF71</f>
        <v>703</v>
      </c>
      <c r="CK71" s="1511">
        <f>INDEX('Income Statement'!192:192, MATCH(Interims!CK1,'Income Statement'!3:3,0))</f>
        <v>1380</v>
      </c>
      <c r="CN71" s="492">
        <v>681</v>
      </c>
      <c r="CO71" s="492"/>
      <c r="CR71" s="1520">
        <f>CS71-CN71</f>
        <v>692</v>
      </c>
      <c r="CS71" s="1511">
        <f>INDEX('Income Statement'!192:192, MATCH(Interims!CS1,'Income Statement'!3:3,0))</f>
        <v>1373</v>
      </c>
      <c r="CV71" s="492">
        <v>653</v>
      </c>
      <c r="CW71" s="492"/>
      <c r="CZ71" s="1520">
        <f>DA71-CV71</f>
        <v>683</v>
      </c>
      <c r="DA71" s="1511">
        <f>INDEX('Income Statement'!192:192, MATCH(Interims!DA1,'Income Statement'!3:3,0))</f>
        <v>1336</v>
      </c>
      <c r="DD71" s="492">
        <v>692</v>
      </c>
      <c r="DE71" s="492"/>
      <c r="DH71" s="1520">
        <f>DI71-DD71</f>
        <v>714</v>
      </c>
      <c r="DI71" s="1511">
        <f>INDEX('Income Statement'!192:192, MATCH(Interims!DI1,'Income Statement'!3:3,0))</f>
        <v>1406</v>
      </c>
      <c r="DL71" s="492">
        <v>719</v>
      </c>
      <c r="DP71" s="1520">
        <f>DQ71-DL71</f>
        <v>853.38885455690433</v>
      </c>
      <c r="DQ71" s="1511">
        <f>INDEX('Income Statement'!192:192, MATCH(Interims!DQ1,'Income Statement'!3:3,0))</f>
        <v>1572.3888545569043</v>
      </c>
      <c r="DR71"/>
      <c r="DT71" s="1520">
        <f>(DD71/DI71)*DY71</f>
        <v>895.34912385348673</v>
      </c>
      <c r="DX71" s="1520">
        <f>DY71-DT71</f>
        <v>923.81398039218141</v>
      </c>
      <c r="DY71" s="1511">
        <f>INDEX('Income Statement'!192:192, MATCH(Interims!DY1,'Income Statement'!3:3,0))</f>
        <v>1819.1631042456681</v>
      </c>
    </row>
    <row r="72" spans="1:137" ht="15">
      <c r="A72" s="1532" t="s">
        <v>1559</v>
      </c>
      <c r="B72" s="1533"/>
      <c r="C72" s="1534"/>
      <c r="D72" s="1534"/>
      <c r="E72" s="1534"/>
      <c r="F72" s="1534"/>
      <c r="G72" s="1534"/>
      <c r="H72" s="1534"/>
      <c r="I72" s="1535"/>
      <c r="J72" s="1534"/>
      <c r="K72" s="1534"/>
      <c r="L72" s="1534"/>
      <c r="M72" s="1534"/>
      <c r="N72" s="1534"/>
      <c r="O72" s="1534"/>
      <c r="P72" s="1534"/>
      <c r="Q72" s="1535"/>
      <c r="R72" s="1534"/>
      <c r="S72" s="1534"/>
      <c r="T72" s="1534"/>
      <c r="U72" s="1534"/>
      <c r="V72" s="1534"/>
      <c r="W72" s="1534"/>
      <c r="X72" s="1534"/>
      <c r="Y72" s="1535"/>
      <c r="Z72" s="1534"/>
      <c r="AA72" s="1534"/>
      <c r="AB72" s="1534"/>
      <c r="AC72" s="1534"/>
      <c r="AD72" s="1534"/>
      <c r="AE72" s="1534"/>
      <c r="AF72" s="1534"/>
      <c r="AG72" s="1535"/>
      <c r="AH72" s="1534"/>
      <c r="AI72" s="1534"/>
      <c r="AJ72" s="1534"/>
      <c r="AK72" s="1534"/>
      <c r="AL72" s="1534"/>
      <c r="AM72" s="1534"/>
      <c r="AN72" s="1534"/>
      <c r="AO72" s="1535"/>
      <c r="AP72" s="1534"/>
      <c r="AQ72" s="1534"/>
      <c r="AR72" s="1534"/>
      <c r="AS72" s="1534"/>
      <c r="AT72" s="1534"/>
      <c r="AU72" s="1534"/>
      <c r="AV72" s="1534"/>
      <c r="AW72" s="1535"/>
      <c r="AX72" s="1534"/>
      <c r="AY72" s="1534"/>
      <c r="AZ72" s="1534"/>
      <c r="BA72" s="1534"/>
      <c r="BB72" s="1534"/>
      <c r="BC72" s="1534"/>
      <c r="BD72" s="1534"/>
      <c r="BE72" s="1535"/>
      <c r="BF72" s="1534"/>
      <c r="BG72" s="1534"/>
      <c r="BH72" s="1534"/>
      <c r="BI72" s="1534"/>
      <c r="BJ72" s="1534"/>
      <c r="BK72" s="1534"/>
      <c r="BL72" s="1534"/>
      <c r="BM72" s="1535"/>
      <c r="BN72" s="1534"/>
      <c r="BO72" s="1534"/>
      <c r="BP72" s="1534"/>
      <c r="BQ72" s="1534"/>
      <c r="BR72" s="1534"/>
      <c r="BS72" s="1534"/>
      <c r="BT72" s="1534"/>
      <c r="BU72" s="1535"/>
      <c r="BV72" s="1534"/>
      <c r="BW72" s="1534"/>
      <c r="BX72" s="1534"/>
      <c r="BY72" s="1534"/>
      <c r="BZ72" s="1534"/>
      <c r="CA72" s="1534"/>
      <c r="CB72" s="1534"/>
      <c r="CC72" s="1535"/>
      <c r="CD72" s="1534"/>
      <c r="CE72" s="1534"/>
      <c r="CF72" s="1536">
        <f>CF43+CF71</f>
        <v>1336</v>
      </c>
      <c r="CG72" s="1537"/>
      <c r="CH72" s="1538"/>
      <c r="CI72" s="1538"/>
      <c r="CJ72" s="1536">
        <f>CJ43+CJ71</f>
        <v>1849</v>
      </c>
      <c r="CK72" s="1539">
        <f>CK43+CK71</f>
        <v>3185</v>
      </c>
      <c r="CL72" s="1534"/>
      <c r="CM72" s="1534"/>
      <c r="CN72" s="1536">
        <f>CN43+CN71</f>
        <v>1728</v>
      </c>
      <c r="CO72" s="1537"/>
      <c r="CP72" s="1538"/>
      <c r="CQ72" s="1538"/>
      <c r="CR72" s="1536">
        <f>CR43+CR71</f>
        <v>2053</v>
      </c>
      <c r="CS72" s="1539">
        <f>CS43+CS71</f>
        <v>3781</v>
      </c>
      <c r="CT72" s="1534"/>
      <c r="CU72" s="1534"/>
      <c r="CV72" s="1536">
        <f>CV43+CV71</f>
        <v>2050</v>
      </c>
      <c r="CW72" s="1537"/>
      <c r="CX72" s="1538"/>
      <c r="CY72" s="1538"/>
      <c r="CZ72" s="1536">
        <f>CZ43+CZ71</f>
        <v>2452</v>
      </c>
      <c r="DA72" s="1539">
        <f>DA43+DA71</f>
        <v>4502</v>
      </c>
      <c r="DB72" s="1534"/>
      <c r="DC72" s="1534"/>
      <c r="DD72" s="1536">
        <f>DD43+DD71</f>
        <v>2666</v>
      </c>
      <c r="DE72" s="1537"/>
      <c r="DF72" s="1538"/>
      <c r="DG72" s="1538"/>
      <c r="DH72" s="1536">
        <f>DH43+DH71</f>
        <v>2859</v>
      </c>
      <c r="DI72" s="1539">
        <f>DI43+DI71</f>
        <v>5525</v>
      </c>
      <c r="DJ72" s="1534"/>
      <c r="DK72" s="1534"/>
      <c r="DL72" s="1536">
        <f>DL43+DL71</f>
        <v>3229</v>
      </c>
      <c r="DM72" s="1537"/>
      <c r="DN72" s="1538"/>
      <c r="DO72" s="1538"/>
      <c r="DP72" s="1536">
        <f>DP43+DP71</f>
        <v>3522.4506385284967</v>
      </c>
      <c r="DQ72" s="1539">
        <f>DQ43+DQ71</f>
        <v>6751.4506385284958</v>
      </c>
      <c r="DR72" s="1534"/>
      <c r="DS72" s="1534"/>
      <c r="DT72" s="1536">
        <f>DT43+DT71</f>
        <v>3749.9549501222809</v>
      </c>
      <c r="DU72" s="1537"/>
      <c r="DV72" s="1538"/>
      <c r="DW72" s="1538"/>
      <c r="DX72" s="1536">
        <f>DX43+DX71</f>
        <v>4084.121016810856</v>
      </c>
      <c r="DY72" s="1539">
        <f>DY43+DY71</f>
        <v>7834.0759669331374</v>
      </c>
      <c r="DZ72" s="1534"/>
      <c r="EA72" s="1534"/>
      <c r="EB72" s="1534"/>
      <c r="EC72" s="1534"/>
      <c r="ED72" s="1534"/>
      <c r="EE72" s="1534"/>
      <c r="EF72" s="1534"/>
      <c r="EG72" s="1534"/>
    </row>
    <row r="73" spans="1:137">
      <c r="A73" s="19"/>
      <c r="B73" s="1527"/>
      <c r="DR73"/>
      <c r="DT73" s="1349"/>
    </row>
    <row r="74" spans="1:137">
      <c r="A74" s="19"/>
      <c r="B74" s="1527"/>
      <c r="DR74"/>
      <c r="DT74" s="1349"/>
    </row>
    <row r="75" spans="1:137">
      <c r="A75" s="306" t="s">
        <v>1045</v>
      </c>
      <c r="B75" s="1335"/>
      <c r="C75" s="306"/>
      <c r="D75" s="306"/>
      <c r="E75" s="306"/>
      <c r="F75" s="306"/>
      <c r="G75" s="306"/>
      <c r="H75" s="306"/>
      <c r="I75" s="1327"/>
      <c r="J75" s="306"/>
      <c r="K75" s="306"/>
      <c r="L75" s="306"/>
      <c r="M75" s="306"/>
      <c r="N75" s="306"/>
      <c r="O75" s="306"/>
      <c r="P75" s="306"/>
      <c r="Q75" s="1327"/>
      <c r="R75" s="306"/>
      <c r="S75" s="306"/>
      <c r="T75" s="306"/>
      <c r="U75" s="306"/>
      <c r="V75" s="306"/>
      <c r="W75" s="306"/>
      <c r="X75" s="306"/>
      <c r="Y75" s="1327"/>
      <c r="Z75" s="306"/>
      <c r="AA75" s="306"/>
      <c r="AB75" s="306"/>
      <c r="AC75" s="306"/>
      <c r="AD75" s="306"/>
      <c r="AE75" s="306"/>
      <c r="AF75" s="306"/>
      <c r="AG75" s="1327"/>
      <c r="AH75" s="306"/>
      <c r="AI75" s="306"/>
      <c r="AJ75" s="306"/>
      <c r="AK75" s="306"/>
      <c r="AL75" s="306"/>
      <c r="AM75" s="306"/>
      <c r="AN75" s="306"/>
      <c r="AO75" s="1327"/>
      <c r="AP75" s="306"/>
      <c r="AQ75" s="306"/>
      <c r="AR75" s="306"/>
      <c r="AS75" s="306"/>
      <c r="AT75" s="306"/>
      <c r="AU75" s="306"/>
      <c r="AV75" s="306"/>
      <c r="AW75" s="1327"/>
      <c r="AX75" s="306"/>
      <c r="AY75" s="306"/>
      <c r="AZ75" s="306"/>
      <c r="BA75" s="306"/>
      <c r="BB75" s="306"/>
      <c r="BC75" s="306"/>
      <c r="BD75" s="306"/>
      <c r="BE75" s="1327"/>
      <c r="BF75" s="306"/>
      <c r="BG75" s="306"/>
      <c r="BH75" s="306"/>
      <c r="BI75" s="306"/>
      <c r="BJ75" s="306"/>
      <c r="BK75" s="306"/>
      <c r="BL75" s="306"/>
      <c r="BM75" s="1327"/>
      <c r="BN75" s="306"/>
      <c r="BO75" s="306"/>
      <c r="BP75" s="306"/>
      <c r="BQ75" s="306"/>
      <c r="BR75" s="306"/>
      <c r="BS75" s="306"/>
      <c r="BT75" s="306"/>
      <c r="BU75" s="1327"/>
      <c r="BV75" s="306"/>
      <c r="BW75" s="306"/>
      <c r="BX75" s="306"/>
      <c r="BY75" s="306"/>
      <c r="BZ75" s="306"/>
      <c r="CA75" s="306"/>
      <c r="CB75" s="306"/>
      <c r="CC75" s="1327"/>
      <c r="CD75" s="1352"/>
      <c r="CE75" s="1352"/>
      <c r="CF75" s="1530">
        <v>0.63</v>
      </c>
      <c r="CG75" s="1352"/>
      <c r="CH75" s="1352"/>
      <c r="CI75" s="1352"/>
      <c r="CJ75" s="1522">
        <f>CK75-CF75</f>
        <v>1.1489739691458176</v>
      </c>
      <c r="CK75" s="1521">
        <f>INDEX('Income Statement'!$104:$104, MATCH(Interims!CK$1,'Income Statement'!$3:$3,0))</f>
        <v>1.7789739691458177</v>
      </c>
      <c r="CL75" s="1352"/>
      <c r="CM75" s="1352"/>
      <c r="CN75" s="1528">
        <v>1.2557616764697648</v>
      </c>
      <c r="CO75" s="1530"/>
      <c r="CP75" s="1530"/>
      <c r="CQ75" s="1530"/>
      <c r="CR75" s="1528">
        <v>1.5050852957893972</v>
      </c>
      <c r="CS75" s="1521">
        <f>INDEX('Income Statement'!$104:$104, MATCH(Interims!CS$1,'Income Statement'!$3:$3,0))</f>
        <v>2.760846972259162</v>
      </c>
      <c r="CT75" s="1352"/>
      <c r="CU75" s="1352"/>
      <c r="CV75" s="1528">
        <v>2.4806880634296955</v>
      </c>
      <c r="CW75" s="1530"/>
      <c r="CX75" s="1530"/>
      <c r="CY75" s="1530"/>
      <c r="CZ75" s="1528">
        <v>2.373361438856461</v>
      </c>
      <c r="DA75" s="1521">
        <f>INDEX('Income Statement'!$104:$104, MATCH(Interims!DA$1,'Income Statement'!$3:$3,0))</f>
        <v>4.8564430178198279</v>
      </c>
      <c r="DB75" s="1352"/>
      <c r="DC75" s="1352"/>
      <c r="DD75" s="1528">
        <v>3.3700938479118019</v>
      </c>
      <c r="DE75" s="1352"/>
      <c r="DF75" s="1352"/>
      <c r="DG75" s="1352"/>
      <c r="DH75" s="1528">
        <v>4.002256182136291</v>
      </c>
      <c r="DI75" s="1521">
        <f>INDEX('Income Statement'!$104:$104, MATCH(Interims!DI$1,'Income Statement'!$3:$3,0))</f>
        <v>7.3747530124568437</v>
      </c>
      <c r="DJ75" s="1352"/>
      <c r="DK75" s="1352"/>
      <c r="DL75" s="1528">
        <v>3.8</v>
      </c>
      <c r="DM75" s="1352"/>
      <c r="DN75" s="1352"/>
      <c r="DO75" s="1352"/>
      <c r="DP75" s="1522">
        <f>DQ75-DL75</f>
        <v>4.6933208882291693</v>
      </c>
      <c r="DQ75" s="1521">
        <f>INDEX('Income Statement'!$104:$104, MATCH(Interims!DQ$1,'Income Statement'!$3:$3,0))</f>
        <v>8.4933208882291691</v>
      </c>
      <c r="DR75" s="1352"/>
      <c r="DS75" s="1352"/>
      <c r="DT75" s="1491">
        <f>(DD75/DI75)*DY75</f>
        <v>5.0411778221022381</v>
      </c>
      <c r="DU75" s="1352"/>
      <c r="DV75" s="1352"/>
      <c r="DW75" s="1352"/>
      <c r="DX75" s="1522">
        <f>DY75-DT75</f>
        <v>5.9903966703752403</v>
      </c>
      <c r="DY75" s="1521">
        <f>INDEX('Income Statement'!$104:$104, MATCH(Interims!DY$1,'Income Statement'!$3:$3,0))</f>
        <v>11.031574492477478</v>
      </c>
      <c r="DZ75" s="306"/>
      <c r="EA75" s="306"/>
      <c r="EB75" s="306"/>
      <c r="EC75" s="306"/>
      <c r="ED75" s="306"/>
      <c r="EE75" s="306"/>
      <c r="EF75" s="306"/>
      <c r="EG75" s="1327"/>
    </row>
    <row r="76" spans="1:137">
      <c r="A76" s="214" t="s">
        <v>1008</v>
      </c>
    </row>
    <row r="77" spans="1:137">
      <c r="A77" s="349" t="s">
        <v>1489</v>
      </c>
    </row>
    <row r="81" spans="1:1">
      <c r="A81" s="19"/>
    </row>
    <row r="82" spans="1:1">
      <c r="A82" s="19"/>
    </row>
    <row r="83" spans="1:1">
      <c r="A83" s="291"/>
    </row>
    <row r="84" spans="1:1">
      <c r="A84" s="19"/>
    </row>
    <row r="85" spans="1:1">
      <c r="A85" s="19"/>
    </row>
    <row r="86" spans="1:1">
      <c r="A86" s="19"/>
    </row>
    <row r="87" spans="1:1">
      <c r="A87" s="291"/>
    </row>
    <row r="88" spans="1:1">
      <c r="A88" s="291"/>
    </row>
    <row r="89" spans="1:1">
      <c r="A89" s="291"/>
    </row>
    <row r="90" spans="1:1">
      <c r="A90" s="291"/>
    </row>
    <row r="91" spans="1:1">
      <c r="A91" s="295"/>
    </row>
    <row r="92" spans="1:1">
      <c r="A92" s="291"/>
    </row>
    <row r="93" spans="1:1">
      <c r="A93" s="19"/>
    </row>
    <row r="94" spans="1:1">
      <c r="A94" s="291"/>
    </row>
    <row r="95" spans="1:1">
      <c r="A95" s="291"/>
    </row>
    <row r="96" spans="1:1">
      <c r="A96" s="19"/>
    </row>
    <row r="97" spans="1:1">
      <c r="A97" s="19"/>
    </row>
    <row r="98" spans="1:1">
      <c r="A98" s="19"/>
    </row>
    <row r="99" spans="1:1">
      <c r="A99" s="291"/>
    </row>
    <row r="100" spans="1:1">
      <c r="A100" s="19"/>
    </row>
    <row r="101" spans="1:1">
      <c r="A101" s="19"/>
    </row>
    <row r="102" spans="1:1">
      <c r="A102" s="291"/>
    </row>
    <row r="103" spans="1:1">
      <c r="A103" s="19"/>
    </row>
    <row r="104" spans="1:1">
      <c r="A104" s="19"/>
    </row>
    <row r="105" spans="1:1">
      <c r="A105" s="19"/>
    </row>
    <row r="106" spans="1:1">
      <c r="A106" s="19"/>
    </row>
    <row r="107" spans="1:1">
      <c r="A107" s="19"/>
    </row>
    <row r="108" spans="1:1">
      <c r="A108" s="19"/>
    </row>
    <row r="109" spans="1:1">
      <c r="A109" s="19"/>
    </row>
    <row r="110" spans="1:1">
      <c r="A110" s="291"/>
    </row>
    <row r="111" spans="1:1">
      <c r="A111" s="291"/>
    </row>
    <row r="112" spans="1:1">
      <c r="A112" s="291"/>
    </row>
    <row r="113" spans="1:1">
      <c r="A113" s="19"/>
    </row>
    <row r="114" spans="1:1">
      <c r="A114" s="19"/>
    </row>
    <row r="115" spans="1:1">
      <c r="A115" s="19"/>
    </row>
    <row r="116" spans="1:1">
      <c r="A116" s="19"/>
    </row>
    <row r="117" spans="1:1">
      <c r="A117" s="19"/>
    </row>
    <row r="118" spans="1:1">
      <c r="A118" s="19"/>
    </row>
    <row r="119" spans="1:1">
      <c r="A119" s="19"/>
    </row>
    <row r="120" spans="1:1">
      <c r="A120" s="19"/>
    </row>
    <row r="121" spans="1:1">
      <c r="A121" s="19"/>
    </row>
    <row r="122" spans="1:1">
      <c r="A122" s="19"/>
    </row>
    <row r="123" spans="1:1">
      <c r="A123" s="19"/>
    </row>
    <row r="124" spans="1:1">
      <c r="A124" s="19"/>
    </row>
    <row r="125" spans="1:1">
      <c r="A125" s="19"/>
    </row>
    <row r="126" spans="1:1">
      <c r="A126" s="19"/>
    </row>
    <row r="127" spans="1:1">
      <c r="A127" s="19"/>
    </row>
    <row r="128" spans="1:1">
      <c r="A128" s="19"/>
    </row>
    <row r="129" spans="1:1">
      <c r="A129" s="19"/>
    </row>
    <row r="130" spans="1:1">
      <c r="A130" s="19"/>
    </row>
    <row r="131" spans="1:1">
      <c r="A131" s="19"/>
    </row>
    <row r="132" spans="1:1">
      <c r="A132" s="19"/>
    </row>
    <row r="133" spans="1:1">
      <c r="A133" s="19"/>
    </row>
    <row r="134" spans="1:1">
      <c r="A134" s="374"/>
    </row>
    <row r="135" spans="1:1">
      <c r="A135" s="291"/>
    </row>
    <row r="136" spans="1:1">
      <c r="A136" s="291"/>
    </row>
    <row r="137" spans="1:1">
      <c r="A137" s="295"/>
    </row>
    <row r="138" spans="1:1">
      <c r="A138" s="291"/>
    </row>
    <row r="139" spans="1:1">
      <c r="A139" s="295"/>
    </row>
    <row r="140" spans="1:1">
      <c r="A140" s="291"/>
    </row>
    <row r="141" spans="1:1">
      <c r="A141" s="291"/>
    </row>
    <row r="142" spans="1:1">
      <c r="A142" s="291"/>
    </row>
    <row r="143" spans="1:1">
      <c r="A143" s="291"/>
    </row>
  </sheetData>
  <pageMargins left="0.7" right="0.7" top="0.75" bottom="0.75" header="0.3" footer="0.3"/>
  <pageSetup paperSize="9" orientation="portrait" r:id="rId1"/>
  <customProperties>
    <customPr name="Qube.Worksheet.Visibility" r:id="rId2"/>
  </customProperties>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8ED92B-D956-4C21-A37D-83BE1428729E}">
  <sheetPr codeName="Sheet13">
    <tabColor theme="4" tint="0.89999084444715716"/>
    <pageSetUpPr fitToPage="1"/>
  </sheetPr>
  <dimension ref="A1:AZ326"/>
  <sheetViews>
    <sheetView showGridLines="0" zoomScaleNormal="100" workbookViewId="0">
      <pane ySplit="2" topLeftCell="A3" activePane="bottomLeft" state="frozen"/>
      <selection pane="bottomLeft" activeCell="A3" sqref="A3"/>
    </sheetView>
  </sheetViews>
  <sheetFormatPr defaultRowHeight="14.25" outlineLevelCol="1"/>
  <cols>
    <col min="1" max="1" width="46.75" bestFit="1" customWidth="1"/>
    <col min="2" max="17" width="8.75" hidden="1" customWidth="1" outlineLevel="1"/>
    <col min="18" max="22" width="9" hidden="1" customWidth="1" outlineLevel="1"/>
    <col min="23" max="23" width="8.75" collapsed="1"/>
    <col min="33" max="40" width="9" style="1622"/>
    <col min="41" max="41" width="22.5" style="1622" customWidth="1"/>
  </cols>
  <sheetData>
    <row r="1" spans="1:42" ht="15">
      <c r="A1" s="1285">
        <f>'DCF Valuation'!D45</f>
        <v>340</v>
      </c>
    </row>
    <row r="2" spans="1:42">
      <c r="A2" s="305" t="s">
        <v>1471</v>
      </c>
      <c r="B2" s="305">
        <v>2000</v>
      </c>
      <c r="C2" s="305">
        <v>2001</v>
      </c>
      <c r="D2" s="305">
        <v>2002</v>
      </c>
      <c r="E2" s="305">
        <v>2003</v>
      </c>
      <c r="F2" s="305">
        <v>2004</v>
      </c>
      <c r="G2" s="305">
        <v>2005</v>
      </c>
      <c r="H2" s="305">
        <v>2006</v>
      </c>
      <c r="I2" s="305">
        <v>2007</v>
      </c>
      <c r="J2" s="305">
        <v>2008</v>
      </c>
      <c r="K2" s="305">
        <v>2009</v>
      </c>
      <c r="L2" s="305">
        <v>2010</v>
      </c>
      <c r="M2" s="305">
        <v>2011</v>
      </c>
      <c r="N2" s="305">
        <v>2012</v>
      </c>
      <c r="O2" s="305">
        <v>2013</v>
      </c>
      <c r="P2" s="305">
        <v>2014</v>
      </c>
      <c r="Q2" s="305">
        <v>2015</v>
      </c>
      <c r="R2" s="305">
        <v>2016</v>
      </c>
      <c r="S2" s="305">
        <v>2017</v>
      </c>
      <c r="T2" s="305">
        <v>2018</v>
      </c>
      <c r="U2" s="305">
        <v>2019</v>
      </c>
      <c r="V2" s="305">
        <v>2020</v>
      </c>
      <c r="W2" s="305">
        <v>2021</v>
      </c>
      <c r="X2" s="305">
        <v>2022</v>
      </c>
      <c r="Y2" s="305">
        <v>2023</v>
      </c>
      <c r="Z2" s="305">
        <v>2024</v>
      </c>
      <c r="AA2" s="195" t="s">
        <v>954</v>
      </c>
      <c r="AB2" s="195" t="s">
        <v>1430</v>
      </c>
      <c r="AC2" s="196" t="s">
        <v>1450</v>
      </c>
      <c r="AD2" s="196" t="s">
        <v>1451</v>
      </c>
      <c r="AE2" s="196" t="s">
        <v>1452</v>
      </c>
      <c r="AF2" s="196" t="s">
        <v>1453</v>
      </c>
      <c r="AG2" s="1625"/>
      <c r="AH2" s="1623" t="s">
        <v>1379</v>
      </c>
      <c r="AI2" s="1626"/>
      <c r="AJ2" s="1626"/>
      <c r="AK2" s="1626"/>
      <c r="AL2" s="1626"/>
      <c r="AM2" s="1626"/>
      <c r="AN2" s="1626"/>
      <c r="AO2" s="1626"/>
      <c r="AP2" s="193"/>
    </row>
    <row r="3" spans="1:42">
      <c r="A3" s="306" t="s">
        <v>1267</v>
      </c>
      <c r="B3" s="307"/>
      <c r="C3" s="307"/>
      <c r="D3" s="307"/>
      <c r="E3" s="307"/>
      <c r="F3" s="307"/>
      <c r="G3" s="307"/>
      <c r="H3" s="308"/>
      <c r="I3" s="308"/>
      <c r="J3" s="308"/>
      <c r="K3" s="308"/>
      <c r="L3" s="308"/>
      <c r="M3" s="308"/>
      <c r="N3" s="308"/>
      <c r="O3" s="308"/>
      <c r="P3" s="308"/>
      <c r="Q3" s="308"/>
      <c r="R3" s="308"/>
      <c r="S3" s="308"/>
      <c r="T3" s="308"/>
      <c r="U3" s="308"/>
      <c r="V3" s="308"/>
      <c r="W3" s="308"/>
      <c r="X3" s="308"/>
      <c r="Y3" s="308"/>
      <c r="Z3" s="308"/>
      <c r="AA3" s="308"/>
      <c r="AB3" s="308"/>
      <c r="AC3" s="308"/>
      <c r="AD3" s="308"/>
      <c r="AE3" s="308"/>
      <c r="AF3" s="308"/>
      <c r="AG3" s="1624"/>
      <c r="AH3" s="1624"/>
      <c r="AI3" s="1624"/>
      <c r="AJ3" s="1624"/>
      <c r="AK3" s="1624"/>
      <c r="AL3" s="1624"/>
      <c r="AM3" s="1624"/>
      <c r="AN3" s="1624"/>
      <c r="AO3" s="1624"/>
      <c r="AP3" s="213"/>
    </row>
    <row r="4" spans="1:42">
      <c r="A4" s="291" t="s">
        <v>1022</v>
      </c>
      <c r="B4" s="213"/>
      <c r="C4" s="213"/>
      <c r="D4" s="213"/>
      <c r="E4" s="213"/>
      <c r="F4" s="213"/>
      <c r="G4" s="213"/>
      <c r="H4" s="343">
        <f>H6-H5</f>
        <v>2891.61</v>
      </c>
      <c r="I4" s="343"/>
      <c r="J4" s="343">
        <f t="shared" ref="J4:Q4" si="0">J6-J5</f>
        <v>3074</v>
      </c>
      <c r="K4" s="343">
        <f t="shared" si="0"/>
        <v>2885</v>
      </c>
      <c r="L4" s="343">
        <f t="shared" si="0"/>
        <v>2795</v>
      </c>
      <c r="M4" s="343">
        <f t="shared" si="0"/>
        <v>3118</v>
      </c>
      <c r="N4" s="343">
        <f t="shared" si="0"/>
        <v>3718</v>
      </c>
      <c r="O4" s="343">
        <f t="shared" si="0"/>
        <v>3938.6910000000003</v>
      </c>
      <c r="P4" s="343">
        <f t="shared" si="0"/>
        <v>4073</v>
      </c>
      <c r="Q4" s="343">
        <f t="shared" si="0"/>
        <v>4334</v>
      </c>
      <c r="R4" s="372">
        <v>3801</v>
      </c>
      <c r="S4" s="343">
        <f t="shared" ref="S4:Z4" si="1">S6-S5</f>
        <v>3904</v>
      </c>
      <c r="T4" s="343">
        <f t="shared" si="1"/>
        <v>4594</v>
      </c>
      <c r="U4" s="343">
        <v>5197</v>
      </c>
      <c r="V4" s="343">
        <f t="shared" si="1"/>
        <v>2995</v>
      </c>
      <c r="W4" s="343">
        <f t="shared" si="1"/>
        <v>2801</v>
      </c>
      <c r="X4" s="343">
        <f t="shared" si="1"/>
        <v>3515</v>
      </c>
      <c r="Y4" s="343">
        <f t="shared" si="1"/>
        <v>4565</v>
      </c>
      <c r="Z4" s="343">
        <f t="shared" si="1"/>
        <v>5222</v>
      </c>
      <c r="AA4" s="343">
        <f t="shared" ref="AA4:AF5" si="2">Z4*(1+AA15)</f>
        <v>5681.8217180467973</v>
      </c>
      <c r="AB4" s="343">
        <f t="shared" si="2"/>
        <v>6215.4809437627682</v>
      </c>
      <c r="AC4" s="343">
        <f t="shared" si="2"/>
        <v>6896.388404688676</v>
      </c>
      <c r="AD4" s="343">
        <f t="shared" si="2"/>
        <v>7356.831509932862</v>
      </c>
      <c r="AE4" s="343">
        <f t="shared" si="2"/>
        <v>7848.6483366159036</v>
      </c>
      <c r="AF4" s="343">
        <f t="shared" si="2"/>
        <v>8374.0228335872216</v>
      </c>
      <c r="AG4" s="1624"/>
      <c r="AH4" s="1624"/>
      <c r="AI4" s="1624"/>
      <c r="AJ4" s="1624"/>
      <c r="AK4" s="1624"/>
      <c r="AL4" s="1624"/>
      <c r="AM4" s="1624"/>
      <c r="AN4" s="1624"/>
      <c r="AO4" s="1624"/>
      <c r="AP4" s="213"/>
    </row>
    <row r="5" spans="1:42">
      <c r="A5" s="291" t="s">
        <v>1023</v>
      </c>
      <c r="B5" s="213"/>
      <c r="C5" s="213"/>
      <c r="D5" s="213"/>
      <c r="E5" s="213"/>
      <c r="F5" s="213"/>
      <c r="G5" s="213"/>
      <c r="H5" s="372">
        <v>2181.39</v>
      </c>
      <c r="I5" s="372"/>
      <c r="J5" s="372">
        <v>2729</v>
      </c>
      <c r="K5" s="372">
        <v>2788</v>
      </c>
      <c r="L5" s="372">
        <v>2809</v>
      </c>
      <c r="M5" s="372">
        <v>2992</v>
      </c>
      <c r="N5" s="372">
        <v>3287</v>
      </c>
      <c r="O5" s="372">
        <v>3650.3089999999997</v>
      </c>
      <c r="P5" s="372">
        <v>4080</v>
      </c>
      <c r="Q5" s="372">
        <v>4985</v>
      </c>
      <c r="R5" s="372">
        <v>5350</v>
      </c>
      <c r="S5" s="372">
        <v>5453</v>
      </c>
      <c r="T5" s="372">
        <v>5985</v>
      </c>
      <c r="U5" s="372">
        <v>6848</v>
      </c>
      <c r="V5" s="372">
        <v>4668</v>
      </c>
      <c r="W5" s="372">
        <v>4638</v>
      </c>
      <c r="X5" s="372">
        <v>5991</v>
      </c>
      <c r="Y5" s="372">
        <v>7311</v>
      </c>
      <c r="Z5" s="372">
        <v>8430</v>
      </c>
      <c r="AA5" s="343">
        <f>Z5*(1+AA16)</f>
        <v>9688.8084297071546</v>
      </c>
      <c r="AB5" s="343">
        <f t="shared" si="2"/>
        <v>11021.653193814718</v>
      </c>
      <c r="AC5" s="343">
        <f t="shared" si="2"/>
        <v>12247.64234356172</v>
      </c>
      <c r="AD5" s="343">
        <f t="shared" si="2"/>
        <v>13339.849285223214</v>
      </c>
      <c r="AE5" s="343">
        <f t="shared" si="2"/>
        <v>13875.873438697467</v>
      </c>
      <c r="AF5" s="343">
        <f t="shared" si="2"/>
        <v>14431.267849462483</v>
      </c>
      <c r="AG5" s="1624"/>
      <c r="AH5" s="1624"/>
      <c r="AI5" s="1624"/>
      <c r="AJ5" s="1624"/>
      <c r="AK5" s="1624"/>
      <c r="AL5" s="1624"/>
      <c r="AM5" s="1624"/>
      <c r="AN5" s="1624"/>
      <c r="AO5" s="1624"/>
      <c r="AP5" s="213"/>
    </row>
    <row r="6" spans="1:42">
      <c r="A6" s="214" t="s">
        <v>1472</v>
      </c>
      <c r="B6" s="57"/>
      <c r="C6" s="57"/>
      <c r="D6" s="57"/>
      <c r="E6" s="57"/>
      <c r="F6" s="57"/>
      <c r="G6" s="57"/>
      <c r="H6" s="381">
        <v>5073</v>
      </c>
      <c r="I6" s="381">
        <v>5920</v>
      </c>
      <c r="J6" s="381">
        <v>5803</v>
      </c>
      <c r="K6" s="381">
        <v>5673</v>
      </c>
      <c r="L6" s="381">
        <v>5604</v>
      </c>
      <c r="M6" s="381">
        <v>6110</v>
      </c>
      <c r="N6" s="381">
        <v>7005</v>
      </c>
      <c r="O6" s="381">
        <v>7589</v>
      </c>
      <c r="P6" s="381">
        <v>8153</v>
      </c>
      <c r="Q6" s="381">
        <v>9319</v>
      </c>
      <c r="R6" s="381">
        <v>9391</v>
      </c>
      <c r="S6" s="381">
        <v>9357</v>
      </c>
      <c r="T6" s="381">
        <v>10579</v>
      </c>
      <c r="U6" s="381">
        <v>12045</v>
      </c>
      <c r="V6" s="381">
        <v>7663</v>
      </c>
      <c r="W6" s="381">
        <v>7439</v>
      </c>
      <c r="X6" s="381">
        <v>9506</v>
      </c>
      <c r="Y6" s="381">
        <v>11876</v>
      </c>
      <c r="Z6" s="381">
        <v>13652</v>
      </c>
      <c r="AA6" s="382">
        <f t="shared" ref="AA6:AF6" si="3">SUM(AA4:AA5)</f>
        <v>15370.630147753953</v>
      </c>
      <c r="AB6" s="382">
        <f t="shared" si="3"/>
        <v>17237.134137577486</v>
      </c>
      <c r="AC6" s="382">
        <f t="shared" si="3"/>
        <v>19144.030748250396</v>
      </c>
      <c r="AD6" s="382">
        <f t="shared" si="3"/>
        <v>20696.680795156077</v>
      </c>
      <c r="AE6" s="382">
        <f t="shared" si="3"/>
        <v>21724.521775313369</v>
      </c>
      <c r="AF6" s="382">
        <f t="shared" si="3"/>
        <v>22805.290683049705</v>
      </c>
      <c r="AG6" s="1624"/>
      <c r="AH6" s="1628"/>
      <c r="AI6" s="1624"/>
      <c r="AJ6" s="1624"/>
      <c r="AK6" s="1624"/>
      <c r="AL6" s="1624"/>
      <c r="AM6" s="1624"/>
      <c r="AN6" s="1624"/>
      <c r="AO6" s="1624"/>
      <c r="AP6" s="213"/>
    </row>
    <row r="7" spans="1:42">
      <c r="A7" s="349" t="s">
        <v>1489</v>
      </c>
      <c r="B7" s="383"/>
      <c r="C7" s="383"/>
      <c r="D7" s="383"/>
      <c r="E7" s="383"/>
      <c r="F7" s="383"/>
      <c r="G7" s="383"/>
      <c r="H7" s="217"/>
      <c r="I7" s="217"/>
      <c r="J7" s="217"/>
      <c r="K7" s="217"/>
      <c r="L7" s="217"/>
      <c r="M7" s="217"/>
      <c r="N7" s="217"/>
      <c r="O7" s="217"/>
      <c r="P7" s="217"/>
      <c r="Q7" s="217"/>
      <c r="R7" s="217"/>
      <c r="S7" s="217"/>
      <c r="T7" s="217">
        <f t="shared" ref="T7:AF7" si="4">T6/S6-1</f>
        <v>0.13059741370097244</v>
      </c>
      <c r="U7" s="256">
        <v>0.13857642499291045</v>
      </c>
      <c r="V7" s="217">
        <f t="shared" si="4"/>
        <v>-0.36380240763802407</v>
      </c>
      <c r="W7" s="217">
        <f t="shared" si="4"/>
        <v>-2.9231371525512251E-2</v>
      </c>
      <c r="X7" s="217">
        <f t="shared" si="4"/>
        <v>0.27785992740959808</v>
      </c>
      <c r="Y7" s="217">
        <f t="shared" si="4"/>
        <v>0.24931622133389442</v>
      </c>
      <c r="Z7" s="217">
        <f t="shared" si="4"/>
        <v>0.14954530144829903</v>
      </c>
      <c r="AA7" s="217">
        <f t="shared" si="4"/>
        <v>0.12588852532624917</v>
      </c>
      <c r="AB7" s="217">
        <f t="shared" si="4"/>
        <v>0.12143314697454222</v>
      </c>
      <c r="AC7" s="217">
        <f t="shared" si="4"/>
        <v>0.11062724206083741</v>
      </c>
      <c r="AD7" s="217">
        <f t="shared" si="4"/>
        <v>8.1103612260316815E-2</v>
      </c>
      <c r="AE7" s="217">
        <f t="shared" si="4"/>
        <v>4.9662116854884975E-2</v>
      </c>
      <c r="AF7" s="217">
        <f t="shared" si="4"/>
        <v>4.974880086725153E-2</v>
      </c>
      <c r="AG7" s="1624"/>
      <c r="AH7" s="1624"/>
      <c r="AI7" s="1624"/>
      <c r="AJ7" s="1624"/>
      <c r="AK7" s="1624"/>
      <c r="AL7" s="1624"/>
      <c r="AM7" s="1624"/>
      <c r="AN7" s="1624"/>
      <c r="AO7" s="1624"/>
      <c r="AP7" s="213"/>
    </row>
    <row r="8" spans="1:42">
      <c r="A8" s="349" t="s">
        <v>1541</v>
      </c>
      <c r="B8" s="383"/>
      <c r="C8" s="383"/>
      <c r="D8" s="383"/>
      <c r="E8" s="383"/>
      <c r="F8" s="383"/>
      <c r="G8" s="383"/>
      <c r="H8" s="217"/>
      <c r="I8" s="217"/>
      <c r="J8" s="217"/>
      <c r="K8" s="217"/>
      <c r="L8" s="217"/>
      <c r="M8" s="217"/>
      <c r="N8" s="217"/>
      <c r="O8" s="217"/>
      <c r="P8" s="217"/>
      <c r="Q8" s="256"/>
      <c r="R8" s="217"/>
      <c r="S8" s="217"/>
      <c r="T8" s="217" t="e">
        <f>((T6*T94)/(S6*S94))-1</f>
        <v>#DIV/0!</v>
      </c>
      <c r="U8" s="256">
        <v>0.1181232527274223</v>
      </c>
      <c r="V8" s="217">
        <f t="shared" ref="V8:AF8" si="5">((V6*V94)/(U6*U94))-1</f>
        <v>-0.36929883475881686</v>
      </c>
      <c r="W8" s="217">
        <f t="shared" si="5"/>
        <v>-1.0424974397227893E-2</v>
      </c>
      <c r="X8" s="217">
        <f t="shared" si="5"/>
        <v>0.20722646621397312</v>
      </c>
      <c r="Y8" s="217">
        <f t="shared" si="5"/>
        <v>0.25378405467485865</v>
      </c>
      <c r="Z8" s="217">
        <f t="shared" si="5"/>
        <v>0.14725372045149698</v>
      </c>
      <c r="AA8" s="217">
        <f t="shared" si="5"/>
        <v>0.13849163690344257</v>
      </c>
      <c r="AB8" s="217">
        <f t="shared" si="5"/>
        <v>0.14335880555006053</v>
      </c>
      <c r="AC8" s="217">
        <f t="shared" si="5"/>
        <v>0.11062724206083763</v>
      </c>
      <c r="AD8" s="217">
        <f t="shared" si="5"/>
        <v>8.1103612260316593E-2</v>
      </c>
      <c r="AE8" s="217">
        <f t="shared" si="5"/>
        <v>4.9662116854884752E-2</v>
      </c>
      <c r="AF8" s="217">
        <f t="shared" si="5"/>
        <v>4.974880086725153E-2</v>
      </c>
      <c r="AG8" s="1624"/>
      <c r="AH8" s="1624"/>
      <c r="AI8" s="1624"/>
      <c r="AJ8" s="1624"/>
      <c r="AK8" s="1624"/>
      <c r="AL8" s="1624"/>
      <c r="AM8" s="1624"/>
      <c r="AN8" s="1624"/>
      <c r="AO8" s="1624"/>
      <c r="AP8" s="213"/>
    </row>
    <row r="9" spans="1:42">
      <c r="A9" s="349"/>
      <c r="B9" s="383"/>
      <c r="C9" s="383"/>
      <c r="D9" s="383"/>
      <c r="E9" s="383"/>
      <c r="F9" s="383"/>
      <c r="G9" s="383"/>
      <c r="H9" s="251"/>
      <c r="I9" s="251"/>
      <c r="J9" s="251"/>
      <c r="K9" s="251"/>
      <c r="L9" s="251"/>
      <c r="M9" s="251"/>
      <c r="N9" s="251"/>
      <c r="O9" s="251"/>
      <c r="P9" s="251"/>
      <c r="Q9" s="251"/>
      <c r="R9" s="251"/>
      <c r="S9" s="251"/>
      <c r="T9" s="251"/>
      <c r="U9" s="251"/>
      <c r="V9" s="251"/>
      <c r="W9" s="251"/>
      <c r="X9" s="251"/>
      <c r="Y9" s="251"/>
      <c r="Z9" s="251"/>
      <c r="AA9" s="643"/>
      <c r="AB9" s="643"/>
      <c r="AC9" s="643"/>
      <c r="AD9" s="643"/>
      <c r="AE9" s="643"/>
      <c r="AF9" s="643"/>
      <c r="AG9" s="1624"/>
      <c r="AH9" s="1624"/>
      <c r="AI9" s="1624"/>
      <c r="AJ9" s="1624"/>
      <c r="AK9" s="1624"/>
      <c r="AL9" s="1624"/>
      <c r="AM9" s="1624"/>
      <c r="AN9" s="1624"/>
      <c r="AO9" s="1624"/>
      <c r="AP9" s="213"/>
    </row>
    <row r="10" spans="1:42">
      <c r="A10" s="214" t="s">
        <v>1528</v>
      </c>
      <c r="B10" s="383"/>
      <c r="C10" s="383"/>
      <c r="D10" s="383"/>
      <c r="E10" s="383"/>
      <c r="F10" s="383"/>
      <c r="G10" s="383"/>
      <c r="H10" s="383"/>
      <c r="I10" s="383"/>
      <c r="J10" s="216"/>
      <c r="K10" s="231"/>
      <c r="L10" s="231"/>
      <c r="M10" s="217"/>
      <c r="N10" s="217"/>
      <c r="O10" s="217"/>
      <c r="P10" s="217"/>
      <c r="Q10" s="217"/>
      <c r="R10" s="217"/>
      <c r="S10" s="217"/>
      <c r="T10" s="217"/>
      <c r="U10" s="217"/>
      <c r="V10" s="217"/>
      <c r="W10" s="217"/>
      <c r="X10" s="217"/>
      <c r="Y10" s="217"/>
      <c r="Z10" s="217"/>
      <c r="AA10" s="217"/>
      <c r="AB10" s="217"/>
      <c r="AC10" s="217"/>
      <c r="AD10" s="217"/>
      <c r="AE10" s="217"/>
      <c r="AF10" s="217"/>
      <c r="AG10" s="1624"/>
      <c r="AH10" s="1624"/>
      <c r="AI10" s="1624"/>
      <c r="AJ10" s="1624"/>
      <c r="AK10" s="1624"/>
      <c r="AL10" s="1624"/>
      <c r="AM10" s="1624"/>
      <c r="AN10" s="1624"/>
      <c r="AO10" s="1624"/>
      <c r="AP10" s="213"/>
    </row>
    <row r="11" spans="1:42">
      <c r="A11" s="291" t="s">
        <v>1022</v>
      </c>
      <c r="B11" s="383"/>
      <c r="C11" s="383"/>
      <c r="D11" s="383"/>
      <c r="E11" s="383"/>
      <c r="F11" s="383"/>
      <c r="G11" s="383"/>
      <c r="H11" s="383"/>
      <c r="I11" s="383"/>
      <c r="J11" s="216"/>
      <c r="K11" s="231"/>
      <c r="L11" s="231"/>
      <c r="M11" s="217"/>
      <c r="N11" s="217"/>
      <c r="O11" s="207"/>
      <c r="P11" s="207"/>
      <c r="Q11" s="207"/>
      <c r="R11" s="207"/>
      <c r="S11" s="207"/>
      <c r="T11" s="207">
        <f t="shared" ref="T11:AF11" si="6">T4/T$6</f>
        <v>0.43425654598733338</v>
      </c>
      <c r="U11" s="207">
        <v>0.43146533831465339</v>
      </c>
      <c r="V11" s="207">
        <f t="shared" si="6"/>
        <v>0.39083909695941538</v>
      </c>
      <c r="W11" s="207">
        <f t="shared" si="6"/>
        <v>0.37652910337410944</v>
      </c>
      <c r="X11" s="207">
        <f t="shared" si="6"/>
        <v>0.36976646328634549</v>
      </c>
      <c r="Y11" s="207">
        <f t="shared" si="6"/>
        <v>0.38438868305826879</v>
      </c>
      <c r="Z11" s="207">
        <f t="shared" si="6"/>
        <v>0.38250805742748317</v>
      </c>
      <c r="AA11" s="207">
        <f t="shared" si="6"/>
        <v>0.36965444249382701</v>
      </c>
      <c r="AB11" s="207">
        <f t="shared" si="6"/>
        <v>0.36058667839758973</v>
      </c>
      <c r="AC11" s="207">
        <f t="shared" si="6"/>
        <v>0.36023701044875034</v>
      </c>
      <c r="AD11" s="207">
        <f t="shared" si="6"/>
        <v>0.35545948564151797</v>
      </c>
      <c r="AE11" s="207">
        <f t="shared" si="6"/>
        <v>0.36128060344852814</v>
      </c>
      <c r="AF11" s="207">
        <f t="shared" si="6"/>
        <v>0.36719649619775779</v>
      </c>
      <c r="AG11" s="1624"/>
      <c r="AH11" s="1624"/>
      <c r="AI11" s="1624"/>
      <c r="AJ11" s="1624"/>
      <c r="AK11" s="1624"/>
      <c r="AL11" s="1624"/>
      <c r="AM11" s="1624"/>
      <c r="AN11" s="1624"/>
      <c r="AO11" s="1624"/>
      <c r="AP11" s="213"/>
    </row>
    <row r="12" spans="1:42">
      <c r="A12" s="291" t="s">
        <v>1023</v>
      </c>
      <c r="B12" s="383"/>
      <c r="C12" s="383"/>
      <c r="D12" s="383"/>
      <c r="E12" s="383"/>
      <c r="F12" s="383"/>
      <c r="G12" s="383"/>
      <c r="H12" s="383"/>
      <c r="I12" s="383"/>
      <c r="J12" s="216"/>
      <c r="K12" s="231"/>
      <c r="L12" s="231"/>
      <c r="M12" s="217"/>
      <c r="N12" s="217"/>
      <c r="O12" s="207"/>
      <c r="P12" s="207"/>
      <c r="Q12" s="207"/>
      <c r="R12" s="207"/>
      <c r="S12" s="207"/>
      <c r="T12" s="207">
        <f t="shared" ref="T12:AF12" si="7">T5/T$6</f>
        <v>0.56574345401266657</v>
      </c>
      <c r="U12" s="207">
        <v>0.56853466168534661</v>
      </c>
      <c r="V12" s="207">
        <f t="shared" si="7"/>
        <v>0.60916090304058468</v>
      </c>
      <c r="W12" s="207">
        <f t="shared" si="7"/>
        <v>0.62347089662589061</v>
      </c>
      <c r="X12" s="207">
        <f t="shared" si="7"/>
        <v>0.63023353671365456</v>
      </c>
      <c r="Y12" s="207">
        <f t="shared" si="7"/>
        <v>0.61561131694173121</v>
      </c>
      <c r="Z12" s="207">
        <f t="shared" si="7"/>
        <v>0.61749194257251683</v>
      </c>
      <c r="AA12" s="207">
        <f t="shared" si="7"/>
        <v>0.63034555750617294</v>
      </c>
      <c r="AB12" s="207">
        <f t="shared" si="7"/>
        <v>0.63941332160241027</v>
      </c>
      <c r="AC12" s="207">
        <f t="shared" si="7"/>
        <v>0.63976298955124966</v>
      </c>
      <c r="AD12" s="207">
        <f t="shared" si="7"/>
        <v>0.64454051435848203</v>
      </c>
      <c r="AE12" s="207">
        <f t="shared" si="7"/>
        <v>0.63871939655147192</v>
      </c>
      <c r="AF12" s="207">
        <f t="shared" si="7"/>
        <v>0.63280350380224226</v>
      </c>
      <c r="AG12" s="1624"/>
      <c r="AH12" s="1624"/>
      <c r="AI12" s="1624"/>
      <c r="AJ12" s="1624"/>
      <c r="AK12" s="1624"/>
      <c r="AL12" s="1624"/>
      <c r="AM12" s="1624"/>
      <c r="AN12" s="1624"/>
      <c r="AO12" s="1624"/>
      <c r="AP12" s="213"/>
    </row>
    <row r="13" spans="1:42">
      <c r="A13" s="349"/>
      <c r="B13" s="383"/>
      <c r="C13" s="383"/>
      <c r="D13" s="383"/>
      <c r="E13" s="383"/>
      <c r="F13" s="383"/>
      <c r="G13" s="383"/>
      <c r="H13" s="383"/>
      <c r="I13" s="383"/>
      <c r="J13" s="216"/>
      <c r="K13" s="231"/>
      <c r="L13" s="231"/>
      <c r="M13" s="217"/>
      <c r="N13" s="217"/>
      <c r="O13" s="217"/>
      <c r="P13" s="217"/>
      <c r="Q13" s="217"/>
      <c r="R13" s="217"/>
      <c r="S13" s="217"/>
      <c r="T13" s="217"/>
      <c r="U13" s="217"/>
      <c r="V13" s="217"/>
      <c r="W13" s="217"/>
      <c r="X13" s="217"/>
      <c r="Y13" s="217"/>
      <c r="Z13" s="217"/>
      <c r="AA13" s="217"/>
      <c r="AB13" s="217"/>
      <c r="AC13" s="217"/>
      <c r="AD13" s="217"/>
      <c r="AE13" s="217"/>
      <c r="AF13" s="217"/>
      <c r="AG13" s="1624"/>
      <c r="AH13" s="1624"/>
      <c r="AI13" s="1624"/>
      <c r="AJ13" s="1624"/>
      <c r="AK13" s="1624"/>
      <c r="AL13" s="1624"/>
      <c r="AM13" s="1624"/>
      <c r="AN13" s="1624"/>
      <c r="AO13" s="1624"/>
      <c r="AP13" s="213"/>
    </row>
    <row r="14" spans="1:42">
      <c r="A14" s="214" t="s">
        <v>1527</v>
      </c>
      <c r="B14" s="383"/>
      <c r="C14" s="383"/>
      <c r="D14" s="383"/>
      <c r="E14" s="383"/>
      <c r="F14" s="383"/>
      <c r="G14" s="383"/>
      <c r="H14" s="383"/>
      <c r="I14" s="383"/>
      <c r="J14" s="216"/>
      <c r="K14" s="231"/>
      <c r="L14" s="231"/>
      <c r="M14" s="217"/>
      <c r="N14" s="217"/>
      <c r="O14" s="217"/>
      <c r="P14" s="217"/>
      <c r="Q14" s="217"/>
      <c r="R14" s="217"/>
      <c r="S14" s="217"/>
      <c r="T14" s="217"/>
      <c r="U14" s="217"/>
      <c r="V14" s="217"/>
      <c r="W14" s="217"/>
      <c r="X14" s="217"/>
      <c r="Y14" s="217"/>
      <c r="Z14" s="217"/>
      <c r="AA14" s="217"/>
      <c r="AB14" s="217"/>
      <c r="AC14" s="217"/>
      <c r="AD14" s="217"/>
      <c r="AE14" s="217"/>
      <c r="AF14" s="217"/>
      <c r="AG14" s="1624"/>
      <c r="AH14" s="1624"/>
      <c r="AI14" s="1624"/>
      <c r="AJ14" s="1624"/>
      <c r="AK14" s="1624"/>
      <c r="AL14" s="1624"/>
      <c r="AM14" s="1624"/>
      <c r="AN14" s="1624"/>
      <c r="AO14" s="1624"/>
      <c r="AP14" s="213"/>
    </row>
    <row r="15" spans="1:42">
      <c r="A15" s="291" t="s">
        <v>1022</v>
      </c>
      <c r="B15" s="383"/>
      <c r="C15" s="383"/>
      <c r="D15" s="383"/>
      <c r="E15" s="383"/>
      <c r="F15" s="383"/>
      <c r="G15" s="383"/>
      <c r="H15" s="383"/>
      <c r="I15" s="383"/>
      <c r="J15" s="216"/>
      <c r="K15" s="231"/>
      <c r="L15" s="231"/>
      <c r="M15" s="217"/>
      <c r="N15" s="217"/>
      <c r="O15" s="217"/>
      <c r="P15" s="207"/>
      <c r="Q15" s="207"/>
      <c r="R15" s="207"/>
      <c r="S15" s="207"/>
      <c r="T15" s="207">
        <f t="shared" ref="T15:Z15" si="8">T4/S4-1</f>
        <v>0.17674180327868849</v>
      </c>
      <c r="U15" s="207">
        <v>0.13125816282107095</v>
      </c>
      <c r="V15" s="207">
        <f t="shared" si="8"/>
        <v>-0.42370598422166639</v>
      </c>
      <c r="W15" s="207">
        <f t="shared" si="8"/>
        <v>-6.4774624373956646E-2</v>
      </c>
      <c r="X15" s="207">
        <f t="shared" si="8"/>
        <v>0.25490896108532657</v>
      </c>
      <c r="Y15" s="207">
        <f t="shared" si="8"/>
        <v>0.29871977240398295</v>
      </c>
      <c r="Z15" s="207">
        <f t="shared" si="8"/>
        <v>0.14392113910186199</v>
      </c>
      <c r="AA15" s="207">
        <f>AA75/Z75-1</f>
        <v>8.8054714294675929E-2</v>
      </c>
      <c r="AB15" s="207">
        <f>AB75/AA75-1</f>
        <v>9.3923965269966825E-2</v>
      </c>
      <c r="AC15" s="207">
        <f t="shared" ref="AC15:AF15" si="9">AC75/AB75-1</f>
        <v>0.10955024511967948</v>
      </c>
      <c r="AD15" s="207">
        <f t="shared" si="9"/>
        <v>6.6765831363434058E-2</v>
      </c>
      <c r="AE15" s="207">
        <f t="shared" si="9"/>
        <v>6.6851718164132601E-2</v>
      </c>
      <c r="AF15" s="207">
        <f t="shared" si="9"/>
        <v>6.6938213363479937E-2</v>
      </c>
      <c r="AG15" s="1624"/>
      <c r="AH15" s="1624"/>
      <c r="AI15" s="1624"/>
      <c r="AJ15" s="1624"/>
      <c r="AK15" s="1624"/>
      <c r="AL15" s="1624"/>
      <c r="AM15" s="1624"/>
      <c r="AN15" s="1624"/>
      <c r="AO15" s="1624"/>
      <c r="AP15" s="213"/>
    </row>
    <row r="16" spans="1:42">
      <c r="A16" s="291" t="s">
        <v>1023</v>
      </c>
      <c r="B16" s="383"/>
      <c r="C16" s="383"/>
      <c r="D16" s="383"/>
      <c r="E16" s="383"/>
      <c r="F16" s="383"/>
      <c r="G16" s="383"/>
      <c r="H16" s="383"/>
      <c r="I16" s="383"/>
      <c r="J16" s="216"/>
      <c r="K16" s="231"/>
      <c r="L16" s="231"/>
      <c r="M16" s="217"/>
      <c r="N16" s="520"/>
      <c r="O16" s="217"/>
      <c r="P16" s="207"/>
      <c r="Q16" s="207"/>
      <c r="R16" s="207"/>
      <c r="S16" s="207"/>
      <c r="T16" s="207">
        <f t="shared" ref="T16:Z16" si="10">T5/S5-1</f>
        <v>9.7560975609756184E-2</v>
      </c>
      <c r="U16" s="207">
        <v>0.14419381787802843</v>
      </c>
      <c r="V16" s="207">
        <f t="shared" si="10"/>
        <v>-0.31834112149532712</v>
      </c>
      <c r="W16" s="207">
        <f t="shared" si="10"/>
        <v>-6.4267352185090054E-3</v>
      </c>
      <c r="X16" s="207">
        <f t="shared" si="10"/>
        <v>0.29172056921086664</v>
      </c>
      <c r="Y16" s="207">
        <f t="shared" si="10"/>
        <v>0.22033049574361541</v>
      </c>
      <c r="Z16" s="207">
        <f t="shared" si="10"/>
        <v>0.15305703734099296</v>
      </c>
      <c r="AA16" s="207">
        <f>(AA113+AA296)/(Z113+Z296)-1</f>
        <v>0.14932484338163166</v>
      </c>
      <c r="AB16" s="207">
        <f t="shared" ref="AB16:AF16" si="11">(AB113+AB296)/(AA113+AA296)-1</f>
        <v>0.13756539555688674</v>
      </c>
      <c r="AC16" s="207">
        <f t="shared" si="11"/>
        <v>0.11123459686020776</v>
      </c>
      <c r="AD16" s="207">
        <f t="shared" si="11"/>
        <v>8.917691348454837E-2</v>
      </c>
      <c r="AE16" s="207">
        <f t="shared" si="11"/>
        <v>4.0182174626816503E-2</v>
      </c>
      <c r="AF16" s="207">
        <f t="shared" si="11"/>
        <v>4.002590634879355E-2</v>
      </c>
      <c r="AG16" s="1624"/>
      <c r="AH16" s="1624"/>
      <c r="AI16" s="1624"/>
      <c r="AJ16" s="1624"/>
      <c r="AK16" s="1624"/>
      <c r="AL16" s="1624"/>
      <c r="AM16" s="1624"/>
      <c r="AN16" s="1624"/>
      <c r="AO16" s="1624"/>
      <c r="AP16" s="213"/>
    </row>
    <row r="17" spans="1:42">
      <c r="A17" s="349"/>
      <c r="B17" s="383"/>
      <c r="C17" s="383"/>
      <c r="D17" s="383"/>
      <c r="E17" s="383"/>
      <c r="F17" s="383"/>
      <c r="G17" s="383"/>
      <c r="H17" s="383"/>
      <c r="I17" s="383"/>
      <c r="J17" s="216"/>
      <c r="K17" s="231"/>
      <c r="L17" s="231"/>
      <c r="M17" s="217"/>
      <c r="N17" s="217"/>
      <c r="O17" s="217"/>
      <c r="P17" s="217"/>
      <c r="Q17" s="217"/>
      <c r="R17" s="217"/>
      <c r="S17" s="217"/>
      <c r="T17" s="217"/>
      <c r="U17" s="217"/>
      <c r="V17" s="217"/>
      <c r="W17" s="217"/>
      <c r="X17" s="217"/>
      <c r="Y17" s="217"/>
      <c r="Z17" s="217"/>
      <c r="AA17" s="217"/>
      <c r="AB17" s="217"/>
      <c r="AC17" s="217"/>
      <c r="AD17" s="217"/>
      <c r="AE17" s="217"/>
      <c r="AF17" s="217"/>
      <c r="AG17" s="1624"/>
      <c r="AH17" s="1624"/>
      <c r="AI17" s="1624"/>
      <c r="AJ17" s="1624"/>
      <c r="AK17" s="1624"/>
      <c r="AL17" s="1624"/>
      <c r="AM17" s="1624"/>
      <c r="AN17" s="1624"/>
      <c r="AO17" s="1624"/>
      <c r="AP17" s="213"/>
    </row>
    <row r="18" spans="1:42">
      <c r="A18" s="306" t="s">
        <v>1294</v>
      </c>
      <c r="B18" s="307"/>
      <c r="C18" s="307"/>
      <c r="D18" s="307"/>
      <c r="E18" s="307"/>
      <c r="F18" s="307"/>
      <c r="G18" s="307"/>
      <c r="H18" s="307"/>
      <c r="I18" s="307"/>
      <c r="J18" s="307"/>
      <c r="K18" s="307"/>
      <c r="L18" s="307"/>
      <c r="M18" s="308"/>
      <c r="N18" s="308"/>
      <c r="O18" s="308"/>
      <c r="P18" s="308"/>
      <c r="Q18" s="308"/>
      <c r="R18" s="308"/>
      <c r="S18" s="308"/>
      <c r="T18" s="308"/>
      <c r="U18" s="308"/>
      <c r="V18" s="308"/>
      <c r="W18" s="308"/>
      <c r="X18" s="308"/>
      <c r="Y18" s="308"/>
      <c r="Z18" s="308"/>
      <c r="AA18" s="308"/>
      <c r="AB18" s="308"/>
      <c r="AC18" s="308"/>
      <c r="AD18" s="308"/>
      <c r="AE18" s="308"/>
      <c r="AF18" s="308"/>
      <c r="AG18" s="1624"/>
      <c r="AH18" s="1624"/>
      <c r="AI18" s="1624"/>
      <c r="AJ18" s="1624"/>
      <c r="AK18" s="1624"/>
      <c r="AL18" s="1624"/>
      <c r="AM18" s="1624"/>
      <c r="AN18" s="1624"/>
      <c r="AO18" s="1624"/>
      <c r="AP18" s="213"/>
    </row>
    <row r="19" spans="1:42">
      <c r="A19" s="374" t="s">
        <v>1529</v>
      </c>
      <c r="B19" s="383"/>
      <c r="C19" s="383"/>
      <c r="D19" s="383"/>
      <c r="E19" s="383"/>
      <c r="F19" s="383"/>
      <c r="G19" s="383"/>
      <c r="H19" s="372"/>
      <c r="I19" s="372"/>
      <c r="J19" s="372"/>
      <c r="K19" s="372"/>
      <c r="L19" s="372"/>
      <c r="M19" s="372"/>
      <c r="N19" s="372"/>
      <c r="O19" s="372"/>
      <c r="P19" s="372"/>
      <c r="Q19" s="372"/>
      <c r="R19" s="372"/>
      <c r="S19" s="372"/>
      <c r="T19" s="372">
        <v>2030</v>
      </c>
      <c r="U19" s="372">
        <v>2485</v>
      </c>
      <c r="V19" s="372">
        <v>1192</v>
      </c>
      <c r="W19" s="372">
        <v>1342</v>
      </c>
      <c r="X19" s="372">
        <v>1710</v>
      </c>
      <c r="Y19" s="372">
        <v>2390</v>
      </c>
      <c r="Z19" s="372">
        <v>2819</v>
      </c>
      <c r="AA19" s="343">
        <f>AA127+AA260+AA303</f>
        <v>3498.7921191512232</v>
      </c>
      <c r="AB19" s="343">
        <f t="shared" ref="AB19:AF19" si="12">AB127+AB260+AB303</f>
        <v>3987.5038763717052</v>
      </c>
      <c r="AC19" s="343">
        <f t="shared" si="12"/>
        <v>4435.8248269170235</v>
      </c>
      <c r="AD19" s="343">
        <f>AD127+AD260+AD303</f>
        <v>4851.2678074750311</v>
      </c>
      <c r="AE19" s="343">
        <f t="shared" si="12"/>
        <v>5134.082195949286</v>
      </c>
      <c r="AF19" s="343">
        <f t="shared" si="12"/>
        <v>5445.7704358674328</v>
      </c>
      <c r="AG19" s="1624"/>
      <c r="AH19" s="1624"/>
      <c r="AI19" s="1624"/>
      <c r="AJ19" s="1624"/>
      <c r="AK19" s="1624"/>
      <c r="AL19" s="1624"/>
      <c r="AM19" s="1624"/>
      <c r="AN19" s="1624"/>
      <c r="AO19" s="1624"/>
      <c r="AP19" s="213"/>
    </row>
    <row r="20" spans="1:42">
      <c r="A20" s="374" t="s">
        <v>985</v>
      </c>
      <c r="B20" s="383"/>
      <c r="C20" s="383"/>
      <c r="D20" s="383"/>
      <c r="E20" s="383"/>
      <c r="F20" s="383"/>
      <c r="G20" s="383"/>
      <c r="H20" s="383"/>
      <c r="I20" s="383"/>
      <c r="J20" s="216"/>
      <c r="K20" s="231"/>
      <c r="L20" s="231"/>
      <c r="M20" s="217"/>
      <c r="N20" s="217"/>
      <c r="O20" s="207"/>
      <c r="P20" s="207"/>
      <c r="Q20" s="207"/>
      <c r="R20" s="207"/>
      <c r="S20" s="207"/>
      <c r="T20" s="223">
        <f>T19/T6</f>
        <v>0.19188959258909161</v>
      </c>
      <c r="U20" s="223">
        <v>0.20630967206309672</v>
      </c>
      <c r="V20" s="223">
        <f t="shared" ref="V20:AA20" si="13">V19/V6</f>
        <v>0.15555265561790421</v>
      </c>
      <c r="W20" s="223">
        <f t="shared" si="13"/>
        <v>0.1804005914773491</v>
      </c>
      <c r="X20" s="223">
        <f t="shared" si="13"/>
        <v>0.17988638754470859</v>
      </c>
      <c r="Y20" s="223">
        <f t="shared" si="13"/>
        <v>0.20124621084540248</v>
      </c>
      <c r="Z20" s="223">
        <f t="shared" si="13"/>
        <v>0.20648989159097569</v>
      </c>
      <c r="AA20" s="223">
        <f t="shared" si="13"/>
        <v>0.227628411165855</v>
      </c>
      <c r="AB20" s="223">
        <f t="shared" ref="AB20:AF20" si="14">AB19/AB6</f>
        <v>0.23133218344451026</v>
      </c>
      <c r="AC20" s="223">
        <f t="shared" si="14"/>
        <v>0.23170798695684403</v>
      </c>
      <c r="AD20" s="223">
        <f t="shared" si="14"/>
        <v>0.23439834896668255</v>
      </c>
      <c r="AE20" s="223">
        <f t="shared" si="14"/>
        <v>0.23632659209020626</v>
      </c>
      <c r="AF20" s="223">
        <f t="shared" si="14"/>
        <v>0.23879416893006605</v>
      </c>
      <c r="AG20" s="1624"/>
      <c r="AH20" s="1624"/>
      <c r="AI20" s="1624"/>
      <c r="AJ20" s="1624"/>
      <c r="AK20" s="1624"/>
      <c r="AL20" s="1624"/>
      <c r="AM20" s="1624"/>
      <c r="AN20" s="1624"/>
      <c r="AO20" s="1624"/>
      <c r="AP20" s="213"/>
    </row>
    <row r="21" spans="1:42">
      <c r="A21" s="349" t="s">
        <v>1489</v>
      </c>
      <c r="B21" s="383"/>
      <c r="C21" s="383"/>
      <c r="D21" s="383"/>
      <c r="E21" s="383"/>
      <c r="F21" s="383"/>
      <c r="G21" s="383"/>
      <c r="H21" s="383"/>
      <c r="I21" s="383"/>
      <c r="J21" s="216"/>
      <c r="K21" s="231"/>
      <c r="L21" s="231"/>
      <c r="M21" s="217"/>
      <c r="N21" s="217"/>
      <c r="O21" s="217"/>
      <c r="P21" s="217"/>
      <c r="Q21" s="217"/>
      <c r="R21" s="217"/>
      <c r="S21" s="217"/>
      <c r="T21" s="217"/>
      <c r="U21" s="256"/>
      <c r="V21" s="256"/>
      <c r="W21" s="256"/>
      <c r="X21" s="256"/>
      <c r="Y21" s="256"/>
      <c r="Z21" s="256"/>
      <c r="AA21" s="256"/>
      <c r="AB21" s="256"/>
      <c r="AC21" s="256"/>
      <c r="AD21" s="256"/>
      <c r="AE21" s="256"/>
      <c r="AF21" s="256"/>
      <c r="AG21" s="1624"/>
      <c r="AH21" s="1624"/>
      <c r="AI21" s="1624"/>
      <c r="AJ21" s="1624"/>
      <c r="AK21" s="1624"/>
      <c r="AL21" s="1624"/>
      <c r="AM21" s="1624"/>
      <c r="AN21" s="1624"/>
      <c r="AO21" s="1624"/>
      <c r="AP21" s="213"/>
    </row>
    <row r="22" spans="1:42">
      <c r="A22" s="19"/>
      <c r="B22" s="213"/>
      <c r="C22" s="213"/>
      <c r="D22" s="213"/>
      <c r="E22" s="213"/>
      <c r="F22" s="213"/>
      <c r="G22" s="213"/>
      <c r="H22" s="213"/>
      <c r="I22" s="213"/>
      <c r="J22" s="213"/>
      <c r="K22" s="213"/>
      <c r="L22" s="213"/>
      <c r="M22" s="213"/>
      <c r="N22" s="213"/>
      <c r="O22" s="213"/>
      <c r="P22" s="213"/>
      <c r="Q22" s="213"/>
      <c r="R22" s="213"/>
      <c r="S22" s="213"/>
      <c r="T22" s="213"/>
      <c r="U22" s="213"/>
      <c r="V22" s="213"/>
      <c r="W22" s="213"/>
      <c r="X22" s="213"/>
      <c r="Y22" s="213"/>
      <c r="Z22" s="213"/>
      <c r="AA22" s="213"/>
      <c r="AB22" s="213"/>
      <c r="AC22" s="213"/>
      <c r="AD22" s="213"/>
      <c r="AE22" s="213"/>
      <c r="AF22" s="213"/>
      <c r="AG22" s="1624"/>
      <c r="AH22" s="1624"/>
      <c r="AI22" s="1624"/>
      <c r="AJ22" s="1624"/>
      <c r="AK22" s="1624"/>
      <c r="AL22" s="1624"/>
      <c r="AM22" s="1624"/>
      <c r="AN22" s="1624"/>
      <c r="AO22" s="1624"/>
      <c r="AP22" s="213"/>
    </row>
    <row r="23" spans="1:42">
      <c r="A23" s="472" t="s">
        <v>1473</v>
      </c>
      <c r="B23" s="472"/>
      <c r="C23" s="472"/>
      <c r="D23" s="472"/>
      <c r="E23" s="472"/>
      <c r="F23" s="472"/>
      <c r="G23" s="472"/>
      <c r="H23" s="472"/>
      <c r="I23" s="472"/>
      <c r="J23" s="472"/>
      <c r="K23" s="472"/>
      <c r="L23" s="472"/>
      <c r="M23" s="472"/>
      <c r="N23" s="472"/>
      <c r="O23" s="472"/>
      <c r="P23" s="472"/>
      <c r="Q23" s="472"/>
      <c r="R23" s="472"/>
      <c r="S23" s="472"/>
      <c r="T23" s="472"/>
      <c r="U23" s="472"/>
      <c r="V23" s="472"/>
      <c r="W23" s="508"/>
      <c r="X23" s="508"/>
      <c r="Y23" s="508"/>
      <c r="Z23" s="508"/>
      <c r="AA23" s="508"/>
      <c r="AB23" s="508"/>
      <c r="AC23" s="508"/>
      <c r="AD23" s="508"/>
      <c r="AE23" s="508"/>
      <c r="AF23" s="508"/>
      <c r="AG23" s="1624"/>
      <c r="AH23" s="1624"/>
      <c r="AI23" s="1624"/>
      <c r="AJ23" s="1624"/>
      <c r="AK23" s="1624"/>
      <c r="AL23" s="1624"/>
      <c r="AM23" s="1624"/>
      <c r="AN23" s="1624"/>
      <c r="AO23" s="1624"/>
      <c r="AP23" s="213"/>
    </row>
    <row r="24" spans="1:42">
      <c r="A24" s="19"/>
      <c r="B24" s="213"/>
      <c r="C24" s="213"/>
      <c r="D24" s="213"/>
      <c r="E24" s="213"/>
      <c r="F24" s="213"/>
      <c r="G24" s="213"/>
      <c r="H24" s="213"/>
      <c r="I24" s="213"/>
      <c r="J24" s="213"/>
      <c r="K24" s="213"/>
      <c r="L24" s="213"/>
      <c r="M24" s="213"/>
      <c r="N24" s="213"/>
      <c r="O24" s="213"/>
      <c r="P24" s="213"/>
      <c r="Q24" s="213"/>
      <c r="R24" s="213"/>
      <c r="S24" s="213"/>
      <c r="T24" s="213"/>
      <c r="U24" s="213"/>
      <c r="V24" s="213"/>
      <c r="W24" s="213"/>
      <c r="X24" s="343"/>
      <c r="Y24" s="343"/>
      <c r="Z24" s="343"/>
      <c r="AA24" s="343"/>
      <c r="AB24" s="343"/>
      <c r="AC24" s="343"/>
      <c r="AD24" s="343"/>
      <c r="AE24" s="343"/>
      <c r="AF24" s="343"/>
      <c r="AG24" s="1624"/>
      <c r="AH24" s="1624"/>
      <c r="AI24" s="1624"/>
      <c r="AJ24" s="1624"/>
      <c r="AK24" s="1624"/>
      <c r="AL24" s="1624"/>
      <c r="AM24" s="1624"/>
      <c r="AN24" s="1624"/>
      <c r="AO24" s="1624"/>
      <c r="AP24" s="213"/>
    </row>
    <row r="25" spans="1:42">
      <c r="A25" s="306" t="s">
        <v>1474</v>
      </c>
      <c r="B25" s="307"/>
      <c r="C25" s="307"/>
      <c r="D25" s="307"/>
      <c r="E25" s="307"/>
      <c r="F25" s="307"/>
      <c r="G25" s="307"/>
      <c r="H25" s="307"/>
      <c r="I25" s="307"/>
      <c r="J25" s="307"/>
      <c r="K25" s="307"/>
      <c r="L25" s="307"/>
      <c r="M25" s="308"/>
      <c r="N25" s="308"/>
      <c r="O25" s="308"/>
      <c r="P25" s="308"/>
      <c r="Q25" s="308"/>
      <c r="R25" s="308"/>
      <c r="S25" s="308"/>
      <c r="T25" s="308"/>
      <c r="U25" s="308"/>
      <c r="V25" s="308"/>
      <c r="W25" s="308"/>
      <c r="X25" s="384"/>
      <c r="Y25" s="384"/>
      <c r="Z25" s="384"/>
      <c r="AA25" s="384"/>
      <c r="AB25" s="541"/>
      <c r="AC25" s="1022"/>
      <c r="AD25" s="541"/>
      <c r="AE25" s="541"/>
      <c r="AF25" s="541"/>
      <c r="AG25" s="1624"/>
      <c r="AH25" s="1624"/>
      <c r="AI25" s="1624"/>
      <c r="AJ25" s="1624"/>
      <c r="AK25" s="1624"/>
      <c r="AL25" s="1624"/>
      <c r="AM25" s="1624"/>
      <c r="AN25" s="1624"/>
      <c r="AO25" s="1624"/>
      <c r="AP25" s="213"/>
    </row>
    <row r="26" spans="1:42">
      <c r="A26" s="213" t="s">
        <v>982</v>
      </c>
      <c r="B26" s="200"/>
      <c r="C26" s="200"/>
      <c r="D26" s="200"/>
      <c r="E26" s="200"/>
      <c r="F26" s="200"/>
      <c r="G26" s="200"/>
      <c r="H26" s="211"/>
      <c r="I26" s="211"/>
      <c r="J26" s="211"/>
      <c r="K26" s="211"/>
      <c r="L26" s="211"/>
      <c r="M26" s="211"/>
      <c r="N26" s="211"/>
      <c r="O26" s="211"/>
      <c r="P26" s="211"/>
      <c r="Q26" s="211"/>
      <c r="R26" s="211"/>
      <c r="S26" s="211"/>
      <c r="T26" s="211">
        <v>1044</v>
      </c>
      <c r="U26" s="211">
        <v>391</v>
      </c>
      <c r="V26" s="211">
        <v>157</v>
      </c>
      <c r="W26" s="211">
        <v>107</v>
      </c>
      <c r="X26" s="211">
        <v>60</v>
      </c>
      <c r="Y26" s="211">
        <v>52</v>
      </c>
      <c r="Z26" s="211">
        <v>60</v>
      </c>
      <c r="AA26" s="1264">
        <f>Z26-10</f>
        <v>50</v>
      </c>
      <c r="AB26" s="1264">
        <f t="shared" ref="AB26:AF26" si="15">AA26-10</f>
        <v>40</v>
      </c>
      <c r="AC26" s="1264">
        <f t="shared" si="15"/>
        <v>30</v>
      </c>
      <c r="AD26" s="1264">
        <f t="shared" si="15"/>
        <v>20</v>
      </c>
      <c r="AE26" s="1264">
        <f t="shared" si="15"/>
        <v>10</v>
      </c>
      <c r="AF26" s="1264">
        <f t="shared" si="15"/>
        <v>0</v>
      </c>
      <c r="AG26" s="1624"/>
      <c r="AH26" s="1624"/>
      <c r="AI26" s="1624"/>
      <c r="AJ26" s="1624"/>
      <c r="AK26" s="1624"/>
      <c r="AL26" s="1624"/>
      <c r="AM26" s="1624"/>
      <c r="AN26" s="1624"/>
      <c r="AO26" s="1624"/>
      <c r="AP26" s="213"/>
    </row>
    <row r="27" spans="1:42">
      <c r="A27" s="213" t="s">
        <v>1012</v>
      </c>
      <c r="B27" s="200"/>
      <c r="C27" s="200"/>
      <c r="D27" s="200"/>
      <c r="E27" s="200"/>
      <c r="F27" s="200"/>
      <c r="G27" s="200"/>
      <c r="H27" s="211"/>
      <c r="I27" s="211"/>
      <c r="J27" s="211"/>
      <c r="K27" s="211"/>
      <c r="L27" s="211"/>
      <c r="M27" s="211"/>
      <c r="N27" s="211"/>
      <c r="O27" s="211"/>
      <c r="P27" s="211"/>
      <c r="Q27" s="211"/>
      <c r="R27" s="211"/>
      <c r="S27" s="211"/>
      <c r="T27" s="211">
        <v>1118</v>
      </c>
      <c r="U27" s="211">
        <v>1736</v>
      </c>
      <c r="V27" s="211">
        <v>815</v>
      </c>
      <c r="W27" s="211">
        <v>845</v>
      </c>
      <c r="X27" s="211">
        <v>1136</v>
      </c>
      <c r="Y27" s="211">
        <v>1570</v>
      </c>
      <c r="Z27" s="211">
        <v>1407</v>
      </c>
      <c r="AA27" s="212">
        <v>1817</v>
      </c>
      <c r="AB27" s="212">
        <v>1957</v>
      </c>
      <c r="AC27" s="212">
        <v>2146</v>
      </c>
      <c r="AD27" s="228">
        <f>AC27*1.05</f>
        <v>2253.3000000000002</v>
      </c>
      <c r="AE27" s="228">
        <f>AD27*1.05</f>
        <v>2365.9650000000001</v>
      </c>
      <c r="AF27" s="228">
        <f>AE27*1.05</f>
        <v>2484.2632500000004</v>
      </c>
      <c r="AG27" s="1624"/>
      <c r="AH27" s="1624" t="s">
        <v>2013</v>
      </c>
      <c r="AI27" s="1624" t="s">
        <v>1636</v>
      </c>
      <c r="AJ27" s="1624"/>
      <c r="AK27" s="1624"/>
      <c r="AL27" s="1624"/>
      <c r="AM27" s="1624"/>
      <c r="AN27" s="1624"/>
      <c r="AO27" s="1624"/>
      <c r="AP27" s="213"/>
    </row>
    <row r="28" spans="1:42">
      <c r="A28" s="213" t="s">
        <v>1014</v>
      </c>
      <c r="B28" s="200"/>
      <c r="C28" s="200"/>
      <c r="D28" s="200"/>
      <c r="E28" s="200"/>
      <c r="F28" s="200"/>
      <c r="G28" s="200"/>
      <c r="H28" s="211"/>
      <c r="I28" s="211"/>
      <c r="J28" s="211"/>
      <c r="K28" s="211"/>
      <c r="L28" s="211"/>
      <c r="M28" s="211"/>
      <c r="N28" s="211"/>
      <c r="O28" s="211"/>
      <c r="P28" s="211"/>
      <c r="Q28" s="211"/>
      <c r="R28" s="211"/>
      <c r="S28" s="211"/>
      <c r="T28" s="211">
        <v>86</v>
      </c>
      <c r="U28" s="211">
        <v>90</v>
      </c>
      <c r="V28" s="211">
        <v>96</v>
      </c>
      <c r="W28" s="211">
        <v>96</v>
      </c>
      <c r="X28" s="211">
        <v>96</v>
      </c>
      <c r="Y28" s="211">
        <v>104</v>
      </c>
      <c r="Z28" s="211">
        <v>80</v>
      </c>
      <c r="AA28" s="1264">
        <v>60</v>
      </c>
      <c r="AB28" s="1264">
        <v>40</v>
      </c>
      <c r="AC28" s="1264">
        <v>40</v>
      </c>
      <c r="AD28" s="1264">
        <v>40</v>
      </c>
      <c r="AE28" s="1264">
        <v>40</v>
      </c>
      <c r="AF28" s="1264">
        <v>40</v>
      </c>
      <c r="AG28" s="1624"/>
      <c r="AH28" s="1624"/>
      <c r="AI28" s="1624"/>
      <c r="AJ28" s="1624"/>
      <c r="AK28" s="1624"/>
      <c r="AL28" s="1624"/>
      <c r="AM28" s="1624"/>
      <c r="AN28" s="1624"/>
      <c r="AO28" s="1624"/>
      <c r="AP28" s="213"/>
    </row>
    <row r="29" spans="1:42">
      <c r="A29" s="213" t="s">
        <v>1150</v>
      </c>
      <c r="B29" s="200"/>
      <c r="C29" s="200"/>
      <c r="D29" s="200"/>
      <c r="E29" s="200"/>
      <c r="F29" s="200"/>
      <c r="G29" s="200"/>
      <c r="H29" s="200"/>
      <c r="I29" s="200"/>
      <c r="J29" s="200"/>
      <c r="K29" s="200"/>
      <c r="L29" s="200"/>
      <c r="M29" s="200"/>
      <c r="N29" s="200"/>
      <c r="O29" s="200"/>
      <c r="P29" s="200"/>
      <c r="Q29" s="200"/>
      <c r="R29" s="200"/>
      <c r="S29" s="200"/>
      <c r="T29" s="211">
        <v>278</v>
      </c>
      <c r="U29" s="211">
        <v>381</v>
      </c>
      <c r="V29" s="200">
        <f>U29-W29</f>
        <v>242</v>
      </c>
      <c r="W29" s="200">
        <f>235-SUM(W28:W28)</f>
        <v>139</v>
      </c>
      <c r="X29" s="200">
        <f>181-SUM(X28:X28)</f>
        <v>85</v>
      </c>
      <c r="Y29" s="200">
        <f>190-SUM(Y28:Y28)</f>
        <v>86</v>
      </c>
      <c r="Z29" s="200">
        <f>195-SUM(Z28:Z28)</f>
        <v>115</v>
      </c>
      <c r="AA29" s="212">
        <v>98</v>
      </c>
      <c r="AB29" s="212">
        <v>125</v>
      </c>
      <c r="AC29" s="212">
        <v>138</v>
      </c>
      <c r="AD29" s="228">
        <f t="shared" ref="AD29:AF30" si="16">AC29</f>
        <v>138</v>
      </c>
      <c r="AE29" s="228">
        <f t="shared" si="16"/>
        <v>138</v>
      </c>
      <c r="AF29" s="228">
        <f t="shared" si="16"/>
        <v>138</v>
      </c>
      <c r="AG29" s="1624"/>
      <c r="AH29" s="1624" t="s">
        <v>1538</v>
      </c>
      <c r="AI29" s="1624"/>
      <c r="AJ29" s="1624"/>
      <c r="AK29" s="1624"/>
      <c r="AL29" s="1624"/>
      <c r="AM29" s="1624"/>
      <c r="AN29" s="1624"/>
      <c r="AO29" s="1624"/>
      <c r="AP29" s="213"/>
    </row>
    <row r="30" spans="1:42">
      <c r="A30" s="213" t="s">
        <v>1281</v>
      </c>
      <c r="B30" s="200"/>
      <c r="C30" s="200"/>
      <c r="D30" s="200"/>
      <c r="E30" s="200"/>
      <c r="F30" s="200"/>
      <c r="G30" s="200"/>
      <c r="H30" s="200"/>
      <c r="I30" s="200"/>
      <c r="J30" s="200"/>
      <c r="K30" s="200"/>
      <c r="L30" s="200"/>
      <c r="M30" s="200"/>
      <c r="N30" s="200"/>
      <c r="O30" s="200"/>
      <c r="P30" s="200"/>
      <c r="Q30" s="200"/>
      <c r="R30" s="200"/>
      <c r="S30" s="200"/>
      <c r="T30" s="200"/>
      <c r="U30" s="200"/>
      <c r="V30" s="211">
        <v>0</v>
      </c>
      <c r="W30" s="211">
        <v>0</v>
      </c>
      <c r="X30" s="211">
        <v>0</v>
      </c>
      <c r="Y30" s="211">
        <v>0</v>
      </c>
      <c r="Z30" s="211">
        <v>64</v>
      </c>
      <c r="AA30" s="1264">
        <v>92</v>
      </c>
      <c r="AB30" s="1264">
        <f>AA30</f>
        <v>92</v>
      </c>
      <c r="AC30" s="1264">
        <f>AB30</f>
        <v>92</v>
      </c>
      <c r="AD30" s="1264">
        <f t="shared" si="16"/>
        <v>92</v>
      </c>
      <c r="AE30" s="1264">
        <f t="shared" si="16"/>
        <v>92</v>
      </c>
      <c r="AF30" s="1264">
        <f t="shared" si="16"/>
        <v>92</v>
      </c>
      <c r="AG30" s="1624"/>
      <c r="AH30" s="1624" t="s">
        <v>1579</v>
      </c>
      <c r="AI30" s="1624"/>
      <c r="AJ30" s="1624"/>
      <c r="AK30" s="1624"/>
      <c r="AL30" s="1624"/>
      <c r="AM30" s="1624"/>
      <c r="AN30" s="1624"/>
      <c r="AO30" s="1624"/>
      <c r="AP30" s="213"/>
    </row>
    <row r="31" spans="1:42">
      <c r="A31" s="213" t="s">
        <v>1011</v>
      </c>
      <c r="B31" s="200"/>
      <c r="C31" s="200"/>
      <c r="D31" s="200"/>
      <c r="E31" s="200"/>
      <c r="F31" s="200"/>
      <c r="G31" s="200"/>
      <c r="H31" s="200"/>
      <c r="I31" s="200"/>
      <c r="J31" s="211"/>
      <c r="K31" s="211"/>
      <c r="L31" s="211"/>
      <c r="M31" s="211"/>
      <c r="N31" s="211"/>
      <c r="O31" s="211"/>
      <c r="P31" s="211"/>
      <c r="Q31" s="211"/>
      <c r="R31" s="211"/>
      <c r="S31" s="211"/>
      <c r="T31" s="211">
        <v>23</v>
      </c>
      <c r="U31" s="211">
        <v>62</v>
      </c>
      <c r="V31" s="211">
        <v>33</v>
      </c>
      <c r="W31" s="211">
        <v>64</v>
      </c>
      <c r="X31" s="211">
        <v>51</v>
      </c>
      <c r="Y31" s="211">
        <v>42</v>
      </c>
      <c r="Z31" s="211">
        <v>40</v>
      </c>
      <c r="AA31" s="1264">
        <f t="shared" ref="AA31:AF31" si="17">Z31+5</f>
        <v>45</v>
      </c>
      <c r="AB31" s="1264">
        <f t="shared" si="17"/>
        <v>50</v>
      </c>
      <c r="AC31" s="1264">
        <f t="shared" si="17"/>
        <v>55</v>
      </c>
      <c r="AD31" s="1264">
        <f t="shared" si="17"/>
        <v>60</v>
      </c>
      <c r="AE31" s="1264">
        <f t="shared" si="17"/>
        <v>65</v>
      </c>
      <c r="AF31" s="1264">
        <f t="shared" si="17"/>
        <v>70</v>
      </c>
      <c r="AG31" s="1624"/>
      <c r="AH31" s="1628"/>
      <c r="AI31" s="1624"/>
      <c r="AJ31" s="1624"/>
      <c r="AK31" s="1624"/>
      <c r="AL31" s="1624"/>
      <c r="AM31" s="1624"/>
      <c r="AN31" s="1624"/>
      <c r="AO31" s="1624"/>
      <c r="AP31" s="213"/>
    </row>
    <row r="32" spans="1:42">
      <c r="A32" s="57" t="s">
        <v>742</v>
      </c>
      <c r="B32" s="190"/>
      <c r="C32" s="190"/>
      <c r="D32" s="190"/>
      <c r="E32" s="190"/>
      <c r="F32" s="190"/>
      <c r="G32" s="190"/>
      <c r="H32" s="190"/>
      <c r="I32" s="190"/>
      <c r="J32" s="190"/>
      <c r="K32" s="190"/>
      <c r="L32" s="190"/>
      <c r="M32" s="211"/>
      <c r="N32" s="211"/>
      <c r="O32" s="211"/>
      <c r="P32" s="211"/>
      <c r="Q32" s="211"/>
      <c r="R32" s="211"/>
      <c r="S32" s="211"/>
      <c r="T32" s="190">
        <f>SUM(T26:T31)</f>
        <v>2549</v>
      </c>
      <c r="U32" s="190">
        <v>2660</v>
      </c>
      <c r="V32" s="190">
        <f t="shared" ref="V32:AF32" si="18">SUM(V26:V31)</f>
        <v>1343</v>
      </c>
      <c r="W32" s="190">
        <f t="shared" si="18"/>
        <v>1251</v>
      </c>
      <c r="X32" s="190">
        <f t="shared" si="18"/>
        <v>1428</v>
      </c>
      <c r="Y32" s="190">
        <f t="shared" si="18"/>
        <v>1854</v>
      </c>
      <c r="Z32" s="190">
        <f t="shared" si="18"/>
        <v>1766</v>
      </c>
      <c r="AA32" s="190">
        <f t="shared" si="18"/>
        <v>2162</v>
      </c>
      <c r="AB32" s="190">
        <f t="shared" si="18"/>
        <v>2304</v>
      </c>
      <c r="AC32" s="190">
        <f t="shared" si="18"/>
        <v>2501</v>
      </c>
      <c r="AD32" s="190">
        <f t="shared" si="18"/>
        <v>2603.3000000000002</v>
      </c>
      <c r="AE32" s="190">
        <f t="shared" si="18"/>
        <v>2710.9650000000001</v>
      </c>
      <c r="AF32" s="190">
        <f t="shared" si="18"/>
        <v>2824.2632500000004</v>
      </c>
      <c r="AG32" s="1628"/>
      <c r="AH32" s="1628"/>
      <c r="AI32" s="1628"/>
      <c r="AJ32" s="1628"/>
      <c r="AK32" s="1628"/>
      <c r="AL32" s="1628"/>
      <c r="AM32" s="1628"/>
      <c r="AN32" s="1628"/>
      <c r="AO32" s="1628"/>
      <c r="AP32" s="57"/>
    </row>
    <row r="33" spans="1:42">
      <c r="A33" s="19"/>
      <c r="B33" s="213"/>
      <c r="C33" s="213"/>
      <c r="D33" s="213"/>
      <c r="E33" s="213"/>
      <c r="F33" s="213"/>
      <c r="G33" s="213"/>
      <c r="H33" s="213"/>
      <c r="I33" s="213"/>
      <c r="J33" s="213"/>
      <c r="K33" s="213"/>
      <c r="L33" s="213"/>
      <c r="M33" s="211"/>
      <c r="N33" s="211"/>
      <c r="O33" s="211"/>
      <c r="P33" s="211"/>
      <c r="Q33" s="211"/>
      <c r="R33" s="211"/>
      <c r="S33" s="211"/>
      <c r="T33" s="213"/>
      <c r="U33" s="213"/>
      <c r="V33" s="213"/>
      <c r="W33" s="457"/>
      <c r="X33" s="190"/>
      <c r="Y33" s="457"/>
      <c r="Z33" s="457"/>
      <c r="AA33" s="457"/>
      <c r="AB33" s="457"/>
      <c r="AC33" s="457"/>
      <c r="AD33" s="457"/>
      <c r="AE33" s="457"/>
      <c r="AF33" s="457"/>
      <c r="AG33" s="1624"/>
      <c r="AH33" s="1624"/>
      <c r="AI33" s="1624"/>
      <c r="AJ33" s="1624"/>
      <c r="AK33" s="1624"/>
      <c r="AL33" s="1624"/>
      <c r="AM33" s="1624"/>
      <c r="AN33" s="1624"/>
      <c r="AO33" s="1624"/>
      <c r="AP33" s="213"/>
    </row>
    <row r="34" spans="1:42">
      <c r="A34" s="214" t="s">
        <v>1760</v>
      </c>
      <c r="B34" s="213"/>
      <c r="C34" s="213"/>
      <c r="D34" s="213"/>
      <c r="E34" s="213"/>
      <c r="F34" s="213"/>
      <c r="G34" s="213"/>
      <c r="H34" s="213"/>
      <c r="I34" s="213"/>
      <c r="J34" s="213"/>
      <c r="K34" s="213"/>
      <c r="L34" s="213"/>
      <c r="M34" s="211"/>
      <c r="N34" s="211"/>
      <c r="O34" s="211"/>
      <c r="P34" s="211"/>
      <c r="Q34" s="211"/>
      <c r="R34" s="211"/>
      <c r="S34" s="211"/>
      <c r="T34" s="1087">
        <f t="shared" ref="T34:Z34" si="19">S34</f>
        <v>0</v>
      </c>
      <c r="U34" s="1087">
        <v>0.5</v>
      </c>
      <c r="V34" s="1087">
        <f t="shared" si="19"/>
        <v>0.5</v>
      </c>
      <c r="W34" s="420">
        <f t="shared" si="19"/>
        <v>0.5</v>
      </c>
      <c r="X34" s="420">
        <f t="shared" si="19"/>
        <v>0.5</v>
      </c>
      <c r="Y34" s="420">
        <f t="shared" si="19"/>
        <v>0.5</v>
      </c>
      <c r="Z34" s="420">
        <f t="shared" si="19"/>
        <v>0.5</v>
      </c>
      <c r="AA34" s="420">
        <f t="shared" ref="AA34:AF34" si="20">Z34+0.02</f>
        <v>0.52</v>
      </c>
      <c r="AB34" s="420">
        <f t="shared" si="20"/>
        <v>0.54</v>
      </c>
      <c r="AC34" s="420">
        <f t="shared" si="20"/>
        <v>0.56000000000000005</v>
      </c>
      <c r="AD34" s="420">
        <f t="shared" si="20"/>
        <v>0.58000000000000007</v>
      </c>
      <c r="AE34" s="420">
        <f t="shared" si="20"/>
        <v>0.60000000000000009</v>
      </c>
      <c r="AF34" s="420">
        <f t="shared" si="20"/>
        <v>0.62000000000000011</v>
      </c>
      <c r="AG34" s="1624"/>
      <c r="AH34" s="1624"/>
      <c r="AI34" s="1624"/>
      <c r="AJ34" s="1624"/>
      <c r="AK34" s="1624"/>
      <c r="AL34" s="1624"/>
      <c r="AM34" s="1624"/>
      <c r="AN34" s="1624"/>
      <c r="AO34" s="1624"/>
      <c r="AP34" s="213"/>
    </row>
    <row r="35" spans="1:42">
      <c r="A35" s="19"/>
      <c r="B35" s="213"/>
      <c r="C35" s="213"/>
      <c r="D35" s="213"/>
      <c r="E35" s="213"/>
      <c r="F35" s="213"/>
      <c r="G35" s="213"/>
      <c r="H35" s="213"/>
      <c r="I35" s="213"/>
      <c r="J35" s="213"/>
      <c r="K35" s="213"/>
      <c r="L35" s="213"/>
      <c r="M35" s="211"/>
      <c r="N35" s="211"/>
      <c r="O35" s="211"/>
      <c r="P35" s="213"/>
      <c r="Q35" s="213"/>
      <c r="R35" s="213"/>
      <c r="S35" s="213"/>
      <c r="T35" s="213"/>
      <c r="U35" s="213"/>
      <c r="V35" s="213"/>
      <c r="W35" s="340"/>
      <c r="X35" s="190"/>
      <c r="Y35" s="340"/>
      <c r="Z35" s="340"/>
      <c r="AA35" s="340"/>
      <c r="AB35" s="340"/>
      <c r="AC35" s="340"/>
      <c r="AD35" s="340"/>
      <c r="AE35" s="340"/>
      <c r="AF35" s="340"/>
      <c r="AG35" s="1624"/>
      <c r="AH35" s="1624"/>
      <c r="AI35" s="1624"/>
      <c r="AJ35" s="1624"/>
      <c r="AK35" s="1624"/>
      <c r="AL35" s="1624"/>
      <c r="AM35" s="1624"/>
      <c r="AN35" s="1624"/>
      <c r="AO35" s="1624"/>
      <c r="AP35" s="213"/>
    </row>
    <row r="36" spans="1:42">
      <c r="A36" s="306" t="s">
        <v>1020</v>
      </c>
      <c r="B36" s="307"/>
      <c r="C36" s="307"/>
      <c r="D36" s="307"/>
      <c r="E36" s="307"/>
      <c r="F36" s="307"/>
      <c r="G36" s="307"/>
      <c r="H36" s="307"/>
      <c r="I36" s="307"/>
      <c r="J36" s="307"/>
      <c r="K36" s="307"/>
      <c r="L36" s="307"/>
      <c r="M36" s="308"/>
      <c r="N36" s="308"/>
      <c r="O36" s="308"/>
      <c r="P36" s="308"/>
      <c r="Q36" s="308"/>
      <c r="R36" s="308"/>
      <c r="S36" s="308"/>
      <c r="T36" s="308"/>
      <c r="U36" s="308"/>
      <c r="V36" s="308"/>
      <c r="W36" s="308"/>
      <c r="X36" s="308"/>
      <c r="Y36" s="308"/>
      <c r="Z36" s="308"/>
      <c r="AA36" s="308"/>
      <c r="AB36" s="308"/>
      <c r="AC36" s="308"/>
      <c r="AD36" s="308"/>
      <c r="AE36" s="308"/>
      <c r="AF36" s="308"/>
      <c r="AG36" s="1624"/>
      <c r="AH36" s="1624"/>
      <c r="AI36" s="1624"/>
      <c r="AJ36" s="1624"/>
      <c r="AK36" s="1624"/>
      <c r="AL36" s="1624"/>
      <c r="AM36" s="1624"/>
      <c r="AN36" s="1624"/>
      <c r="AO36" s="1624"/>
      <c r="AP36" s="213"/>
    </row>
    <row r="37" spans="1:42">
      <c r="A37" s="213" t="s">
        <v>1015</v>
      </c>
      <c r="B37" s="200"/>
      <c r="C37" s="200"/>
      <c r="D37" s="200"/>
      <c r="E37" s="200"/>
      <c r="F37" s="200"/>
      <c r="G37" s="200"/>
      <c r="H37" s="200"/>
      <c r="I37" s="200"/>
      <c r="J37" s="200"/>
      <c r="K37" s="200"/>
      <c r="L37" s="200"/>
      <c r="M37" s="200"/>
      <c r="N37" s="211"/>
      <c r="O37" s="200"/>
      <c r="P37" s="200"/>
      <c r="Q37" s="200"/>
      <c r="R37" s="200"/>
      <c r="S37" s="200"/>
      <c r="T37" s="200">
        <v>12.922687499999997</v>
      </c>
      <c r="U37" s="200">
        <v>12.922687499999997</v>
      </c>
      <c r="V37" s="200">
        <v>12.922687499999997</v>
      </c>
      <c r="W37" s="200">
        <v>10</v>
      </c>
      <c r="X37" s="200">
        <f t="shared" ref="X37:AF38" si="21">W37*(1+X$43)</f>
        <v>10.199999999999999</v>
      </c>
      <c r="Y37" s="200">
        <f t="shared" si="21"/>
        <v>10.404</v>
      </c>
      <c r="Z37" s="200">
        <f t="shared" si="21"/>
        <v>10.612080000000001</v>
      </c>
      <c r="AA37" s="200">
        <f t="shared" si="21"/>
        <v>10.824321600000001</v>
      </c>
      <c r="AB37" s="200">
        <f t="shared" si="21"/>
        <v>11.040808032000001</v>
      </c>
      <c r="AC37" s="200">
        <f t="shared" si="21"/>
        <v>11.261624192640001</v>
      </c>
      <c r="AD37" s="200">
        <f t="shared" si="21"/>
        <v>11.486856676492801</v>
      </c>
      <c r="AE37" s="200">
        <f t="shared" si="21"/>
        <v>11.716593810022657</v>
      </c>
      <c r="AF37" s="200">
        <f t="shared" si="21"/>
        <v>11.95092568622311</v>
      </c>
      <c r="AG37" s="1624"/>
      <c r="AH37" s="1624"/>
      <c r="AI37" s="1624"/>
      <c r="AJ37" s="1624"/>
      <c r="AK37" s="1624"/>
      <c r="AL37" s="1624"/>
      <c r="AM37" s="1624"/>
      <c r="AN37" s="1624"/>
      <c r="AO37" s="1624"/>
      <c r="AP37" s="213"/>
    </row>
    <row r="38" spans="1:42">
      <c r="A38" s="213" t="s">
        <v>1016</v>
      </c>
      <c r="B38" s="200"/>
      <c r="C38" s="200"/>
      <c r="D38" s="200"/>
      <c r="E38" s="200"/>
      <c r="F38" s="200"/>
      <c r="G38" s="200"/>
      <c r="H38" s="200"/>
      <c r="I38" s="200"/>
      <c r="J38" s="200"/>
      <c r="K38" s="200"/>
      <c r="L38" s="200"/>
      <c r="M38" s="200"/>
      <c r="N38" s="200"/>
      <c r="O38" s="200"/>
      <c r="P38" s="200"/>
      <c r="Q38" s="200"/>
      <c r="R38" s="200"/>
      <c r="S38" s="200"/>
      <c r="T38" s="200">
        <v>14</v>
      </c>
      <c r="U38" s="200">
        <v>14</v>
      </c>
      <c r="V38" s="200">
        <f>U38</f>
        <v>14</v>
      </c>
      <c r="W38" s="200">
        <v>15</v>
      </c>
      <c r="X38" s="200">
        <f t="shared" si="21"/>
        <v>15.3</v>
      </c>
      <c r="Y38" s="200">
        <f t="shared" si="21"/>
        <v>15.606000000000002</v>
      </c>
      <c r="Z38" s="200">
        <f t="shared" si="21"/>
        <v>15.918120000000002</v>
      </c>
      <c r="AA38" s="200">
        <f t="shared" si="21"/>
        <v>16.236482400000003</v>
      </c>
      <c r="AB38" s="200">
        <f t="shared" si="21"/>
        <v>16.561212048000005</v>
      </c>
      <c r="AC38" s="200">
        <f t="shared" si="21"/>
        <v>16.892436288960006</v>
      </c>
      <c r="AD38" s="200">
        <f t="shared" si="21"/>
        <v>17.230285014739206</v>
      </c>
      <c r="AE38" s="200">
        <f t="shared" si="21"/>
        <v>17.574890715033991</v>
      </c>
      <c r="AF38" s="200">
        <f t="shared" si="21"/>
        <v>17.92638852933467</v>
      </c>
      <c r="AG38" s="1624"/>
      <c r="AH38" s="1628"/>
      <c r="AI38" s="1624"/>
      <c r="AJ38" s="1624"/>
      <c r="AK38" s="1624"/>
      <c r="AL38" s="1624"/>
      <c r="AM38" s="1624"/>
      <c r="AN38" s="1624"/>
      <c r="AO38" s="1624"/>
      <c r="AP38" s="213"/>
    </row>
    <row r="39" spans="1:42">
      <c r="A39" s="213" t="s">
        <v>1017</v>
      </c>
      <c r="B39" s="200"/>
      <c r="C39" s="200"/>
      <c r="D39" s="200"/>
      <c r="E39" s="200"/>
      <c r="F39" s="200"/>
      <c r="G39" s="200"/>
      <c r="H39" s="200"/>
      <c r="I39" s="200"/>
      <c r="J39" s="200"/>
      <c r="K39" s="200"/>
      <c r="L39" s="200"/>
      <c r="M39" s="200"/>
      <c r="N39" s="211"/>
      <c r="O39" s="200"/>
      <c r="P39" s="200"/>
      <c r="Q39" s="200"/>
      <c r="R39" s="200"/>
      <c r="S39" s="200"/>
      <c r="T39" s="200">
        <v>27.043617179579332</v>
      </c>
      <c r="U39" s="200">
        <v>27.990143780864607</v>
      </c>
      <c r="V39" s="200">
        <v>28.969798813194867</v>
      </c>
      <c r="W39" s="200">
        <v>29</v>
      </c>
      <c r="X39" s="200">
        <f t="shared" ref="W39:AF42" si="22">W39*(1+X$43)</f>
        <v>29.580000000000002</v>
      </c>
      <c r="Y39" s="200">
        <f t="shared" si="22"/>
        <v>30.171600000000002</v>
      </c>
      <c r="Z39" s="200">
        <f t="shared" si="22"/>
        <v>30.775032000000003</v>
      </c>
      <c r="AA39" s="200">
        <f t="shared" si="22"/>
        <v>31.390532640000004</v>
      </c>
      <c r="AB39" s="200">
        <f t="shared" si="22"/>
        <v>32.018343292800004</v>
      </c>
      <c r="AC39" s="200">
        <f t="shared" si="22"/>
        <v>32.658710158656007</v>
      </c>
      <c r="AD39" s="200">
        <f t="shared" si="22"/>
        <v>33.311884361829129</v>
      </c>
      <c r="AE39" s="200">
        <f t="shared" si="22"/>
        <v>33.978122049065711</v>
      </c>
      <c r="AF39" s="200">
        <f t="shared" si="22"/>
        <v>34.657684490047025</v>
      </c>
      <c r="AG39" s="1624"/>
      <c r="AH39" s="1624"/>
      <c r="AI39" s="1624"/>
      <c r="AJ39" s="1624"/>
      <c r="AK39" s="1624"/>
      <c r="AL39" s="1624"/>
      <c r="AM39" s="1624"/>
      <c r="AN39" s="1624"/>
      <c r="AO39" s="1624"/>
      <c r="AP39" s="213"/>
    </row>
    <row r="40" spans="1:42">
      <c r="A40" s="213" t="s">
        <v>1151</v>
      </c>
      <c r="B40" s="200"/>
      <c r="C40" s="200"/>
      <c r="D40" s="200"/>
      <c r="E40" s="200"/>
      <c r="F40" s="200"/>
      <c r="G40" s="200"/>
      <c r="H40" s="200"/>
      <c r="I40" s="200"/>
      <c r="J40" s="200"/>
      <c r="K40" s="200"/>
      <c r="L40" s="200"/>
      <c r="M40" s="200"/>
      <c r="N40" s="211"/>
      <c r="O40" s="211"/>
      <c r="P40" s="200"/>
      <c r="Q40" s="200"/>
      <c r="R40" s="200"/>
      <c r="S40" s="200"/>
      <c r="T40" s="200">
        <v>22.628164257812493</v>
      </c>
      <c r="U40" s="200">
        <v>23.193868364257803</v>
      </c>
      <c r="V40" s="200">
        <v>23.773715073364247</v>
      </c>
      <c r="W40" s="200">
        <v>30</v>
      </c>
      <c r="X40" s="200">
        <f t="shared" si="22"/>
        <v>30.6</v>
      </c>
      <c r="Y40" s="200">
        <f t="shared" si="22"/>
        <v>31.212000000000003</v>
      </c>
      <c r="Z40" s="200">
        <f t="shared" si="22"/>
        <v>31.836240000000004</v>
      </c>
      <c r="AA40" s="200">
        <f t="shared" si="22"/>
        <v>32.472964800000007</v>
      </c>
      <c r="AB40" s="200">
        <f t="shared" si="22"/>
        <v>33.12242409600001</v>
      </c>
      <c r="AC40" s="200">
        <f t="shared" si="22"/>
        <v>33.784872577920012</v>
      </c>
      <c r="AD40" s="200">
        <f t="shared" si="22"/>
        <v>34.460570029478411</v>
      </c>
      <c r="AE40" s="200">
        <f t="shared" si="22"/>
        <v>35.149781430067982</v>
      </c>
      <c r="AF40" s="200">
        <f t="shared" si="22"/>
        <v>35.852777058669339</v>
      </c>
      <c r="AG40" s="1624"/>
      <c r="AH40" s="1624"/>
      <c r="AI40" s="1624"/>
      <c r="AJ40" s="1624"/>
      <c r="AK40" s="1624"/>
      <c r="AL40" s="1624"/>
      <c r="AM40" s="1624"/>
      <c r="AN40" s="1624"/>
      <c r="AO40" s="1624"/>
      <c r="AP40" s="213"/>
    </row>
    <row r="41" spans="1:42">
      <c r="A41" s="213" t="s">
        <v>1282</v>
      </c>
      <c r="B41" s="200"/>
      <c r="C41" s="200"/>
      <c r="D41" s="200"/>
      <c r="E41" s="200"/>
      <c r="F41" s="200"/>
      <c r="G41" s="200"/>
      <c r="H41" s="200"/>
      <c r="I41" s="200"/>
      <c r="J41" s="200"/>
      <c r="K41" s="200"/>
      <c r="L41" s="200"/>
      <c r="M41" s="200"/>
      <c r="N41" s="200"/>
      <c r="O41" s="200"/>
      <c r="P41" s="200"/>
      <c r="Q41" s="200"/>
      <c r="R41" s="200"/>
      <c r="S41" s="200"/>
      <c r="T41" s="200"/>
      <c r="U41" s="200"/>
      <c r="V41" s="211">
        <v>31.698286764485662</v>
      </c>
      <c r="W41" s="200">
        <v>30</v>
      </c>
      <c r="X41" s="200">
        <f t="shared" si="22"/>
        <v>30.6</v>
      </c>
      <c r="Y41" s="200">
        <f t="shared" si="22"/>
        <v>31.212000000000003</v>
      </c>
      <c r="Z41" s="200">
        <f t="shared" si="22"/>
        <v>31.836240000000004</v>
      </c>
      <c r="AA41" s="200">
        <f t="shared" si="22"/>
        <v>32.472964800000007</v>
      </c>
      <c r="AB41" s="200">
        <f t="shared" si="22"/>
        <v>33.12242409600001</v>
      </c>
      <c r="AC41" s="200">
        <f t="shared" si="22"/>
        <v>33.784872577920012</v>
      </c>
      <c r="AD41" s="200">
        <f t="shared" si="22"/>
        <v>34.460570029478411</v>
      </c>
      <c r="AE41" s="200">
        <f t="shared" si="22"/>
        <v>35.149781430067982</v>
      </c>
      <c r="AF41" s="200">
        <f t="shared" si="22"/>
        <v>35.852777058669339</v>
      </c>
      <c r="AG41" s="1624"/>
      <c r="AH41" s="1624"/>
      <c r="AI41" s="1624"/>
      <c r="AJ41" s="1624"/>
      <c r="AK41" s="1624"/>
      <c r="AL41" s="1624"/>
      <c r="AM41" s="1624"/>
      <c r="AN41" s="1624"/>
      <c r="AO41" s="1624"/>
      <c r="AP41" s="213"/>
    </row>
    <row r="42" spans="1:42">
      <c r="A42" s="213" t="s">
        <v>1018</v>
      </c>
      <c r="B42" s="200"/>
      <c r="C42" s="200"/>
      <c r="D42" s="200"/>
      <c r="E42" s="200"/>
      <c r="F42" s="200"/>
      <c r="G42" s="200"/>
      <c r="H42" s="200"/>
      <c r="I42" s="200"/>
      <c r="J42" s="200"/>
      <c r="K42" s="200"/>
      <c r="L42" s="200"/>
      <c r="M42" s="200"/>
      <c r="N42" s="387"/>
      <c r="O42" s="200"/>
      <c r="P42" s="200"/>
      <c r="Q42" s="200"/>
      <c r="R42" s="200"/>
      <c r="S42" s="200"/>
      <c r="T42" s="200">
        <v>14.389782963417064</v>
      </c>
      <c r="U42" s="200">
        <v>15.253169941222088</v>
      </c>
      <c r="V42" s="200">
        <v>16.168360137695416</v>
      </c>
      <c r="W42" s="200">
        <f t="shared" si="22"/>
        <v>16.491727340449323</v>
      </c>
      <c r="X42" s="200">
        <f t="shared" si="22"/>
        <v>16.821561887258309</v>
      </c>
      <c r="Y42" s="200">
        <f t="shared" si="22"/>
        <v>17.157993125003475</v>
      </c>
      <c r="Z42" s="200">
        <f t="shared" si="22"/>
        <v>17.501152987503545</v>
      </c>
      <c r="AA42" s="200">
        <f t="shared" si="22"/>
        <v>17.851176047253617</v>
      </c>
      <c r="AB42" s="200">
        <f t="shared" si="22"/>
        <v>18.20819956819869</v>
      </c>
      <c r="AC42" s="200">
        <f t="shared" si="22"/>
        <v>18.572363559562664</v>
      </c>
      <c r="AD42" s="200">
        <f t="shared" si="22"/>
        <v>18.943810830753918</v>
      </c>
      <c r="AE42" s="200">
        <f t="shared" si="22"/>
        <v>19.322687047368998</v>
      </c>
      <c r="AF42" s="200">
        <f t="shared" si="22"/>
        <v>19.709140788316379</v>
      </c>
      <c r="AG42" s="1624"/>
      <c r="AH42" s="1624">
        <f>Z27*Z38*Z44*Z57</f>
        <v>7054.9903746000009</v>
      </c>
      <c r="AI42" s="1624"/>
      <c r="AJ42" s="1624"/>
      <c r="AK42" s="1624"/>
      <c r="AL42" s="1624"/>
      <c r="AM42" s="1624"/>
      <c r="AN42" s="1624"/>
      <c r="AO42" s="1624"/>
      <c r="AP42" s="213"/>
    </row>
    <row r="43" spans="1:42">
      <c r="A43" s="19" t="s">
        <v>1534</v>
      </c>
      <c r="B43" s="213"/>
      <c r="C43" s="213"/>
      <c r="D43" s="213"/>
      <c r="E43" s="213"/>
      <c r="F43" s="213"/>
      <c r="G43" s="213"/>
      <c r="H43" s="213"/>
      <c r="I43" s="213"/>
      <c r="J43" s="213"/>
      <c r="K43" s="213"/>
      <c r="L43" s="213"/>
      <c r="M43" s="213"/>
      <c r="N43" s="213"/>
      <c r="O43" s="213"/>
      <c r="P43" s="213"/>
      <c r="Q43" s="213"/>
      <c r="R43" s="213"/>
      <c r="S43" s="213"/>
      <c r="T43" s="213"/>
      <c r="U43" s="213"/>
      <c r="V43" s="213"/>
      <c r="W43" s="276">
        <v>0.02</v>
      </c>
      <c r="X43" s="276">
        <v>0.02</v>
      </c>
      <c r="Y43" s="276">
        <v>0.02</v>
      </c>
      <c r="Z43" s="276">
        <v>0.02</v>
      </c>
      <c r="AA43" s="1305">
        <v>0.02</v>
      </c>
      <c r="AB43" s="1305">
        <v>0.02</v>
      </c>
      <c r="AC43" s="1305">
        <v>0.02</v>
      </c>
      <c r="AD43" s="1305">
        <v>0.02</v>
      </c>
      <c r="AE43" s="1305">
        <v>0.02</v>
      </c>
      <c r="AF43" s="1305">
        <v>0.02</v>
      </c>
      <c r="AG43" s="1624"/>
      <c r="AH43" s="1624">
        <f>AH42/Z72</f>
        <v>6365.4635577472409</v>
      </c>
      <c r="AI43" s="1624"/>
      <c r="AJ43" s="1624"/>
      <c r="AK43" s="1624"/>
      <c r="AL43" s="1624"/>
      <c r="AM43" s="1624"/>
      <c r="AN43" s="1624"/>
      <c r="AO43" s="1624"/>
      <c r="AP43" s="213"/>
    </row>
    <row r="44" spans="1:42">
      <c r="A44" s="213" t="s">
        <v>1475</v>
      </c>
      <c r="B44" s="200"/>
      <c r="C44" s="200"/>
      <c r="D44" s="200"/>
      <c r="E44" s="200"/>
      <c r="F44" s="200"/>
      <c r="G44" s="200"/>
      <c r="H44" s="200"/>
      <c r="I44" s="200"/>
      <c r="J44" s="200"/>
      <c r="K44" s="200"/>
      <c r="L44" s="200"/>
      <c r="M44" s="200"/>
      <c r="N44" s="200"/>
      <c r="O44" s="200"/>
      <c r="P44" s="200"/>
      <c r="Q44" s="1397"/>
      <c r="R44" s="1397"/>
      <c r="S44" s="1397"/>
      <c r="T44" s="1397">
        <v>0.5</v>
      </c>
      <c r="U44" s="1397">
        <v>0.5</v>
      </c>
      <c r="V44" s="1397">
        <v>0.5</v>
      </c>
      <c r="W44" s="1397">
        <v>0.65</v>
      </c>
      <c r="X44" s="1397">
        <v>0.65</v>
      </c>
      <c r="Y44" s="1397">
        <v>0.65</v>
      </c>
      <c r="Z44" s="1397">
        <v>0.63</v>
      </c>
      <c r="AA44" s="1297">
        <f>Z44</f>
        <v>0.63</v>
      </c>
      <c r="AB44" s="1297">
        <f>AA44-1%</f>
        <v>0.62</v>
      </c>
      <c r="AC44" s="1297">
        <f t="shared" ref="AC44:AF44" si="23">AB44</f>
        <v>0.62</v>
      </c>
      <c r="AD44" s="1297">
        <f t="shared" si="23"/>
        <v>0.62</v>
      </c>
      <c r="AE44" s="1297">
        <f t="shared" si="23"/>
        <v>0.62</v>
      </c>
      <c r="AF44" s="1297">
        <f t="shared" si="23"/>
        <v>0.62</v>
      </c>
      <c r="AG44" s="1624"/>
      <c r="AH44" s="1624"/>
      <c r="AI44" s="1624"/>
      <c r="AJ44" s="1624"/>
      <c r="AK44" s="1624"/>
      <c r="AL44" s="1624"/>
      <c r="AM44" s="1624"/>
      <c r="AN44" s="1624"/>
      <c r="AO44" s="1624"/>
      <c r="AP44" s="213"/>
    </row>
    <row r="45" spans="1:42">
      <c r="A45" s="306" t="s">
        <v>1019</v>
      </c>
      <c r="B45" s="307"/>
      <c r="C45" s="307"/>
      <c r="D45" s="307"/>
      <c r="E45" s="307"/>
      <c r="F45" s="307"/>
      <c r="G45" s="307"/>
      <c r="H45" s="307"/>
      <c r="I45" s="307"/>
      <c r="J45" s="307"/>
      <c r="K45" s="307"/>
      <c r="L45" s="307"/>
      <c r="M45" s="308"/>
      <c r="N45" s="536"/>
      <c r="O45" s="308"/>
      <c r="P45" s="308"/>
      <c r="Q45" s="308"/>
      <c r="R45" s="308"/>
      <c r="S45" s="308"/>
      <c r="T45" s="308"/>
      <c r="U45" s="308"/>
      <c r="V45" s="308"/>
      <c r="W45" s="308"/>
      <c r="X45" s="308"/>
      <c r="Y45" s="308"/>
      <c r="Z45" s="308"/>
      <c r="AA45" s="308"/>
      <c r="AB45" s="308"/>
      <c r="AC45" s="308"/>
      <c r="AD45" s="308"/>
      <c r="AE45" s="308"/>
      <c r="AF45" s="308"/>
      <c r="AG45" s="1624"/>
      <c r="AH45" s="1624"/>
      <c r="AI45" s="1624"/>
      <c r="AJ45" s="1624"/>
      <c r="AK45" s="1624"/>
      <c r="AL45" s="1624"/>
      <c r="AM45" s="1624"/>
      <c r="AN45" s="1624"/>
      <c r="AO45" s="1624"/>
      <c r="AP45" s="213"/>
    </row>
    <row r="46" spans="1:42">
      <c r="A46" s="213" t="s">
        <v>1015</v>
      </c>
      <c r="B46" s="200"/>
      <c r="C46" s="200"/>
      <c r="D46" s="200"/>
      <c r="E46" s="200"/>
      <c r="F46" s="200"/>
      <c r="G46" s="200"/>
      <c r="H46" s="200"/>
      <c r="I46" s="200"/>
      <c r="J46" s="200"/>
      <c r="K46" s="200"/>
      <c r="L46" s="200"/>
      <c r="M46" s="200"/>
      <c r="N46" s="200"/>
      <c r="O46" s="200"/>
      <c r="P46" s="200"/>
      <c r="Q46" s="200"/>
      <c r="R46" s="200"/>
      <c r="S46" s="200"/>
      <c r="T46" s="200">
        <f t="shared" ref="T46:V51" si="24">T26*T37*(1-T$44)</f>
        <v>6745.6428749999986</v>
      </c>
      <c r="U46" s="200">
        <f>U26*U37*(1-U$44)</f>
        <v>2526.3854062499995</v>
      </c>
      <c r="V46" s="200">
        <f>V26*V37*(1-V$44)</f>
        <v>1014.4309687499997</v>
      </c>
      <c r="W46" s="200">
        <f>W26*W37*(1-W$44)</f>
        <v>374.5</v>
      </c>
      <c r="X46" s="200">
        <f t="shared" ref="X46:AF46" si="25">X26*X37*(1-X$44)</f>
        <v>214.2</v>
      </c>
      <c r="Y46" s="200">
        <f t="shared" si="25"/>
        <v>189.3528</v>
      </c>
      <c r="Z46" s="200">
        <f t="shared" si="25"/>
        <v>235.58817600000003</v>
      </c>
      <c r="AA46" s="200">
        <f t="shared" si="25"/>
        <v>200.24994960000001</v>
      </c>
      <c r="AB46" s="200">
        <f t="shared" si="25"/>
        <v>167.82028208640003</v>
      </c>
      <c r="AC46" s="200">
        <f t="shared" si="25"/>
        <v>128.38251579609602</v>
      </c>
      <c r="AD46" s="200">
        <f t="shared" si="25"/>
        <v>87.300110741345279</v>
      </c>
      <c r="AE46" s="200">
        <f t="shared" si="25"/>
        <v>44.523056478086097</v>
      </c>
      <c r="AF46" s="200">
        <f t="shared" si="25"/>
        <v>0</v>
      </c>
      <c r="AG46" s="1624"/>
      <c r="AH46" s="1624"/>
      <c r="AI46" s="1624"/>
      <c r="AJ46" s="1624"/>
      <c r="AK46" s="1624"/>
      <c r="AL46" s="1624"/>
      <c r="AM46" s="1624"/>
      <c r="AN46" s="1624"/>
      <c r="AO46" s="1624"/>
      <c r="AP46" s="213"/>
    </row>
    <row r="47" spans="1:42">
      <c r="A47" s="213" t="s">
        <v>1016</v>
      </c>
      <c r="B47" s="200"/>
      <c r="C47" s="200"/>
      <c r="D47" s="200"/>
      <c r="E47" s="200"/>
      <c r="F47" s="200"/>
      <c r="G47" s="200"/>
      <c r="H47" s="200"/>
      <c r="I47" s="200"/>
      <c r="J47" s="200"/>
      <c r="K47" s="200"/>
      <c r="L47" s="200"/>
      <c r="M47" s="200"/>
      <c r="N47" s="200"/>
      <c r="O47" s="200"/>
      <c r="P47" s="200"/>
      <c r="Q47" s="200"/>
      <c r="R47" s="200"/>
      <c r="S47" s="200"/>
      <c r="T47" s="200">
        <f t="shared" si="24"/>
        <v>7826</v>
      </c>
      <c r="U47" s="200">
        <f t="shared" si="24"/>
        <v>12152</v>
      </c>
      <c r="V47" s="200">
        <f t="shared" si="24"/>
        <v>5705</v>
      </c>
      <c r="W47" s="200">
        <f t="shared" ref="W47:AF51" si="26">W27*W38*(1-W$44)</f>
        <v>4436.25</v>
      </c>
      <c r="X47" s="200">
        <f t="shared" si="26"/>
        <v>6083.28</v>
      </c>
      <c r="Y47" s="200">
        <f t="shared" si="26"/>
        <v>8575.4969999999994</v>
      </c>
      <c r="Z47" s="200">
        <f t="shared" si="26"/>
        <v>8286.8140908000005</v>
      </c>
      <c r="AA47" s="200">
        <f>AA27*AA38*(1-AA$44)</f>
        <v>10915.624752696001</v>
      </c>
      <c r="AB47" s="200">
        <f t="shared" si="26"/>
        <v>12315.910951615684</v>
      </c>
      <c r="AC47" s="200">
        <f t="shared" si="26"/>
        <v>13775.443944921108</v>
      </c>
      <c r="AD47" s="200">
        <f t="shared" si="26"/>
        <v>14753.500465010506</v>
      </c>
      <c r="AE47" s="200">
        <f t="shared" si="26"/>
        <v>15800.998998026251</v>
      </c>
      <c r="AF47" s="200">
        <f t="shared" si="26"/>
        <v>16922.869926886116</v>
      </c>
      <c r="AG47" s="1624"/>
      <c r="AH47" s="1624"/>
      <c r="AI47" s="1624"/>
      <c r="AJ47" s="1624"/>
      <c r="AK47" s="1624"/>
      <c r="AL47" s="1624"/>
      <c r="AM47" s="1624"/>
      <c r="AN47" s="1624"/>
      <c r="AO47" s="1624"/>
      <c r="AP47" s="213"/>
    </row>
    <row r="48" spans="1:42">
      <c r="A48" s="213" t="s">
        <v>1017</v>
      </c>
      <c r="B48" s="200"/>
      <c r="C48" s="200"/>
      <c r="D48" s="200"/>
      <c r="E48" s="200"/>
      <c r="F48" s="200"/>
      <c r="G48" s="200"/>
      <c r="H48" s="200"/>
      <c r="I48" s="200"/>
      <c r="J48" s="200"/>
      <c r="K48" s="200"/>
      <c r="L48" s="200"/>
      <c r="M48" s="200"/>
      <c r="N48" s="200"/>
      <c r="O48" s="200"/>
      <c r="P48" s="200"/>
      <c r="Q48" s="200"/>
      <c r="R48" s="200"/>
      <c r="S48" s="200"/>
      <c r="T48" s="200">
        <f t="shared" si="24"/>
        <v>1162.8755387219112</v>
      </c>
      <c r="U48" s="200">
        <f t="shared" si="24"/>
        <v>1259.5564701389073</v>
      </c>
      <c r="V48" s="200">
        <f t="shared" si="24"/>
        <v>1390.5503430333536</v>
      </c>
      <c r="W48" s="200">
        <f t="shared" si="26"/>
        <v>974.4</v>
      </c>
      <c r="X48" s="200">
        <f t="shared" si="26"/>
        <v>993.88800000000003</v>
      </c>
      <c r="Y48" s="200">
        <f t="shared" si="26"/>
        <v>1098.2462399999999</v>
      </c>
      <c r="Z48" s="200">
        <f t="shared" si="26"/>
        <v>910.9409472000001</v>
      </c>
      <c r="AA48" s="200">
        <f t="shared" si="26"/>
        <v>696.86982460800004</v>
      </c>
      <c r="AB48" s="200">
        <f t="shared" si="26"/>
        <v>486.6788180505601</v>
      </c>
      <c r="AC48" s="200">
        <f t="shared" si="26"/>
        <v>496.41239441157126</v>
      </c>
      <c r="AD48" s="200">
        <f t="shared" si="26"/>
        <v>506.34064229980277</v>
      </c>
      <c r="AE48" s="200">
        <f t="shared" si="26"/>
        <v>516.46745514579879</v>
      </c>
      <c r="AF48" s="200">
        <f t="shared" si="26"/>
        <v>526.79680424871481</v>
      </c>
      <c r="AG48" s="1624"/>
      <c r="AH48" s="1624"/>
      <c r="AI48" s="1624"/>
      <c r="AJ48" s="1624"/>
      <c r="AK48" s="1624"/>
      <c r="AL48" s="1624"/>
      <c r="AM48" s="1624"/>
      <c r="AN48" s="1624"/>
      <c r="AO48" s="1624"/>
      <c r="AP48" s="213"/>
    </row>
    <row r="49" spans="1:42">
      <c r="A49" s="213" t="s">
        <v>1151</v>
      </c>
      <c r="B49" s="200"/>
      <c r="C49" s="200"/>
      <c r="D49" s="200"/>
      <c r="E49" s="200"/>
      <c r="F49" s="200"/>
      <c r="G49" s="200"/>
      <c r="H49" s="200"/>
      <c r="I49" s="200"/>
      <c r="J49" s="200"/>
      <c r="K49" s="200"/>
      <c r="L49" s="200"/>
      <c r="M49" s="200"/>
      <c r="N49" s="200"/>
      <c r="O49" s="200"/>
      <c r="P49" s="200"/>
      <c r="Q49" s="200"/>
      <c r="R49" s="200"/>
      <c r="S49" s="200"/>
      <c r="T49" s="200">
        <f t="shared" si="24"/>
        <v>3145.3148318359367</v>
      </c>
      <c r="U49" s="200">
        <f t="shared" si="24"/>
        <v>4418.431923391111</v>
      </c>
      <c r="V49" s="200">
        <f>V29*V40*(1-V$44)</f>
        <v>2876.6195238770738</v>
      </c>
      <c r="W49" s="200">
        <f t="shared" si="26"/>
        <v>1459.5</v>
      </c>
      <c r="X49" s="200">
        <f t="shared" si="26"/>
        <v>910.34999999999991</v>
      </c>
      <c r="Y49" s="200">
        <f t="shared" si="26"/>
        <v>939.48120000000006</v>
      </c>
      <c r="Z49" s="200">
        <f t="shared" si="26"/>
        <v>1354.632012</v>
      </c>
      <c r="AA49" s="200">
        <f t="shared" si="26"/>
        <v>1177.4697036480004</v>
      </c>
      <c r="AB49" s="200">
        <f t="shared" si="26"/>
        <v>1573.3151445600006</v>
      </c>
      <c r="AC49" s="200">
        <f t="shared" si="26"/>
        <v>1771.6787179861255</v>
      </c>
      <c r="AD49" s="200">
        <f t="shared" si="26"/>
        <v>1807.1122923458477</v>
      </c>
      <c r="AE49" s="200">
        <f t="shared" si="26"/>
        <v>1843.254538192765</v>
      </c>
      <c r="AF49" s="200">
        <f t="shared" si="26"/>
        <v>1880.1196289566203</v>
      </c>
      <c r="AG49" s="1624"/>
      <c r="AH49" s="1624"/>
      <c r="AI49" s="1624"/>
      <c r="AJ49" s="1624"/>
      <c r="AK49" s="1624"/>
      <c r="AL49" s="1624"/>
      <c r="AM49" s="1624"/>
      <c r="AN49" s="1624"/>
      <c r="AO49" s="1624"/>
      <c r="AP49" s="213"/>
    </row>
    <row r="50" spans="1:42">
      <c r="A50" s="213" t="s">
        <v>1282</v>
      </c>
      <c r="B50" s="200"/>
      <c r="C50" s="200"/>
      <c r="D50" s="200"/>
      <c r="E50" s="200"/>
      <c r="F50" s="200"/>
      <c r="G50" s="200"/>
      <c r="H50" s="200"/>
      <c r="I50" s="200"/>
      <c r="J50" s="200"/>
      <c r="K50" s="200"/>
      <c r="L50" s="200"/>
      <c r="M50" s="200"/>
      <c r="N50" s="200"/>
      <c r="O50" s="200"/>
      <c r="P50" s="200"/>
      <c r="Q50" s="200"/>
      <c r="R50" s="200"/>
      <c r="S50" s="200"/>
      <c r="T50" s="200">
        <f t="shared" si="24"/>
        <v>0</v>
      </c>
      <c r="U50" s="200">
        <f t="shared" si="24"/>
        <v>0</v>
      </c>
      <c r="V50" s="200">
        <f t="shared" si="24"/>
        <v>0</v>
      </c>
      <c r="W50" s="1413">
        <f t="shared" si="26"/>
        <v>0</v>
      </c>
      <c r="X50" s="1413">
        <f t="shared" si="26"/>
        <v>0</v>
      </c>
      <c r="Y50" s="1413">
        <f t="shared" si="26"/>
        <v>0</v>
      </c>
      <c r="Z50" s="1413">
        <f t="shared" si="26"/>
        <v>753.88216320000004</v>
      </c>
      <c r="AA50" s="200">
        <f t="shared" si="26"/>
        <v>1105.3797217920001</v>
      </c>
      <c r="AB50" s="200">
        <f t="shared" si="26"/>
        <v>1157.9599463961604</v>
      </c>
      <c r="AC50" s="200">
        <f t="shared" si="26"/>
        <v>1181.1191453240835</v>
      </c>
      <c r="AD50" s="200">
        <f t="shared" si="26"/>
        <v>1204.7415282305653</v>
      </c>
      <c r="AE50" s="200">
        <f t="shared" si="26"/>
        <v>1228.8363587951767</v>
      </c>
      <c r="AF50" s="200">
        <f t="shared" si="26"/>
        <v>1253.4130859710801</v>
      </c>
      <c r="AG50" s="1624"/>
      <c r="AH50" s="1624"/>
      <c r="AI50" s="1624"/>
      <c r="AJ50" s="1624"/>
      <c r="AK50" s="1624"/>
      <c r="AL50" s="1624"/>
      <c r="AM50" s="1624"/>
      <c r="AN50" s="1624"/>
      <c r="AO50" s="1624"/>
      <c r="AP50" s="213"/>
    </row>
    <row r="51" spans="1:42">
      <c r="A51" s="213" t="s">
        <v>1018</v>
      </c>
      <c r="B51" s="200"/>
      <c r="C51" s="200"/>
      <c r="D51" s="200"/>
      <c r="E51" s="200"/>
      <c r="F51" s="200"/>
      <c r="G51" s="200"/>
      <c r="H51" s="200"/>
      <c r="I51" s="200"/>
      <c r="J51" s="200"/>
      <c r="K51" s="200"/>
      <c r="L51" s="200"/>
      <c r="M51" s="200"/>
      <c r="N51" s="200"/>
      <c r="O51" s="200"/>
      <c r="P51" s="200"/>
      <c r="Q51" s="200"/>
      <c r="R51" s="200"/>
      <c r="S51" s="200"/>
      <c r="T51" s="200">
        <f t="shared" si="24"/>
        <v>165.48250407929623</v>
      </c>
      <c r="U51" s="200">
        <f t="shared" si="24"/>
        <v>472.84826817788473</v>
      </c>
      <c r="V51" s="200">
        <f t="shared" si="24"/>
        <v>266.77794227197438</v>
      </c>
      <c r="W51" s="1413">
        <f t="shared" si="26"/>
        <v>369.41469242606479</v>
      </c>
      <c r="X51" s="1413">
        <f t="shared" si="26"/>
        <v>300.26487968756078</v>
      </c>
      <c r="Y51" s="1413">
        <f t="shared" si="26"/>
        <v>252.22249893755108</v>
      </c>
      <c r="Z51" s="1413">
        <f t="shared" si="26"/>
        <v>259.01706421505247</v>
      </c>
      <c r="AA51" s="200">
        <f t="shared" si="26"/>
        <v>297.22208118677275</v>
      </c>
      <c r="AB51" s="200">
        <f t="shared" si="26"/>
        <v>345.9557917957751</v>
      </c>
      <c r="AC51" s="200">
        <f t="shared" si="26"/>
        <v>388.16239839485968</v>
      </c>
      <c r="AD51" s="200">
        <f t="shared" si="26"/>
        <v>431.91888694118933</v>
      </c>
      <c r="AE51" s="200">
        <f t="shared" si="26"/>
        <v>477.27037007001428</v>
      </c>
      <c r="AF51" s="200">
        <f t="shared" si="26"/>
        <v>524.26314496921566</v>
      </c>
      <c r="AG51" s="1624"/>
      <c r="AH51" s="1624"/>
      <c r="AI51" s="1624"/>
      <c r="AJ51" s="1624"/>
      <c r="AK51" s="1624"/>
      <c r="AL51" s="1624"/>
      <c r="AM51" s="1624"/>
      <c r="AN51" s="1624"/>
      <c r="AO51" s="1624"/>
      <c r="AP51" s="213"/>
    </row>
    <row r="52" spans="1:42">
      <c r="A52" s="19" t="s">
        <v>1498</v>
      </c>
      <c r="B52" s="309"/>
      <c r="C52" s="309"/>
      <c r="D52" s="309"/>
      <c r="E52" s="309"/>
      <c r="F52" s="309"/>
      <c r="G52" s="309"/>
      <c r="H52" s="309"/>
      <c r="I52" s="309"/>
      <c r="J52" s="309"/>
      <c r="K52" s="309"/>
      <c r="L52" s="309"/>
      <c r="M52" s="309"/>
      <c r="N52" s="200"/>
      <c r="O52" s="200"/>
      <c r="P52" s="200"/>
      <c r="Q52" s="200"/>
      <c r="R52" s="200"/>
      <c r="S52" s="200"/>
      <c r="T52" s="388">
        <f>'Income Statement'!T$155</f>
        <v>1.18028</v>
      </c>
      <c r="U52" s="388">
        <v>1.159077672574627</v>
      </c>
      <c r="V52" s="388">
        <f>'Income Statement'!V$155</f>
        <v>1.1490638246268656</v>
      </c>
      <c r="W52" s="1423">
        <f>'Income Statement'!W$155</f>
        <v>1.1713242788461544</v>
      </c>
      <c r="X52" s="1423">
        <f>'Income Statement'!X$155</f>
        <v>1.1065795550914248</v>
      </c>
      <c r="Y52" s="1423">
        <f>'Income Statement'!Y$155</f>
        <v>1.1105369302909465</v>
      </c>
      <c r="Z52" s="1423">
        <f>'Income Statement'!Z$155</f>
        <v>1.1083231112074399</v>
      </c>
      <c r="AA52" s="388">
        <f>'Income Statement'!AA$155</f>
        <v>1.1207295968584789</v>
      </c>
      <c r="AB52" s="388">
        <f>'Income Statement'!AB$155</f>
        <v>1.1426415000000001</v>
      </c>
      <c r="AC52" s="388">
        <f>'Income Statement'!AC$155</f>
        <v>1.1426415000000001</v>
      </c>
      <c r="AD52" s="388">
        <f>'Income Statement'!AD$155</f>
        <v>1.1426415000000001</v>
      </c>
      <c r="AE52" s="388">
        <f>'Income Statement'!AE$155</f>
        <v>1.1426415000000001</v>
      </c>
      <c r="AF52" s="388">
        <f>'Income Statement'!AF$155</f>
        <v>1.1426415000000001</v>
      </c>
      <c r="AG52" s="1624"/>
      <c r="AH52" s="1624"/>
      <c r="AI52" s="1624"/>
      <c r="AJ52" s="1624"/>
      <c r="AK52" s="1624"/>
      <c r="AL52" s="1624"/>
      <c r="AM52" s="1624"/>
      <c r="AN52" s="1624"/>
      <c r="AO52" s="1624"/>
      <c r="AP52" s="213"/>
    </row>
    <row r="53" spans="1:42">
      <c r="A53" s="214" t="s">
        <v>1021</v>
      </c>
      <c r="B53" s="389"/>
      <c r="C53" s="389"/>
      <c r="D53" s="389"/>
      <c r="E53" s="389"/>
      <c r="F53" s="389"/>
      <c r="G53" s="389"/>
      <c r="H53" s="389"/>
      <c r="I53" s="389"/>
      <c r="J53" s="389"/>
      <c r="K53" s="389"/>
      <c r="L53" s="389"/>
      <c r="M53" s="389"/>
      <c r="N53" s="200"/>
      <c r="O53" s="200"/>
      <c r="P53" s="200"/>
      <c r="Q53" s="200"/>
      <c r="R53" s="200"/>
      <c r="S53" s="200"/>
      <c r="T53" s="190">
        <f>SUM(T46:T50)/T52+T51</f>
        <v>16161.545510787744</v>
      </c>
      <c r="U53" s="190">
        <f t="shared" ref="U53:W53" si="27">SUM(U46:U50)/U52+U51</f>
        <v>18035.410537678745</v>
      </c>
      <c r="V53" s="190">
        <f t="shared" si="27"/>
        <v>9828.1274514936176</v>
      </c>
      <c r="W53" s="190">
        <f t="shared" si="27"/>
        <v>6554.4226623253517</v>
      </c>
      <c r="X53" s="1421">
        <f t="shared" ref="X53:AF53" si="28">SUM(X46:X50)/X52+X51</f>
        <v>7712.0392634302452</v>
      </c>
      <c r="Y53" s="1421">
        <f t="shared" si="28"/>
        <v>9979.5687450185924</v>
      </c>
      <c r="Z53" s="1421">
        <f t="shared" si="28"/>
        <v>10672.819025473409</v>
      </c>
      <c r="AA53" s="190">
        <f t="shared" si="28"/>
        <v>12874.380739131928</v>
      </c>
      <c r="AB53" s="190">
        <f t="shared" si="28"/>
        <v>14087.523153657572</v>
      </c>
      <c r="AC53" s="190">
        <f t="shared" si="28"/>
        <v>15574.935081199555</v>
      </c>
      <c r="AD53" s="190">
        <f t="shared" si="28"/>
        <v>16499.071216545941</v>
      </c>
      <c r="AE53" s="190">
        <f t="shared" si="28"/>
        <v>17485.299928455628</v>
      </c>
      <c r="AF53" s="190">
        <f t="shared" si="28"/>
        <v>18537.961620004939</v>
      </c>
      <c r="AG53" s="1628"/>
      <c r="AH53" s="1628"/>
      <c r="AI53" s="1628"/>
      <c r="AJ53" s="1628"/>
      <c r="AK53" s="1628"/>
      <c r="AL53" s="1628"/>
      <c r="AM53" s="1628"/>
      <c r="AN53" s="1628"/>
      <c r="AO53" s="1628"/>
      <c r="AP53" s="57"/>
    </row>
    <row r="54" spans="1:42">
      <c r="A54" s="19"/>
      <c r="B54" s="213"/>
      <c r="C54" s="213"/>
      <c r="D54" s="213"/>
      <c r="E54" s="213"/>
      <c r="F54" s="213"/>
      <c r="G54" s="213"/>
      <c r="H54" s="213"/>
      <c r="I54" s="213"/>
      <c r="J54" s="213"/>
      <c r="K54" s="213"/>
      <c r="L54" s="213"/>
      <c r="M54" s="213"/>
      <c r="N54" s="200"/>
      <c r="O54" s="200"/>
      <c r="P54" s="200"/>
      <c r="Q54" s="200"/>
      <c r="R54" s="200"/>
      <c r="S54" s="200"/>
      <c r="T54" s="213"/>
      <c r="U54" s="213"/>
      <c r="V54" s="213"/>
      <c r="W54" s="263"/>
      <c r="X54" s="263"/>
      <c r="Y54" s="263"/>
      <c r="Z54" s="263"/>
      <c r="AA54" s="213"/>
      <c r="AB54" s="213"/>
      <c r="AC54" s="213"/>
      <c r="AD54" s="213"/>
      <c r="AE54" s="213"/>
      <c r="AF54" s="213"/>
      <c r="AG54" s="1624"/>
      <c r="AH54" s="1624"/>
      <c r="AI54" s="1624"/>
      <c r="AJ54" s="1624"/>
      <c r="AK54" s="1624"/>
      <c r="AL54" s="1624"/>
      <c r="AM54" s="1624"/>
      <c r="AN54" s="1624"/>
      <c r="AO54" s="1624"/>
      <c r="AP54" s="213"/>
    </row>
    <row r="55" spans="1:42">
      <c r="A55" s="306" t="s">
        <v>1024</v>
      </c>
      <c r="B55" s="307"/>
      <c r="C55" s="307"/>
      <c r="D55" s="307"/>
      <c r="E55" s="307"/>
      <c r="F55" s="307"/>
      <c r="G55" s="307"/>
      <c r="H55" s="307"/>
      <c r="I55" s="307"/>
      <c r="J55" s="307"/>
      <c r="K55" s="307"/>
      <c r="L55" s="307"/>
      <c r="M55" s="308"/>
      <c r="N55" s="308"/>
      <c r="O55" s="308"/>
      <c r="P55" s="308"/>
      <c r="Q55" s="308"/>
      <c r="R55" s="308"/>
      <c r="S55" s="308"/>
      <c r="T55" s="308"/>
      <c r="U55" s="308"/>
      <c r="V55" s="308"/>
      <c r="W55" s="308"/>
      <c r="X55" s="308"/>
      <c r="Y55" s="308"/>
      <c r="Z55" s="308"/>
      <c r="AA55" s="308"/>
      <c r="AB55" s="308"/>
      <c r="AC55" s="308"/>
      <c r="AD55" s="308"/>
      <c r="AE55" s="308"/>
      <c r="AF55" s="308"/>
      <c r="AG55" s="1624"/>
      <c r="AH55" s="1624"/>
      <c r="AI55" s="1624"/>
      <c r="AJ55" s="1624"/>
      <c r="AK55" s="1624"/>
      <c r="AL55" s="1624"/>
      <c r="AM55" s="1624"/>
      <c r="AN55" s="1624"/>
      <c r="AO55" s="1624"/>
      <c r="AP55" s="213"/>
    </row>
    <row r="56" spans="1:42">
      <c r="A56" s="213" t="s">
        <v>1015</v>
      </c>
      <c r="B56" s="200"/>
      <c r="C56" s="200"/>
      <c r="D56" s="200"/>
      <c r="E56" s="200"/>
      <c r="F56" s="200"/>
      <c r="G56" s="200"/>
      <c r="H56" s="200"/>
      <c r="I56" s="200"/>
      <c r="J56" s="200"/>
      <c r="K56" s="200"/>
      <c r="L56" s="200"/>
      <c r="M56" s="200"/>
      <c r="N56" s="312"/>
      <c r="O56" s="311"/>
      <c r="P56" s="311"/>
      <c r="Q56" s="311"/>
      <c r="R56" s="311"/>
      <c r="S56" s="311"/>
      <c r="T56" s="311">
        <f t="shared" ref="T56:V59" si="29">$N56</f>
        <v>0</v>
      </c>
      <c r="U56" s="311">
        <v>0.5</v>
      </c>
      <c r="V56" s="311">
        <f t="shared" si="29"/>
        <v>0</v>
      </c>
      <c r="W56" s="311">
        <v>0.5</v>
      </c>
      <c r="X56" s="311">
        <v>0.5</v>
      </c>
      <c r="Y56" s="311">
        <v>0.5</v>
      </c>
      <c r="Z56" s="311">
        <v>0.5</v>
      </c>
      <c r="AA56" s="1297">
        <v>0.5</v>
      </c>
      <c r="AB56" s="1297">
        <v>0.5</v>
      </c>
      <c r="AC56" s="1297">
        <v>0.5</v>
      </c>
      <c r="AD56" s="1297">
        <v>0.5</v>
      </c>
      <c r="AE56" s="1297">
        <v>0.5</v>
      </c>
      <c r="AF56" s="1297">
        <v>0.5</v>
      </c>
      <c r="AG56" s="1624"/>
      <c r="AH56" s="1624"/>
      <c r="AI56" s="1624"/>
      <c r="AJ56" s="1624"/>
      <c r="AK56" s="1624"/>
      <c r="AL56" s="1624"/>
      <c r="AM56" s="1624"/>
      <c r="AN56" s="1624"/>
      <c r="AO56" s="1624"/>
      <c r="AP56" s="213"/>
    </row>
    <row r="57" spans="1:42">
      <c r="A57" s="213" t="s">
        <v>1016</v>
      </c>
      <c r="B57" s="200"/>
      <c r="C57" s="200"/>
      <c r="D57" s="200"/>
      <c r="E57" s="200"/>
      <c r="F57" s="200"/>
      <c r="G57" s="200"/>
      <c r="H57" s="200"/>
      <c r="I57" s="200"/>
      <c r="J57" s="200"/>
      <c r="K57" s="200"/>
      <c r="L57" s="200"/>
      <c r="M57" s="200"/>
      <c r="N57" s="312"/>
      <c r="O57" s="311"/>
      <c r="P57" s="311"/>
      <c r="Q57" s="311"/>
      <c r="R57" s="311"/>
      <c r="S57" s="311"/>
      <c r="T57" s="311">
        <f t="shared" si="29"/>
        <v>0</v>
      </c>
      <c r="U57" s="311">
        <v>0.5</v>
      </c>
      <c r="V57" s="311">
        <f t="shared" si="29"/>
        <v>0</v>
      </c>
      <c r="W57" s="311">
        <v>0.5</v>
      </c>
      <c r="X57" s="311">
        <v>0.5</v>
      </c>
      <c r="Y57" s="311">
        <v>0.5</v>
      </c>
      <c r="Z57" s="311">
        <v>0.5</v>
      </c>
      <c r="AA57" s="1297">
        <v>0.5</v>
      </c>
      <c r="AB57" s="1297">
        <v>0.5</v>
      </c>
      <c r="AC57" s="1297">
        <v>0.5</v>
      </c>
      <c r="AD57" s="1297">
        <v>0.5</v>
      </c>
      <c r="AE57" s="1297">
        <v>0.5</v>
      </c>
      <c r="AF57" s="1297">
        <v>0.5</v>
      </c>
      <c r="AG57" s="1624"/>
      <c r="AH57" s="1624"/>
      <c r="AI57" s="1624"/>
      <c r="AJ57" s="1624"/>
      <c r="AK57" s="1624"/>
      <c r="AL57" s="1624"/>
      <c r="AM57" s="1624"/>
      <c r="AN57" s="1624"/>
      <c r="AO57" s="1624"/>
      <c r="AP57" s="213"/>
    </row>
    <row r="58" spans="1:42">
      <c r="A58" s="213" t="s">
        <v>1017</v>
      </c>
      <c r="B58" s="200"/>
      <c r="C58" s="200"/>
      <c r="D58" s="200"/>
      <c r="E58" s="200"/>
      <c r="F58" s="200"/>
      <c r="G58" s="200"/>
      <c r="H58" s="200"/>
      <c r="I58" s="200"/>
      <c r="J58" s="200"/>
      <c r="K58" s="200"/>
      <c r="L58" s="200"/>
      <c r="M58" s="200"/>
      <c r="N58" s="312"/>
      <c r="O58" s="311"/>
      <c r="P58" s="311"/>
      <c r="Q58" s="311"/>
      <c r="R58" s="311"/>
      <c r="S58" s="311"/>
      <c r="T58" s="311">
        <f t="shared" si="29"/>
        <v>0</v>
      </c>
      <c r="U58" s="311">
        <v>0.23499999999999999</v>
      </c>
      <c r="V58" s="311">
        <f t="shared" si="29"/>
        <v>0</v>
      </c>
      <c r="W58" s="311">
        <v>0.23499999999999999</v>
      </c>
      <c r="X58" s="311">
        <v>0.23499999999999999</v>
      </c>
      <c r="Y58" s="311">
        <v>0.23499999999999999</v>
      </c>
      <c r="Z58" s="311">
        <v>0.23499999999999999</v>
      </c>
      <c r="AA58" s="1297">
        <v>0.23499999999999999</v>
      </c>
      <c r="AB58" s="1297">
        <v>0.23499999999999999</v>
      </c>
      <c r="AC58" s="1297">
        <v>0.23499999999999999</v>
      </c>
      <c r="AD58" s="1297">
        <v>0.23499999999999999</v>
      </c>
      <c r="AE58" s="1297">
        <v>0.23499999999999999</v>
      </c>
      <c r="AF58" s="1297">
        <v>0.23499999999999999</v>
      </c>
      <c r="AG58" s="1624"/>
      <c r="AH58" s="1624"/>
      <c r="AI58" s="1624"/>
      <c r="AJ58" s="1624"/>
      <c r="AK58" s="1624"/>
      <c r="AL58" s="1624"/>
      <c r="AM58" s="1624"/>
      <c r="AN58" s="1624"/>
      <c r="AO58" s="1624"/>
      <c r="AP58" s="213"/>
    </row>
    <row r="59" spans="1:42">
      <c r="A59" s="213" t="s">
        <v>1151</v>
      </c>
      <c r="B59" s="200"/>
      <c r="C59" s="200"/>
      <c r="D59" s="200"/>
      <c r="E59" s="200"/>
      <c r="F59" s="200"/>
      <c r="G59" s="200"/>
      <c r="H59" s="200"/>
      <c r="I59" s="200"/>
      <c r="J59" s="200"/>
      <c r="K59" s="200"/>
      <c r="L59" s="200"/>
      <c r="M59" s="200"/>
      <c r="N59" s="312"/>
      <c r="O59" s="311"/>
      <c r="P59" s="311"/>
      <c r="Q59" s="311"/>
      <c r="R59" s="311"/>
      <c r="S59" s="311"/>
      <c r="T59" s="311">
        <f t="shared" si="29"/>
        <v>0</v>
      </c>
      <c r="U59" s="311">
        <v>7.4999999999999997E-2</v>
      </c>
      <c r="V59" s="311">
        <f t="shared" si="29"/>
        <v>0</v>
      </c>
      <c r="W59" s="311">
        <v>7.4999999999999997E-2</v>
      </c>
      <c r="X59" s="311">
        <v>7.4999999999999997E-2</v>
      </c>
      <c r="Y59" s="311">
        <v>7.4999999999999997E-2</v>
      </c>
      <c r="Z59" s="311">
        <v>7.4999999999999997E-2</v>
      </c>
      <c r="AA59" s="1297">
        <v>7.4999999999999997E-2</v>
      </c>
      <c r="AB59" s="1297">
        <v>7.4999999999999997E-2</v>
      </c>
      <c r="AC59" s="1297">
        <v>7.4999999999999997E-2</v>
      </c>
      <c r="AD59" s="1297">
        <v>7.4999999999999997E-2</v>
      </c>
      <c r="AE59" s="1297">
        <v>7.4999999999999997E-2</v>
      </c>
      <c r="AF59" s="1297">
        <v>7.4999999999999997E-2</v>
      </c>
      <c r="AG59" s="1624"/>
      <c r="AH59" s="1624"/>
      <c r="AI59" s="1624"/>
      <c r="AJ59" s="1624"/>
      <c r="AK59" s="1624"/>
      <c r="AL59" s="1624"/>
      <c r="AM59" s="1624"/>
      <c r="AN59" s="1624"/>
      <c r="AO59" s="1624"/>
      <c r="AP59" s="213"/>
    </row>
    <row r="60" spans="1:42">
      <c r="A60" s="213" t="s">
        <v>1282</v>
      </c>
      <c r="B60" s="200"/>
      <c r="C60" s="200"/>
      <c r="D60" s="200"/>
      <c r="E60" s="200"/>
      <c r="F60" s="200"/>
      <c r="G60" s="200"/>
      <c r="H60" s="200"/>
      <c r="I60" s="200"/>
      <c r="J60" s="200"/>
      <c r="K60" s="200"/>
      <c r="L60" s="200"/>
      <c r="M60" s="200"/>
      <c r="N60" s="311"/>
      <c r="O60" s="311"/>
      <c r="P60" s="311"/>
      <c r="Q60" s="311"/>
      <c r="R60" s="312"/>
      <c r="S60" s="311"/>
      <c r="T60" s="311">
        <f t="shared" ref="T60:V60" si="30">$R$60</f>
        <v>0</v>
      </c>
      <c r="U60" s="311">
        <v>0.112</v>
      </c>
      <c r="V60" s="311">
        <f t="shared" si="30"/>
        <v>0</v>
      </c>
      <c r="W60" s="311">
        <v>0.112</v>
      </c>
      <c r="X60" s="311">
        <v>0.112</v>
      </c>
      <c r="Y60" s="311">
        <v>0.112</v>
      </c>
      <c r="Z60" s="311">
        <v>0.112</v>
      </c>
      <c r="AA60" s="1297">
        <v>0.112</v>
      </c>
      <c r="AB60" s="1297">
        <v>0.112</v>
      </c>
      <c r="AC60" s="1297">
        <v>0.112</v>
      </c>
      <c r="AD60" s="1297">
        <v>0.112</v>
      </c>
      <c r="AE60" s="1297">
        <v>0.112</v>
      </c>
      <c r="AF60" s="1297">
        <v>0.112</v>
      </c>
      <c r="AG60" s="1624"/>
      <c r="AH60" s="1624"/>
      <c r="AI60" s="1624"/>
      <c r="AJ60" s="1624"/>
      <c r="AK60" s="1624"/>
      <c r="AL60" s="1624"/>
      <c r="AM60" s="1624"/>
      <c r="AN60" s="1624"/>
      <c r="AO60" s="1624"/>
      <c r="AP60" s="213"/>
    </row>
    <row r="61" spans="1:42">
      <c r="A61" s="213" t="s">
        <v>1018</v>
      </c>
      <c r="B61" s="200"/>
      <c r="C61" s="200"/>
      <c r="D61" s="200"/>
      <c r="E61" s="200"/>
      <c r="F61" s="200"/>
      <c r="G61" s="200"/>
      <c r="H61" s="200"/>
      <c r="I61" s="200"/>
      <c r="J61" s="200"/>
      <c r="K61" s="200"/>
      <c r="L61" s="200"/>
      <c r="M61" s="200"/>
      <c r="N61" s="312"/>
      <c r="O61" s="311"/>
      <c r="P61" s="311"/>
      <c r="Q61" s="311"/>
      <c r="R61" s="311"/>
      <c r="S61" s="311"/>
      <c r="T61" s="311">
        <f t="shared" ref="T61:V61" si="31">$N61</f>
        <v>0</v>
      </c>
      <c r="U61" s="311">
        <v>1</v>
      </c>
      <c r="V61" s="311">
        <f t="shared" si="31"/>
        <v>0</v>
      </c>
      <c r="W61" s="311">
        <v>1</v>
      </c>
      <c r="X61" s="311">
        <v>1</v>
      </c>
      <c r="Y61" s="311">
        <v>1</v>
      </c>
      <c r="Z61" s="311">
        <v>1</v>
      </c>
      <c r="AA61" s="1297">
        <v>1</v>
      </c>
      <c r="AB61" s="1297">
        <v>1</v>
      </c>
      <c r="AC61" s="1297">
        <v>1</v>
      </c>
      <c r="AD61" s="1297">
        <v>1</v>
      </c>
      <c r="AE61" s="1297">
        <v>1</v>
      </c>
      <c r="AF61" s="1297">
        <v>1</v>
      </c>
      <c r="AG61" s="1624"/>
      <c r="AH61" s="1624"/>
      <c r="AI61" s="1624"/>
      <c r="AJ61" s="1624"/>
      <c r="AK61" s="1624"/>
      <c r="AL61" s="1624"/>
      <c r="AM61" s="1624"/>
      <c r="AN61" s="1624"/>
      <c r="AO61" s="1624"/>
      <c r="AP61" s="213"/>
    </row>
    <row r="62" spans="1:42" s="37" customFormat="1">
      <c r="A62" s="263"/>
      <c r="B62" s="1413"/>
      <c r="C62" s="1413"/>
      <c r="D62" s="1413"/>
      <c r="E62" s="1413"/>
      <c r="F62" s="1413"/>
      <c r="G62" s="1413"/>
      <c r="H62" s="1413"/>
      <c r="I62" s="1413"/>
      <c r="J62" s="1413"/>
      <c r="K62" s="1413"/>
      <c r="L62" s="1413"/>
      <c r="M62" s="1413"/>
      <c r="N62" s="1414"/>
      <c r="O62" s="1397"/>
      <c r="P62" s="1397"/>
      <c r="Q62" s="1397"/>
      <c r="R62" s="1397"/>
      <c r="S62" s="1397"/>
      <c r="T62" s="1397"/>
      <c r="U62" s="1397"/>
      <c r="V62" s="1397"/>
      <c r="W62" s="1397"/>
      <c r="X62" s="1397"/>
      <c r="Y62" s="1397"/>
      <c r="Z62" s="1397"/>
      <c r="AA62" s="1397"/>
      <c r="AB62" s="1397"/>
      <c r="AC62" s="1397"/>
      <c r="AD62" s="1397"/>
      <c r="AE62" s="1397"/>
      <c r="AF62" s="1397"/>
      <c r="AG62" s="1624"/>
      <c r="AH62" s="1624"/>
      <c r="AI62" s="1624"/>
      <c r="AJ62" s="1624"/>
      <c r="AK62" s="1624"/>
      <c r="AL62" s="1624"/>
      <c r="AM62" s="1624"/>
      <c r="AN62" s="1624"/>
      <c r="AO62" s="1624"/>
      <c r="AP62" s="263"/>
    </row>
    <row r="63" spans="1:42">
      <c r="A63" s="306" t="s">
        <v>1526</v>
      </c>
      <c r="B63" s="307"/>
      <c r="C63" s="307"/>
      <c r="D63" s="307"/>
      <c r="E63" s="307"/>
      <c r="F63" s="307"/>
      <c r="G63" s="307"/>
      <c r="H63" s="307"/>
      <c r="I63" s="307"/>
      <c r="J63" s="307"/>
      <c r="K63" s="307"/>
      <c r="L63" s="307"/>
      <c r="M63" s="308"/>
      <c r="N63" s="308"/>
      <c r="O63" s="308"/>
      <c r="P63" s="308"/>
      <c r="Q63" s="308"/>
      <c r="R63" s="308"/>
      <c r="S63" s="308"/>
      <c r="T63" s="308"/>
      <c r="U63" s="308"/>
      <c r="V63" s="308"/>
      <c r="W63" s="308"/>
      <c r="X63" s="308"/>
      <c r="Y63" s="308"/>
      <c r="Z63" s="308"/>
      <c r="AA63" s="308"/>
      <c r="AB63" s="308"/>
      <c r="AC63" s="308"/>
      <c r="AD63" s="308"/>
      <c r="AE63" s="308"/>
      <c r="AF63" s="308"/>
      <c r="AG63" s="1624"/>
      <c r="AH63" s="1624"/>
      <c r="AI63" s="1624"/>
      <c r="AJ63" s="1624"/>
      <c r="AK63" s="1624"/>
      <c r="AL63" s="1624"/>
      <c r="AM63" s="1624"/>
      <c r="AN63" s="1624"/>
      <c r="AO63" s="1624"/>
      <c r="AP63" s="213"/>
    </row>
    <row r="64" spans="1:42">
      <c r="A64" s="213" t="s">
        <v>1015</v>
      </c>
      <c r="B64" s="200"/>
      <c r="C64" s="200"/>
      <c r="D64" s="200"/>
      <c r="E64" s="200"/>
      <c r="F64" s="200"/>
      <c r="G64" s="200"/>
      <c r="H64" s="200"/>
      <c r="I64" s="200"/>
      <c r="J64" s="200"/>
      <c r="K64" s="200"/>
      <c r="L64" s="200"/>
      <c r="M64" s="390"/>
      <c r="N64" s="208"/>
      <c r="O64" s="208"/>
      <c r="P64" s="208"/>
      <c r="Q64" s="208"/>
      <c r="R64" s="208"/>
      <c r="S64" s="208"/>
      <c r="T64" s="208">
        <v>1686.0106484266446</v>
      </c>
      <c r="U64" s="208">
        <v>642.99719723551573</v>
      </c>
      <c r="V64" s="208">
        <v>-0.61862803308179015</v>
      </c>
      <c r="W64" s="208">
        <f t="shared" ref="W64:AF64" si="32">W56*W46</f>
        <v>187.25</v>
      </c>
      <c r="X64" s="208">
        <f t="shared" si="32"/>
        <v>107.1</v>
      </c>
      <c r="Y64" s="208">
        <f t="shared" si="32"/>
        <v>94.676400000000001</v>
      </c>
      <c r="Z64" s="208">
        <f t="shared" si="32"/>
        <v>117.79408800000002</v>
      </c>
      <c r="AA64" s="208">
        <f t="shared" si="32"/>
        <v>100.1249748</v>
      </c>
      <c r="AB64" s="208">
        <f t="shared" si="32"/>
        <v>83.910141043200014</v>
      </c>
      <c r="AC64" s="208">
        <f t="shared" si="32"/>
        <v>64.191257898048008</v>
      </c>
      <c r="AD64" s="208">
        <f t="shared" si="32"/>
        <v>43.650055370672639</v>
      </c>
      <c r="AE64" s="208">
        <f t="shared" si="32"/>
        <v>22.261528239043049</v>
      </c>
      <c r="AF64" s="208">
        <f t="shared" si="32"/>
        <v>0</v>
      </c>
      <c r="AG64" s="1624"/>
      <c r="AH64" s="1624"/>
      <c r="AI64" s="1624"/>
      <c r="AJ64" s="1624"/>
      <c r="AK64" s="1624"/>
      <c r="AL64" s="1624"/>
      <c r="AM64" s="1624"/>
      <c r="AN64" s="1624"/>
      <c r="AO64" s="1624"/>
      <c r="AP64" s="213"/>
    </row>
    <row r="65" spans="1:42">
      <c r="A65" s="213" t="s">
        <v>1016</v>
      </c>
      <c r="B65" s="200"/>
      <c r="C65" s="200"/>
      <c r="D65" s="200"/>
      <c r="E65" s="200"/>
      <c r="F65" s="200"/>
      <c r="G65" s="200"/>
      <c r="H65" s="200"/>
      <c r="I65" s="200"/>
      <c r="J65" s="200"/>
      <c r="K65" s="200"/>
      <c r="L65" s="200"/>
      <c r="M65" s="390"/>
      <c r="N65" s="208"/>
      <c r="O65" s="208"/>
      <c r="P65" s="208"/>
      <c r="Q65" s="208"/>
      <c r="R65" s="208"/>
      <c r="S65" s="208"/>
      <c r="T65" s="208">
        <v>6.7844315612004875</v>
      </c>
      <c r="U65" s="208">
        <v>1.6198992269686681</v>
      </c>
      <c r="V65" s="208">
        <v>0.72278395653280514</v>
      </c>
      <c r="W65" s="208">
        <f t="shared" ref="W65:AF65" si="33">W57*W47</f>
        <v>2218.125</v>
      </c>
      <c r="X65" s="208">
        <f t="shared" si="33"/>
        <v>3041.64</v>
      </c>
      <c r="Y65" s="208">
        <f t="shared" si="33"/>
        <v>4287.7484999999997</v>
      </c>
      <c r="Z65" s="208">
        <f t="shared" si="33"/>
        <v>4143.4070454000002</v>
      </c>
      <c r="AA65" s="208">
        <f>AA57*AA47</f>
        <v>5457.8123763480007</v>
      </c>
      <c r="AB65" s="208">
        <f t="shared" si="33"/>
        <v>6157.955475807842</v>
      </c>
      <c r="AC65" s="208">
        <f t="shared" si="33"/>
        <v>6887.7219724605538</v>
      </c>
      <c r="AD65" s="208">
        <f t="shared" si="33"/>
        <v>7376.7502325052528</v>
      </c>
      <c r="AE65" s="208">
        <f t="shared" si="33"/>
        <v>7900.4994990131254</v>
      </c>
      <c r="AF65" s="208">
        <f t="shared" si="33"/>
        <v>8461.4349634430582</v>
      </c>
      <c r="AG65" s="1624"/>
      <c r="AH65" s="1624"/>
      <c r="AI65" s="1624"/>
      <c r="AJ65" s="1624"/>
      <c r="AK65" s="1624"/>
      <c r="AL65" s="1624"/>
      <c r="AM65" s="1624"/>
      <c r="AN65" s="1624"/>
      <c r="AO65" s="1624"/>
      <c r="AP65" s="213"/>
    </row>
    <row r="66" spans="1:42">
      <c r="A66" s="213" t="s">
        <v>1017</v>
      </c>
      <c r="B66" s="200"/>
      <c r="C66" s="200"/>
      <c r="D66" s="200"/>
      <c r="E66" s="200"/>
      <c r="F66" s="200"/>
      <c r="G66" s="200"/>
      <c r="H66" s="200"/>
      <c r="I66" s="200"/>
      <c r="J66" s="200"/>
      <c r="K66" s="200"/>
      <c r="L66" s="200"/>
      <c r="M66" s="390"/>
      <c r="N66" s="208"/>
      <c r="O66" s="208"/>
      <c r="P66" s="208"/>
      <c r="Q66" s="208"/>
      <c r="R66" s="208"/>
      <c r="S66" s="208"/>
      <c r="T66" s="208">
        <v>-0.20890486559423238</v>
      </c>
      <c r="U66" s="208">
        <v>-0.44980374007297708</v>
      </c>
      <c r="V66" s="208">
        <v>0.10295277053596075</v>
      </c>
      <c r="W66" s="208">
        <f t="shared" ref="W66:AF66" si="34">W58*W48</f>
        <v>228.98399999999998</v>
      </c>
      <c r="X66" s="208">
        <f t="shared" si="34"/>
        <v>233.56368000000001</v>
      </c>
      <c r="Y66" s="208">
        <f t="shared" si="34"/>
        <v>258.0878664</v>
      </c>
      <c r="Z66" s="208">
        <f t="shared" si="34"/>
        <v>214.07112259200002</v>
      </c>
      <c r="AA66" s="208">
        <f t="shared" si="34"/>
        <v>163.76440878288</v>
      </c>
      <c r="AB66" s="208">
        <f t="shared" si="34"/>
        <v>114.36952224188161</v>
      </c>
      <c r="AC66" s="208">
        <f t="shared" si="34"/>
        <v>116.65691268671924</v>
      </c>
      <c r="AD66" s="208">
        <f t="shared" si="34"/>
        <v>118.99005094045364</v>
      </c>
      <c r="AE66" s="208">
        <f t="shared" si="34"/>
        <v>121.3698519592627</v>
      </c>
      <c r="AF66" s="208">
        <f t="shared" si="34"/>
        <v>123.79724899844797</v>
      </c>
      <c r="AG66" s="1624"/>
      <c r="AH66" s="1624"/>
      <c r="AI66" s="1624"/>
      <c r="AJ66" s="1624"/>
      <c r="AK66" s="1624"/>
      <c r="AL66" s="1624"/>
      <c r="AM66" s="1624"/>
      <c r="AN66" s="1624"/>
      <c r="AO66" s="1624"/>
      <c r="AP66" s="213"/>
    </row>
    <row r="67" spans="1:42">
      <c r="A67" s="213" t="s">
        <v>1151</v>
      </c>
      <c r="B67" s="200"/>
      <c r="C67" s="200"/>
      <c r="D67" s="200"/>
      <c r="E67" s="200"/>
      <c r="F67" s="200"/>
      <c r="G67" s="200"/>
      <c r="H67" s="200"/>
      <c r="I67" s="200"/>
      <c r="J67" s="200"/>
      <c r="K67" s="200"/>
      <c r="L67" s="200"/>
      <c r="M67" s="390"/>
      <c r="N67" s="208"/>
      <c r="O67" s="208"/>
      <c r="P67" s="208"/>
      <c r="Q67" s="208"/>
      <c r="R67" s="208"/>
      <c r="S67" s="208"/>
      <c r="T67" s="208">
        <v>-0.24972427265600505</v>
      </c>
      <c r="U67" s="208">
        <v>-0.12398153631220699</v>
      </c>
      <c r="V67" s="208">
        <v>-0.73280580770114745</v>
      </c>
      <c r="W67" s="208">
        <f t="shared" ref="W67:AF67" si="35">W59*W49</f>
        <v>109.46249999999999</v>
      </c>
      <c r="X67" s="208">
        <f t="shared" si="35"/>
        <v>68.27624999999999</v>
      </c>
      <c r="Y67" s="208">
        <f t="shared" si="35"/>
        <v>70.461089999999999</v>
      </c>
      <c r="Z67" s="208">
        <f t="shared" si="35"/>
        <v>101.5974009</v>
      </c>
      <c r="AA67" s="208">
        <f t="shared" si="35"/>
        <v>88.310227773600033</v>
      </c>
      <c r="AB67" s="208">
        <f t="shared" si="35"/>
        <v>117.99863584200004</v>
      </c>
      <c r="AC67" s="208">
        <f t="shared" si="35"/>
        <v>132.87590384895941</v>
      </c>
      <c r="AD67" s="208">
        <f t="shared" si="35"/>
        <v>135.53342192593857</v>
      </c>
      <c r="AE67" s="208">
        <f t="shared" si="35"/>
        <v>138.24409036445738</v>
      </c>
      <c r="AF67" s="208">
        <f t="shared" si="35"/>
        <v>141.00897217174651</v>
      </c>
      <c r="AG67" s="1624"/>
      <c r="AH67" s="1624"/>
      <c r="AI67" s="1624"/>
      <c r="AJ67" s="1624"/>
      <c r="AK67" s="1624"/>
      <c r="AL67" s="1624"/>
      <c r="AM67" s="1624"/>
      <c r="AN67" s="1624"/>
      <c r="AO67" s="1624"/>
      <c r="AP67" s="213"/>
    </row>
    <row r="68" spans="1:42">
      <c r="A68" s="213" t="s">
        <v>1282</v>
      </c>
      <c r="B68" s="200"/>
      <c r="C68" s="200"/>
      <c r="D68" s="200"/>
      <c r="E68" s="200"/>
      <c r="F68" s="200"/>
      <c r="G68" s="200"/>
      <c r="H68" s="200"/>
      <c r="I68" s="200"/>
      <c r="J68" s="200"/>
      <c r="K68" s="200"/>
      <c r="L68" s="200"/>
      <c r="M68" s="390"/>
      <c r="N68" s="208"/>
      <c r="O68" s="208"/>
      <c r="P68" s="208"/>
      <c r="Q68" s="208"/>
      <c r="R68" s="208"/>
      <c r="S68" s="208"/>
      <c r="T68" s="208">
        <v>-0.87290213306093523</v>
      </c>
      <c r="U68" s="208">
        <v>-1</v>
      </c>
      <c r="V68" s="208" t="s">
        <v>1976</v>
      </c>
      <c r="W68" s="208">
        <f t="shared" ref="W68:AF68" si="36">W60*W50</f>
        <v>0</v>
      </c>
      <c r="X68" s="208">
        <f t="shared" si="36"/>
        <v>0</v>
      </c>
      <c r="Y68" s="208">
        <f t="shared" si="36"/>
        <v>0</v>
      </c>
      <c r="Z68" s="208">
        <f t="shared" si="36"/>
        <v>84.434802278399999</v>
      </c>
      <c r="AA68" s="208">
        <f t="shared" si="36"/>
        <v>123.80252884070401</v>
      </c>
      <c r="AB68" s="208">
        <f t="shared" si="36"/>
        <v>129.69151399636996</v>
      </c>
      <c r="AC68" s="208">
        <f t="shared" si="36"/>
        <v>132.28534427629737</v>
      </c>
      <c r="AD68" s="208">
        <f t="shared" si="36"/>
        <v>134.93105116182332</v>
      </c>
      <c r="AE68" s="208">
        <f t="shared" si="36"/>
        <v>137.6296721850598</v>
      </c>
      <c r="AF68" s="208">
        <f t="shared" si="36"/>
        <v>140.38226562876099</v>
      </c>
      <c r="AG68" s="1624"/>
      <c r="AH68" s="1624"/>
      <c r="AI68" s="1624"/>
      <c r="AJ68" s="1624"/>
      <c r="AK68" s="1624"/>
      <c r="AL68" s="1624"/>
      <c r="AM68" s="1624"/>
      <c r="AN68" s="1624"/>
      <c r="AO68" s="1624"/>
      <c r="AP68" s="213"/>
    </row>
    <row r="69" spans="1:42">
      <c r="A69" s="213" t="s">
        <v>1018</v>
      </c>
      <c r="B69" s="200"/>
      <c r="C69" s="200"/>
      <c r="D69" s="200"/>
      <c r="E69" s="200"/>
      <c r="F69" s="200"/>
      <c r="G69" s="200"/>
      <c r="H69" s="200"/>
      <c r="I69" s="200"/>
      <c r="J69" s="200"/>
      <c r="K69" s="200"/>
      <c r="L69" s="200"/>
      <c r="M69" s="390"/>
      <c r="N69" s="208"/>
      <c r="O69" s="208"/>
      <c r="P69" s="208"/>
      <c r="Q69" s="208"/>
      <c r="R69" s="208"/>
      <c r="S69" s="208"/>
      <c r="T69" s="208">
        <v>-0.14922122284197703</v>
      </c>
      <c r="U69" s="208">
        <v>0.23523767362708115</v>
      </c>
      <c r="V69" s="208">
        <v>0.43046275023906722</v>
      </c>
      <c r="W69" s="1419">
        <f t="shared" ref="W69:AF69" si="37">W61*W51</f>
        <v>369.41469242606479</v>
      </c>
      <c r="X69" s="1419">
        <f t="shared" si="37"/>
        <v>300.26487968756078</v>
      </c>
      <c r="Y69" s="1419">
        <f t="shared" si="37"/>
        <v>252.22249893755108</v>
      </c>
      <c r="Z69" s="1419">
        <f t="shared" si="37"/>
        <v>259.01706421505247</v>
      </c>
      <c r="AA69" s="208">
        <f t="shared" si="37"/>
        <v>297.22208118677275</v>
      </c>
      <c r="AB69" s="208">
        <f t="shared" si="37"/>
        <v>345.9557917957751</v>
      </c>
      <c r="AC69" s="208">
        <f t="shared" si="37"/>
        <v>388.16239839485968</v>
      </c>
      <c r="AD69" s="208">
        <f t="shared" si="37"/>
        <v>431.91888694118933</v>
      </c>
      <c r="AE69" s="208">
        <f t="shared" si="37"/>
        <v>477.27037007001428</v>
      </c>
      <c r="AF69" s="208">
        <f t="shared" si="37"/>
        <v>524.26314496921566</v>
      </c>
      <c r="AG69" s="1624"/>
      <c r="AH69" s="1624"/>
      <c r="AI69" s="1624"/>
      <c r="AJ69" s="1624"/>
      <c r="AK69" s="1624"/>
      <c r="AL69" s="1624"/>
      <c r="AM69" s="1624"/>
      <c r="AN69" s="1624"/>
      <c r="AO69" s="1624"/>
      <c r="AP69" s="213"/>
    </row>
    <row r="70" spans="1:42">
      <c r="A70" s="213" t="s">
        <v>1323</v>
      </c>
      <c r="B70" s="200"/>
      <c r="C70" s="200"/>
      <c r="D70" s="200"/>
      <c r="E70" s="200"/>
      <c r="F70" s="200"/>
      <c r="G70" s="200"/>
      <c r="H70" s="200"/>
      <c r="I70" s="200"/>
      <c r="J70" s="200"/>
      <c r="K70" s="200"/>
      <c r="L70" s="200"/>
      <c r="M70" s="390"/>
      <c r="N70" s="208"/>
      <c r="O70" s="208"/>
      <c r="P70" s="208"/>
      <c r="Q70" s="208"/>
      <c r="R70" s="208"/>
      <c r="S70" s="208"/>
      <c r="T70" s="208" t="s">
        <v>1976</v>
      </c>
      <c r="U70" s="208" t="s">
        <v>1976</v>
      </c>
      <c r="V70" s="208" t="s">
        <v>1976</v>
      </c>
      <c r="W70" s="1419" cm="1">
        <f t="array" ref="W70">W75-(SUM((W65:W68)/W72)+W69)</f>
        <v>248.95190180314194</v>
      </c>
      <c r="X70" s="1419" cm="1">
        <f t="array" ref="X70">X75-(SUM((X65:X68)/X72)+X69)</f>
        <v>193.28048145119283</v>
      </c>
      <c r="Y70" s="1419" cm="1">
        <f t="array" ref="Y70">Y75-(SUM((Y65:Y68)/Y72)+Y69)</f>
        <v>155.96170278855607</v>
      </c>
      <c r="Z70" s="1419" cm="1">
        <f t="array" ref="Z70">Z75-(SUM((Z65:Z68)/Z72)+Z69)</f>
        <v>863.53727303000778</v>
      </c>
      <c r="AA70" s="1486">
        <v>90</v>
      </c>
      <c r="AB70" s="1486">
        <v>90</v>
      </c>
      <c r="AC70" s="1486">
        <v>90</v>
      </c>
      <c r="AD70" s="1486">
        <v>90</v>
      </c>
      <c r="AE70" s="1486">
        <v>90</v>
      </c>
      <c r="AF70" s="1486">
        <v>90</v>
      </c>
      <c r="AG70" s="1624"/>
      <c r="AH70" s="1624"/>
      <c r="AI70" s="1624"/>
      <c r="AJ70" s="1624"/>
      <c r="AK70" s="1624"/>
      <c r="AL70" s="1624"/>
      <c r="AM70" s="1624"/>
      <c r="AN70" s="1624"/>
      <c r="AO70" s="1624"/>
      <c r="AP70" s="213"/>
    </row>
    <row r="71" spans="1:42">
      <c r="A71" s="213"/>
      <c r="B71" s="200"/>
      <c r="C71" s="200"/>
      <c r="D71" s="200"/>
      <c r="E71" s="200"/>
      <c r="F71" s="200"/>
      <c r="G71" s="200"/>
      <c r="H71" s="200"/>
      <c r="I71" s="200"/>
      <c r="J71" s="200"/>
      <c r="K71" s="200"/>
      <c r="L71" s="200"/>
      <c r="M71" s="390"/>
      <c r="N71" s="208"/>
      <c r="O71" s="208"/>
      <c r="P71" s="208"/>
      <c r="Q71" s="208"/>
      <c r="R71" s="208"/>
      <c r="S71" s="208"/>
      <c r="T71" s="208"/>
      <c r="U71" s="208"/>
      <c r="V71" s="208"/>
      <c r="W71" s="1419"/>
      <c r="X71" s="1419"/>
      <c r="Y71" s="1419"/>
      <c r="Z71" s="1419"/>
      <c r="AA71" s="1419"/>
      <c r="AB71" s="1419"/>
      <c r="AC71" s="1419"/>
      <c r="AD71" s="1419"/>
      <c r="AE71" s="1419"/>
      <c r="AF71" s="1419"/>
      <c r="AG71" s="1624"/>
      <c r="AH71" s="1624"/>
      <c r="AI71" s="1624"/>
      <c r="AJ71" s="1624"/>
      <c r="AK71" s="1624"/>
      <c r="AL71" s="1624"/>
      <c r="AM71" s="1624"/>
      <c r="AN71" s="1624"/>
      <c r="AO71" s="1624"/>
      <c r="AP71" s="213"/>
    </row>
    <row r="72" spans="1:42">
      <c r="A72" s="19" t="s">
        <v>1498</v>
      </c>
      <c r="B72" s="309"/>
      <c r="C72" s="309"/>
      <c r="D72" s="309"/>
      <c r="E72" s="309"/>
      <c r="F72" s="309"/>
      <c r="G72" s="309"/>
      <c r="H72" s="309"/>
      <c r="I72" s="309"/>
      <c r="J72" s="309"/>
      <c r="K72" s="309"/>
      <c r="L72" s="309"/>
      <c r="M72" s="309"/>
      <c r="N72" s="208"/>
      <c r="O72" s="208"/>
      <c r="P72" s="208"/>
      <c r="Q72" s="208"/>
      <c r="R72" s="208"/>
      <c r="S72" s="208"/>
      <c r="T72" s="390">
        <v>0.40676698876999029</v>
      </c>
      <c r="U72" s="390">
        <v>-0.4077621653941681</v>
      </c>
      <c r="V72" s="390">
        <v>-0.47303367629948523</v>
      </c>
      <c r="W72" s="1423">
        <f>'Income Statement'!W$155</f>
        <v>1.1713242788461544</v>
      </c>
      <c r="X72" s="1423">
        <f>'Income Statement'!X$155</f>
        <v>1.1065795550914248</v>
      </c>
      <c r="Y72" s="1423">
        <f>'Income Statement'!Y$155</f>
        <v>1.1105369302909465</v>
      </c>
      <c r="Z72" s="1423">
        <f>'Income Statement'!Z$155</f>
        <v>1.1083231112074399</v>
      </c>
      <c r="AA72" s="388">
        <f>'Income Statement'!AA$155</f>
        <v>1.1207295968584789</v>
      </c>
      <c r="AB72" s="388">
        <f>'Income Statement'!AB$155</f>
        <v>1.1426415000000001</v>
      </c>
      <c r="AC72" s="388">
        <f>'Income Statement'!AC$155</f>
        <v>1.1426415000000001</v>
      </c>
      <c r="AD72" s="388">
        <f>'Income Statement'!AD$155</f>
        <v>1.1426415000000001</v>
      </c>
      <c r="AE72" s="388">
        <f>'Income Statement'!AE$155</f>
        <v>1.1426415000000001</v>
      </c>
      <c r="AF72" s="388">
        <f>'Income Statement'!AF$155</f>
        <v>1.1426415000000001</v>
      </c>
      <c r="AG72" s="1624"/>
      <c r="AH72" s="1624"/>
      <c r="AI72" s="1624"/>
      <c r="AJ72" s="1624"/>
      <c r="AK72" s="1624"/>
      <c r="AL72" s="1624"/>
      <c r="AM72" s="1624"/>
      <c r="AN72" s="1624"/>
      <c r="AO72" s="1624"/>
      <c r="AP72" s="213"/>
    </row>
    <row r="73" spans="1:42">
      <c r="A73" s="214" t="s">
        <v>1525</v>
      </c>
      <c r="B73" s="389"/>
      <c r="C73" s="389"/>
      <c r="D73" s="389"/>
      <c r="E73" s="389"/>
      <c r="F73" s="389"/>
      <c r="G73" s="389"/>
      <c r="H73" s="389"/>
      <c r="I73" s="389"/>
      <c r="J73" s="389"/>
      <c r="K73" s="389"/>
      <c r="L73" s="389"/>
      <c r="M73" s="389"/>
      <c r="N73" s="208"/>
      <c r="O73" s="208"/>
      <c r="P73" s="208"/>
      <c r="Q73" s="208"/>
      <c r="R73" s="208"/>
      <c r="S73" s="208"/>
      <c r="T73" s="190">
        <v>2.1800000000000002</v>
      </c>
      <c r="U73" s="190">
        <v>-0.26121212121212123</v>
      </c>
      <c r="V73" s="190">
        <v>1.8573913043478263</v>
      </c>
      <c r="W73" s="190" cm="1">
        <f t="array" ref="W73">SUM(W64:W68)+SUM((W69:W70)*W72)</f>
        <v>3468.1293050480781</v>
      </c>
      <c r="X73" s="190" cm="1">
        <f t="array" ref="X73">SUM(X64:X68)+SUM((X69:X70)*X72)</f>
        <v>3996.7271361463586</v>
      </c>
      <c r="Y73" s="190" cm="1">
        <f t="array" ref="Y73">SUM(Y64:Y68)+SUM((Y69:Y70)*Y72)</f>
        <v>5164.2774867781718</v>
      </c>
      <c r="Z73" s="190" cm="1">
        <f t="array" ref="Z73">SUM(Z64:Z68)+SUM((Z69:Z70)*Z72)</f>
        <v>5905.4573747252507</v>
      </c>
      <c r="AA73" s="190" cm="1">
        <f t="array" ref="AA73">SUM(AA64:AA68)+SUM((AA69:AA70)*AA72)</f>
        <v>6367.7857634883385</v>
      </c>
      <c r="AB73" s="190" cm="1">
        <f t="array" ref="AB73">SUM(AB64:AB68)+SUM((AB69:AB70)*AB72)</f>
        <v>7102.0664688025072</v>
      </c>
      <c r="AC73" s="190" cm="1">
        <f t="array" ref="AC73">SUM(AC64:AC68)+SUM((AC69:AC70)*AC72)</f>
        <v>7880.0995913160777</v>
      </c>
      <c r="AD73" s="190" cm="1">
        <f t="array" ref="AD73">SUM(AD64:AD68)+SUM((AD69:AD70)*AD72)</f>
        <v>8406.2209917569526</v>
      </c>
      <c r="AE73" s="190" cm="1">
        <f t="array" ref="AE73">SUM(AE64:AE68)+SUM((AE69:AE70)*AE72)</f>
        <v>8968.1913083233048</v>
      </c>
      <c r="AF73" s="190" cm="1">
        <f t="array" ref="AF73">SUM(AF64:AF68)+SUM((AF69:AF70)*AF72)</f>
        <v>9568.5060116043569</v>
      </c>
      <c r="AG73" s="1628"/>
      <c r="AH73" s="1624"/>
      <c r="AI73" s="1628"/>
      <c r="AJ73" s="1628"/>
      <c r="AK73" s="1628"/>
      <c r="AL73" s="1628"/>
      <c r="AM73" s="1628"/>
      <c r="AN73" s="1628"/>
      <c r="AO73" s="1628"/>
      <c r="AP73" s="57"/>
    </row>
    <row r="74" spans="1:42">
      <c r="A74" s="349" t="s">
        <v>1489</v>
      </c>
      <c r="B74" s="383"/>
      <c r="C74" s="383"/>
      <c r="D74" s="383"/>
      <c r="E74" s="383"/>
      <c r="F74" s="383"/>
      <c r="G74" s="383"/>
      <c r="H74" s="383"/>
      <c r="I74" s="383"/>
      <c r="J74" s="216"/>
      <c r="K74" s="231"/>
      <c r="L74" s="231"/>
      <c r="M74" s="217"/>
      <c r="N74" s="208"/>
      <c r="O74" s="208"/>
      <c r="P74" s="208"/>
      <c r="Q74" s="208"/>
      <c r="R74" s="208"/>
      <c r="S74" s="208"/>
      <c r="T74" s="217">
        <v>-0.09</v>
      </c>
      <c r="U74" s="217">
        <v>0.05</v>
      </c>
      <c r="V74" s="217">
        <v>0</v>
      </c>
      <c r="W74" s="1422">
        <f t="shared" ref="W74" si="38">W73/V73-1</f>
        <v>1866.2044479425513</v>
      </c>
      <c r="X74" s="1422">
        <f>X75/W75-1</f>
        <v>0.25490896108532657</v>
      </c>
      <c r="Y74" s="1422">
        <f t="shared" ref="Y74:AF74" si="39">Y75/X75-1</f>
        <v>0.29871977240398295</v>
      </c>
      <c r="Z74" s="1422">
        <f t="shared" si="39"/>
        <v>0.14392113910186199</v>
      </c>
      <c r="AA74" s="1422">
        <f t="shared" si="39"/>
        <v>8.8054714294675929E-2</v>
      </c>
      <c r="AB74" s="1422">
        <f t="shared" si="39"/>
        <v>9.3923965269966825E-2</v>
      </c>
      <c r="AC74" s="1422">
        <f t="shared" si="39"/>
        <v>0.10955024511967948</v>
      </c>
      <c r="AD74" s="1422">
        <f t="shared" si="39"/>
        <v>6.6765831363434058E-2</v>
      </c>
      <c r="AE74" s="1422">
        <f t="shared" si="39"/>
        <v>6.6851718164132601E-2</v>
      </c>
      <c r="AF74" s="1422">
        <f t="shared" si="39"/>
        <v>6.6938213363479937E-2</v>
      </c>
      <c r="AG74" s="1628"/>
      <c r="AH74" s="1628"/>
      <c r="AI74" s="1628"/>
      <c r="AJ74" s="1628"/>
      <c r="AK74" s="1628"/>
      <c r="AL74" s="1628"/>
      <c r="AM74" s="1628"/>
      <c r="AN74" s="1628"/>
      <c r="AO74" s="1628"/>
      <c r="AP74" s="57"/>
    </row>
    <row r="75" spans="1:42">
      <c r="A75" s="214" t="s">
        <v>1021</v>
      </c>
      <c r="B75" s="213"/>
      <c r="C75" s="213"/>
      <c r="D75" s="213"/>
      <c r="E75" s="213"/>
      <c r="F75" s="213"/>
      <c r="G75" s="213"/>
      <c r="H75" s="213"/>
      <c r="I75" s="213"/>
      <c r="J75" s="213"/>
      <c r="K75" s="213"/>
      <c r="L75" s="213"/>
      <c r="M75" s="213"/>
      <c r="N75" s="208"/>
      <c r="O75" s="208"/>
      <c r="P75" s="208"/>
      <c r="Q75" s="208"/>
      <c r="R75" s="208"/>
      <c r="S75" s="208"/>
      <c r="T75" s="190">
        <v>-9.5948782623634932E-3</v>
      </c>
      <c r="U75" s="190">
        <v>-1.3664496423116956E-3</v>
      </c>
      <c r="V75" s="190">
        <v>-1.7963811489962511E-2</v>
      </c>
      <c r="W75" s="190">
        <v>2801</v>
      </c>
      <c r="X75" s="190">
        <v>3515</v>
      </c>
      <c r="Y75" s="190">
        <v>4565</v>
      </c>
      <c r="Z75" s="190">
        <v>5222</v>
      </c>
      <c r="AA75" s="190">
        <f t="shared" ref="AA75:AF75" si="40">AA73/AA$72</f>
        <v>5681.8217180467982</v>
      </c>
      <c r="AB75" s="190">
        <f t="shared" si="40"/>
        <v>6215.4809437627691</v>
      </c>
      <c r="AC75" s="190">
        <f t="shared" si="40"/>
        <v>6896.3884046886769</v>
      </c>
      <c r="AD75" s="190">
        <f t="shared" si="40"/>
        <v>7356.8315099328638</v>
      </c>
      <c r="AE75" s="190">
        <f t="shared" si="40"/>
        <v>7848.6483366159064</v>
      </c>
      <c r="AF75" s="190">
        <f t="shared" si="40"/>
        <v>8374.0228335872234</v>
      </c>
      <c r="AG75" s="1624"/>
      <c r="AH75" s="1624"/>
      <c r="AI75" s="1624"/>
      <c r="AJ75" s="1624"/>
      <c r="AK75" s="1624"/>
      <c r="AL75" s="1624"/>
      <c r="AM75" s="1624"/>
      <c r="AN75" s="1624"/>
      <c r="AO75" s="1624"/>
      <c r="AP75" s="213"/>
    </row>
    <row r="76" spans="1:42">
      <c r="A76" s="19"/>
      <c r="B76" s="213"/>
      <c r="C76" s="213"/>
      <c r="D76" s="213"/>
      <c r="E76" s="213"/>
      <c r="F76" s="213"/>
      <c r="G76" s="213"/>
      <c r="H76" s="213"/>
      <c r="I76" s="213"/>
      <c r="J76" s="213"/>
      <c r="K76" s="213"/>
      <c r="L76" s="213"/>
      <c r="M76" s="213"/>
      <c r="N76" s="313"/>
      <c r="O76" s="190"/>
      <c r="P76" s="190"/>
      <c r="Q76" s="190"/>
      <c r="R76" s="190"/>
      <c r="S76" s="190"/>
      <c r="T76" s="190"/>
      <c r="U76" s="190"/>
      <c r="V76" s="190"/>
      <c r="W76" s="190"/>
      <c r="X76" s="190"/>
      <c r="Y76" s="190"/>
      <c r="Z76" s="190"/>
      <c r="AA76" s="190"/>
      <c r="AB76" s="190"/>
      <c r="AC76" s="190"/>
      <c r="AD76" s="190"/>
      <c r="AE76" s="190"/>
      <c r="AF76" s="190"/>
      <c r="AG76" s="1624"/>
      <c r="AH76" s="1624"/>
      <c r="AI76" s="1624"/>
      <c r="AJ76" s="1624"/>
      <c r="AK76" s="1624"/>
      <c r="AL76" s="1624"/>
      <c r="AM76" s="1624"/>
      <c r="AN76" s="1624"/>
      <c r="AO76" s="1624"/>
      <c r="AP76" s="213"/>
    </row>
    <row r="77" spans="1:42">
      <c r="A77" s="306" t="s">
        <v>1971</v>
      </c>
      <c r="B77" s="307"/>
      <c r="C77" s="307"/>
      <c r="D77" s="307"/>
      <c r="E77" s="307"/>
      <c r="F77" s="307"/>
      <c r="G77" s="307"/>
      <c r="H77" s="307"/>
      <c r="I77" s="307"/>
      <c r="J77" s="307"/>
      <c r="K77" s="307"/>
      <c r="L77" s="307"/>
      <c r="M77" s="308"/>
      <c r="N77" s="308"/>
      <c r="O77" s="308"/>
      <c r="P77" s="308"/>
      <c r="Q77" s="308"/>
      <c r="R77" s="308"/>
      <c r="S77" s="308"/>
      <c r="T77" s="308"/>
      <c r="U77" s="308"/>
      <c r="V77" s="308"/>
      <c r="W77" s="308"/>
      <c r="X77" s="308"/>
      <c r="Y77" s="308"/>
      <c r="Z77" s="308"/>
      <c r="AA77" s="308"/>
      <c r="AB77" s="308"/>
      <c r="AC77" s="308"/>
      <c r="AD77" s="308"/>
      <c r="AE77" s="308"/>
      <c r="AF77" s="308"/>
      <c r="AG77" s="1624"/>
      <c r="AH77" s="1624"/>
      <c r="AI77" s="1624"/>
      <c r="AJ77" s="1624"/>
      <c r="AK77" s="1624"/>
      <c r="AL77" s="1624"/>
      <c r="AM77" s="1624"/>
      <c r="AN77" s="1624"/>
      <c r="AO77" s="1624"/>
      <c r="AP77" s="213"/>
    </row>
    <row r="78" spans="1:42">
      <c r="A78" s="19" t="s">
        <v>1960</v>
      </c>
      <c r="B78" s="213"/>
      <c r="C78" s="213"/>
      <c r="D78" s="213"/>
      <c r="E78" s="213"/>
      <c r="F78" s="213"/>
      <c r="G78" s="213"/>
      <c r="H78" s="213"/>
      <c r="I78" s="213"/>
      <c r="J78" s="213"/>
      <c r="K78" s="213"/>
      <c r="L78" s="213"/>
      <c r="M78" s="213"/>
      <c r="N78" s="313"/>
      <c r="O78" s="190"/>
      <c r="P78" s="190"/>
      <c r="Q78" s="190"/>
      <c r="R78" s="190"/>
      <c r="S78" s="190"/>
      <c r="T78" s="200">
        <f>T27</f>
        <v>1118</v>
      </c>
      <c r="U78" s="200">
        <v>1736</v>
      </c>
      <c r="V78" s="200">
        <f>V27</f>
        <v>815</v>
      </c>
      <c r="W78" s="200">
        <f t="shared" ref="W78:AF78" si="41">(W27/(1-W79))*W79</f>
        <v>137.55813953488374</v>
      </c>
      <c r="X78" s="200">
        <f t="shared" si="41"/>
        <v>184.93023255813955</v>
      </c>
      <c r="Y78" s="200">
        <f t="shared" si="41"/>
        <v>234.59770114942529</v>
      </c>
      <c r="Z78" s="200">
        <f t="shared" si="41"/>
        <v>191.86363636363635</v>
      </c>
      <c r="AA78" s="200">
        <f t="shared" si="41"/>
        <v>213.16759776536313</v>
      </c>
      <c r="AB78" s="200">
        <f t="shared" si="41"/>
        <v>193.54945054945051</v>
      </c>
      <c r="AC78" s="200">
        <f t="shared" si="41"/>
        <v>174</v>
      </c>
      <c r="AD78" s="200">
        <f t="shared" si="41"/>
        <v>169.6032258064516</v>
      </c>
      <c r="AE78" s="200">
        <f t="shared" si="41"/>
        <v>164.47885026737964</v>
      </c>
      <c r="AF78" s="200">
        <f t="shared" si="41"/>
        <v>158.56999468085107</v>
      </c>
      <c r="AG78" s="1624"/>
      <c r="AH78" s="1624"/>
      <c r="AI78" s="1624"/>
      <c r="AJ78" s="1624"/>
      <c r="AK78" s="1624"/>
      <c r="AL78" s="1624"/>
      <c r="AM78" s="1624"/>
      <c r="AN78" s="1624"/>
      <c r="AO78" s="1624"/>
      <c r="AP78" s="213"/>
    </row>
    <row r="79" spans="1:42">
      <c r="A79" s="291" t="s">
        <v>1683</v>
      </c>
      <c r="B79" s="213"/>
      <c r="C79" s="213"/>
      <c r="D79" s="213"/>
      <c r="E79" s="213"/>
      <c r="F79" s="213"/>
      <c r="G79" s="213"/>
      <c r="H79" s="213"/>
      <c r="I79" s="213"/>
      <c r="J79" s="213"/>
      <c r="K79" s="213"/>
      <c r="L79" s="213"/>
      <c r="M79" s="213"/>
      <c r="N79" s="313"/>
      <c r="O79" s="190"/>
      <c r="P79" s="190"/>
      <c r="Q79" s="190"/>
      <c r="R79" s="190"/>
      <c r="S79" s="190"/>
      <c r="T79" s="225">
        <v>0.1</v>
      </c>
      <c r="U79" s="225">
        <v>0.1</v>
      </c>
      <c r="V79" s="225">
        <v>0.14000000000000001</v>
      </c>
      <c r="W79" s="225">
        <v>0.14000000000000001</v>
      </c>
      <c r="X79" s="225">
        <v>0.14000000000000001</v>
      </c>
      <c r="Y79" s="225">
        <v>0.13</v>
      </c>
      <c r="Z79" s="225">
        <v>0.12</v>
      </c>
      <c r="AA79" s="1298">
        <f>Z79-0.015</f>
        <v>0.105</v>
      </c>
      <c r="AB79" s="1298">
        <f>AA79-0.015</f>
        <v>0.09</v>
      </c>
      <c r="AC79" s="1298">
        <f>AB79-0.015</f>
        <v>7.4999999999999997E-2</v>
      </c>
      <c r="AD79" s="1298">
        <f>AC79-0.005</f>
        <v>6.9999999999999993E-2</v>
      </c>
      <c r="AE79" s="1298">
        <f>AD79-0.005</f>
        <v>6.4999999999999988E-2</v>
      </c>
      <c r="AF79" s="1298">
        <f>AE79-0.005</f>
        <v>5.9999999999999991E-2</v>
      </c>
      <c r="AG79" s="1624"/>
      <c r="AH79" s="1624" t="s">
        <v>1684</v>
      </c>
      <c r="AI79" s="1624"/>
      <c r="AJ79" s="1624"/>
      <c r="AK79" s="1624"/>
      <c r="AL79" s="1624"/>
      <c r="AM79" s="1624"/>
      <c r="AN79" s="1624"/>
      <c r="AO79" s="1624"/>
      <c r="AP79" s="213"/>
    </row>
    <row r="80" spans="1:42">
      <c r="A80" s="291" t="s">
        <v>1962</v>
      </c>
      <c r="B80" s="213"/>
      <c r="C80" s="213"/>
      <c r="D80" s="213"/>
      <c r="E80" s="213"/>
      <c r="F80" s="213"/>
      <c r="G80" s="213"/>
      <c r="H80" s="213"/>
      <c r="I80" s="213"/>
      <c r="J80" s="213"/>
      <c r="K80" s="213"/>
      <c r="L80" s="213"/>
      <c r="M80" s="213"/>
      <c r="N80" s="313"/>
      <c r="O80" s="190"/>
      <c r="P80" s="190"/>
      <c r="Q80" s="190"/>
      <c r="R80" s="190"/>
      <c r="S80" s="190"/>
      <c r="T80" s="225"/>
      <c r="U80" s="225"/>
      <c r="V80" s="225"/>
      <c r="W80" s="200">
        <f t="shared" ref="W80:AF80" si="42">W78*W38*W$44*W57</f>
        <v>670.59593023255832</v>
      </c>
      <c r="X80" s="200">
        <f t="shared" si="42"/>
        <v>919.56558139534889</v>
      </c>
      <c r="Y80" s="200">
        <f t="shared" si="42"/>
        <v>1189.8678103448278</v>
      </c>
      <c r="Z80" s="200">
        <f t="shared" si="42"/>
        <v>962.04414199090911</v>
      </c>
      <c r="AA80" s="200">
        <f t="shared" si="42"/>
        <v>1090.2439640507935</v>
      </c>
      <c r="AB80" s="200">
        <f t="shared" si="42"/>
        <v>993.6781826202357</v>
      </c>
      <c r="AC80" s="200">
        <f t="shared" si="42"/>
        <v>911.17801342650273</v>
      </c>
      <c r="AD80" s="200">
        <f t="shared" si="42"/>
        <v>905.91669521994311</v>
      </c>
      <c r="AE80" s="200">
        <f t="shared" si="42"/>
        <v>896.1163236989272</v>
      </c>
      <c r="AF80" s="200">
        <f t="shared" si="42"/>
        <v>881.20207346047516</v>
      </c>
      <c r="AG80" s="1624"/>
      <c r="AH80" s="1624"/>
      <c r="AI80" s="1624"/>
      <c r="AJ80" s="1624"/>
      <c r="AK80" s="1624"/>
      <c r="AL80" s="1624"/>
      <c r="AM80" s="1624"/>
      <c r="AN80" s="1624"/>
      <c r="AO80" s="1624"/>
      <c r="AP80" s="213"/>
    </row>
    <row r="81" spans="1:42">
      <c r="A81" s="291" t="s">
        <v>1961</v>
      </c>
      <c r="W81" s="225">
        <v>0</v>
      </c>
      <c r="X81" s="225">
        <f>W81+1%</f>
        <v>0.01</v>
      </c>
      <c r="Y81" s="225">
        <v>0.03</v>
      </c>
      <c r="Z81" s="225">
        <v>0.05</v>
      </c>
      <c r="AA81" s="1298">
        <v>0.08</v>
      </c>
      <c r="AB81" s="1298">
        <f t="shared" ref="AB81:AF81" si="43">AA81+1%</f>
        <v>0.09</v>
      </c>
      <c r="AC81" s="1298">
        <f t="shared" si="43"/>
        <v>9.9999999999999992E-2</v>
      </c>
      <c r="AD81" s="1298">
        <f t="shared" si="43"/>
        <v>0.10999999999999999</v>
      </c>
      <c r="AE81" s="1298">
        <f t="shared" si="43"/>
        <v>0.11999999999999998</v>
      </c>
      <c r="AF81" s="1298">
        <f t="shared" si="43"/>
        <v>0.12999999999999998</v>
      </c>
    </row>
    <row r="82" spans="1:42">
      <c r="A82" s="19" t="s">
        <v>1963</v>
      </c>
      <c r="W82" s="200">
        <f>W80*W81</f>
        <v>0</v>
      </c>
      <c r="X82" s="200">
        <f t="shared" ref="X82:AF82" si="44">X80*X81</f>
        <v>9.1956558139534899</v>
      </c>
      <c r="Y82" s="200">
        <f t="shared" si="44"/>
        <v>35.696034310344835</v>
      </c>
      <c r="Z82" s="200">
        <f t="shared" si="44"/>
        <v>48.10220709954546</v>
      </c>
      <c r="AA82" s="200">
        <f t="shared" si="44"/>
        <v>87.219517124063472</v>
      </c>
      <c r="AB82" s="200">
        <f t="shared" si="44"/>
        <v>89.431036435821213</v>
      </c>
      <c r="AC82" s="200">
        <f t="shared" si="44"/>
        <v>91.117801342650267</v>
      </c>
      <c r="AD82" s="200">
        <f t="shared" si="44"/>
        <v>99.650836474193724</v>
      </c>
      <c r="AE82" s="200">
        <f t="shared" si="44"/>
        <v>107.53395884387125</v>
      </c>
      <c r="AF82" s="200">
        <f t="shared" si="44"/>
        <v>114.55626954986175</v>
      </c>
    </row>
    <row r="83" spans="1:42">
      <c r="A83" s="19"/>
      <c r="W83" s="200"/>
      <c r="X83" s="200"/>
      <c r="Y83" s="200"/>
      <c r="Z83" s="200"/>
      <c r="AA83" s="200"/>
      <c r="AB83" s="200"/>
      <c r="AC83" s="200"/>
      <c r="AD83" s="200"/>
      <c r="AE83" s="200"/>
      <c r="AF83" s="200"/>
    </row>
    <row r="84" spans="1:42">
      <c r="A84" s="214" t="s">
        <v>1972</v>
      </c>
      <c r="W84" s="200">
        <f>W65</f>
        <v>2218.125</v>
      </c>
      <c r="X84" s="200">
        <f t="shared" ref="X84:AF84" si="45">X65</f>
        <v>3041.64</v>
      </c>
      <c r="Y84" s="200">
        <f t="shared" si="45"/>
        <v>4287.7484999999997</v>
      </c>
      <c r="Z84" s="200">
        <f t="shared" si="45"/>
        <v>4143.4070454000002</v>
      </c>
      <c r="AA84" s="200">
        <f t="shared" si="45"/>
        <v>5457.8123763480007</v>
      </c>
      <c r="AB84" s="200">
        <f t="shared" si="45"/>
        <v>6157.955475807842</v>
      </c>
      <c r="AC84" s="200">
        <f t="shared" si="45"/>
        <v>6887.7219724605538</v>
      </c>
      <c r="AD84" s="200">
        <f t="shared" si="45"/>
        <v>7376.7502325052528</v>
      </c>
      <c r="AE84" s="200">
        <f t="shared" si="45"/>
        <v>7900.4994990131254</v>
      </c>
      <c r="AF84" s="200">
        <f t="shared" si="45"/>
        <v>8461.4349634430582</v>
      </c>
    </row>
    <row r="85" spans="1:42">
      <c r="A85" s="19" t="s">
        <v>1977</v>
      </c>
      <c r="B85" s="213"/>
      <c r="C85" s="213"/>
      <c r="D85" s="213"/>
      <c r="E85" s="213"/>
      <c r="F85" s="213"/>
      <c r="G85" s="213"/>
      <c r="H85" s="213"/>
      <c r="I85" s="213"/>
      <c r="J85" s="213"/>
      <c r="K85" s="213"/>
      <c r="L85" s="213"/>
      <c r="M85" s="213"/>
      <c r="N85" s="313"/>
      <c r="O85" s="190"/>
      <c r="P85" s="190"/>
      <c r="Q85" s="190"/>
      <c r="R85" s="190"/>
      <c r="S85" s="190"/>
      <c r="T85" s="190"/>
      <c r="U85" s="190"/>
      <c r="V85" s="190"/>
      <c r="W85" s="1411">
        <v>-0.2</v>
      </c>
      <c r="X85" s="1411">
        <v>-0.15</v>
      </c>
      <c r="Y85" s="1411">
        <v>-0.1</v>
      </c>
      <c r="Z85" s="1411">
        <v>-0.05</v>
      </c>
      <c r="AA85" s="1412">
        <v>0</v>
      </c>
      <c r="AB85" s="1412">
        <v>0</v>
      </c>
      <c r="AC85" s="1412">
        <f t="shared" ref="AC85:AF85" si="46">AB85+0.3%</f>
        <v>3.0000000000000001E-3</v>
      </c>
      <c r="AD85" s="1412">
        <f t="shared" si="46"/>
        <v>6.0000000000000001E-3</v>
      </c>
      <c r="AE85" s="1412">
        <f t="shared" si="46"/>
        <v>9.0000000000000011E-3</v>
      </c>
      <c r="AF85" s="1412">
        <f t="shared" si="46"/>
        <v>1.2E-2</v>
      </c>
      <c r="AG85" s="1624"/>
      <c r="AH85" s="1624"/>
      <c r="AI85" s="1624"/>
      <c r="AJ85" s="1624"/>
      <c r="AK85" s="1624"/>
      <c r="AL85" s="1624"/>
      <c r="AM85" s="1624"/>
      <c r="AN85" s="1624"/>
      <c r="AO85" s="1624"/>
      <c r="AP85" s="213"/>
    </row>
    <row r="86" spans="1:42">
      <c r="A86" s="214" t="s">
        <v>1974</v>
      </c>
      <c r="B86" s="213"/>
      <c r="C86" s="213"/>
      <c r="D86" s="213"/>
      <c r="E86" s="213"/>
      <c r="F86" s="213"/>
      <c r="G86" s="213"/>
      <c r="H86" s="213"/>
      <c r="I86" s="213"/>
      <c r="J86" s="213"/>
      <c r="K86" s="213"/>
      <c r="L86" s="213"/>
      <c r="M86" s="213"/>
      <c r="N86" s="309"/>
      <c r="O86" s="200"/>
      <c r="P86" s="200"/>
      <c r="Q86" s="200"/>
      <c r="R86" s="200"/>
      <c r="S86" s="200"/>
      <c r="T86" s="314"/>
      <c r="U86" s="314"/>
      <c r="V86" s="314"/>
      <c r="W86" s="314">
        <f>W84*W85</f>
        <v>-443.625</v>
      </c>
      <c r="X86" s="314">
        <f t="shared" ref="X86:AF86" si="47">X84*X85</f>
        <v>-456.24599999999998</v>
      </c>
      <c r="Y86" s="314">
        <f t="shared" si="47"/>
        <v>-428.77485000000001</v>
      </c>
      <c r="Z86" s="314">
        <f t="shared" si="47"/>
        <v>-207.17035227000002</v>
      </c>
      <c r="AA86" s="314">
        <f t="shared" si="47"/>
        <v>0</v>
      </c>
      <c r="AB86" s="314">
        <f t="shared" si="47"/>
        <v>0</v>
      </c>
      <c r="AC86" s="314">
        <f t="shared" si="47"/>
        <v>20.663165917381662</v>
      </c>
      <c r="AD86" s="314">
        <f t="shared" si="47"/>
        <v>44.260501395031518</v>
      </c>
      <c r="AE86" s="314">
        <f t="shared" si="47"/>
        <v>71.104495491118143</v>
      </c>
      <c r="AF86" s="314">
        <f t="shared" si="47"/>
        <v>101.5372195613167</v>
      </c>
      <c r="AG86" s="1624"/>
      <c r="AH86" s="1624" t="s">
        <v>1535</v>
      </c>
      <c r="AI86" s="1624"/>
      <c r="AJ86" s="1624"/>
      <c r="AK86" s="1624"/>
      <c r="AL86" s="1624"/>
      <c r="AM86" s="1624"/>
      <c r="AN86" s="1624"/>
      <c r="AO86" s="1624"/>
      <c r="AP86" s="213"/>
    </row>
    <row r="87" spans="1:42">
      <c r="A87" s="19"/>
      <c r="B87" s="213"/>
      <c r="C87" s="213"/>
      <c r="D87" s="213"/>
      <c r="E87" s="213"/>
      <c r="F87" s="213"/>
      <c r="G87" s="213"/>
      <c r="H87" s="213"/>
      <c r="I87" s="213"/>
      <c r="J87" s="213"/>
      <c r="K87" s="213"/>
      <c r="L87" s="213"/>
      <c r="M87" s="213"/>
      <c r="N87" s="309"/>
      <c r="O87" s="200"/>
      <c r="P87" s="200"/>
      <c r="Q87" s="200"/>
      <c r="R87" s="200"/>
      <c r="S87" s="200"/>
      <c r="T87" s="314"/>
      <c r="U87" s="314"/>
      <c r="V87" s="314"/>
      <c r="W87" s="314"/>
      <c r="X87" s="314"/>
      <c r="Y87" s="314"/>
      <c r="Z87" s="314"/>
      <c r="AA87" s="314"/>
      <c r="AB87" s="314"/>
      <c r="AC87" s="314"/>
      <c r="AD87" s="314"/>
      <c r="AE87" s="314"/>
      <c r="AF87" s="314"/>
      <c r="AG87" s="1624"/>
      <c r="AH87" s="1624"/>
      <c r="AI87" s="1624"/>
      <c r="AJ87" s="1624"/>
      <c r="AK87" s="1624"/>
      <c r="AL87" s="1624"/>
      <c r="AM87" s="1624"/>
      <c r="AN87" s="1624"/>
      <c r="AO87" s="1624"/>
      <c r="AP87" s="213"/>
    </row>
    <row r="88" spans="1:42">
      <c r="A88" s="214" t="s">
        <v>1970</v>
      </c>
      <c r="B88" s="213"/>
      <c r="C88" s="213"/>
      <c r="D88" s="213"/>
      <c r="E88" s="213"/>
      <c r="F88" s="213"/>
      <c r="G88" s="213"/>
      <c r="H88" s="213"/>
      <c r="I88" s="213"/>
      <c r="J88" s="213"/>
      <c r="K88" s="213"/>
      <c r="L88" s="213"/>
      <c r="M88" s="213"/>
      <c r="N88" s="309"/>
      <c r="O88" s="200"/>
      <c r="P88" s="200"/>
      <c r="Q88" s="200"/>
      <c r="R88" s="200"/>
      <c r="S88" s="200"/>
      <c r="T88" s="314"/>
      <c r="U88" s="314"/>
      <c r="V88" s="314"/>
      <c r="W88" s="314">
        <f>(W80)/W$94</f>
        <v>572.5109112338622</v>
      </c>
      <c r="X88" s="314">
        <f t="shared" ref="X88:AF88" si="48">(X80)/X94</f>
        <v>830.99816652529341</v>
      </c>
      <c r="Y88" s="314">
        <f t="shared" si="48"/>
        <v>1071.4347068432003</v>
      </c>
      <c r="Z88" s="314">
        <f t="shared" si="48"/>
        <v>868.01775787462361</v>
      </c>
      <c r="AA88" s="314">
        <f t="shared" si="48"/>
        <v>972.79840481313261</v>
      </c>
      <c r="AB88" s="314">
        <f t="shared" si="48"/>
        <v>869.63249857478104</v>
      </c>
      <c r="AC88" s="314">
        <f t="shared" si="48"/>
        <v>797.43122705284441</v>
      </c>
      <c r="AD88" s="314">
        <f t="shared" si="48"/>
        <v>792.82670480631327</v>
      </c>
      <c r="AE88" s="314">
        <f t="shared" si="48"/>
        <v>784.24976136340854</v>
      </c>
      <c r="AF88" s="314">
        <f t="shared" si="48"/>
        <v>771.19732957403971</v>
      </c>
      <c r="AG88" s="1624"/>
      <c r="AH88" s="1624"/>
      <c r="AI88" s="1624"/>
      <c r="AJ88" s="1624"/>
      <c r="AK88" s="1624"/>
      <c r="AL88" s="1624"/>
      <c r="AM88" s="1624"/>
      <c r="AN88" s="1624"/>
      <c r="AO88" s="1624"/>
      <c r="AP88" s="213"/>
    </row>
    <row r="89" spans="1:42">
      <c r="A89" s="214" t="s">
        <v>1969</v>
      </c>
      <c r="B89" s="57"/>
      <c r="C89" s="57"/>
      <c r="D89" s="57"/>
      <c r="E89" s="57"/>
      <c r="F89" s="57"/>
      <c r="G89" s="57"/>
      <c r="H89" s="57"/>
      <c r="I89" s="57"/>
      <c r="J89" s="57"/>
      <c r="K89" s="57"/>
      <c r="L89" s="57"/>
      <c r="M89" s="57"/>
      <c r="N89" s="313"/>
      <c r="O89" s="190"/>
      <c r="P89" s="190"/>
      <c r="Q89" s="190"/>
      <c r="R89" s="190"/>
      <c r="S89" s="190"/>
      <c r="T89" s="344"/>
      <c r="U89" s="344"/>
      <c r="V89" s="344"/>
      <c r="W89" s="314">
        <f>(W82)/W94</f>
        <v>0</v>
      </c>
      <c r="X89" s="314">
        <f t="shared" ref="X89:AF89" si="49">(X82)/X94</f>
        <v>8.3099816652529341</v>
      </c>
      <c r="Y89" s="314">
        <f t="shared" si="49"/>
        <v>32.143041205296008</v>
      </c>
      <c r="Z89" s="314">
        <f t="shared" si="49"/>
        <v>43.400887893731188</v>
      </c>
      <c r="AA89" s="314">
        <f t="shared" si="49"/>
        <v>77.823872385050606</v>
      </c>
      <c r="AB89" s="314">
        <f t="shared" si="49"/>
        <v>78.266924871730296</v>
      </c>
      <c r="AC89" s="314">
        <f t="shared" si="49"/>
        <v>79.743122705284435</v>
      </c>
      <c r="AD89" s="314">
        <f t="shared" si="49"/>
        <v>87.210937528694444</v>
      </c>
      <c r="AE89" s="314">
        <f t="shared" si="49"/>
        <v>94.109971363609006</v>
      </c>
      <c r="AF89" s="314">
        <f t="shared" si="49"/>
        <v>100.25565284462515</v>
      </c>
      <c r="AG89" s="1624"/>
      <c r="AH89" s="1624"/>
      <c r="AI89" s="1624"/>
      <c r="AJ89" s="1624"/>
      <c r="AK89" s="1624"/>
      <c r="AL89" s="1624"/>
      <c r="AM89" s="1624"/>
      <c r="AN89" s="1624"/>
      <c r="AO89" s="1624"/>
      <c r="AP89" s="213"/>
    </row>
    <row r="90" spans="1:42">
      <c r="A90" s="214"/>
      <c r="B90" s="57"/>
      <c r="C90" s="57"/>
      <c r="D90" s="57"/>
      <c r="E90" s="57"/>
      <c r="F90" s="57"/>
      <c r="G90" s="57"/>
      <c r="H90" s="57"/>
      <c r="I90" s="57"/>
      <c r="J90" s="57"/>
      <c r="K90" s="57"/>
      <c r="L90" s="57"/>
      <c r="M90" s="57"/>
      <c r="N90" s="313"/>
      <c r="O90" s="190"/>
      <c r="P90" s="190"/>
      <c r="Q90" s="190"/>
      <c r="R90" s="190"/>
      <c r="S90" s="190"/>
      <c r="T90" s="344"/>
      <c r="U90" s="344"/>
      <c r="V90" s="344"/>
      <c r="W90" s="344"/>
      <c r="X90" s="344"/>
      <c r="Y90" s="344"/>
      <c r="Z90" s="344"/>
      <c r="AA90" s="344"/>
      <c r="AB90" s="344"/>
      <c r="AC90" s="344"/>
      <c r="AD90" s="344"/>
      <c r="AE90" s="344"/>
      <c r="AF90" s="344"/>
      <c r="AG90" s="1624"/>
      <c r="AH90" s="1624"/>
      <c r="AI90" s="1624"/>
      <c r="AJ90" s="1624"/>
      <c r="AK90" s="1624"/>
      <c r="AL90" s="1624"/>
      <c r="AM90" s="1624"/>
      <c r="AN90" s="1624"/>
      <c r="AO90" s="1624"/>
      <c r="AP90" s="213"/>
    </row>
    <row r="91" spans="1:42">
      <c r="A91" s="214" t="s">
        <v>1975</v>
      </c>
      <c r="B91" s="57"/>
      <c r="C91" s="57"/>
      <c r="D91" s="57"/>
      <c r="E91" s="57"/>
      <c r="F91" s="57"/>
      <c r="G91" s="57"/>
      <c r="H91" s="57"/>
      <c r="I91" s="57"/>
      <c r="J91" s="57"/>
      <c r="K91" s="57"/>
      <c r="L91" s="57"/>
      <c r="M91" s="57"/>
      <c r="N91" s="313"/>
      <c r="O91" s="190"/>
      <c r="P91" s="190"/>
      <c r="Q91" s="190"/>
      <c r="R91" s="190"/>
      <c r="S91" s="190"/>
      <c r="T91" s="344"/>
      <c r="U91" s="344"/>
      <c r="V91" s="344"/>
      <c r="W91" s="314">
        <f>(W84)/W$94</f>
        <v>1893.689937158159</v>
      </c>
      <c r="X91" s="314">
        <f t="shared" ref="X91:AF91" si="50">(X84)/X$94</f>
        <v>2748.6862431221239</v>
      </c>
      <c r="Y91" s="314">
        <f t="shared" si="50"/>
        <v>3860.9688548373301</v>
      </c>
      <c r="Z91" s="314">
        <f t="shared" si="50"/>
        <v>3738.4468513753632</v>
      </c>
      <c r="AA91" s="314">
        <f t="shared" si="50"/>
        <v>4869.8744029307463</v>
      </c>
      <c r="AB91" s="314">
        <f t="shared" si="50"/>
        <v>5389.2279212752574</v>
      </c>
      <c r="AC91" s="314">
        <f t="shared" si="50"/>
        <v>6027.8941141736523</v>
      </c>
      <c r="AD91" s="314">
        <f t="shared" si="50"/>
        <v>6455.8745962799812</v>
      </c>
      <c r="AE91" s="314">
        <f t="shared" si="50"/>
        <v>6914.2416926158594</v>
      </c>
      <c r="AF91" s="314">
        <f t="shared" si="50"/>
        <v>7405.1528527915862</v>
      </c>
      <c r="AG91" s="1624"/>
      <c r="AH91" s="1624"/>
      <c r="AI91" s="1624"/>
      <c r="AJ91" s="1624"/>
      <c r="AK91" s="1624"/>
      <c r="AL91" s="1624"/>
      <c r="AM91" s="1624"/>
      <c r="AN91" s="1624"/>
      <c r="AO91" s="1624"/>
      <c r="AP91" s="213"/>
    </row>
    <row r="92" spans="1:42">
      <c r="A92" s="214" t="s">
        <v>1973</v>
      </c>
      <c r="B92" s="57"/>
      <c r="C92" s="57"/>
      <c r="D92" s="57"/>
      <c r="E92" s="57"/>
      <c r="F92" s="57"/>
      <c r="G92" s="57"/>
      <c r="H92" s="57"/>
      <c r="I92" s="57"/>
      <c r="J92" s="57"/>
      <c r="K92" s="57"/>
      <c r="L92" s="57"/>
      <c r="M92" s="57"/>
      <c r="N92" s="313"/>
      <c r="O92" s="190"/>
      <c r="P92" s="190"/>
      <c r="Q92" s="190"/>
      <c r="R92" s="190"/>
      <c r="S92" s="190"/>
      <c r="T92" s="344"/>
      <c r="U92" s="344"/>
      <c r="V92" s="344"/>
      <c r="W92" s="314">
        <f>(W86)/W$94</f>
        <v>-378.73798743163178</v>
      </c>
      <c r="X92" s="314">
        <f t="shared" ref="X92:AF92" si="51">(X86)/X$94</f>
        <v>-412.30293646831859</v>
      </c>
      <c r="Y92" s="314">
        <f t="shared" si="51"/>
        <v>-386.09688548373305</v>
      </c>
      <c r="Z92" s="314">
        <f t="shared" si="51"/>
        <v>-186.92234256876819</v>
      </c>
      <c r="AA92" s="314">
        <f t="shared" si="51"/>
        <v>0</v>
      </c>
      <c r="AB92" s="314">
        <f t="shared" si="51"/>
        <v>0</v>
      </c>
      <c r="AC92" s="314">
        <f t="shared" si="51"/>
        <v>18.083682342520955</v>
      </c>
      <c r="AD92" s="314">
        <f t="shared" si="51"/>
        <v>38.735247577679885</v>
      </c>
      <c r="AE92" s="314">
        <f t="shared" si="51"/>
        <v>62.22817523354275</v>
      </c>
      <c r="AF92" s="314">
        <f t="shared" si="51"/>
        <v>88.861834233499039</v>
      </c>
      <c r="AG92" s="1624"/>
      <c r="AH92" s="1624"/>
      <c r="AI92" s="1624"/>
      <c r="AJ92" s="1624"/>
      <c r="AK92" s="1624"/>
      <c r="AL92" s="1624"/>
      <c r="AM92" s="1624"/>
      <c r="AN92" s="1624"/>
      <c r="AO92" s="1624"/>
      <c r="AP92" s="213"/>
    </row>
    <row r="93" spans="1:42">
      <c r="A93" s="214"/>
      <c r="B93" s="57"/>
      <c r="C93" s="57"/>
      <c r="D93" s="57"/>
      <c r="E93" s="57"/>
      <c r="F93" s="57"/>
      <c r="G93" s="57"/>
      <c r="H93" s="57"/>
      <c r="I93" s="57"/>
      <c r="J93" s="57"/>
      <c r="K93" s="57"/>
      <c r="L93" s="57"/>
      <c r="M93" s="57"/>
      <c r="N93" s="313"/>
      <c r="O93" s="190"/>
      <c r="P93" s="190"/>
      <c r="Q93" s="190"/>
      <c r="R93" s="190"/>
      <c r="S93" s="190"/>
      <c r="T93" s="344"/>
      <c r="U93" s="344"/>
      <c r="V93" s="344"/>
      <c r="W93" s="344"/>
      <c r="X93" s="344"/>
      <c r="Y93" s="344"/>
      <c r="Z93" s="344"/>
      <c r="AA93" s="344"/>
      <c r="AB93" s="344"/>
      <c r="AC93" s="344"/>
      <c r="AD93" s="344"/>
      <c r="AE93" s="344"/>
      <c r="AF93" s="344"/>
      <c r="AG93" s="1624"/>
      <c r="AH93" s="1624"/>
      <c r="AI93" s="1624"/>
      <c r="AJ93" s="1624"/>
      <c r="AK93" s="1624"/>
      <c r="AL93" s="1624"/>
      <c r="AM93" s="1624"/>
      <c r="AN93" s="1624"/>
      <c r="AO93" s="1624"/>
      <c r="AP93" s="213"/>
    </row>
    <row r="94" spans="1:42">
      <c r="A94" s="19" t="s">
        <v>1498</v>
      </c>
      <c r="B94" s="213"/>
      <c r="C94" s="213"/>
      <c r="D94" s="213"/>
      <c r="E94" s="213"/>
      <c r="F94" s="213"/>
      <c r="G94" s="213"/>
      <c r="H94" s="213"/>
      <c r="I94" s="213"/>
      <c r="J94" s="213"/>
      <c r="K94" s="213"/>
      <c r="L94" s="213"/>
      <c r="M94" s="213"/>
      <c r="N94" s="309"/>
      <c r="O94" s="309"/>
      <c r="P94" s="309"/>
      <c r="Q94" s="309"/>
      <c r="R94" s="309"/>
      <c r="S94" s="309"/>
      <c r="T94" s="309">
        <f>'Income Statement'!T155</f>
        <v>1.18028</v>
      </c>
      <c r="U94" s="309">
        <v>1.159077672574627</v>
      </c>
      <c r="V94" s="309">
        <f>'Income Statement'!V155</f>
        <v>1.1490638246268656</v>
      </c>
      <c r="W94" s="309">
        <f>'Income Statement'!W155</f>
        <v>1.1713242788461544</v>
      </c>
      <c r="X94" s="309">
        <f>'Income Statement'!X155</f>
        <v>1.1065795550914248</v>
      </c>
      <c r="Y94" s="309">
        <f>'Income Statement'!Y155</f>
        <v>1.1105369302909465</v>
      </c>
      <c r="Z94" s="309">
        <f>'Income Statement'!Z155</f>
        <v>1.1083231112074399</v>
      </c>
      <c r="AA94" s="335">
        <f>'Income Statement'!AA155</f>
        <v>1.1207295968584789</v>
      </c>
      <c r="AB94" s="335">
        <f>'Income Statement'!AB155</f>
        <v>1.1426415000000001</v>
      </c>
      <c r="AC94" s="335">
        <f>'Income Statement'!AC155</f>
        <v>1.1426415000000001</v>
      </c>
      <c r="AD94" s="335">
        <f>'Income Statement'!AD155</f>
        <v>1.1426415000000001</v>
      </c>
      <c r="AE94" s="335">
        <f>'Income Statement'!AE155</f>
        <v>1.1426415000000001</v>
      </c>
      <c r="AF94" s="335">
        <f>'Income Statement'!AF155</f>
        <v>1.1426415000000001</v>
      </c>
      <c r="AG94" s="1624"/>
      <c r="AH94" s="1624"/>
      <c r="AI94" s="1624"/>
      <c r="AJ94" s="1624"/>
      <c r="AK94" s="1624"/>
      <c r="AL94" s="1624"/>
      <c r="AM94" s="1624"/>
      <c r="AN94" s="1624"/>
      <c r="AO94" s="1624"/>
      <c r="AP94" s="213"/>
    </row>
    <row r="95" spans="1:42">
      <c r="A95" s="19"/>
      <c r="B95" s="213"/>
      <c r="C95" s="213"/>
      <c r="D95" s="213"/>
      <c r="E95" s="213"/>
      <c r="F95" s="213"/>
      <c r="G95" s="213"/>
      <c r="H95" s="213"/>
      <c r="I95" s="213"/>
      <c r="J95" s="213"/>
      <c r="K95" s="213"/>
      <c r="L95" s="213"/>
      <c r="M95" s="213"/>
      <c r="N95" s="343"/>
      <c r="O95" s="207"/>
      <c r="P95" s="207"/>
      <c r="Q95" s="207"/>
      <c r="R95" s="207"/>
      <c r="S95" s="207"/>
      <c r="T95" s="207"/>
      <c r="U95" s="207"/>
      <c r="V95" s="207"/>
      <c r="W95" s="207"/>
      <c r="X95" s="207"/>
      <c r="Y95" s="207"/>
      <c r="Z95" s="207"/>
      <c r="AA95" s="207"/>
      <c r="AB95" s="207"/>
      <c r="AC95" s="207"/>
      <c r="AD95" s="207"/>
      <c r="AE95" s="207"/>
      <c r="AF95" s="207"/>
      <c r="AG95" s="1624"/>
      <c r="AH95" s="1624"/>
      <c r="AI95" s="1624"/>
      <c r="AJ95" s="1624"/>
      <c r="AK95" s="1624"/>
      <c r="AL95" s="1624"/>
      <c r="AM95" s="1624"/>
      <c r="AN95" s="1624"/>
      <c r="AO95" s="1624"/>
      <c r="AP95" s="213"/>
    </row>
    <row r="96" spans="1:42">
      <c r="A96" s="19"/>
      <c r="B96" s="213"/>
      <c r="C96" s="213"/>
      <c r="D96" s="213"/>
      <c r="E96" s="213"/>
      <c r="F96" s="213"/>
      <c r="G96" s="213"/>
      <c r="H96" s="213"/>
      <c r="I96" s="213"/>
      <c r="J96" s="213"/>
      <c r="K96" s="213"/>
      <c r="L96" s="213"/>
      <c r="M96" s="213"/>
      <c r="N96" s="343"/>
      <c r="O96" s="348"/>
      <c r="P96" s="348"/>
      <c r="Q96" s="348"/>
      <c r="R96" s="348"/>
      <c r="S96" s="348"/>
      <c r="T96" s="348"/>
      <c r="U96" s="348"/>
      <c r="V96" s="348"/>
      <c r="W96" s="348"/>
      <c r="X96" s="348"/>
      <c r="Y96" s="348"/>
      <c r="Z96" s="348"/>
      <c r="AA96" s="348"/>
      <c r="AB96" s="348"/>
      <c r="AC96" s="348"/>
      <c r="AD96" s="348"/>
      <c r="AE96" s="348"/>
      <c r="AF96" s="348"/>
      <c r="AG96" s="1624"/>
      <c r="AH96" s="1624"/>
      <c r="AI96" s="1624"/>
      <c r="AJ96" s="1624"/>
      <c r="AK96" s="1624"/>
      <c r="AL96" s="1624"/>
      <c r="AM96" s="1624"/>
      <c r="AN96" s="1624"/>
      <c r="AO96" s="1624"/>
      <c r="AP96" s="213"/>
    </row>
    <row r="97" spans="1:52">
      <c r="A97" s="472" t="s">
        <v>1476</v>
      </c>
      <c r="B97" s="472"/>
      <c r="C97" s="472"/>
      <c r="D97" s="472"/>
      <c r="E97" s="472"/>
      <c r="F97" s="472"/>
      <c r="G97" s="472"/>
      <c r="H97" s="472"/>
      <c r="I97" s="472"/>
      <c r="J97" s="472"/>
      <c r="K97" s="472"/>
      <c r="L97" s="472"/>
      <c r="M97" s="472"/>
      <c r="N97" s="472"/>
      <c r="O97" s="472"/>
      <c r="P97" s="472"/>
      <c r="Q97" s="472"/>
      <c r="R97" s="472"/>
      <c r="S97" s="472"/>
      <c r="T97" s="472"/>
      <c r="U97" s="472"/>
      <c r="V97" s="472"/>
      <c r="W97" s="508"/>
      <c r="X97" s="508"/>
      <c r="Y97" s="508"/>
      <c r="Z97" s="508"/>
      <c r="AA97" s="508"/>
      <c r="AB97" s="508"/>
      <c r="AC97" s="508"/>
      <c r="AD97" s="508"/>
      <c r="AE97" s="508"/>
      <c r="AF97" s="508"/>
      <c r="AG97" s="1624"/>
      <c r="AH97" s="1624"/>
      <c r="AI97" s="1624"/>
      <c r="AJ97" s="1624"/>
      <c r="AK97" s="1624"/>
      <c r="AL97" s="1624"/>
      <c r="AM97" s="1624"/>
      <c r="AN97" s="1624"/>
      <c r="AO97" s="1624"/>
      <c r="AP97" s="213"/>
    </row>
    <row r="98" spans="1:52">
      <c r="A98" s="306" t="s">
        <v>1477</v>
      </c>
      <c r="B98" s="307"/>
      <c r="C98" s="307"/>
      <c r="D98" s="307"/>
      <c r="E98" s="307"/>
      <c r="F98" s="307"/>
      <c r="G98" s="307"/>
      <c r="H98" s="307"/>
      <c r="I98" s="307"/>
      <c r="J98" s="307"/>
      <c r="K98" s="307"/>
      <c r="L98" s="307"/>
      <c r="M98" s="308"/>
      <c r="N98" s="308"/>
      <c r="O98" s="308"/>
      <c r="P98" s="308"/>
      <c r="Q98" s="308"/>
      <c r="R98" s="308"/>
      <c r="S98" s="308"/>
      <c r="T98" s="308"/>
      <c r="U98" s="308"/>
      <c r="V98" s="308"/>
      <c r="W98" s="308"/>
      <c r="X98" s="308"/>
      <c r="Y98" s="308"/>
      <c r="Z98" s="308"/>
      <c r="AA98" s="308"/>
      <c r="AB98" s="308"/>
      <c r="AC98" s="308"/>
      <c r="AD98" s="308"/>
      <c r="AE98" s="308"/>
      <c r="AF98" s="308"/>
      <c r="AG98" s="1624"/>
      <c r="AH98" s="1624"/>
      <c r="AI98" s="1624"/>
      <c r="AJ98" s="1624"/>
      <c r="AK98" s="1624"/>
      <c r="AL98" s="1624"/>
      <c r="AM98" s="1624"/>
      <c r="AN98" s="1624"/>
      <c r="AO98" s="1624"/>
      <c r="AP98" s="213"/>
    </row>
    <row r="99" spans="1:52">
      <c r="A99" s="19"/>
      <c r="B99" s="213"/>
      <c r="C99" s="213"/>
      <c r="D99" s="213"/>
      <c r="E99" s="213"/>
      <c r="F99" s="213"/>
      <c r="G99" s="213"/>
      <c r="H99" s="213"/>
      <c r="I99" s="213"/>
      <c r="J99" s="213"/>
      <c r="K99" s="213"/>
      <c r="L99" s="213"/>
      <c r="M99" s="213"/>
      <c r="N99" s="213"/>
      <c r="O99" s="213"/>
      <c r="P99" s="213"/>
      <c r="Q99" s="213"/>
      <c r="R99" s="213"/>
      <c r="S99" s="213"/>
      <c r="T99" s="213"/>
      <c r="U99" s="213"/>
      <c r="V99" s="213"/>
      <c r="W99" s="213"/>
      <c r="X99" s="213"/>
      <c r="Y99" s="213"/>
      <c r="Z99" s="213"/>
      <c r="AA99" s="213"/>
      <c r="AB99" s="213"/>
      <c r="AC99" s="213"/>
      <c r="AD99" s="213"/>
      <c r="AE99" s="213"/>
      <c r="AF99" s="213"/>
      <c r="AG99" s="1624"/>
      <c r="AH99" s="1624"/>
      <c r="AI99" s="1624"/>
      <c r="AJ99" s="1624"/>
      <c r="AK99" s="1624"/>
      <c r="AL99" s="1624"/>
      <c r="AM99" s="1624"/>
      <c r="AN99" s="1624"/>
      <c r="AO99" s="1624"/>
      <c r="AP99" s="213"/>
    </row>
    <row r="100" spans="1:52">
      <c r="A100" s="306" t="s">
        <v>1267</v>
      </c>
      <c r="B100" s="307"/>
      <c r="C100" s="307"/>
      <c r="D100" s="307"/>
      <c r="E100" s="307"/>
      <c r="F100" s="307"/>
      <c r="G100" s="307"/>
      <c r="H100" s="307"/>
      <c r="I100" s="307"/>
      <c r="J100" s="307"/>
      <c r="K100" s="307"/>
      <c r="L100" s="307"/>
      <c r="M100" s="384"/>
      <c r="N100" s="384"/>
      <c r="O100" s="384"/>
      <c r="P100" s="384"/>
      <c r="Q100" s="384"/>
      <c r="R100" s="384"/>
      <c r="S100" s="384"/>
      <c r="T100" s="384"/>
      <c r="U100" s="308"/>
      <c r="V100" s="308"/>
      <c r="W100" s="308"/>
      <c r="X100" s="308"/>
      <c r="Y100" s="308"/>
      <c r="Z100" s="308"/>
      <c r="AA100" s="308"/>
      <c r="AB100" s="308"/>
      <c r="AC100" s="308"/>
      <c r="AD100" s="308"/>
      <c r="AE100" s="308"/>
      <c r="AF100" s="308"/>
      <c r="AG100" s="1624"/>
      <c r="AH100" s="1624"/>
      <c r="AI100" s="1624"/>
      <c r="AJ100" s="1624"/>
      <c r="AK100" s="1624"/>
      <c r="AL100" s="1624"/>
      <c r="AM100" s="1624"/>
      <c r="AN100" s="1624"/>
      <c r="AO100" s="1624"/>
      <c r="AP100" s="213"/>
    </row>
    <row r="101" spans="1:52">
      <c r="A101" s="291" t="s">
        <v>1799</v>
      </c>
      <c r="B101" s="213"/>
      <c r="C101" s="213"/>
      <c r="D101" s="213"/>
      <c r="E101" s="213"/>
      <c r="F101" s="213"/>
      <c r="G101" s="213"/>
      <c r="H101" s="213"/>
      <c r="I101" s="213"/>
      <c r="J101" s="213"/>
      <c r="K101" s="213"/>
      <c r="L101" s="343"/>
      <c r="M101" s="343"/>
      <c r="N101" s="343"/>
      <c r="O101" s="343"/>
      <c r="P101" s="343"/>
      <c r="Q101" s="343"/>
      <c r="R101" s="343"/>
      <c r="S101" s="343"/>
      <c r="T101" s="343">
        <v>3548.8602811347168</v>
      </c>
      <c r="U101" s="465">
        <v>3946.3326326218053</v>
      </c>
      <c r="V101" s="465">
        <v>2028.414973167608</v>
      </c>
      <c r="W101" s="343">
        <f t="shared" ref="W101:W102" si="52">V101*(1+W105)</f>
        <v>2101.4379122016421</v>
      </c>
      <c r="X101" s="343">
        <f t="shared" ref="X101:X102" si="53">W101*(1+X105)</f>
        <v>3009.2590902727516</v>
      </c>
      <c r="Y101" s="343">
        <f t="shared" ref="Y101:Y102" si="54">X101*(1+Y105)</f>
        <v>3939.1201491670317</v>
      </c>
      <c r="Z101" s="343">
        <f t="shared" ref="Z101:Z102" si="55">Y101*(1+Z105)</f>
        <v>4589.0749737795923</v>
      </c>
      <c r="AA101" s="343">
        <f>SUM(AA166,AA243,AA268)</f>
        <v>5430.1801576969483</v>
      </c>
      <c r="AB101" s="343">
        <f t="shared" ref="AB101:AF101" si="56">SUM(AB166,AB243,AB268)</f>
        <v>6162.555982406242</v>
      </c>
      <c r="AC101" s="343">
        <f t="shared" si="56"/>
        <v>6384.9664920258347</v>
      </c>
      <c r="AD101" s="343">
        <f t="shared" si="56"/>
        <v>6406.9381020476876</v>
      </c>
      <c r="AE101" s="343">
        <f t="shared" si="56"/>
        <v>6260.4481650571079</v>
      </c>
      <c r="AF101" s="343">
        <f t="shared" si="56"/>
        <v>6061.574165928213</v>
      </c>
      <c r="AG101" s="1624"/>
      <c r="AI101" s="1624"/>
      <c r="AJ101" s="1624"/>
      <c r="AK101" s="1624"/>
      <c r="AL101" s="1624"/>
      <c r="AM101" s="1624"/>
      <c r="AN101" s="1624"/>
      <c r="AO101" s="1624"/>
      <c r="AP101" s="1624"/>
      <c r="AQ101" s="1622"/>
      <c r="AR101" s="1622"/>
      <c r="AS101" s="1622"/>
      <c r="AT101" s="1622"/>
      <c r="AU101" s="1622"/>
      <c r="AV101" s="1622"/>
      <c r="AW101" s="1622"/>
      <c r="AX101" s="1622"/>
      <c r="AY101" s="1622"/>
      <c r="AZ101" s="1622"/>
    </row>
    <row r="102" spans="1:52">
      <c r="A102" s="291" t="s">
        <v>1023</v>
      </c>
      <c r="B102" s="213"/>
      <c r="C102" s="213"/>
      <c r="D102" s="213"/>
      <c r="E102" s="213"/>
      <c r="F102" s="213"/>
      <c r="G102" s="213"/>
      <c r="H102" s="213"/>
      <c r="I102" s="213"/>
      <c r="J102" s="213"/>
      <c r="K102" s="213"/>
      <c r="L102" s="343"/>
      <c r="M102" s="343"/>
      <c r="N102" s="343"/>
      <c r="O102" s="343"/>
      <c r="P102" s="343"/>
      <c r="Q102" s="343"/>
      <c r="R102" s="343"/>
      <c r="S102" s="343"/>
      <c r="T102" s="343">
        <v>1764.2142837144747</v>
      </c>
      <c r="U102" s="465">
        <v>1891.237712141917</v>
      </c>
      <c r="V102" s="465">
        <v>1310.6277345143485</v>
      </c>
      <c r="W102" s="343">
        <f t="shared" si="52"/>
        <v>1481.0093400012136</v>
      </c>
      <c r="X102" s="343">
        <f t="shared" si="53"/>
        <v>1596.5280685213083</v>
      </c>
      <c r="Y102" s="343">
        <f t="shared" si="54"/>
        <v>2187.2434538741927</v>
      </c>
      <c r="Z102" s="343">
        <f t="shared" si="55"/>
        <v>3018.3959663463856</v>
      </c>
      <c r="AA102" s="343">
        <f>SUM(AA167,AA244,AA245)</f>
        <v>3548.9305993923158</v>
      </c>
      <c r="AB102" s="343">
        <f t="shared" ref="AB102:AF102" si="57">SUM(AB167,AB244,AB245)</f>
        <v>4390.2648217682936</v>
      </c>
      <c r="AC102" s="343">
        <f t="shared" si="57"/>
        <v>5406.6920180787984</v>
      </c>
      <c r="AD102" s="343">
        <f t="shared" si="57"/>
        <v>6456.888966495655</v>
      </c>
      <c r="AE102" s="343">
        <f t="shared" si="57"/>
        <v>7023.6268853262281</v>
      </c>
      <c r="AF102" s="343">
        <f t="shared" si="57"/>
        <v>7649.4179299320058</v>
      </c>
      <c r="AG102" s="1624"/>
      <c r="AI102" s="1624"/>
      <c r="AJ102" s="1624"/>
      <c r="AK102" s="1624"/>
      <c r="AL102" s="1624"/>
      <c r="AM102" s="1624"/>
      <c r="AN102" s="1624"/>
      <c r="AO102" s="1624"/>
      <c r="AP102" s="1624"/>
      <c r="AQ102" s="1622"/>
      <c r="AR102" s="1622"/>
      <c r="AS102" s="1622"/>
      <c r="AT102" s="1622"/>
      <c r="AU102" s="1622"/>
      <c r="AV102" s="1622"/>
      <c r="AW102" s="1622"/>
      <c r="AX102" s="1622"/>
      <c r="AY102" s="1622"/>
      <c r="AZ102" s="1622"/>
    </row>
    <row r="103" spans="1:52">
      <c r="A103" s="214" t="s">
        <v>1530</v>
      </c>
      <c r="B103" s="57"/>
      <c r="C103" s="57"/>
      <c r="D103" s="57"/>
      <c r="E103" s="57"/>
      <c r="F103" s="57"/>
      <c r="G103" s="57"/>
      <c r="H103" s="57"/>
      <c r="I103" s="57"/>
      <c r="J103" s="57"/>
      <c r="K103" s="57"/>
      <c r="L103" s="382"/>
      <c r="M103" s="382"/>
      <c r="N103" s="382"/>
      <c r="O103" s="343"/>
      <c r="P103" s="343"/>
      <c r="Q103" s="343"/>
      <c r="R103" s="343"/>
      <c r="S103" s="343"/>
      <c r="T103" s="382">
        <f t="shared" ref="T103:W103" si="58">SUM(T101:T102)</f>
        <v>5313.074564849192</v>
      </c>
      <c r="U103" s="382">
        <v>5837.5703447637225</v>
      </c>
      <c r="V103" s="382">
        <f t="shared" si="58"/>
        <v>3339.0427076819565</v>
      </c>
      <c r="W103" s="382">
        <f t="shared" si="58"/>
        <v>3582.4472522028555</v>
      </c>
      <c r="X103" s="382">
        <f t="shared" ref="X103:AF103" si="59">SUM(X101:X102)</f>
        <v>4605.7871587940599</v>
      </c>
      <c r="Y103" s="382">
        <f t="shared" si="59"/>
        <v>6126.3636030412245</v>
      </c>
      <c r="Z103" s="382">
        <f t="shared" si="59"/>
        <v>7607.4709401259779</v>
      </c>
      <c r="AA103" s="382">
        <f t="shared" si="59"/>
        <v>8979.1107570892636</v>
      </c>
      <c r="AB103" s="382">
        <f t="shared" si="59"/>
        <v>10552.820804174535</v>
      </c>
      <c r="AC103" s="382">
        <f t="shared" si="59"/>
        <v>11791.658510104633</v>
      </c>
      <c r="AD103" s="382">
        <f t="shared" si="59"/>
        <v>12863.827068543342</v>
      </c>
      <c r="AE103" s="382">
        <f t="shared" si="59"/>
        <v>13284.075050383337</v>
      </c>
      <c r="AF103" s="382">
        <f t="shared" si="59"/>
        <v>13710.99209586022</v>
      </c>
      <c r="AG103" s="1628"/>
      <c r="AH103" s="1624" t="s">
        <v>1603</v>
      </c>
      <c r="AI103" s="1628"/>
      <c r="AJ103" s="1628"/>
      <c r="AK103" s="1628"/>
      <c r="AL103" s="1628"/>
      <c r="AM103" s="1628"/>
      <c r="AN103" s="1628"/>
      <c r="AO103" s="1628"/>
      <c r="AP103" s="1639"/>
      <c r="AQ103" s="1639">
        <v>2024</v>
      </c>
      <c r="AR103" s="1640">
        <f>AQ103+1</f>
        <v>2025</v>
      </c>
      <c r="AS103" s="1640">
        <f t="shared" ref="AS103:AW103" si="60">AR103+1</f>
        <v>2026</v>
      </c>
      <c r="AT103" s="1640">
        <f t="shared" si="60"/>
        <v>2027</v>
      </c>
      <c r="AU103" s="1640">
        <f t="shared" si="60"/>
        <v>2028</v>
      </c>
      <c r="AV103" s="1640">
        <f t="shared" si="60"/>
        <v>2029</v>
      </c>
      <c r="AW103" s="1640">
        <f t="shared" si="60"/>
        <v>2030</v>
      </c>
      <c r="AX103" s="1622"/>
      <c r="AY103" s="1622"/>
      <c r="AZ103" s="1622"/>
    </row>
    <row r="104" spans="1:52">
      <c r="A104" s="349" t="s">
        <v>1489</v>
      </c>
      <c r="B104" s="383"/>
      <c r="C104" s="383"/>
      <c r="D104" s="383"/>
      <c r="E104" s="383"/>
      <c r="F104" s="383"/>
      <c r="G104" s="383"/>
      <c r="H104" s="383"/>
      <c r="I104" s="383"/>
      <c r="J104" s="216"/>
      <c r="K104" s="231"/>
      <c r="L104" s="231"/>
      <c r="M104" s="1189"/>
      <c r="N104" s="1189"/>
      <c r="O104" s="343"/>
      <c r="P104" s="343"/>
      <c r="Q104" s="343"/>
      <c r="R104" s="343"/>
      <c r="S104" s="343"/>
      <c r="T104" s="1189">
        <v>0.122</v>
      </c>
      <c r="U104" s="1189">
        <v>9.9000000000000005E-2</v>
      </c>
      <c r="V104" s="1189">
        <v>-0.43200000000000005</v>
      </c>
      <c r="W104" s="1189">
        <v>7.0999999999999994E-2</v>
      </c>
      <c r="X104" s="1189">
        <v>0.29299999999999998</v>
      </c>
      <c r="Y104" s="1189">
        <v>0.32900000000000001</v>
      </c>
      <c r="Z104" s="1189">
        <v>0.249</v>
      </c>
      <c r="AA104" s="256">
        <f>AA103/Z103-1</f>
        <v>0.18030168340551977</v>
      </c>
      <c r="AB104" s="256">
        <f t="shared" ref="AB104:AF104" si="61">AB103/AA103-1</f>
        <v>0.17526346312665564</v>
      </c>
      <c r="AC104" s="256">
        <f t="shared" si="61"/>
        <v>0.11739398677555801</v>
      </c>
      <c r="AD104" s="256">
        <f t="shared" si="61"/>
        <v>9.0926018381547902E-2</v>
      </c>
      <c r="AE104" s="256">
        <f t="shared" si="61"/>
        <v>3.266897009737102E-2</v>
      </c>
      <c r="AF104" s="256">
        <f t="shared" si="61"/>
        <v>3.2137506289123374E-2</v>
      </c>
      <c r="AG104" s="1628"/>
      <c r="AH104" s="1624"/>
      <c r="AI104" s="1628"/>
      <c r="AJ104" s="1628"/>
      <c r="AK104" s="1628"/>
      <c r="AL104" s="1628"/>
      <c r="AM104" s="1628"/>
      <c r="AN104" s="1628"/>
      <c r="AP104" s="1622"/>
      <c r="AQ104" s="1622"/>
      <c r="AR104" s="1622"/>
      <c r="AS104" s="1622"/>
      <c r="AT104" s="1622"/>
      <c r="AU104" s="1622"/>
      <c r="AV104" s="1622"/>
      <c r="AW104" s="1622"/>
      <c r="AX104" s="1622"/>
      <c r="AY104" s="1622"/>
      <c r="AZ104" s="1622"/>
    </row>
    <row r="105" spans="1:52">
      <c r="A105" s="741" t="s">
        <v>1800</v>
      </c>
      <c r="B105" s="383"/>
      <c r="C105" s="383"/>
      <c r="D105" s="383"/>
      <c r="E105" s="383"/>
      <c r="F105" s="383"/>
      <c r="G105" s="383"/>
      <c r="H105" s="383"/>
      <c r="I105" s="383"/>
      <c r="J105" s="216"/>
      <c r="K105" s="231"/>
      <c r="L105" s="231"/>
      <c r="M105" s="1189"/>
      <c r="N105" s="1189"/>
      <c r="O105" s="343"/>
      <c r="P105" s="343"/>
      <c r="Q105" s="343"/>
      <c r="R105" s="343"/>
      <c r="S105" s="343"/>
      <c r="T105" s="1189"/>
      <c r="U105" s="1189">
        <v>0.112</v>
      </c>
      <c r="V105" s="1189">
        <v>-0.48599999999999999</v>
      </c>
      <c r="W105" s="1189">
        <v>3.5999999999999997E-2</v>
      </c>
      <c r="X105" s="1189">
        <v>0.432</v>
      </c>
      <c r="Y105" s="1189">
        <v>0.309</v>
      </c>
      <c r="Z105" s="1189">
        <v>0.16500000000000001</v>
      </c>
      <c r="AA105" s="256">
        <f>AA101/Z101-1</f>
        <v>0.1832842541739117</v>
      </c>
      <c r="AB105" s="256">
        <f t="shared" ref="AB105:AF105" si="62">AB101/AA101-1</f>
        <v>0.13487136769692554</v>
      </c>
      <c r="AC105" s="256">
        <f t="shared" si="62"/>
        <v>3.6090627047374868E-2</v>
      </c>
      <c r="AD105" s="256">
        <f t="shared" si="62"/>
        <v>3.4411472713746782E-3</v>
      </c>
      <c r="AE105" s="256">
        <f t="shared" si="62"/>
        <v>-2.2864265996851318E-2</v>
      </c>
      <c r="AF105" s="256">
        <f t="shared" si="62"/>
        <v>-3.1766735205782326E-2</v>
      </c>
      <c r="AG105" s="1628"/>
      <c r="AH105" s="1624" t="s">
        <v>2012</v>
      </c>
      <c r="AI105" s="1628"/>
      <c r="AJ105" s="1628"/>
      <c r="AK105" s="1628"/>
      <c r="AL105" s="1628"/>
      <c r="AM105" s="1628"/>
      <c r="AN105" s="1628"/>
      <c r="AO105" s="1628" t="s">
        <v>1986</v>
      </c>
      <c r="AP105" s="1641"/>
      <c r="AQ105" s="1641">
        <f>Z193</f>
        <v>1107.5</v>
      </c>
      <c r="AR105" s="1641">
        <f t="shared" ref="AR105:AW105" si="63">AA193</f>
        <v>1500</v>
      </c>
      <c r="AS105" s="1641">
        <f t="shared" si="63"/>
        <v>1910.65116728306</v>
      </c>
      <c r="AT105" s="1641">
        <f t="shared" si="63"/>
        <v>2433.7252553600797</v>
      </c>
      <c r="AU105" s="1641">
        <f t="shared" si="63"/>
        <v>3100</v>
      </c>
      <c r="AV105" s="1641">
        <f t="shared" si="63"/>
        <v>3270</v>
      </c>
      <c r="AW105" s="1641">
        <f t="shared" si="63"/>
        <v>3440</v>
      </c>
      <c r="AX105" s="1622"/>
      <c r="AY105" s="1622"/>
      <c r="AZ105" s="1622"/>
    </row>
    <row r="106" spans="1:52">
      <c r="A106" s="741" t="s">
        <v>1796</v>
      </c>
      <c r="B106" s="383"/>
      <c r="C106" s="383"/>
      <c r="D106" s="383"/>
      <c r="E106" s="383"/>
      <c r="F106" s="383"/>
      <c r="G106" s="383"/>
      <c r="H106" s="383"/>
      <c r="I106" s="383"/>
      <c r="J106" s="216"/>
      <c r="K106" s="231"/>
      <c r="L106" s="231"/>
      <c r="M106" s="1189"/>
      <c r="N106" s="1189"/>
      <c r="O106" s="343"/>
      <c r="P106" s="343"/>
      <c r="Q106" s="343"/>
      <c r="R106" s="343"/>
      <c r="S106" s="343"/>
      <c r="T106" s="1189"/>
      <c r="U106" s="1189">
        <v>7.1999999999999995E-2</v>
      </c>
      <c r="V106" s="1189">
        <v>-0.307</v>
      </c>
      <c r="W106" s="1189">
        <v>0.13</v>
      </c>
      <c r="X106" s="1189">
        <v>7.8E-2</v>
      </c>
      <c r="Y106" s="1189">
        <v>0.37</v>
      </c>
      <c r="Z106" s="1189">
        <v>0.38</v>
      </c>
      <c r="AA106" s="256">
        <f>AA102/Z102-1</f>
        <v>0.17576707594402041</v>
      </c>
      <c r="AB106" s="256">
        <f t="shared" ref="AB106:AF106" si="64">AB102/AA102-1</f>
        <v>0.23706696955979911</v>
      </c>
      <c r="AC106" s="256">
        <f t="shared" si="64"/>
        <v>0.2315184248728559</v>
      </c>
      <c r="AD106" s="256">
        <f t="shared" si="64"/>
        <v>0.1942402017546454</v>
      </c>
      <c r="AE106" s="256">
        <f t="shared" si="64"/>
        <v>8.7772597882871617E-2</v>
      </c>
      <c r="AF106" s="256">
        <f t="shared" si="64"/>
        <v>8.9097990941571892E-2</v>
      </c>
      <c r="AG106" s="1628"/>
      <c r="AH106" s="1624" t="s">
        <v>2012</v>
      </c>
      <c r="AI106" s="1628"/>
      <c r="AJ106" s="1628"/>
      <c r="AK106" s="1628"/>
      <c r="AL106" s="1628"/>
      <c r="AM106" s="1628"/>
      <c r="AN106" s="1628"/>
      <c r="AO106" s="1628" t="s">
        <v>1987</v>
      </c>
      <c r="AP106" s="1628"/>
      <c r="AQ106" s="1641">
        <f>Z136</f>
        <v>2221.89453125</v>
      </c>
      <c r="AR106" s="1641">
        <f>AA136</f>
        <v>2550</v>
      </c>
      <c r="AS106" s="1641">
        <f>AB136-300</f>
        <v>2586</v>
      </c>
      <c r="AT106" s="1641">
        <f t="shared" ref="AT106:AV106" si="65">AC136-300</f>
        <v>2634</v>
      </c>
      <c r="AU106" s="1641">
        <f t="shared" si="65"/>
        <v>2534</v>
      </c>
      <c r="AV106" s="1641">
        <f t="shared" si="65"/>
        <v>2384</v>
      </c>
      <c r="AW106" s="1641">
        <f>AF136-200</f>
        <v>2284</v>
      </c>
      <c r="AX106" s="1622"/>
      <c r="AY106" s="1622"/>
      <c r="AZ106" s="1622"/>
    </row>
    <row r="107" spans="1:52">
      <c r="A107" s="741"/>
      <c r="B107" s="383"/>
      <c r="C107" s="383"/>
      <c r="D107" s="383"/>
      <c r="E107" s="383"/>
      <c r="F107" s="383"/>
      <c r="G107" s="383"/>
      <c r="H107" s="383"/>
      <c r="I107" s="383"/>
      <c r="J107" s="216"/>
      <c r="K107" s="231"/>
      <c r="L107" s="231"/>
      <c r="M107" s="1189"/>
      <c r="N107" s="1189"/>
      <c r="O107" s="343"/>
      <c r="P107" s="343"/>
      <c r="Q107" s="343"/>
      <c r="R107" s="343"/>
      <c r="S107" s="343"/>
      <c r="T107" s="1189"/>
      <c r="U107" s="1189"/>
      <c r="V107" s="1189"/>
      <c r="W107" s="1189"/>
      <c r="X107" s="1189"/>
      <c r="Y107" s="1189"/>
      <c r="Z107" s="1189"/>
      <c r="AA107" s="256"/>
      <c r="AB107" s="256"/>
      <c r="AC107" s="256"/>
      <c r="AD107" s="256"/>
      <c r="AE107" s="256"/>
      <c r="AF107" s="256"/>
      <c r="AG107" s="1628"/>
      <c r="AH107" s="1629"/>
      <c r="AI107" s="1628"/>
      <c r="AJ107" s="1628"/>
      <c r="AK107" s="1628"/>
      <c r="AL107" s="1628"/>
      <c r="AM107" s="1628"/>
      <c r="AN107" s="1628"/>
      <c r="AP107" s="1622"/>
      <c r="AQ107" s="1622"/>
      <c r="AR107" s="1622"/>
      <c r="AS107" s="1622"/>
      <c r="AT107" s="1622"/>
      <c r="AU107" s="1622"/>
      <c r="AV107" s="1622"/>
      <c r="AW107" s="1622"/>
      <c r="AX107" s="1622"/>
      <c r="AY107" s="1622"/>
      <c r="AZ107" s="1622"/>
    </row>
    <row r="108" spans="1:52">
      <c r="A108" s="19" t="s">
        <v>1498</v>
      </c>
      <c r="B108" s="213"/>
      <c r="C108" s="213"/>
      <c r="D108" s="213"/>
      <c r="E108" s="213"/>
      <c r="F108" s="213"/>
      <c r="G108" s="213"/>
      <c r="H108" s="213"/>
      <c r="I108" s="213"/>
      <c r="J108" s="208"/>
      <c r="K108" s="211"/>
      <c r="L108" s="233"/>
      <c r="M108" s="233"/>
      <c r="N108" s="233"/>
      <c r="O108" s="233"/>
      <c r="P108" s="233"/>
      <c r="Q108" s="233"/>
      <c r="R108" s="233"/>
      <c r="S108" s="233"/>
      <c r="T108" s="233">
        <f>'Income Statement'!T$155</f>
        <v>1.18028</v>
      </c>
      <c r="U108" s="233">
        <v>1.159077672574627</v>
      </c>
      <c r="V108" s="233">
        <f>'Income Statement'!V$155</f>
        <v>1.1490638246268656</v>
      </c>
      <c r="W108" s="233">
        <f>'Income Statement'!W$155</f>
        <v>1.1713242788461544</v>
      </c>
      <c r="X108" s="233">
        <f>'Income Statement'!X$155</f>
        <v>1.1065795550914248</v>
      </c>
      <c r="Y108" s="233">
        <f>'Income Statement'!Y$155</f>
        <v>1.1105369302909465</v>
      </c>
      <c r="Z108" s="233">
        <f>'Income Statement'!Z$155</f>
        <v>1.1083231112074399</v>
      </c>
      <c r="AA108" s="1301">
        <f>'Income Statement'!AA$155</f>
        <v>1.1207295968584789</v>
      </c>
      <c r="AB108" s="1301">
        <f>'Income Statement'!AB$155</f>
        <v>1.1426415000000001</v>
      </c>
      <c r="AC108" s="1301">
        <f>'Income Statement'!AC$155</f>
        <v>1.1426415000000001</v>
      </c>
      <c r="AD108" s="1301">
        <f>'Income Statement'!AD$155</f>
        <v>1.1426415000000001</v>
      </c>
      <c r="AE108" s="1301">
        <f>'Income Statement'!AE$155</f>
        <v>1.1426415000000001</v>
      </c>
      <c r="AF108" s="1301">
        <f>'Income Statement'!AF$155</f>
        <v>1.1426415000000001</v>
      </c>
      <c r="AG108" s="1628"/>
      <c r="AH108" s="1628"/>
      <c r="AI108" s="1628"/>
      <c r="AJ108" s="1628"/>
      <c r="AK108" s="1628"/>
      <c r="AL108" s="1628"/>
      <c r="AM108" s="1628"/>
      <c r="AN108" s="1628"/>
      <c r="AP108" s="1622"/>
      <c r="AQ108" s="1628"/>
      <c r="AR108" s="1628"/>
      <c r="AS108" s="1628"/>
      <c r="AT108" s="1628"/>
      <c r="AU108" s="1628"/>
      <c r="AV108" s="1628"/>
      <c r="AW108" s="1628"/>
      <c r="AX108" s="1622"/>
      <c r="AY108" s="1622"/>
      <c r="AZ108" s="1622"/>
    </row>
    <row r="109" spans="1:52">
      <c r="A109" s="19" t="s">
        <v>1499</v>
      </c>
      <c r="B109" s="213"/>
      <c r="C109" s="213"/>
      <c r="D109" s="213"/>
      <c r="E109" s="213"/>
      <c r="F109" s="213"/>
      <c r="G109" s="213"/>
      <c r="H109" s="213"/>
      <c r="I109" s="213"/>
      <c r="J109" s="208"/>
      <c r="K109" s="211"/>
      <c r="L109" s="207"/>
      <c r="M109" s="207"/>
      <c r="N109" s="207"/>
      <c r="O109" s="207"/>
      <c r="P109" s="207"/>
      <c r="Q109" s="207"/>
      <c r="R109" s="207"/>
      <c r="S109" s="207"/>
      <c r="T109" s="207"/>
      <c r="U109" s="207">
        <v>1.8292412947854331E-2</v>
      </c>
      <c r="V109" s="207">
        <f t="shared" ref="V109:AF109" si="66">(1/V108)/(1/U108)-1</f>
        <v>8.7147882764591067E-3</v>
      </c>
      <c r="W109" s="207">
        <f t="shared" si="66"/>
        <v>-1.9004518749681454E-2</v>
      </c>
      <c r="X109" s="207">
        <f t="shared" si="66"/>
        <v>5.8508873995399613E-2</v>
      </c>
      <c r="Y109" s="207">
        <f t="shared" si="66"/>
        <v>-3.5634791528138532E-3</v>
      </c>
      <c r="Z109" s="207">
        <f t="shared" si="66"/>
        <v>1.9974491744512157E-3</v>
      </c>
      <c r="AA109" s="207">
        <f t="shared" si="66"/>
        <v>-1.1070008042810442E-2</v>
      </c>
      <c r="AB109" s="207">
        <f t="shared" si="66"/>
        <v>-1.9176533621018677E-2</v>
      </c>
      <c r="AC109" s="207">
        <f t="shared" si="66"/>
        <v>0</v>
      </c>
      <c r="AD109" s="207">
        <f t="shared" si="66"/>
        <v>0</v>
      </c>
      <c r="AE109" s="207">
        <f t="shared" si="66"/>
        <v>0</v>
      </c>
      <c r="AF109" s="207">
        <f t="shared" si="66"/>
        <v>0</v>
      </c>
      <c r="AG109" s="1628"/>
      <c r="AH109" s="1628"/>
      <c r="AI109" s="1628"/>
      <c r="AJ109" s="1628"/>
      <c r="AK109" s="1628"/>
      <c r="AL109" s="1628"/>
      <c r="AM109" s="1628"/>
      <c r="AN109" s="1628"/>
      <c r="AO109" s="1628" t="s">
        <v>2051</v>
      </c>
      <c r="AP109" s="1642"/>
      <c r="AQ109" s="1643">
        <v>5</v>
      </c>
      <c r="AR109" s="1643">
        <f t="shared" ref="AR109:AW109" si="67">AQ109*(1+AR$111)</f>
        <v>5.0999999999999996</v>
      </c>
      <c r="AS109" s="1643">
        <f t="shared" si="67"/>
        <v>5.202</v>
      </c>
      <c r="AT109" s="1643">
        <f t="shared" si="67"/>
        <v>5.3060400000000003</v>
      </c>
      <c r="AU109" s="1643">
        <f t="shared" si="67"/>
        <v>5.4121608000000005</v>
      </c>
      <c r="AV109" s="1643">
        <f t="shared" si="67"/>
        <v>5.5204040160000005</v>
      </c>
      <c r="AW109" s="1643">
        <f t="shared" si="67"/>
        <v>5.6308120963200006</v>
      </c>
      <c r="AX109" s="1622"/>
      <c r="AY109" s="1622"/>
      <c r="AZ109" s="1622"/>
    </row>
    <row r="110" spans="1:52">
      <c r="A110" s="19"/>
      <c r="B110" s="213"/>
      <c r="C110" s="213"/>
      <c r="D110" s="213"/>
      <c r="E110" s="213"/>
      <c r="F110" s="213"/>
      <c r="G110" s="213"/>
      <c r="H110" s="213"/>
      <c r="I110" s="213"/>
      <c r="J110" s="208"/>
      <c r="K110" s="211"/>
      <c r="L110" s="211"/>
      <c r="M110" s="211"/>
      <c r="N110" s="208"/>
      <c r="O110" s="207"/>
      <c r="P110" s="207"/>
      <c r="Q110" s="207"/>
      <c r="R110" s="207"/>
      <c r="S110" s="207"/>
      <c r="T110" s="207"/>
      <c r="U110" s="207"/>
      <c r="V110" s="207"/>
      <c r="W110" s="207"/>
      <c r="X110" s="207"/>
      <c r="Y110" s="207"/>
      <c r="Z110" s="207"/>
      <c r="AA110" s="207"/>
      <c r="AB110" s="207"/>
      <c r="AC110" s="207"/>
      <c r="AD110" s="207"/>
      <c r="AE110" s="207"/>
      <c r="AF110" s="207"/>
      <c r="AG110" s="1628"/>
      <c r="AH110" s="1628"/>
      <c r="AI110" s="1628"/>
      <c r="AJ110" s="1628"/>
      <c r="AK110" s="1628"/>
      <c r="AL110" s="1628"/>
      <c r="AM110" s="1628"/>
      <c r="AN110" s="1628"/>
      <c r="AO110" s="1628" t="s">
        <v>2052</v>
      </c>
      <c r="AP110" s="1642"/>
      <c r="AQ110" s="1643">
        <v>3.5</v>
      </c>
      <c r="AR110" s="1643">
        <f t="shared" ref="AR110:AW110" si="68">AQ110*(1+AR$111)</f>
        <v>3.5700000000000003</v>
      </c>
      <c r="AS110" s="1643">
        <f t="shared" si="68"/>
        <v>3.6414000000000004</v>
      </c>
      <c r="AT110" s="1643">
        <f t="shared" si="68"/>
        <v>3.7142280000000003</v>
      </c>
      <c r="AU110" s="1643">
        <f t="shared" si="68"/>
        <v>3.7885125600000005</v>
      </c>
      <c r="AV110" s="1643">
        <f t="shared" si="68"/>
        <v>3.8642828112000007</v>
      </c>
      <c r="AW110" s="1643">
        <f t="shared" si="68"/>
        <v>3.941568467424001</v>
      </c>
      <c r="AX110" s="1622"/>
      <c r="AY110" s="1622"/>
      <c r="AZ110" s="1622"/>
    </row>
    <row r="111" spans="1:52">
      <c r="A111" s="291" t="s">
        <v>1799</v>
      </c>
      <c r="B111" s="213"/>
      <c r="C111" s="213"/>
      <c r="D111" s="213"/>
      <c r="E111" s="213"/>
      <c r="F111" s="213"/>
      <c r="G111" s="213"/>
      <c r="H111" s="213"/>
      <c r="I111" s="213"/>
      <c r="J111" s="213"/>
      <c r="K111" s="213"/>
      <c r="L111" s="343"/>
      <c r="M111" s="343"/>
      <c r="N111" s="343"/>
      <c r="O111" s="343"/>
      <c r="P111" s="343"/>
      <c r="Q111" s="343"/>
      <c r="R111" s="343"/>
      <c r="S111" s="343"/>
      <c r="T111" s="343">
        <f>T101/T$108</f>
        <v>3006.7952359903725</v>
      </c>
      <c r="U111" s="343">
        <v>3404.7180150195854</v>
      </c>
      <c r="V111" s="343">
        <f t="shared" ref="V111:AF111" si="69">V101/V$108</f>
        <v>1765.2761575940251</v>
      </c>
      <c r="W111" s="343">
        <f t="shared" si="69"/>
        <v>1794.070139373976</v>
      </c>
      <c r="X111" s="343">
        <f t="shared" si="69"/>
        <v>2719.4240815556445</v>
      </c>
      <c r="Y111" s="343">
        <f t="shared" si="69"/>
        <v>3547.0411129281697</v>
      </c>
      <c r="Z111" s="343">
        <f t="shared" si="69"/>
        <v>4140.5569615706372</v>
      </c>
      <c r="AA111" s="343">
        <f t="shared" si="69"/>
        <v>4845.2188404038807</v>
      </c>
      <c r="AB111" s="343">
        <f t="shared" si="69"/>
        <v>5393.2541242430298</v>
      </c>
      <c r="AC111" s="343">
        <f t="shared" si="69"/>
        <v>5587.9000474128015</v>
      </c>
      <c r="AD111" s="343">
        <f t="shared" si="69"/>
        <v>5607.1288344136692</v>
      </c>
      <c r="AE111" s="343">
        <f t="shared" si="69"/>
        <v>5478.9259492650208</v>
      </c>
      <c r="AF111" s="343">
        <f t="shared" si="69"/>
        <v>5304.8783594226297</v>
      </c>
      <c r="AG111" s="1628"/>
      <c r="AH111" s="1628"/>
      <c r="AI111" s="1628"/>
      <c r="AJ111" s="1628"/>
      <c r="AK111" s="1628"/>
      <c r="AL111" s="1628"/>
      <c r="AM111" s="1628"/>
      <c r="AN111" s="1628"/>
      <c r="AO111" s="1628" t="s">
        <v>2048</v>
      </c>
      <c r="AP111" s="1644"/>
      <c r="AQ111" s="1644">
        <v>0.02</v>
      </c>
      <c r="AR111" s="1644">
        <v>0.02</v>
      </c>
      <c r="AS111" s="1644">
        <v>0.02</v>
      </c>
      <c r="AT111" s="1644">
        <v>0.02</v>
      </c>
      <c r="AU111" s="1644">
        <v>0.02</v>
      </c>
      <c r="AV111" s="1644">
        <v>0.02</v>
      </c>
      <c r="AW111" s="1644">
        <v>0.02</v>
      </c>
      <c r="AX111" s="1622"/>
      <c r="AY111" s="1622"/>
      <c r="AZ111" s="1622"/>
    </row>
    <row r="112" spans="1:52">
      <c r="A112" s="291" t="s">
        <v>1023</v>
      </c>
      <c r="B112" s="213"/>
      <c r="C112" s="213"/>
      <c r="D112" s="213"/>
      <c r="E112" s="213"/>
      <c r="F112" s="213"/>
      <c r="G112" s="213"/>
      <c r="H112" s="213"/>
      <c r="I112" s="213"/>
      <c r="J112" s="213"/>
      <c r="K112" s="213"/>
      <c r="L112" s="343"/>
      <c r="M112" s="343"/>
      <c r="N112" s="343"/>
      <c r="O112" s="343"/>
      <c r="P112" s="343"/>
      <c r="Q112" s="343"/>
      <c r="R112" s="343"/>
      <c r="S112" s="343"/>
      <c r="T112" s="343">
        <f>T102/T$108</f>
        <v>1494.7421660237187</v>
      </c>
      <c r="U112" s="343">
        <v>1631.674698677409</v>
      </c>
      <c r="V112" s="343">
        <f t="shared" ref="V112:AF112" si="70">V102/V$108</f>
        <v>1140.6048179612194</v>
      </c>
      <c r="W112" s="343">
        <f t="shared" si="70"/>
        <v>1264.3888347128971</v>
      </c>
      <c r="X112" s="343">
        <f t="shared" si="70"/>
        <v>1442.7594122588</v>
      </c>
      <c r="Y112" s="343">
        <f t="shared" si="70"/>
        <v>1969.5368917638452</v>
      </c>
      <c r="Z112" s="343">
        <f t="shared" si="70"/>
        <v>2723.3898994112433</v>
      </c>
      <c r="AA112" s="343">
        <f t="shared" si="70"/>
        <v>3166.6252139145208</v>
      </c>
      <c r="AB112" s="343">
        <f t="shared" si="70"/>
        <v>3842.2066954230991</v>
      </c>
      <c r="AC112" s="343">
        <f t="shared" si="70"/>
        <v>4731.7483375833963</v>
      </c>
      <c r="AD112" s="343">
        <f t="shared" si="70"/>
        <v>5650.844089327803</v>
      </c>
      <c r="AE112" s="343">
        <f t="shared" si="70"/>
        <v>6146.8333552791737</v>
      </c>
      <c r="AF112" s="343">
        <f t="shared" si="70"/>
        <v>6694.50385788719</v>
      </c>
      <c r="AG112" s="1624"/>
      <c r="AH112" s="1629"/>
      <c r="AI112" s="1624"/>
      <c r="AJ112" s="1624"/>
      <c r="AK112" s="1624"/>
      <c r="AL112" s="1624"/>
      <c r="AM112" s="1624"/>
      <c r="AN112" s="1624"/>
      <c r="AO112" s="1628"/>
      <c r="AP112" s="1628"/>
      <c r="AQ112" s="1622"/>
      <c r="AR112" s="1622"/>
      <c r="AS112" s="1622"/>
      <c r="AT112" s="1622"/>
      <c r="AU112" s="1622"/>
      <c r="AV112" s="1622"/>
      <c r="AW112" s="1622"/>
      <c r="AX112" s="1622"/>
      <c r="AY112" s="1622"/>
      <c r="AZ112" s="1622"/>
    </row>
    <row r="113" spans="1:52">
      <c r="A113" s="214" t="s">
        <v>1531</v>
      </c>
      <c r="B113" s="57"/>
      <c r="C113" s="57"/>
      <c r="D113" s="57"/>
      <c r="E113" s="57"/>
      <c r="F113" s="57"/>
      <c r="G113" s="57"/>
      <c r="H113" s="57"/>
      <c r="I113" s="57"/>
      <c r="J113" s="57"/>
      <c r="K113" s="57"/>
      <c r="L113" s="382"/>
      <c r="M113" s="382"/>
      <c r="N113" s="382"/>
      <c r="O113" s="382"/>
      <c r="P113" s="382"/>
      <c r="Q113" s="382"/>
      <c r="R113" s="382"/>
      <c r="S113" s="382"/>
      <c r="T113" s="382">
        <f>T103/T$108</f>
        <v>4501.5374020140916</v>
      </c>
      <c r="U113" s="382">
        <v>5036.3927136969951</v>
      </c>
      <c r="V113" s="382">
        <f t="shared" ref="V113:AF113" si="71">V103/V$108</f>
        <v>2905.8809755552443</v>
      </c>
      <c r="W113" s="382">
        <f t="shared" si="71"/>
        <v>3058.4589740868728</v>
      </c>
      <c r="X113" s="382">
        <f t="shared" si="71"/>
        <v>4162.1834938144448</v>
      </c>
      <c r="Y113" s="382">
        <f t="shared" si="71"/>
        <v>5516.5780046920145</v>
      </c>
      <c r="Z113" s="382">
        <f t="shared" si="71"/>
        <v>6863.9468609818796</v>
      </c>
      <c r="AA113" s="382">
        <f t="shared" si="71"/>
        <v>8011.8440543184015</v>
      </c>
      <c r="AB113" s="382">
        <f t="shared" si="71"/>
        <v>9235.4608196661284</v>
      </c>
      <c r="AC113" s="382">
        <f t="shared" si="71"/>
        <v>10319.648384996197</v>
      </c>
      <c r="AD113" s="382">
        <f t="shared" si="71"/>
        <v>11257.972923741472</v>
      </c>
      <c r="AE113" s="382">
        <f t="shared" si="71"/>
        <v>11625.759304544195</v>
      </c>
      <c r="AF113" s="382">
        <f t="shared" si="71"/>
        <v>11999.38221730982</v>
      </c>
      <c r="AG113" s="1628"/>
      <c r="AH113" s="1629"/>
      <c r="AI113" s="1628"/>
      <c r="AJ113" s="1628"/>
      <c r="AK113" s="1628"/>
      <c r="AL113" s="1628"/>
      <c r="AM113" s="1628"/>
      <c r="AN113" s="1628"/>
      <c r="AO113" s="1628" t="s">
        <v>2049</v>
      </c>
      <c r="AP113" s="1644"/>
      <c r="AQ113" s="1644">
        <v>0.5</v>
      </c>
      <c r="AR113" s="1644">
        <f>AQ113+2%</f>
        <v>0.52</v>
      </c>
      <c r="AS113" s="1644">
        <f t="shared" ref="AS113:AW113" si="72">AR113+2%</f>
        <v>0.54</v>
      </c>
      <c r="AT113" s="1644">
        <f t="shared" si="72"/>
        <v>0.56000000000000005</v>
      </c>
      <c r="AU113" s="1644">
        <f t="shared" si="72"/>
        <v>0.58000000000000007</v>
      </c>
      <c r="AV113" s="1644">
        <f t="shared" si="72"/>
        <v>0.60000000000000009</v>
      </c>
      <c r="AW113" s="1644">
        <f t="shared" si="72"/>
        <v>0.62000000000000011</v>
      </c>
      <c r="AX113" s="1622"/>
      <c r="AY113" s="1622"/>
      <c r="AZ113" s="1622"/>
    </row>
    <row r="114" spans="1:52">
      <c r="A114" s="349" t="s">
        <v>1489</v>
      </c>
      <c r="B114" s="383"/>
      <c r="C114" s="383"/>
      <c r="D114" s="383"/>
      <c r="E114" s="383"/>
      <c r="F114" s="383"/>
      <c r="G114" s="383"/>
      <c r="H114" s="383"/>
      <c r="I114" s="383"/>
      <c r="J114" s="216"/>
      <c r="K114" s="231"/>
      <c r="L114" s="231"/>
      <c r="M114" s="217"/>
      <c r="N114" s="217"/>
      <c r="O114" s="217"/>
      <c r="P114" s="217"/>
      <c r="Q114" s="217"/>
      <c r="R114" s="217"/>
      <c r="S114" s="217"/>
      <c r="T114" s="217"/>
      <c r="U114" s="217">
        <v>0.11881614300118826</v>
      </c>
      <c r="V114" s="217">
        <f t="shared" ref="V114:AF114" si="73">V113/U113-1</f>
        <v>-0.42302335406601677</v>
      </c>
      <c r="W114" s="217">
        <f t="shared" si="73"/>
        <v>5.2506623573071343E-2</v>
      </c>
      <c r="X114" s="217">
        <f t="shared" si="73"/>
        <v>0.36087602582836587</v>
      </c>
      <c r="Y114" s="217">
        <f t="shared" si="73"/>
        <v>0.32540480564837648</v>
      </c>
      <c r="Z114" s="217">
        <f t="shared" si="73"/>
        <v>0.2442399717984387</v>
      </c>
      <c r="AA114" s="217">
        <f t="shared" si="73"/>
        <v>0.16723573427727789</v>
      </c>
      <c r="AB114" s="217">
        <f t="shared" si="73"/>
        <v>0.15272598381245261</v>
      </c>
      <c r="AC114" s="217">
        <f t="shared" si="73"/>
        <v>0.11739398677555779</v>
      </c>
      <c r="AD114" s="217">
        <f t="shared" si="73"/>
        <v>9.0926018381547902E-2</v>
      </c>
      <c r="AE114" s="217">
        <f t="shared" si="73"/>
        <v>3.266897009737102E-2</v>
      </c>
      <c r="AF114" s="217">
        <f t="shared" si="73"/>
        <v>3.2137506289123374E-2</v>
      </c>
      <c r="AG114" s="1628"/>
      <c r="AH114" s="1629"/>
      <c r="AI114" s="1628"/>
      <c r="AJ114" s="1628"/>
      <c r="AK114" s="1628"/>
      <c r="AL114" s="1628"/>
      <c r="AM114" s="1628"/>
      <c r="AN114" s="1628"/>
      <c r="AO114" s="1628" t="s">
        <v>2050</v>
      </c>
      <c r="AP114" s="1644"/>
      <c r="AQ114" s="1644">
        <v>0.9</v>
      </c>
      <c r="AR114" s="1644">
        <f>AQ114</f>
        <v>0.9</v>
      </c>
      <c r="AS114" s="1644">
        <f>AR114-10%</f>
        <v>0.8</v>
      </c>
      <c r="AT114" s="1644">
        <f t="shared" ref="AT114:AU114" si="74">AS114-10%</f>
        <v>0.70000000000000007</v>
      </c>
      <c r="AU114" s="1644">
        <f t="shared" si="74"/>
        <v>0.60000000000000009</v>
      </c>
      <c r="AV114" s="1644">
        <f>AU114</f>
        <v>0.60000000000000009</v>
      </c>
      <c r="AW114" s="1644">
        <f>AV114</f>
        <v>0.60000000000000009</v>
      </c>
      <c r="AX114" s="1622"/>
      <c r="AY114" s="1622"/>
      <c r="AZ114" s="1622"/>
    </row>
    <row r="115" spans="1:52">
      <c r="A115" s="349"/>
      <c r="B115" s="383"/>
      <c r="C115" s="383"/>
      <c r="D115" s="383"/>
      <c r="E115" s="383"/>
      <c r="F115" s="383"/>
      <c r="G115" s="383"/>
      <c r="H115" s="383"/>
      <c r="I115" s="383"/>
      <c r="J115" s="216"/>
      <c r="K115" s="231"/>
      <c r="L115" s="231"/>
      <c r="M115" s="217"/>
      <c r="N115" s="217"/>
      <c r="O115" s="217"/>
      <c r="P115" s="217"/>
      <c r="Q115" s="217"/>
      <c r="R115" s="217"/>
      <c r="S115" s="217"/>
      <c r="T115" s="217"/>
      <c r="U115" s="217"/>
      <c r="V115" s="251"/>
      <c r="W115" s="251"/>
      <c r="X115" s="251"/>
      <c r="Y115" s="251"/>
      <c r="Z115" s="251"/>
      <c r="AA115" s="251"/>
      <c r="AB115" s="217"/>
      <c r="AC115" s="217"/>
      <c r="AD115" s="217"/>
      <c r="AE115" s="217"/>
      <c r="AF115" s="217"/>
      <c r="AG115" s="1628"/>
      <c r="AH115" s="1628"/>
      <c r="AI115" s="1628"/>
      <c r="AJ115" s="1628"/>
      <c r="AK115" s="1628"/>
      <c r="AL115" s="1628"/>
      <c r="AM115" s="1628"/>
      <c r="AN115" s="1628"/>
      <c r="AO115" s="1628"/>
      <c r="AP115" s="1628"/>
      <c r="AQ115" s="1622"/>
      <c r="AR115" s="1622"/>
      <c r="AS115" s="1622"/>
      <c r="AT115" s="1622"/>
      <c r="AU115" s="1622"/>
      <c r="AV115" s="1622"/>
      <c r="AW115" s="1622"/>
      <c r="AX115" s="1622"/>
      <c r="AY115" s="1622"/>
      <c r="AZ115" s="1622"/>
    </row>
    <row r="116" spans="1:52">
      <c r="A116" s="306" t="s">
        <v>287</v>
      </c>
      <c r="B116" s="307"/>
      <c r="C116" s="307"/>
      <c r="D116" s="307"/>
      <c r="E116" s="307"/>
      <c r="F116" s="307"/>
      <c r="G116" s="307"/>
      <c r="H116" s="307"/>
      <c r="I116" s="307"/>
      <c r="J116" s="307"/>
      <c r="K116" s="307"/>
      <c r="L116" s="307"/>
      <c r="M116" s="308"/>
      <c r="N116" s="308"/>
      <c r="O116" s="308"/>
      <c r="P116" s="308"/>
      <c r="Q116" s="308"/>
      <c r="R116" s="308"/>
      <c r="S116" s="308"/>
      <c r="T116" s="308"/>
      <c r="U116" s="308"/>
      <c r="V116" s="308"/>
      <c r="W116" s="308"/>
      <c r="X116" s="308"/>
      <c r="Y116" s="308"/>
      <c r="Z116" s="308"/>
      <c r="AA116" s="308"/>
      <c r="AB116" s="308"/>
      <c r="AC116" s="308"/>
      <c r="AD116" s="308"/>
      <c r="AE116" s="308"/>
      <c r="AF116" s="308"/>
      <c r="AG116" s="1628"/>
      <c r="AH116" s="1628"/>
      <c r="AI116" s="1628"/>
      <c r="AJ116" s="1628"/>
      <c r="AK116" s="1628"/>
      <c r="AL116" s="1628"/>
      <c r="AM116" s="1628"/>
      <c r="AN116" s="1628"/>
      <c r="AO116" s="1628" t="s">
        <v>1993</v>
      </c>
      <c r="AP116" s="1628"/>
      <c r="AQ116" s="1622"/>
      <c r="AR116" s="1622"/>
      <c r="AS116" s="1622"/>
      <c r="AT116" s="1622"/>
      <c r="AU116" s="1622"/>
      <c r="AV116" s="1622"/>
      <c r="AW116" s="1622"/>
      <c r="AX116" s="1622"/>
      <c r="AY116" s="1622"/>
      <c r="AZ116" s="1622"/>
    </row>
    <row r="117" spans="1:52">
      <c r="A117" s="291" t="s">
        <v>1799</v>
      </c>
      <c r="B117" s="383"/>
      <c r="C117" s="383"/>
      <c r="D117" s="383"/>
      <c r="E117" s="383"/>
      <c r="F117" s="383"/>
      <c r="G117" s="383"/>
      <c r="H117" s="383"/>
      <c r="I117" s="383"/>
      <c r="J117" s="216"/>
      <c r="K117" s="231"/>
      <c r="L117" s="231"/>
      <c r="M117" s="217"/>
      <c r="N117" s="217"/>
      <c r="O117" s="217"/>
      <c r="P117" s="343"/>
      <c r="Q117" s="343"/>
      <c r="R117" s="343"/>
      <c r="S117" s="343"/>
      <c r="T117" s="343">
        <f>(T101-S101)*T130</f>
        <v>0</v>
      </c>
      <c r="U117" s="343">
        <v>238.48341089225303</v>
      </c>
      <c r="V117" s="343">
        <f>(V101-U101)*V130</f>
        <v>-1150.7505956725183</v>
      </c>
      <c r="W117" s="343">
        <f t="shared" ref="W117:AF117" si="75">W101*W130</f>
        <v>900.68254883516499</v>
      </c>
      <c r="X117" s="343">
        <f t="shared" si="75"/>
        <v>1289.7774099319563</v>
      </c>
      <c r="Y117" s="343">
        <f t="shared" si="75"/>
        <v>1688.3186296009308</v>
      </c>
      <c r="Z117" s="343">
        <f t="shared" si="75"/>
        <v>1966.8912034850844</v>
      </c>
      <c r="AA117" s="343">
        <f t="shared" si="75"/>
        <v>2327.3913907570759</v>
      </c>
      <c r="AB117" s="343">
        <f t="shared" si="75"/>
        <v>2641.289850794532</v>
      </c>
      <c r="AC117" s="343">
        <f t="shared" si="75"/>
        <v>2736.6156577235738</v>
      </c>
      <c r="AD117" s="343">
        <f t="shared" si="75"/>
        <v>2746.0327552269505</v>
      </c>
      <c r="AE117" s="343">
        <f t="shared" si="75"/>
        <v>2683.2467318753752</v>
      </c>
      <c r="AF117" s="343">
        <f t="shared" si="75"/>
        <v>2598.0087434521092</v>
      </c>
      <c r="AG117" s="1628"/>
      <c r="AH117" s="1628"/>
      <c r="AI117" s="1628"/>
      <c r="AJ117" s="1628"/>
      <c r="AK117" s="1628"/>
      <c r="AL117" s="1628"/>
      <c r="AM117" s="1628"/>
      <c r="AN117" s="1628"/>
      <c r="AO117" s="1628" t="s">
        <v>2054</v>
      </c>
      <c r="AP117" s="1624"/>
      <c r="AQ117" s="1638">
        <f t="shared" ref="AQ117:AW118" si="76">AQ105*AQ109*AQ113</f>
        <v>2768.75</v>
      </c>
      <c r="AR117" s="1638">
        <f t="shared" si="76"/>
        <v>3977.9999999999995</v>
      </c>
      <c r="AS117" s="1638">
        <f t="shared" si="76"/>
        <v>5367.1719809914985</v>
      </c>
      <c r="AT117" s="1638">
        <f t="shared" si="76"/>
        <v>7231.5283902124474</v>
      </c>
      <c r="AU117" s="1638">
        <f t="shared" si="76"/>
        <v>9731.0651184000035</v>
      </c>
      <c r="AV117" s="1638">
        <f t="shared" si="76"/>
        <v>10831.032679392003</v>
      </c>
      <c r="AW117" s="1638">
        <f t="shared" si="76"/>
        <v>12009.396039031299</v>
      </c>
      <c r="AX117" s="1622"/>
      <c r="AY117" s="1622"/>
      <c r="AZ117" s="1622"/>
    </row>
    <row r="118" spans="1:52">
      <c r="A118" s="291" t="s">
        <v>1023</v>
      </c>
      <c r="B118" s="383"/>
      <c r="C118" s="383"/>
      <c r="D118" s="383"/>
      <c r="E118" s="383"/>
      <c r="F118" s="383"/>
      <c r="G118" s="383"/>
      <c r="H118" s="383"/>
      <c r="I118" s="383"/>
      <c r="J118" s="216"/>
      <c r="K118" s="231"/>
      <c r="L118" s="231"/>
      <c r="M118" s="217"/>
      <c r="N118" s="217"/>
      <c r="O118" s="217"/>
      <c r="P118" s="343"/>
      <c r="Q118" s="343"/>
      <c r="R118" s="343"/>
      <c r="S118" s="343"/>
      <c r="T118" s="343">
        <f t="shared" ref="T118:V118" si="77">T102*T131</f>
        <v>0</v>
      </c>
      <c r="U118" s="343">
        <f t="shared" si="77"/>
        <v>472.80942803547924</v>
      </c>
      <c r="V118" s="343">
        <f t="shared" si="77"/>
        <v>327.65693362858713</v>
      </c>
      <c r="W118" s="343">
        <f t="shared" ref="W118:AF118" si="78">W102*W131</f>
        <v>370.25233500030339</v>
      </c>
      <c r="X118" s="343">
        <f t="shared" si="78"/>
        <v>399.13201713032709</v>
      </c>
      <c r="Y118" s="343">
        <f t="shared" si="78"/>
        <v>546.81086346854818</v>
      </c>
      <c r="Z118" s="343">
        <f t="shared" si="78"/>
        <v>754.59899158659641</v>
      </c>
      <c r="AA118" s="343">
        <f t="shared" si="78"/>
        <v>922.7219558420021</v>
      </c>
      <c r="AB118" s="343">
        <f t="shared" si="78"/>
        <v>1185.3715018774394</v>
      </c>
      <c r="AC118" s="343">
        <f t="shared" si="78"/>
        <v>1513.8737650620637</v>
      </c>
      <c r="AD118" s="343">
        <f t="shared" si="78"/>
        <v>1872.4978002837402</v>
      </c>
      <c r="AE118" s="343">
        <f t="shared" si="78"/>
        <v>2107.0880655978685</v>
      </c>
      <c r="AF118" s="343">
        <f t="shared" si="78"/>
        <v>2371.3195582789222</v>
      </c>
      <c r="AG118" s="1628"/>
      <c r="AH118" s="1628"/>
      <c r="AI118" s="1628"/>
      <c r="AJ118" s="1628"/>
      <c r="AK118" s="1628"/>
      <c r="AL118" s="1628"/>
      <c r="AM118" s="1628"/>
      <c r="AN118" s="1628"/>
      <c r="AO118" s="1628" t="s">
        <v>2055</v>
      </c>
      <c r="AP118" s="1624"/>
      <c r="AQ118" s="1638">
        <f t="shared" si="76"/>
        <v>6998.9677734375</v>
      </c>
      <c r="AR118" s="1638">
        <f t="shared" si="76"/>
        <v>8193.15</v>
      </c>
      <c r="AS118" s="1638">
        <f t="shared" si="76"/>
        <v>7533.3283200000005</v>
      </c>
      <c r="AT118" s="1638">
        <f t="shared" si="76"/>
        <v>6848.2935864000019</v>
      </c>
      <c r="AU118" s="1638">
        <f t="shared" si="76"/>
        <v>5760.0544962240019</v>
      </c>
      <c r="AV118" s="1638">
        <f t="shared" si="76"/>
        <v>5527.4701331404813</v>
      </c>
      <c r="AW118" s="1638">
        <f t="shared" si="76"/>
        <v>5401.5254277578515</v>
      </c>
      <c r="AX118" s="1622"/>
      <c r="AY118" s="1622"/>
      <c r="AZ118" s="1622"/>
    </row>
    <row r="119" spans="1:52">
      <c r="A119" s="291"/>
      <c r="B119" s="383"/>
      <c r="C119" s="383"/>
      <c r="D119" s="383"/>
      <c r="E119" s="383"/>
      <c r="F119" s="383"/>
      <c r="G119" s="383"/>
      <c r="H119" s="383"/>
      <c r="I119" s="383"/>
      <c r="J119" s="216"/>
      <c r="K119" s="231"/>
      <c r="L119" s="231"/>
      <c r="M119" s="217"/>
      <c r="N119" s="217"/>
      <c r="O119" s="217"/>
      <c r="P119" s="343"/>
      <c r="Q119" s="343"/>
      <c r="R119" s="343"/>
      <c r="S119" s="343"/>
      <c r="T119" s="343"/>
      <c r="U119" s="343"/>
      <c r="V119" s="343"/>
      <c r="W119" s="343"/>
      <c r="X119" s="343"/>
      <c r="Y119" s="343"/>
      <c r="Z119" s="343"/>
      <c r="AA119" s="343"/>
      <c r="AB119" s="343"/>
      <c r="AC119" s="343"/>
      <c r="AD119" s="343"/>
      <c r="AE119" s="343"/>
      <c r="AF119" s="343"/>
      <c r="AG119" s="1628"/>
      <c r="AH119" s="1628"/>
      <c r="AI119" s="1628"/>
      <c r="AJ119" s="1628"/>
      <c r="AK119" s="1628"/>
      <c r="AL119" s="1628"/>
      <c r="AM119" s="1628"/>
      <c r="AN119" s="1628"/>
      <c r="AO119" s="1628" t="s">
        <v>2046</v>
      </c>
      <c r="AP119" s="1644"/>
      <c r="AQ119" s="1627">
        <v>0.5</v>
      </c>
      <c r="AR119" s="1627">
        <f t="shared" ref="AR119:AW119" si="79">AQ119</f>
        <v>0.5</v>
      </c>
      <c r="AS119" s="1627">
        <f t="shared" si="79"/>
        <v>0.5</v>
      </c>
      <c r="AT119" s="1627">
        <f t="shared" si="79"/>
        <v>0.5</v>
      </c>
      <c r="AU119" s="1627">
        <f t="shared" si="79"/>
        <v>0.5</v>
      </c>
      <c r="AV119" s="1627">
        <f t="shared" si="79"/>
        <v>0.5</v>
      </c>
      <c r="AW119" s="1627">
        <f t="shared" si="79"/>
        <v>0.5</v>
      </c>
      <c r="AX119" s="1622"/>
      <c r="AY119" s="1622"/>
      <c r="AZ119" s="1622"/>
    </row>
    <row r="120" spans="1:52">
      <c r="A120" s="214" t="s">
        <v>1523</v>
      </c>
      <c r="B120" s="391"/>
      <c r="C120" s="391"/>
      <c r="D120" s="391"/>
      <c r="E120" s="391"/>
      <c r="F120" s="391"/>
      <c r="G120" s="391"/>
      <c r="H120" s="391"/>
      <c r="I120" s="391"/>
      <c r="J120" s="253"/>
      <c r="K120" s="254"/>
      <c r="L120" s="254"/>
      <c r="M120" s="255"/>
      <c r="N120" s="255"/>
      <c r="O120" s="255"/>
      <c r="P120" s="382"/>
      <c r="Q120" s="382"/>
      <c r="R120" s="382"/>
      <c r="S120" s="382"/>
      <c r="T120" s="382">
        <f t="shared" ref="T120:AF120" si="80">SUM(T117:T118)</f>
        <v>0</v>
      </c>
      <c r="U120" s="382">
        <f t="shared" si="80"/>
        <v>711.2928389277323</v>
      </c>
      <c r="V120" s="382">
        <f t="shared" si="80"/>
        <v>-823.0936620439312</v>
      </c>
      <c r="W120" s="382">
        <f t="shared" si="80"/>
        <v>1270.9348838354683</v>
      </c>
      <c r="X120" s="382">
        <f t="shared" si="80"/>
        <v>1688.9094270622834</v>
      </c>
      <c r="Y120" s="382">
        <f t="shared" si="80"/>
        <v>2235.1294930694789</v>
      </c>
      <c r="Z120" s="382">
        <f t="shared" si="80"/>
        <v>2721.4901950716808</v>
      </c>
      <c r="AA120" s="382">
        <f t="shared" si="80"/>
        <v>3250.1133465990779</v>
      </c>
      <c r="AB120" s="382">
        <f t="shared" si="80"/>
        <v>3826.6613526719711</v>
      </c>
      <c r="AC120" s="382">
        <f t="shared" si="80"/>
        <v>4250.4894227856375</v>
      </c>
      <c r="AD120" s="382">
        <f t="shared" si="80"/>
        <v>4618.5305555106906</v>
      </c>
      <c r="AE120" s="382">
        <f t="shared" si="80"/>
        <v>4790.3347974732442</v>
      </c>
      <c r="AF120" s="382">
        <f t="shared" si="80"/>
        <v>4969.3283017310314</v>
      </c>
      <c r="AG120" s="1628"/>
      <c r="AH120" s="1628"/>
      <c r="AI120" s="1628"/>
      <c r="AJ120" s="1628"/>
      <c r="AK120" s="1628"/>
      <c r="AL120" s="1628"/>
      <c r="AM120" s="1628"/>
      <c r="AN120" s="1628"/>
      <c r="AO120" s="1628" t="s">
        <v>2053</v>
      </c>
      <c r="AP120" s="1622"/>
      <c r="AQ120" s="1641">
        <f>SUM(AQ117:AQ118)*AQ$119</f>
        <v>4883.85888671875</v>
      </c>
      <c r="AR120" s="1641">
        <f t="shared" ref="AR120:AW120" si="81">SUM(AR117:AR118)*AR$119</f>
        <v>6085.5749999999998</v>
      </c>
      <c r="AS120" s="1641">
        <f t="shared" si="81"/>
        <v>6450.250150495749</v>
      </c>
      <c r="AT120" s="1641">
        <f t="shared" si="81"/>
        <v>7039.9109883062247</v>
      </c>
      <c r="AU120" s="1641">
        <f t="shared" si="81"/>
        <v>7745.5598073120027</v>
      </c>
      <c r="AV120" s="1641">
        <f t="shared" si="81"/>
        <v>8179.2514062662422</v>
      </c>
      <c r="AW120" s="1641">
        <f t="shared" si="81"/>
        <v>8705.4607333945751</v>
      </c>
      <c r="AX120" s="1622"/>
      <c r="AY120" s="1622"/>
      <c r="AZ120" s="1622"/>
    </row>
    <row r="121" spans="1:52">
      <c r="A121" s="214"/>
      <c r="B121" s="383"/>
      <c r="C121" s="383"/>
      <c r="D121" s="383"/>
      <c r="E121" s="383"/>
      <c r="F121" s="383"/>
      <c r="G121" s="383"/>
      <c r="H121" s="383"/>
      <c r="I121" s="383"/>
      <c r="J121" s="216"/>
      <c r="K121" s="231"/>
      <c r="L121" s="231"/>
      <c r="M121" s="217"/>
      <c r="N121" s="217"/>
      <c r="O121" s="217"/>
      <c r="P121" s="217"/>
      <c r="Q121" s="217"/>
      <c r="R121" s="217"/>
      <c r="S121" s="217"/>
      <c r="T121" s="217"/>
      <c r="U121" s="217"/>
      <c r="V121" s="217"/>
      <c r="W121" s="217"/>
      <c r="X121" s="217"/>
      <c r="Y121" s="217"/>
      <c r="Z121" s="217"/>
      <c r="AA121" s="217"/>
      <c r="AB121" s="217"/>
      <c r="AC121" s="217"/>
      <c r="AD121" s="217"/>
      <c r="AE121" s="217"/>
      <c r="AF121" s="217"/>
      <c r="AG121" s="1628"/>
      <c r="AH121" s="1628"/>
      <c r="AI121" s="1628"/>
      <c r="AJ121" s="1628"/>
      <c r="AK121" s="1628"/>
      <c r="AL121" s="1628"/>
      <c r="AM121" s="1628"/>
      <c r="AN121" s="1628"/>
      <c r="AO121" s="1628" t="s">
        <v>2047</v>
      </c>
      <c r="AP121" s="1644">
        <f>(AU120/AQ120)^(1/4)-1</f>
        <v>0.12220558601513387</v>
      </c>
      <c r="AQ121" s="1644"/>
      <c r="AR121" s="1644"/>
      <c r="AS121" s="1644"/>
      <c r="AT121" s="1644"/>
      <c r="AU121" s="1644"/>
      <c r="AV121" s="1644"/>
      <c r="AW121" s="1644"/>
      <c r="AX121" s="1622"/>
      <c r="AY121" s="1622"/>
      <c r="AZ121" s="1622"/>
    </row>
    <row r="122" spans="1:52">
      <c r="A122" s="19" t="s">
        <v>1498</v>
      </c>
      <c r="B122" s="213"/>
      <c r="C122" s="213"/>
      <c r="D122" s="213"/>
      <c r="E122" s="213"/>
      <c r="F122" s="213"/>
      <c r="G122" s="213"/>
      <c r="H122" s="213"/>
      <c r="I122" s="213"/>
      <c r="J122" s="208"/>
      <c r="K122" s="211"/>
      <c r="L122" s="211"/>
      <c r="M122" s="211"/>
      <c r="N122" s="233"/>
      <c r="O122" s="233"/>
      <c r="P122" s="233"/>
      <c r="Q122" s="233"/>
      <c r="R122" s="233"/>
      <c r="S122" s="233"/>
      <c r="T122" s="233">
        <f>'Income Statement'!T$155</f>
        <v>1.18028</v>
      </c>
      <c r="U122" s="233">
        <v>1.159077672574627</v>
      </c>
      <c r="V122" s="233">
        <f>'Income Statement'!V$155</f>
        <v>1.1490638246268656</v>
      </c>
      <c r="W122" s="233">
        <f>'Income Statement'!W$155</f>
        <v>1.1713242788461544</v>
      </c>
      <c r="X122" s="233">
        <f>'Income Statement'!X$155</f>
        <v>1.1065795550914248</v>
      </c>
      <c r="Y122" s="233">
        <f>'Income Statement'!Y$155</f>
        <v>1.1105369302909465</v>
      </c>
      <c r="Z122" s="233">
        <f>'Income Statement'!Z$155</f>
        <v>1.1083231112074399</v>
      </c>
      <c r="AA122" s="1301">
        <f>'Income Statement'!AA$155</f>
        <v>1.1207295968584789</v>
      </c>
      <c r="AB122" s="1301">
        <f>'Income Statement'!AB$155</f>
        <v>1.1426415000000001</v>
      </c>
      <c r="AC122" s="1301">
        <f>'Income Statement'!AC$155</f>
        <v>1.1426415000000001</v>
      </c>
      <c r="AD122" s="1301">
        <f>'Income Statement'!AD$155</f>
        <v>1.1426415000000001</v>
      </c>
      <c r="AE122" s="1301">
        <f>'Income Statement'!AE$155</f>
        <v>1.1426415000000001</v>
      </c>
      <c r="AF122" s="1301">
        <f>'Income Statement'!AF$155</f>
        <v>1.1426415000000001</v>
      </c>
      <c r="AG122" s="1624"/>
      <c r="AH122" s="1624"/>
      <c r="AI122" s="1624"/>
      <c r="AJ122" s="1624"/>
      <c r="AK122" s="1624"/>
      <c r="AL122" s="1624"/>
      <c r="AM122" s="1624"/>
      <c r="AN122" s="1624"/>
      <c r="AO122" s="1624"/>
      <c r="AP122" s="1624"/>
      <c r="AQ122" s="1622"/>
      <c r="AR122" s="1622"/>
      <c r="AS122" s="1622"/>
      <c r="AT122" s="1622"/>
      <c r="AU122" s="1622"/>
      <c r="AV122" s="1622"/>
      <c r="AW122" s="1622"/>
      <c r="AX122" s="1622"/>
      <c r="AY122" s="1622"/>
      <c r="AZ122" s="1622"/>
    </row>
    <row r="123" spans="1:52">
      <c r="A123" s="19" t="s">
        <v>1499</v>
      </c>
      <c r="B123" s="213"/>
      <c r="C123" s="213"/>
      <c r="D123" s="213"/>
      <c r="E123" s="213"/>
      <c r="F123" s="213"/>
      <c r="G123" s="213"/>
      <c r="H123" s="213"/>
      <c r="I123" s="213"/>
      <c r="J123" s="208"/>
      <c r="K123" s="211"/>
      <c r="L123" s="211"/>
      <c r="M123" s="211"/>
      <c r="N123" s="208"/>
      <c r="O123" s="207"/>
      <c r="P123" s="207"/>
      <c r="Q123" s="207"/>
      <c r="R123" s="207"/>
      <c r="S123" s="207"/>
      <c r="T123" s="207"/>
      <c r="U123" s="207">
        <v>1.8292412947854331E-2</v>
      </c>
      <c r="V123" s="207">
        <f t="shared" ref="V123:AF123" si="82">(1/V122)/(1/U122)-1</f>
        <v>8.7147882764591067E-3</v>
      </c>
      <c r="W123" s="207">
        <f t="shared" si="82"/>
        <v>-1.9004518749681454E-2</v>
      </c>
      <c r="X123" s="207">
        <f t="shared" si="82"/>
        <v>5.8508873995399613E-2</v>
      </c>
      <c r="Y123" s="207">
        <f t="shared" si="82"/>
        <v>-3.5634791528138532E-3</v>
      </c>
      <c r="Z123" s="207">
        <f t="shared" si="82"/>
        <v>1.9974491744512157E-3</v>
      </c>
      <c r="AA123" s="207">
        <f t="shared" si="82"/>
        <v>-1.1070008042810442E-2</v>
      </c>
      <c r="AB123" s="207">
        <f t="shared" si="82"/>
        <v>-1.9176533621018677E-2</v>
      </c>
      <c r="AC123" s="207">
        <f t="shared" si="82"/>
        <v>0</v>
      </c>
      <c r="AD123" s="207">
        <f t="shared" si="82"/>
        <v>0</v>
      </c>
      <c r="AE123" s="207">
        <f t="shared" si="82"/>
        <v>0</v>
      </c>
      <c r="AF123" s="207">
        <f t="shared" si="82"/>
        <v>0</v>
      </c>
      <c r="AG123" s="1624"/>
      <c r="AH123" s="1624"/>
      <c r="AI123" s="1624"/>
      <c r="AJ123" s="1624"/>
      <c r="AK123" s="1624"/>
      <c r="AL123" s="1624"/>
      <c r="AM123" s="1624"/>
      <c r="AN123" s="1624"/>
      <c r="AO123" s="1624"/>
      <c r="AP123" s="1624"/>
      <c r="AQ123" s="1622"/>
      <c r="AR123" s="1622"/>
      <c r="AS123" s="1622"/>
      <c r="AT123" s="1622"/>
      <c r="AU123" s="1622"/>
      <c r="AV123" s="1622"/>
      <c r="AW123" s="1622"/>
      <c r="AX123" s="1622"/>
      <c r="AY123" s="1622"/>
      <c r="AZ123" s="1622"/>
    </row>
    <row r="124" spans="1:52">
      <c r="A124" s="214"/>
      <c r="B124" s="383"/>
      <c r="C124" s="383"/>
      <c r="D124" s="383"/>
      <c r="E124" s="383"/>
      <c r="F124" s="383"/>
      <c r="G124" s="383"/>
      <c r="H124" s="383"/>
      <c r="I124" s="383"/>
      <c r="J124" s="216"/>
      <c r="K124" s="231"/>
      <c r="L124" s="231"/>
      <c r="M124" s="217"/>
      <c r="N124" s="217"/>
      <c r="O124" s="217"/>
      <c r="P124" s="217"/>
      <c r="Q124" s="217"/>
      <c r="R124" s="217"/>
      <c r="S124" s="217"/>
      <c r="T124" s="217"/>
      <c r="U124" s="217"/>
      <c r="V124" s="217"/>
      <c r="W124" s="217"/>
      <c r="X124" s="217"/>
      <c r="Y124" s="217"/>
      <c r="Z124" s="217"/>
      <c r="AA124" s="217"/>
      <c r="AB124" s="217"/>
      <c r="AC124" s="217"/>
      <c r="AD124" s="217"/>
      <c r="AE124" s="217"/>
      <c r="AF124" s="217"/>
      <c r="AG124" s="1624"/>
      <c r="AH124" s="1624"/>
      <c r="AI124" s="1624"/>
      <c r="AJ124" s="1624"/>
      <c r="AK124" s="1624"/>
      <c r="AL124" s="1624"/>
      <c r="AM124" s="1624"/>
      <c r="AN124" s="1624"/>
      <c r="AO124" s="1624"/>
      <c r="AP124" s="1624"/>
      <c r="AQ124" s="1622"/>
      <c r="AR124" s="1622"/>
      <c r="AS124" s="1622"/>
      <c r="AT124" s="1622"/>
      <c r="AU124" s="1622"/>
      <c r="AV124" s="1622"/>
      <c r="AW124" s="1622"/>
      <c r="AX124" s="1622"/>
      <c r="AY124" s="1622"/>
      <c r="AZ124" s="1622"/>
    </row>
    <row r="125" spans="1:52">
      <c r="A125" s="291" t="s">
        <v>1799</v>
      </c>
      <c r="B125" s="383"/>
      <c r="C125" s="383"/>
      <c r="D125" s="383"/>
      <c r="E125" s="383"/>
      <c r="F125" s="383"/>
      <c r="G125" s="383"/>
      <c r="H125" s="383"/>
      <c r="I125" s="383"/>
      <c r="J125" s="216"/>
      <c r="K125" s="231"/>
      <c r="L125" s="231"/>
      <c r="M125" s="217"/>
      <c r="N125" s="217"/>
      <c r="O125" s="217"/>
      <c r="P125" s="259"/>
      <c r="Q125" s="259"/>
      <c r="R125" s="259"/>
      <c r="S125" s="259"/>
      <c r="T125" s="259">
        <f>T117/T$122</f>
        <v>0</v>
      </c>
      <c r="U125" s="259">
        <v>205.75274335370162</v>
      </c>
      <c r="V125" s="259">
        <f t="shared" ref="V125:AF125" si="83">V117/V$122</f>
        <v>-1001.4679524405012</v>
      </c>
      <c r="W125" s="259">
        <f t="shared" si="83"/>
        <v>768.94380582839744</v>
      </c>
      <c r="X125" s="259">
        <f t="shared" si="83"/>
        <v>1165.5532618487568</v>
      </c>
      <c r="Y125" s="259">
        <f t="shared" si="83"/>
        <v>1520.2723867621519</v>
      </c>
      <c r="Z125" s="259">
        <f t="shared" si="83"/>
        <v>1774.6550474277262</v>
      </c>
      <c r="AA125" s="259">
        <f t="shared" si="83"/>
        <v>2076.6752277096944</v>
      </c>
      <c r="AB125" s="259">
        <f t="shared" si="83"/>
        <v>2311.5647828251745</v>
      </c>
      <c r="AC125" s="259">
        <f t="shared" si="83"/>
        <v>2394.9906052979641</v>
      </c>
      <c r="AD125" s="259">
        <f t="shared" si="83"/>
        <v>2403.232120684353</v>
      </c>
      <c r="AE125" s="259">
        <f t="shared" si="83"/>
        <v>2348.2839822248493</v>
      </c>
      <c r="AF125" s="259">
        <f t="shared" si="83"/>
        <v>2273.6866667735321</v>
      </c>
      <c r="AG125" s="1624"/>
      <c r="AH125" s="1624"/>
      <c r="AI125" s="1624"/>
      <c r="AJ125" s="1624"/>
      <c r="AK125" s="1624"/>
      <c r="AL125" s="1624"/>
      <c r="AM125" s="1624"/>
      <c r="AN125" s="1624"/>
      <c r="AO125" s="1624" t="s">
        <v>2056</v>
      </c>
      <c r="AP125" s="1624"/>
      <c r="AQ125" s="1645">
        <f>Z256*2</f>
        <v>1587.5179775716917</v>
      </c>
      <c r="AR125" s="1645">
        <f t="shared" ref="AR125:AW125" si="84">AA256*2</f>
        <v>2740.5846361241856</v>
      </c>
      <c r="AS125" s="1645">
        <f t="shared" si="84"/>
        <v>3459.3603299365545</v>
      </c>
      <c r="AT125" s="1645">
        <f t="shared" si="84"/>
        <v>4499.8484232488881</v>
      </c>
      <c r="AU125" s="1645">
        <f t="shared" si="84"/>
        <v>5644.6001195557774</v>
      </c>
      <c r="AV125" s="1645">
        <f t="shared" si="84"/>
        <v>6366.2622448409829</v>
      </c>
      <c r="AW125" s="1645">
        <f t="shared" si="84"/>
        <v>7188.2454299325263</v>
      </c>
      <c r="AX125" s="1622"/>
      <c r="AY125" s="1622"/>
      <c r="AZ125" s="1622"/>
    </row>
    <row r="126" spans="1:52">
      <c r="A126" s="291" t="s">
        <v>1023</v>
      </c>
      <c r="B126" s="383"/>
      <c r="C126" s="383"/>
      <c r="D126" s="383"/>
      <c r="E126" s="383"/>
      <c r="F126" s="383"/>
      <c r="G126" s="383"/>
      <c r="H126" s="383"/>
      <c r="I126" s="383"/>
      <c r="J126" s="216"/>
      <c r="K126" s="231"/>
      <c r="L126" s="231"/>
      <c r="M126" s="217"/>
      <c r="N126" s="217"/>
      <c r="O126" s="217"/>
      <c r="P126" s="259"/>
      <c r="Q126" s="259"/>
      <c r="R126" s="259"/>
      <c r="S126" s="259"/>
      <c r="T126" s="259">
        <f>T118/T$122</f>
        <v>0</v>
      </c>
      <c r="U126" s="259">
        <f t="shared" ref="U126:AF126" si="85">U118/U$122</f>
        <v>407.91867466935224</v>
      </c>
      <c r="V126" s="259">
        <f t="shared" si="85"/>
        <v>285.15120449030485</v>
      </c>
      <c r="W126" s="259">
        <f t="shared" si="85"/>
        <v>316.09720867822426</v>
      </c>
      <c r="X126" s="259">
        <f t="shared" si="85"/>
        <v>360.6898530647</v>
      </c>
      <c r="Y126" s="259">
        <f t="shared" si="85"/>
        <v>492.38422294096131</v>
      </c>
      <c r="Z126" s="259">
        <f t="shared" si="85"/>
        <v>680.84747485281082</v>
      </c>
      <c r="AA126" s="259">
        <f t="shared" si="85"/>
        <v>823.32255561777549</v>
      </c>
      <c r="AB126" s="259">
        <f t="shared" si="85"/>
        <v>1037.3958077642369</v>
      </c>
      <c r="AC126" s="259">
        <f t="shared" si="85"/>
        <v>1324.8895345233511</v>
      </c>
      <c r="AD126" s="259">
        <f t="shared" si="85"/>
        <v>1638.7447859050631</v>
      </c>
      <c r="AE126" s="259">
        <f t="shared" si="85"/>
        <v>1844.0500065837521</v>
      </c>
      <c r="AF126" s="259">
        <f t="shared" si="85"/>
        <v>2075.296195945029</v>
      </c>
      <c r="AG126" s="1624"/>
      <c r="AH126" s="1624"/>
      <c r="AI126" s="1624"/>
      <c r="AJ126" s="1624"/>
      <c r="AK126" s="1624"/>
      <c r="AL126" s="1624"/>
      <c r="AM126" s="1624"/>
      <c r="AN126" s="1624"/>
      <c r="AO126" s="1628" t="s">
        <v>2057</v>
      </c>
      <c r="AP126" s="1628"/>
      <c r="AQ126" s="1645">
        <f>Z177*2</f>
        <v>8240.9981517910801</v>
      </c>
      <c r="AR126" s="1645">
        <f t="shared" ref="AR126:AW126" si="86">AA177*2</f>
        <v>9889.9244272824271</v>
      </c>
      <c r="AS126" s="1645">
        <f t="shared" si="86"/>
        <v>10784.105086884474</v>
      </c>
      <c r="AT126" s="1645">
        <f t="shared" si="86"/>
        <v>10717.88485240501</v>
      </c>
      <c r="AU126" s="1645">
        <f t="shared" si="86"/>
        <v>10120.687523063858</v>
      </c>
      <c r="AV126" s="1645">
        <f t="shared" si="86"/>
        <v>9280.2090638619848</v>
      </c>
      <c r="AW126" s="1645">
        <f t="shared" si="86"/>
        <v>8234.8343125448173</v>
      </c>
      <c r="AX126" s="1622"/>
      <c r="AY126" s="1622"/>
      <c r="AZ126" s="1622"/>
    </row>
    <row r="127" spans="1:52">
      <c r="A127" s="214" t="s">
        <v>1522</v>
      </c>
      <c r="B127" s="391"/>
      <c r="C127" s="391"/>
      <c r="D127" s="391"/>
      <c r="E127" s="391"/>
      <c r="F127" s="391"/>
      <c r="G127" s="391"/>
      <c r="H127" s="391"/>
      <c r="I127" s="391"/>
      <c r="J127" s="253"/>
      <c r="K127" s="254"/>
      <c r="L127" s="254"/>
      <c r="M127" s="255"/>
      <c r="N127" s="255"/>
      <c r="O127" s="255"/>
      <c r="P127" s="273"/>
      <c r="Q127" s="273"/>
      <c r="R127" s="273"/>
      <c r="S127" s="273"/>
      <c r="T127" s="273">
        <f>T120/T$122</f>
        <v>0</v>
      </c>
      <c r="U127" s="273">
        <f t="shared" ref="U127:AF127" si="87">U120/U$122</f>
        <v>613.67141802305389</v>
      </c>
      <c r="V127" s="273">
        <f t="shared" si="87"/>
        <v>-716.31674795019637</v>
      </c>
      <c r="W127" s="273">
        <f t="shared" si="87"/>
        <v>1085.0410145066217</v>
      </c>
      <c r="X127" s="273">
        <f t="shared" si="87"/>
        <v>1526.2431149134568</v>
      </c>
      <c r="Y127" s="273">
        <f t="shared" si="87"/>
        <v>2012.6566097031132</v>
      </c>
      <c r="Z127" s="273">
        <f t="shared" si="87"/>
        <v>2455.5025222805371</v>
      </c>
      <c r="AA127" s="273">
        <f t="shared" si="87"/>
        <v>2899.9977833274697</v>
      </c>
      <c r="AB127" s="273">
        <f t="shared" si="87"/>
        <v>3348.9605905894114</v>
      </c>
      <c r="AC127" s="273">
        <f t="shared" si="87"/>
        <v>3719.880139821315</v>
      </c>
      <c r="AD127" s="273">
        <f t="shared" si="87"/>
        <v>4041.9769065894161</v>
      </c>
      <c r="AE127" s="273">
        <f t="shared" si="87"/>
        <v>4192.333988808602</v>
      </c>
      <c r="AF127" s="273">
        <f t="shared" si="87"/>
        <v>4348.9828627185616</v>
      </c>
      <c r="AG127" s="1628"/>
      <c r="AH127" s="1628"/>
      <c r="AI127" s="1628"/>
      <c r="AJ127" s="1628"/>
      <c r="AK127" s="1628"/>
      <c r="AL127" s="1628"/>
      <c r="AM127" s="1628"/>
      <c r="AN127" s="1628"/>
      <c r="AO127" s="1628" t="s">
        <v>2058</v>
      </c>
      <c r="AP127" s="1628"/>
      <c r="AQ127" s="1645">
        <f>SUM(AQ125:AQ126)</f>
        <v>9828.5161293627716</v>
      </c>
      <c r="AR127" s="1645">
        <f t="shared" ref="AR127:AW127" si="88">SUM(AR125:AR126)</f>
        <v>12630.509063406613</v>
      </c>
      <c r="AS127" s="1645">
        <f t="shared" si="88"/>
        <v>14243.465416821029</v>
      </c>
      <c r="AT127" s="1645">
        <f t="shared" si="88"/>
        <v>15217.733275653898</v>
      </c>
      <c r="AU127" s="1645">
        <f t="shared" si="88"/>
        <v>15765.287642619634</v>
      </c>
      <c r="AV127" s="1645">
        <f t="shared" si="88"/>
        <v>15646.471308702967</v>
      </c>
      <c r="AW127" s="1645">
        <f t="shared" si="88"/>
        <v>15423.079742477345</v>
      </c>
      <c r="AX127" s="1622"/>
      <c r="AY127" s="1622"/>
      <c r="AZ127" s="1622"/>
    </row>
    <row r="128" spans="1:52">
      <c r="A128" s="349"/>
      <c r="B128" s="383"/>
      <c r="C128" s="383"/>
      <c r="D128" s="383"/>
      <c r="E128" s="383"/>
      <c r="F128" s="383"/>
      <c r="G128" s="383"/>
      <c r="H128" s="383"/>
      <c r="I128" s="383"/>
      <c r="J128" s="216"/>
      <c r="K128" s="231"/>
      <c r="L128" s="231"/>
      <c r="M128" s="217"/>
      <c r="N128" s="217"/>
      <c r="O128" s="217"/>
      <c r="P128" s="217"/>
      <c r="Q128" s="217"/>
      <c r="R128" s="217"/>
      <c r="S128" s="217"/>
      <c r="T128" s="217"/>
      <c r="U128" s="217"/>
      <c r="V128" s="217"/>
      <c r="W128" s="217"/>
      <c r="X128" s="217"/>
      <c r="Y128" s="217"/>
      <c r="Z128" s="217"/>
      <c r="AA128" s="217"/>
      <c r="AB128" s="217"/>
      <c r="AC128" s="217"/>
      <c r="AD128" s="217"/>
      <c r="AE128" s="217"/>
      <c r="AF128" s="217"/>
      <c r="AG128" s="1628"/>
      <c r="AH128" s="1628"/>
      <c r="AI128" s="1628"/>
      <c r="AJ128" s="1628"/>
      <c r="AK128" s="1628"/>
      <c r="AL128" s="1628"/>
      <c r="AM128" s="1628"/>
      <c r="AN128" s="1628"/>
      <c r="AO128" s="1628"/>
      <c r="AP128" s="1628"/>
      <c r="AQ128" s="1622">
        <f>AQ127*0.5</f>
        <v>4914.2580646813858</v>
      </c>
      <c r="AR128" s="1622">
        <f t="shared" ref="AR128:AW128" si="89">AR127*0.5</f>
        <v>6315.2545317033064</v>
      </c>
      <c r="AS128" s="1622">
        <f t="shared" si="89"/>
        <v>7121.7327084105145</v>
      </c>
      <c r="AT128" s="1622">
        <f t="shared" si="89"/>
        <v>7608.866637826949</v>
      </c>
      <c r="AU128" s="1622">
        <f t="shared" si="89"/>
        <v>7882.6438213098172</v>
      </c>
      <c r="AV128" s="1622">
        <f t="shared" si="89"/>
        <v>7823.2356543514834</v>
      </c>
      <c r="AW128" s="1622">
        <f t="shared" si="89"/>
        <v>7711.5398712386723</v>
      </c>
      <c r="AX128" s="1622"/>
      <c r="AY128" s="1622"/>
      <c r="AZ128" s="1622"/>
    </row>
    <row r="129" spans="1:52">
      <c r="A129" s="306" t="s">
        <v>1532</v>
      </c>
      <c r="B129" s="307"/>
      <c r="C129" s="307"/>
      <c r="D129" s="307"/>
      <c r="E129" s="307"/>
      <c r="F129" s="307"/>
      <c r="G129" s="307"/>
      <c r="H129" s="307"/>
      <c r="I129" s="307"/>
      <c r="J129" s="307"/>
      <c r="K129" s="307"/>
      <c r="L129" s="307"/>
      <c r="M129" s="308"/>
      <c r="N129" s="308"/>
      <c r="O129" s="308"/>
      <c r="P129" s="308"/>
      <c r="Q129" s="308"/>
      <c r="R129" s="308"/>
      <c r="S129" s="308"/>
      <c r="T129" s="308"/>
      <c r="U129" s="308"/>
      <c r="V129" s="308"/>
      <c r="W129" s="308"/>
      <c r="X129" s="308"/>
      <c r="Y129" s="308"/>
      <c r="Z129" s="308"/>
      <c r="AA129" s="308"/>
      <c r="AB129" s="308"/>
      <c r="AC129" s="308"/>
      <c r="AD129" s="308"/>
      <c r="AE129" s="308"/>
      <c r="AF129" s="308"/>
      <c r="AG129" s="1628"/>
      <c r="AH129" s="1628"/>
      <c r="AI129" s="1628"/>
      <c r="AJ129" s="1628"/>
      <c r="AK129" s="1628"/>
      <c r="AL129" s="1628"/>
      <c r="AM129" s="1628"/>
      <c r="AN129" s="1628"/>
      <c r="AO129" s="1624"/>
      <c r="AP129" s="1624"/>
      <c r="AQ129" s="1622"/>
      <c r="AR129" s="1622"/>
      <c r="AS129" s="1622"/>
      <c r="AT129" s="1622"/>
      <c r="AU129" s="1622"/>
      <c r="AV129" s="1622"/>
      <c r="AW129" s="1622"/>
      <c r="AX129" s="1622"/>
      <c r="AY129" s="1622"/>
      <c r="AZ129" s="1622"/>
    </row>
    <row r="130" spans="1:52">
      <c r="A130" s="291" t="s">
        <v>1799</v>
      </c>
      <c r="B130" s="383"/>
      <c r="C130" s="383"/>
      <c r="D130" s="383"/>
      <c r="E130" s="383"/>
      <c r="F130" s="383"/>
      <c r="G130" s="383"/>
      <c r="H130" s="383"/>
      <c r="I130" s="383"/>
      <c r="J130" s="216"/>
      <c r="K130" s="231"/>
      <c r="L130" s="231"/>
      <c r="M130" s="217"/>
      <c r="N130" s="217"/>
      <c r="O130" s="217"/>
      <c r="P130" s="210"/>
      <c r="Q130" s="207"/>
      <c r="R130" s="207"/>
      <c r="S130" s="207"/>
      <c r="T130" s="207">
        <f t="shared" ref="T130:AF130" si="90">S130</f>
        <v>0</v>
      </c>
      <c r="U130" s="220">
        <v>0.6</v>
      </c>
      <c r="V130" s="220">
        <f t="shared" si="90"/>
        <v>0.6</v>
      </c>
      <c r="W130" s="220">
        <v>0.42860297875350245</v>
      </c>
      <c r="X130" s="220">
        <v>0.42860297875350245</v>
      </c>
      <c r="Y130" s="220">
        <v>0.42860297875350245</v>
      </c>
      <c r="Z130" s="220">
        <v>0.42860297875350245</v>
      </c>
      <c r="AA130" s="1297">
        <f>Z130</f>
        <v>0.42860297875350245</v>
      </c>
      <c r="AB130" s="1297">
        <f t="shared" si="90"/>
        <v>0.42860297875350245</v>
      </c>
      <c r="AC130" s="1297">
        <f t="shared" si="90"/>
        <v>0.42860297875350245</v>
      </c>
      <c r="AD130" s="1297">
        <f t="shared" si="90"/>
        <v>0.42860297875350245</v>
      </c>
      <c r="AE130" s="1297">
        <f t="shared" si="90"/>
        <v>0.42860297875350245</v>
      </c>
      <c r="AF130" s="1297">
        <f t="shared" si="90"/>
        <v>0.42860297875350245</v>
      </c>
      <c r="AG130" s="1624"/>
      <c r="AH130" s="1624"/>
      <c r="AI130" s="1624"/>
      <c r="AJ130" s="1624"/>
      <c r="AK130" s="1624"/>
      <c r="AL130" s="1624"/>
      <c r="AM130" s="1624"/>
      <c r="AN130" s="1624"/>
      <c r="AO130" s="1628"/>
      <c r="AP130" s="1628"/>
      <c r="AQ130" s="1622"/>
      <c r="AR130" s="1622"/>
      <c r="AS130" s="1622"/>
      <c r="AT130" s="1622"/>
      <c r="AU130" s="1622"/>
      <c r="AV130" s="1622"/>
      <c r="AW130" s="1622"/>
      <c r="AX130" s="1622"/>
      <c r="AY130" s="1622"/>
      <c r="AZ130" s="1622"/>
    </row>
    <row r="131" spans="1:52">
      <c r="A131" s="291" t="s">
        <v>1023</v>
      </c>
      <c r="B131" s="383"/>
      <c r="C131" s="383"/>
      <c r="D131" s="383"/>
      <c r="E131" s="383"/>
      <c r="F131" s="383"/>
      <c r="G131" s="383"/>
      <c r="H131" s="383"/>
      <c r="I131" s="383"/>
      <c r="J131" s="216"/>
      <c r="K131" s="231"/>
      <c r="L131" s="231"/>
      <c r="M131" s="217"/>
      <c r="N131" s="217"/>
      <c r="O131" s="217"/>
      <c r="P131" s="210"/>
      <c r="Q131" s="207"/>
      <c r="R131" s="207"/>
      <c r="S131" s="207"/>
      <c r="T131" s="207">
        <f t="shared" ref="T131:Z131" si="91">S131</f>
        <v>0</v>
      </c>
      <c r="U131" s="220">
        <v>0.25</v>
      </c>
      <c r="V131" s="220">
        <f t="shared" si="91"/>
        <v>0.25</v>
      </c>
      <c r="W131" s="220">
        <f t="shared" si="91"/>
        <v>0.25</v>
      </c>
      <c r="X131" s="220">
        <f t="shared" si="91"/>
        <v>0.25</v>
      </c>
      <c r="Y131" s="220">
        <f t="shared" si="91"/>
        <v>0.25</v>
      </c>
      <c r="Z131" s="220">
        <f t="shared" si="91"/>
        <v>0.25</v>
      </c>
      <c r="AA131" s="1297">
        <v>0.26</v>
      </c>
      <c r="AB131" s="1297">
        <f>AA131+1%</f>
        <v>0.27</v>
      </c>
      <c r="AC131" s="1297">
        <f t="shared" ref="AC131:AF131" si="92">AB131+1%</f>
        <v>0.28000000000000003</v>
      </c>
      <c r="AD131" s="1297">
        <f t="shared" si="92"/>
        <v>0.29000000000000004</v>
      </c>
      <c r="AE131" s="1297">
        <f t="shared" si="92"/>
        <v>0.30000000000000004</v>
      </c>
      <c r="AF131" s="1297">
        <f t="shared" si="92"/>
        <v>0.31000000000000005</v>
      </c>
      <c r="AG131" s="1628"/>
      <c r="AH131" s="1624" t="s">
        <v>1609</v>
      </c>
      <c r="AI131" s="1628"/>
      <c r="AJ131" s="1628"/>
      <c r="AK131" s="1628"/>
      <c r="AL131" s="1628"/>
      <c r="AM131" s="1628"/>
      <c r="AN131" s="1628"/>
      <c r="AO131" s="1628"/>
      <c r="AP131" s="1628"/>
      <c r="AQ131" s="1622"/>
      <c r="AR131" s="1622"/>
      <c r="AS131" s="1622"/>
      <c r="AT131" s="1622"/>
      <c r="AU131" s="1622"/>
      <c r="AV131" s="1622"/>
      <c r="AW131" s="1622"/>
      <c r="AX131" s="1622"/>
      <c r="AY131" s="1622"/>
      <c r="AZ131" s="1622"/>
    </row>
    <row r="132" spans="1:52">
      <c r="A132" s="19"/>
      <c r="B132" s="213"/>
      <c r="C132" s="213"/>
      <c r="D132" s="213"/>
      <c r="E132" s="213"/>
      <c r="F132" s="213"/>
      <c r="G132" s="213"/>
      <c r="H132" s="213"/>
      <c r="I132" s="213"/>
      <c r="J132" s="213"/>
      <c r="K132" s="213"/>
      <c r="L132" s="213"/>
      <c r="M132" s="213"/>
      <c r="N132" s="343"/>
      <c r="O132" s="343"/>
      <c r="P132" s="343"/>
      <c r="Q132" s="343"/>
      <c r="R132" s="343"/>
      <c r="S132" s="343"/>
      <c r="T132" s="343"/>
      <c r="U132" s="343"/>
      <c r="V132" s="343"/>
      <c r="W132" s="343"/>
      <c r="X132" s="343"/>
      <c r="Y132" s="343"/>
      <c r="Z132" s="343"/>
      <c r="AA132" s="343"/>
      <c r="AB132" s="343"/>
      <c r="AC132" s="343"/>
      <c r="AD132" s="343"/>
      <c r="AE132" s="343"/>
      <c r="AF132" s="343"/>
      <c r="AG132" s="1628"/>
      <c r="AH132" s="1628"/>
      <c r="AI132" s="1628"/>
      <c r="AJ132" s="1628"/>
      <c r="AK132" s="1628"/>
      <c r="AL132" s="1628"/>
      <c r="AM132" s="1628"/>
      <c r="AN132" s="1628"/>
      <c r="AO132" s="1628"/>
      <c r="AP132" s="1628"/>
      <c r="AQ132" s="1622"/>
      <c r="AR132" s="1622"/>
      <c r="AS132" s="1622"/>
      <c r="AT132" s="1622"/>
      <c r="AU132" s="1622"/>
      <c r="AV132" s="1622"/>
      <c r="AW132" s="1622"/>
      <c r="AX132" s="1622"/>
      <c r="AY132" s="1622"/>
      <c r="AZ132" s="1622"/>
    </row>
    <row r="133" spans="1:52">
      <c r="A133" s="306" t="s">
        <v>1604</v>
      </c>
      <c r="B133" s="307"/>
      <c r="C133" s="307"/>
      <c r="D133" s="307"/>
      <c r="E133" s="307"/>
      <c r="F133" s="307"/>
      <c r="G133" s="307"/>
      <c r="H133" s="307"/>
      <c r="I133" s="307"/>
      <c r="J133" s="307"/>
      <c r="K133" s="307"/>
      <c r="L133" s="307"/>
      <c r="M133" s="308"/>
      <c r="N133" s="392"/>
      <c r="O133" s="392"/>
      <c r="P133" s="392"/>
      <c r="Q133" s="392"/>
      <c r="R133" s="392"/>
      <c r="S133" s="392"/>
      <c r="T133" s="392"/>
      <c r="U133" s="392"/>
      <c r="V133" s="392"/>
      <c r="W133" s="392"/>
      <c r="X133" s="392"/>
      <c r="Y133" s="392"/>
      <c r="Z133" s="392"/>
      <c r="AA133" s="392"/>
      <c r="AB133" s="392"/>
      <c r="AC133" s="392"/>
      <c r="AD133" s="392"/>
      <c r="AE133" s="392"/>
      <c r="AF133" s="392"/>
      <c r="AG133" s="1628"/>
      <c r="AH133" s="1628"/>
      <c r="AI133" s="1628"/>
      <c r="AJ133" s="1628"/>
      <c r="AK133" s="1628"/>
      <c r="AL133" s="1628"/>
      <c r="AM133" s="1628"/>
      <c r="AN133" s="1628"/>
      <c r="AO133" s="1624"/>
      <c r="AP133" s="1624"/>
      <c r="AQ133" s="1622"/>
      <c r="AR133" s="1622"/>
      <c r="AS133" s="1622"/>
      <c r="AT133" s="1622"/>
      <c r="AU133" s="1622"/>
      <c r="AV133" s="1622"/>
      <c r="AW133" s="1622"/>
      <c r="AX133" s="1622"/>
      <c r="AY133" s="1622"/>
      <c r="AZ133" s="1622"/>
    </row>
    <row r="134" spans="1:52">
      <c r="A134" s="291" t="s">
        <v>1483</v>
      </c>
      <c r="B134" s="213"/>
      <c r="C134" s="213"/>
      <c r="D134" s="213"/>
      <c r="E134" s="213"/>
      <c r="F134" s="213"/>
      <c r="G134" s="213"/>
      <c r="H134" s="213"/>
      <c r="I134" s="213"/>
      <c r="J134" s="211"/>
      <c r="K134" s="211"/>
      <c r="L134" s="211"/>
      <c r="M134" s="211"/>
      <c r="N134" s="211"/>
      <c r="O134" s="211"/>
      <c r="P134" s="211"/>
      <c r="Q134" s="211"/>
      <c r="R134" s="211"/>
      <c r="S134" s="211"/>
      <c r="T134" s="211">
        <v>110</v>
      </c>
      <c r="U134" s="211">
        <v>100</v>
      </c>
      <c r="V134" s="211">
        <v>80</v>
      </c>
      <c r="W134" s="211">
        <v>50</v>
      </c>
      <c r="X134" s="211">
        <v>30</v>
      </c>
      <c r="Y134" s="211">
        <v>15</v>
      </c>
      <c r="Z134" s="211">
        <v>5</v>
      </c>
      <c r="AA134" s="211">
        <v>0</v>
      </c>
      <c r="AB134" s="211">
        <v>0</v>
      </c>
      <c r="AC134" s="211">
        <v>0</v>
      </c>
      <c r="AD134" s="211">
        <v>0</v>
      </c>
      <c r="AE134" s="211">
        <v>0</v>
      </c>
      <c r="AF134" s="211">
        <v>0</v>
      </c>
      <c r="AG134" s="1624"/>
      <c r="AH134" s="1624"/>
      <c r="AI134" s="1624"/>
      <c r="AJ134" s="1624"/>
      <c r="AK134" s="1624"/>
      <c r="AL134" s="1624"/>
      <c r="AM134" s="1624"/>
      <c r="AN134" s="1624"/>
      <c r="AO134" s="1624"/>
      <c r="AP134" s="1624"/>
      <c r="AQ134" s="1622"/>
      <c r="AR134" s="1622"/>
      <c r="AS134" s="1622"/>
      <c r="AT134" s="1622"/>
      <c r="AU134" s="1622"/>
      <c r="AV134" s="1622"/>
      <c r="AW134" s="1622"/>
      <c r="AX134" s="1622"/>
      <c r="AY134" s="1622"/>
      <c r="AZ134" s="1622"/>
    </row>
    <row r="135" spans="1:52">
      <c r="A135" s="291" t="s">
        <v>1485</v>
      </c>
      <c r="B135" s="213"/>
      <c r="C135" s="213"/>
      <c r="D135" s="213"/>
      <c r="E135" s="213"/>
      <c r="F135" s="213"/>
      <c r="G135" s="213"/>
      <c r="H135" s="213"/>
      <c r="I135" s="213"/>
      <c r="J135" s="211"/>
      <c r="K135" s="227"/>
      <c r="L135" s="227"/>
      <c r="M135" s="227"/>
      <c r="N135" s="211"/>
      <c r="O135" s="211"/>
      <c r="P135" s="211"/>
      <c r="Q135" s="211"/>
      <c r="R135" s="211"/>
      <c r="S135" s="211"/>
      <c r="T135" s="211">
        <v>2380</v>
      </c>
      <c r="U135" s="211">
        <v>2380</v>
      </c>
      <c r="V135" s="211">
        <v>1175</v>
      </c>
      <c r="W135" s="200">
        <f>V135*(1+0.15)</f>
        <v>1351.25</v>
      </c>
      <c r="X135" s="200">
        <f>W135*(1+0.25)</f>
        <v>1689.0625</v>
      </c>
      <c r="Y135" s="200">
        <f>X135*(1+0.25)</f>
        <v>2111.328125</v>
      </c>
      <c r="Z135" s="200">
        <f>Y135*(1+0.05)</f>
        <v>2216.89453125</v>
      </c>
      <c r="AA135" s="212">
        <v>2550</v>
      </c>
      <c r="AB135" s="212">
        <v>2886</v>
      </c>
      <c r="AC135" s="212">
        <v>2934</v>
      </c>
      <c r="AD135" s="228">
        <f>AC135-100</f>
        <v>2834</v>
      </c>
      <c r="AE135" s="228">
        <f>AD135-150</f>
        <v>2684</v>
      </c>
      <c r="AF135" s="228">
        <f>AE135-200</f>
        <v>2484</v>
      </c>
      <c r="AG135" s="1624"/>
      <c r="AH135" s="1624"/>
      <c r="AI135" s="1624"/>
      <c r="AJ135" s="1624"/>
      <c r="AK135" s="1624"/>
      <c r="AL135" s="1624"/>
      <c r="AM135" s="1624"/>
      <c r="AN135" s="1624"/>
      <c r="AO135" s="1628"/>
      <c r="AP135" s="1628"/>
      <c r="AQ135" s="1622"/>
      <c r="AR135" s="1622"/>
      <c r="AS135" s="1622"/>
      <c r="AT135" s="1622"/>
      <c r="AU135" s="1622"/>
      <c r="AV135" s="1622"/>
      <c r="AW135" s="1622"/>
      <c r="AX135" s="1622"/>
      <c r="AY135" s="1622"/>
      <c r="AZ135" s="1622"/>
    </row>
    <row r="136" spans="1:52">
      <c r="A136" s="19" t="s">
        <v>1025</v>
      </c>
      <c r="B136" s="213"/>
      <c r="C136" s="213"/>
      <c r="D136" s="213"/>
      <c r="E136" s="213"/>
      <c r="F136" s="213"/>
      <c r="G136" s="213"/>
      <c r="H136" s="213"/>
      <c r="I136" s="213"/>
      <c r="J136" s="208"/>
      <c r="K136" s="208"/>
      <c r="L136" s="208"/>
      <c r="M136" s="208"/>
      <c r="N136" s="208"/>
      <c r="O136" s="208"/>
      <c r="P136" s="208"/>
      <c r="Q136" s="208"/>
      <c r="R136" s="208"/>
      <c r="S136" s="208"/>
      <c r="T136" s="208">
        <f t="shared" ref="T136:AF136" si="93">SUM(T134:T135)</f>
        <v>2490</v>
      </c>
      <c r="U136" s="208">
        <v>2480</v>
      </c>
      <c r="V136" s="208">
        <f t="shared" si="93"/>
        <v>1255</v>
      </c>
      <c r="W136" s="208">
        <f t="shared" si="93"/>
        <v>1401.25</v>
      </c>
      <c r="X136" s="208">
        <f t="shared" si="93"/>
        <v>1719.0625</v>
      </c>
      <c r="Y136" s="208">
        <f t="shared" si="93"/>
        <v>2126.328125</v>
      </c>
      <c r="Z136" s="208">
        <f t="shared" si="93"/>
        <v>2221.89453125</v>
      </c>
      <c r="AA136" s="208">
        <f t="shared" si="93"/>
        <v>2550</v>
      </c>
      <c r="AB136" s="208">
        <f t="shared" si="93"/>
        <v>2886</v>
      </c>
      <c r="AC136" s="208">
        <f t="shared" si="93"/>
        <v>2934</v>
      </c>
      <c r="AD136" s="208">
        <f t="shared" si="93"/>
        <v>2834</v>
      </c>
      <c r="AE136" s="208">
        <f t="shared" si="93"/>
        <v>2684</v>
      </c>
      <c r="AF136" s="208">
        <f t="shared" si="93"/>
        <v>2484</v>
      </c>
      <c r="AG136" s="1628"/>
      <c r="AH136" s="1628"/>
      <c r="AI136" s="1628"/>
      <c r="AJ136" s="1628"/>
      <c r="AK136" s="1628"/>
      <c r="AL136" s="1628"/>
      <c r="AM136" s="1628"/>
      <c r="AN136" s="1628"/>
      <c r="AO136" s="1628"/>
      <c r="AP136" s="57"/>
    </row>
    <row r="137" spans="1:52">
      <c r="A137" s="349" t="s">
        <v>1489</v>
      </c>
      <c r="B137" s="216"/>
      <c r="C137" s="216"/>
      <c r="D137" s="216"/>
      <c r="E137" s="216"/>
      <c r="F137" s="216"/>
      <c r="G137" s="216"/>
      <c r="H137" s="216"/>
      <c r="I137" s="216"/>
      <c r="J137" s="216"/>
      <c r="K137" s="217"/>
      <c r="L137" s="217"/>
      <c r="M137" s="217"/>
      <c r="N137" s="217"/>
      <c r="O137" s="217"/>
      <c r="P137" s="217"/>
      <c r="Q137" s="217"/>
      <c r="R137" s="217"/>
      <c r="S137" s="217"/>
      <c r="T137" s="217"/>
      <c r="U137" s="217">
        <v>-4.0160642570281624E-3</v>
      </c>
      <c r="V137" s="217">
        <f t="shared" ref="V137:AF137" si="94">V136/U136-1</f>
        <v>-0.49395161290322576</v>
      </c>
      <c r="W137" s="217">
        <f t="shared" si="94"/>
        <v>0.11653386454183257</v>
      </c>
      <c r="X137" s="217">
        <f t="shared" si="94"/>
        <v>0.22680642283675301</v>
      </c>
      <c r="Y137" s="217">
        <f t="shared" si="94"/>
        <v>0.23691147064170148</v>
      </c>
      <c r="Z137" s="217">
        <f t="shared" si="94"/>
        <v>4.4944336260425377E-2</v>
      </c>
      <c r="AA137" s="217">
        <f t="shared" si="94"/>
        <v>0.14766923638153684</v>
      </c>
      <c r="AB137" s="217">
        <f t="shared" si="94"/>
        <v>0.13176470588235301</v>
      </c>
      <c r="AC137" s="217">
        <f t="shared" si="94"/>
        <v>1.6632016632016633E-2</v>
      </c>
      <c r="AD137" s="217">
        <f t="shared" si="94"/>
        <v>-3.4083162917518783E-2</v>
      </c>
      <c r="AE137" s="217">
        <f t="shared" si="94"/>
        <v>-5.2928722653493243E-2</v>
      </c>
      <c r="AF137" s="217">
        <f t="shared" si="94"/>
        <v>-7.4515648286140101E-2</v>
      </c>
      <c r="AG137" s="1628"/>
      <c r="AH137" s="1628"/>
      <c r="AI137" s="1628"/>
      <c r="AJ137" s="1628"/>
      <c r="AK137" s="1628"/>
      <c r="AL137" s="1628"/>
      <c r="AM137" s="1628"/>
      <c r="AN137" s="1628"/>
      <c r="AO137" s="1628"/>
      <c r="AP137" s="57"/>
    </row>
    <row r="138" spans="1:52">
      <c r="A138" s="349"/>
      <c r="B138" s="216"/>
      <c r="C138" s="216"/>
      <c r="D138" s="216"/>
      <c r="E138" s="216"/>
      <c r="F138" s="216"/>
      <c r="G138" s="216"/>
      <c r="H138" s="216"/>
      <c r="I138" s="216"/>
      <c r="J138" s="250"/>
      <c r="K138" s="250"/>
      <c r="L138" s="207"/>
      <c r="M138" s="207"/>
      <c r="N138" s="207"/>
      <c r="O138" s="207"/>
      <c r="P138" s="207"/>
      <c r="Q138" s="207"/>
      <c r="R138" s="207"/>
      <c r="S138" s="207"/>
      <c r="T138" s="207"/>
      <c r="U138" s="207"/>
      <c r="V138" s="207"/>
      <c r="W138" s="207"/>
      <c r="X138" s="207"/>
      <c r="Y138" s="207"/>
      <c r="Z138" s="207"/>
      <c r="AA138" s="207"/>
      <c r="AB138" s="207"/>
      <c r="AC138" s="207"/>
      <c r="AD138" s="207"/>
      <c r="AE138" s="207"/>
      <c r="AF138" s="207"/>
      <c r="AG138" s="1628"/>
      <c r="AH138" s="1628"/>
      <c r="AI138" s="1628"/>
      <c r="AJ138" s="1628"/>
      <c r="AK138" s="1628"/>
      <c r="AL138" s="1628"/>
      <c r="AM138" s="1628"/>
      <c r="AN138" s="1628"/>
      <c r="AO138" s="1628"/>
      <c r="AP138" s="57"/>
    </row>
    <row r="139" spans="1:52">
      <c r="A139" s="19" t="s">
        <v>1487</v>
      </c>
      <c r="B139" s="213"/>
      <c r="C139" s="213"/>
      <c r="D139" s="213"/>
      <c r="E139" s="213"/>
      <c r="F139" s="213"/>
      <c r="G139" s="213"/>
      <c r="H139" s="213"/>
      <c r="I139" s="213"/>
      <c r="J139" s="371"/>
      <c r="K139" s="371"/>
      <c r="L139" s="371"/>
      <c r="M139" s="371"/>
      <c r="N139" s="371"/>
      <c r="O139" s="371"/>
      <c r="P139" s="371"/>
      <c r="Q139" s="371"/>
      <c r="R139" s="371"/>
      <c r="S139" s="371"/>
      <c r="T139" s="371"/>
      <c r="U139" s="371"/>
      <c r="V139" s="371"/>
      <c r="W139" s="371"/>
      <c r="X139" s="371"/>
      <c r="Y139" s="371"/>
      <c r="Z139" s="371"/>
      <c r="AA139" s="457"/>
      <c r="AB139" s="371"/>
      <c r="AC139" s="371"/>
      <c r="AD139" s="371"/>
      <c r="AE139" s="371"/>
      <c r="AF139" s="371"/>
      <c r="AG139" s="1628"/>
      <c r="AH139" s="1628"/>
      <c r="AI139" s="1628"/>
      <c r="AJ139" s="1628"/>
      <c r="AK139" s="1628"/>
      <c r="AL139" s="1628"/>
      <c r="AM139" s="1628"/>
      <c r="AN139" s="1628"/>
      <c r="AO139" s="1628"/>
      <c r="AP139" s="57"/>
    </row>
    <row r="140" spans="1:52">
      <c r="A140" s="291" t="s">
        <v>1494</v>
      </c>
      <c r="B140" s="207"/>
      <c r="C140" s="207"/>
      <c r="D140" s="207"/>
      <c r="E140" s="207"/>
      <c r="F140" s="207"/>
      <c r="G140" s="207"/>
      <c r="H140" s="210"/>
      <c r="I140" s="210"/>
      <c r="J140" s="210"/>
      <c r="K140" s="210"/>
      <c r="L140" s="210"/>
      <c r="M140" s="210"/>
      <c r="N140" s="210"/>
      <c r="O140" s="210"/>
      <c r="P140" s="210"/>
      <c r="Q140" s="210"/>
      <c r="R140" s="210"/>
      <c r="S140" s="210"/>
      <c r="T140" s="210">
        <v>0.9</v>
      </c>
      <c r="U140" s="210">
        <v>0.9</v>
      </c>
      <c r="V140" s="210">
        <v>0.9</v>
      </c>
      <c r="W140" s="210">
        <v>0.9</v>
      </c>
      <c r="X140" s="210">
        <v>0.9</v>
      </c>
      <c r="Y140" s="210">
        <v>0.9</v>
      </c>
      <c r="Z140" s="210">
        <v>0.9</v>
      </c>
      <c r="AA140" s="1299">
        <v>0.9</v>
      </c>
      <c r="AB140" s="1299">
        <v>0.9</v>
      </c>
      <c r="AC140" s="1299">
        <v>0.9</v>
      </c>
      <c r="AD140" s="1299">
        <v>0.9</v>
      </c>
      <c r="AE140" s="1299">
        <v>0.9</v>
      </c>
      <c r="AF140" s="1299">
        <v>0.9</v>
      </c>
      <c r="AG140" s="1628"/>
      <c r="AH140" s="1628"/>
      <c r="AI140" s="1628"/>
      <c r="AJ140" s="1628"/>
      <c r="AK140" s="1628"/>
      <c r="AL140" s="1628"/>
      <c r="AM140" s="1628"/>
      <c r="AN140" s="1628"/>
      <c r="AO140" s="1628"/>
      <c r="AP140" s="57"/>
    </row>
    <row r="141" spans="1:52">
      <c r="A141" s="291" t="s">
        <v>1488</v>
      </c>
      <c r="B141" s="207"/>
      <c r="C141" s="207"/>
      <c r="D141" s="207"/>
      <c r="E141" s="207"/>
      <c r="F141" s="207"/>
      <c r="G141" s="207"/>
      <c r="H141" s="210"/>
      <c r="I141" s="210"/>
      <c r="J141" s="210"/>
      <c r="K141" s="210"/>
      <c r="L141" s="210"/>
      <c r="M141" s="210"/>
      <c r="N141" s="210"/>
      <c r="O141" s="210"/>
      <c r="P141" s="210"/>
      <c r="Q141" s="210"/>
      <c r="R141" s="210"/>
      <c r="S141" s="210"/>
      <c r="T141" s="210">
        <v>0.1</v>
      </c>
      <c r="U141" s="210">
        <v>0.1</v>
      </c>
      <c r="V141" s="210">
        <v>0.1</v>
      </c>
      <c r="W141" s="210">
        <v>0.1</v>
      </c>
      <c r="X141" s="210">
        <v>0.1</v>
      </c>
      <c r="Y141" s="210">
        <v>0.1</v>
      </c>
      <c r="Z141" s="210">
        <v>0.1</v>
      </c>
      <c r="AA141" s="1299">
        <v>0.1</v>
      </c>
      <c r="AB141" s="1299">
        <v>0.1</v>
      </c>
      <c r="AC141" s="1299">
        <v>0.1</v>
      </c>
      <c r="AD141" s="1299">
        <v>0.1</v>
      </c>
      <c r="AE141" s="1299">
        <v>0.1</v>
      </c>
      <c r="AF141" s="1299">
        <v>0.1</v>
      </c>
      <c r="AG141" s="1628"/>
      <c r="AH141" s="1628"/>
      <c r="AI141" s="1628"/>
      <c r="AJ141" s="1628"/>
      <c r="AK141" s="1628"/>
      <c r="AL141" s="1628"/>
      <c r="AM141" s="1628"/>
      <c r="AN141" s="1628"/>
      <c r="AO141" s="1628"/>
      <c r="AP141" s="57"/>
    </row>
    <row r="142" spans="1:52">
      <c r="A142" s="349"/>
      <c r="B142" s="216"/>
      <c r="C142" s="216"/>
      <c r="D142" s="216"/>
      <c r="E142" s="216"/>
      <c r="F142" s="216"/>
      <c r="G142" s="216"/>
      <c r="H142" s="216"/>
      <c r="I142" s="216"/>
      <c r="J142" s="216"/>
      <c r="K142" s="217"/>
      <c r="L142" s="217"/>
      <c r="M142" s="217"/>
      <c r="N142" s="217"/>
      <c r="O142" s="217"/>
      <c r="P142" s="217"/>
      <c r="Q142" s="217"/>
      <c r="R142" s="217"/>
      <c r="S142" s="217"/>
      <c r="T142" s="217"/>
      <c r="U142" s="217"/>
      <c r="V142" s="217"/>
      <c r="W142" s="217"/>
      <c r="X142" s="217"/>
      <c r="Y142" s="217"/>
      <c r="Z142" s="217"/>
      <c r="AA142" s="217"/>
      <c r="AB142" s="217"/>
      <c r="AC142" s="217"/>
      <c r="AD142" s="217"/>
      <c r="AE142" s="217"/>
      <c r="AF142" s="217"/>
      <c r="AG142" s="1628"/>
      <c r="AH142" s="1628"/>
      <c r="AI142" s="1628"/>
      <c r="AJ142" s="1628"/>
      <c r="AK142" s="1628"/>
      <c r="AL142" s="1628"/>
      <c r="AM142" s="1628"/>
      <c r="AN142" s="1628"/>
      <c r="AO142" s="1628"/>
      <c r="AP142" s="57"/>
    </row>
    <row r="143" spans="1:52">
      <c r="A143" s="19" t="s">
        <v>1492</v>
      </c>
      <c r="B143" s="213"/>
      <c r="C143" s="213"/>
      <c r="D143" s="213"/>
      <c r="E143" s="213"/>
      <c r="F143" s="213"/>
      <c r="G143" s="213"/>
      <c r="H143" s="213"/>
      <c r="I143" s="213"/>
      <c r="J143" s="208"/>
      <c r="K143" s="211"/>
      <c r="L143" s="211"/>
      <c r="M143" s="211"/>
      <c r="N143" s="208"/>
      <c r="O143" s="208"/>
      <c r="P143" s="208"/>
      <c r="Q143" s="208"/>
      <c r="R143" s="208"/>
      <c r="S143" s="208"/>
      <c r="T143" s="208"/>
      <c r="U143" s="208"/>
      <c r="V143" s="208"/>
      <c r="W143" s="208"/>
      <c r="X143" s="208"/>
      <c r="Y143" s="208"/>
      <c r="Z143" s="208"/>
      <c r="AA143" s="208"/>
      <c r="AB143" s="208"/>
      <c r="AC143" s="208"/>
      <c r="AD143" s="208"/>
      <c r="AE143" s="208"/>
      <c r="AF143" s="208"/>
      <c r="AG143" s="1628"/>
      <c r="AH143" s="1628"/>
      <c r="AI143" s="1628"/>
      <c r="AJ143" s="1628"/>
      <c r="AK143" s="1628"/>
      <c r="AL143" s="1628"/>
      <c r="AM143" s="1628"/>
      <c r="AN143" s="1628"/>
      <c r="AO143" s="1628"/>
      <c r="AP143" s="57"/>
    </row>
    <row r="144" spans="1:52">
      <c r="A144" s="291" t="s">
        <v>1799</v>
      </c>
      <c r="B144" s="213"/>
      <c r="C144" s="213"/>
      <c r="D144" s="213"/>
      <c r="E144" s="213"/>
      <c r="F144" s="213"/>
      <c r="G144" s="213"/>
      <c r="H144" s="213"/>
      <c r="I144" s="213"/>
      <c r="J144" s="208"/>
      <c r="K144" s="211"/>
      <c r="L144" s="211"/>
      <c r="M144" s="211"/>
      <c r="N144" s="208"/>
      <c r="O144" s="208"/>
      <c r="P144" s="208"/>
      <c r="Q144" s="208"/>
      <c r="R144" s="208"/>
      <c r="S144" s="208"/>
      <c r="T144" s="220">
        <f t="shared" ref="T144:AF144" si="95">S144</f>
        <v>0</v>
      </c>
      <c r="U144" s="220">
        <v>0.65</v>
      </c>
      <c r="V144" s="220">
        <f t="shared" si="95"/>
        <v>0.65</v>
      </c>
      <c r="W144" s="220">
        <f t="shared" si="95"/>
        <v>0.65</v>
      </c>
      <c r="X144" s="220">
        <f t="shared" si="95"/>
        <v>0.65</v>
      </c>
      <c r="Y144" s="220">
        <f t="shared" si="95"/>
        <v>0.65</v>
      </c>
      <c r="Z144" s="220">
        <f t="shared" si="95"/>
        <v>0.65</v>
      </c>
      <c r="AA144" s="1297">
        <f t="shared" si="95"/>
        <v>0.65</v>
      </c>
      <c r="AB144" s="1297">
        <f t="shared" si="95"/>
        <v>0.65</v>
      </c>
      <c r="AC144" s="1297">
        <f t="shared" si="95"/>
        <v>0.65</v>
      </c>
      <c r="AD144" s="1297">
        <f t="shared" si="95"/>
        <v>0.65</v>
      </c>
      <c r="AE144" s="1297">
        <f t="shared" si="95"/>
        <v>0.65</v>
      </c>
      <c r="AF144" s="1297">
        <f t="shared" si="95"/>
        <v>0.65</v>
      </c>
      <c r="AG144" s="1628"/>
      <c r="AH144" s="1628"/>
      <c r="AI144" s="1628"/>
      <c r="AJ144" s="1628"/>
      <c r="AK144" s="1628"/>
      <c r="AL144" s="1628"/>
      <c r="AM144" s="1628"/>
      <c r="AN144" s="1628"/>
      <c r="AO144" s="1624"/>
      <c r="AP144" s="213"/>
    </row>
    <row r="145" spans="1:42">
      <c r="A145" s="291" t="s">
        <v>1023</v>
      </c>
      <c r="B145" s="213"/>
      <c r="C145" s="213"/>
      <c r="D145" s="213"/>
      <c r="E145" s="213"/>
      <c r="F145" s="213"/>
      <c r="G145" s="213"/>
      <c r="H145" s="213"/>
      <c r="I145" s="213"/>
      <c r="J145" s="208"/>
      <c r="K145" s="211"/>
      <c r="L145" s="211"/>
      <c r="M145" s="211"/>
      <c r="N145" s="208"/>
      <c r="O145" s="208"/>
      <c r="P145" s="208"/>
      <c r="Q145" s="208"/>
      <c r="R145" s="208"/>
      <c r="S145" s="208"/>
      <c r="T145" s="220">
        <f t="shared" ref="T145:AF145" si="96">S145</f>
        <v>0</v>
      </c>
      <c r="U145" s="220">
        <v>0.35</v>
      </c>
      <c r="V145" s="220">
        <f t="shared" si="96"/>
        <v>0.35</v>
      </c>
      <c r="W145" s="220">
        <f t="shared" si="96"/>
        <v>0.35</v>
      </c>
      <c r="X145" s="220">
        <f t="shared" si="96"/>
        <v>0.35</v>
      </c>
      <c r="Y145" s="220">
        <f t="shared" si="96"/>
        <v>0.35</v>
      </c>
      <c r="Z145" s="220">
        <f t="shared" si="96"/>
        <v>0.35</v>
      </c>
      <c r="AA145" s="1297">
        <f t="shared" si="96"/>
        <v>0.35</v>
      </c>
      <c r="AB145" s="1297">
        <f t="shared" si="96"/>
        <v>0.35</v>
      </c>
      <c r="AC145" s="1297">
        <f t="shared" si="96"/>
        <v>0.35</v>
      </c>
      <c r="AD145" s="1297">
        <f t="shared" si="96"/>
        <v>0.35</v>
      </c>
      <c r="AE145" s="1297">
        <f t="shared" si="96"/>
        <v>0.35</v>
      </c>
      <c r="AF145" s="1297">
        <f t="shared" si="96"/>
        <v>0.35</v>
      </c>
      <c r="AG145" s="1624"/>
      <c r="AH145" s="1624"/>
      <c r="AI145" s="1624"/>
      <c r="AJ145" s="1624"/>
      <c r="AK145" s="1624"/>
      <c r="AL145" s="1624"/>
      <c r="AM145" s="1624"/>
      <c r="AN145" s="1624"/>
      <c r="AO145" s="1624"/>
      <c r="AP145" s="213"/>
    </row>
    <row r="146" spans="1:42">
      <c r="A146" s="19"/>
      <c r="B146" s="213"/>
      <c r="C146" s="213"/>
      <c r="D146" s="213"/>
      <c r="E146" s="213"/>
      <c r="F146" s="213"/>
      <c r="G146" s="213"/>
      <c r="H146" s="213"/>
      <c r="I146" s="213"/>
      <c r="J146" s="208"/>
      <c r="K146" s="211"/>
      <c r="L146" s="211"/>
      <c r="M146" s="211"/>
      <c r="N146" s="208"/>
      <c r="O146" s="208"/>
      <c r="P146" s="208"/>
      <c r="Q146" s="208"/>
      <c r="R146" s="208"/>
      <c r="S146" s="208"/>
      <c r="T146" s="208"/>
      <c r="U146" s="208"/>
      <c r="V146" s="208"/>
      <c r="W146" s="208"/>
      <c r="X146" s="208"/>
      <c r="Y146" s="208"/>
      <c r="Z146" s="208"/>
      <c r="AA146" s="1015"/>
      <c r="AB146" s="1015"/>
      <c r="AC146" s="1015"/>
      <c r="AD146" s="1015"/>
      <c r="AE146" s="1015"/>
      <c r="AF146" s="1015"/>
      <c r="AG146" s="1624"/>
      <c r="AH146" s="1624"/>
      <c r="AI146" s="1624"/>
      <c r="AJ146" s="1624"/>
      <c r="AK146" s="1624"/>
      <c r="AL146" s="1624"/>
      <c r="AM146" s="1624"/>
      <c r="AN146" s="1624"/>
      <c r="AO146" s="1624"/>
      <c r="AP146" s="213"/>
    </row>
    <row r="147" spans="1:42">
      <c r="A147" s="19" t="s">
        <v>1533</v>
      </c>
      <c r="B147" s="213"/>
      <c r="C147" s="213"/>
      <c r="D147" s="213"/>
      <c r="E147" s="213"/>
      <c r="F147" s="213"/>
      <c r="G147" s="213"/>
      <c r="H147" s="213"/>
      <c r="I147" s="213"/>
      <c r="J147" s="208"/>
      <c r="K147" s="211"/>
      <c r="L147" s="211"/>
      <c r="M147" s="211"/>
      <c r="N147" s="208"/>
      <c r="O147" s="208"/>
      <c r="P147" s="208"/>
      <c r="Q147" s="208"/>
      <c r="R147" s="208"/>
      <c r="S147" s="208"/>
      <c r="T147" s="208"/>
      <c r="U147" s="208"/>
      <c r="V147" s="208"/>
      <c r="W147" s="208"/>
      <c r="X147" s="208"/>
      <c r="Y147" s="208"/>
      <c r="Z147" s="208"/>
      <c r="AA147" s="1015"/>
      <c r="AB147" s="1015"/>
      <c r="AC147" s="1015"/>
      <c r="AD147" s="1015"/>
      <c r="AE147" s="1015"/>
      <c r="AF147" s="1015"/>
      <c r="AG147" s="1624"/>
      <c r="AH147" s="1624"/>
      <c r="AI147" s="1624"/>
      <c r="AJ147" s="1624"/>
      <c r="AK147" s="1624"/>
      <c r="AL147" s="1624"/>
      <c r="AM147" s="1624"/>
      <c r="AN147" s="1624"/>
      <c r="AO147" s="1624"/>
      <c r="AP147" s="213"/>
    </row>
    <row r="148" spans="1:42">
      <c r="A148" s="291" t="s">
        <v>1802</v>
      </c>
      <c r="B148" s="213"/>
      <c r="C148" s="213"/>
      <c r="D148" s="213"/>
      <c r="E148" s="213"/>
      <c r="F148" s="213"/>
      <c r="G148" s="213"/>
      <c r="H148" s="213"/>
      <c r="I148" s="213"/>
      <c r="J148" s="208"/>
      <c r="K148" s="211"/>
      <c r="L148" s="211"/>
      <c r="M148" s="211"/>
      <c r="N148" s="208"/>
      <c r="O148" s="208"/>
      <c r="P148" s="208"/>
      <c r="Q148" s="208"/>
      <c r="R148" s="208"/>
      <c r="S148" s="208"/>
      <c r="T148" s="222">
        <f t="shared" ref="T148:AF148" si="97">S148</f>
        <v>0</v>
      </c>
      <c r="U148" s="222">
        <v>0.1</v>
      </c>
      <c r="V148" s="222">
        <f t="shared" si="97"/>
        <v>0.1</v>
      </c>
      <c r="W148" s="220">
        <f t="shared" si="97"/>
        <v>0.1</v>
      </c>
      <c r="X148" s="220">
        <f t="shared" si="97"/>
        <v>0.1</v>
      </c>
      <c r="Y148" s="220">
        <f t="shared" si="97"/>
        <v>0.1</v>
      </c>
      <c r="Z148" s="220">
        <f t="shared" si="97"/>
        <v>0.1</v>
      </c>
      <c r="AA148" s="1297">
        <f t="shared" si="97"/>
        <v>0.1</v>
      </c>
      <c r="AB148" s="1297">
        <f t="shared" si="97"/>
        <v>0.1</v>
      </c>
      <c r="AC148" s="1297">
        <f t="shared" si="97"/>
        <v>0.1</v>
      </c>
      <c r="AD148" s="1297">
        <f t="shared" si="97"/>
        <v>0.1</v>
      </c>
      <c r="AE148" s="1297">
        <f t="shared" si="97"/>
        <v>0.1</v>
      </c>
      <c r="AF148" s="1297">
        <f t="shared" si="97"/>
        <v>0.1</v>
      </c>
      <c r="AG148" s="1624"/>
      <c r="AH148" s="1624" t="s">
        <v>1486</v>
      </c>
      <c r="AI148" s="1624"/>
      <c r="AJ148" s="1624"/>
      <c r="AK148" s="1624"/>
      <c r="AL148" s="1624"/>
      <c r="AM148" s="1624"/>
      <c r="AN148" s="1624"/>
      <c r="AO148" s="1624"/>
      <c r="AP148" s="213"/>
    </row>
    <row r="149" spans="1:42">
      <c r="A149" s="291" t="s">
        <v>1801</v>
      </c>
      <c r="B149" s="213"/>
      <c r="C149" s="213"/>
      <c r="D149" s="213"/>
      <c r="E149" s="213"/>
      <c r="F149" s="213"/>
      <c r="G149" s="213"/>
      <c r="H149" s="213"/>
      <c r="I149" s="213"/>
      <c r="J149" s="208"/>
      <c r="K149" s="211"/>
      <c r="L149" s="211"/>
      <c r="M149" s="211"/>
      <c r="N149" s="208"/>
      <c r="O149" s="208"/>
      <c r="P149" s="208"/>
      <c r="Q149" s="208"/>
      <c r="R149" s="208"/>
      <c r="S149" s="208"/>
      <c r="T149" s="210">
        <v>0.30000000000000004</v>
      </c>
      <c r="U149" s="210">
        <v>0.30000000000000004</v>
      </c>
      <c r="V149" s="210">
        <v>0.30000000000000004</v>
      </c>
      <c r="W149" s="210">
        <v>0.30000000000000004</v>
      </c>
      <c r="X149" s="210">
        <v>0.30000000000000004</v>
      </c>
      <c r="Y149" s="210">
        <v>0.30000000000000004</v>
      </c>
      <c r="Z149" s="210">
        <v>0.30000000000000004</v>
      </c>
      <c r="AA149" s="1299">
        <v>0.30000000000000004</v>
      </c>
      <c r="AB149" s="1299">
        <v>0.30000000000000004</v>
      </c>
      <c r="AC149" s="1299">
        <v>0.30000000000000004</v>
      </c>
      <c r="AD149" s="1299">
        <v>0.30000000000000004</v>
      </c>
      <c r="AE149" s="1299">
        <v>0.30000000000000004</v>
      </c>
      <c r="AF149" s="1299">
        <v>0.30000000000000004</v>
      </c>
      <c r="AG149" s="1624"/>
      <c r="AH149" s="1624"/>
      <c r="AI149" s="1624"/>
      <c r="AJ149" s="1624"/>
      <c r="AK149" s="1624"/>
      <c r="AL149" s="1624"/>
      <c r="AM149" s="1624"/>
      <c r="AN149" s="1624"/>
      <c r="AO149" s="1624"/>
      <c r="AP149" s="213"/>
    </row>
    <row r="150" spans="1:42">
      <c r="A150" s="291" t="s">
        <v>1490</v>
      </c>
      <c r="B150" s="213"/>
      <c r="C150" s="213"/>
      <c r="D150" s="213"/>
      <c r="E150" s="213"/>
      <c r="F150" s="213"/>
      <c r="G150" s="213"/>
      <c r="H150" s="213"/>
      <c r="I150" s="213"/>
      <c r="J150" s="208"/>
      <c r="K150" s="211"/>
      <c r="L150" s="211"/>
      <c r="M150" s="211"/>
      <c r="N150" s="208"/>
      <c r="O150" s="208"/>
      <c r="P150" s="208"/>
      <c r="Q150" s="208"/>
      <c r="R150" s="208"/>
      <c r="S150" s="208"/>
      <c r="T150" s="222">
        <f t="shared" ref="T150:AF150" si="98">1-T149-T151-T148</f>
        <v>0.36999999999999994</v>
      </c>
      <c r="U150" s="222">
        <v>0.26999999999999991</v>
      </c>
      <c r="V150" s="222">
        <f t="shared" si="98"/>
        <v>0.26999999999999991</v>
      </c>
      <c r="W150" s="220">
        <f t="shared" si="98"/>
        <v>0.26999999999999991</v>
      </c>
      <c r="X150" s="220">
        <f t="shared" si="98"/>
        <v>0.26999999999999991</v>
      </c>
      <c r="Y150" s="220">
        <f t="shared" si="98"/>
        <v>0.26999999999999991</v>
      </c>
      <c r="Z150" s="220">
        <f t="shared" si="98"/>
        <v>0.26999999999999991</v>
      </c>
      <c r="AA150" s="1297">
        <f t="shared" si="98"/>
        <v>0.26999999999999991</v>
      </c>
      <c r="AB150" s="1297">
        <f t="shared" si="98"/>
        <v>0.26999999999999991</v>
      </c>
      <c r="AC150" s="1297">
        <f t="shared" si="98"/>
        <v>0.26999999999999991</v>
      </c>
      <c r="AD150" s="1297">
        <f t="shared" si="98"/>
        <v>0.26999999999999991</v>
      </c>
      <c r="AE150" s="1297">
        <f t="shared" si="98"/>
        <v>0.26999999999999991</v>
      </c>
      <c r="AF150" s="1297">
        <f t="shared" si="98"/>
        <v>0.26999999999999991</v>
      </c>
      <c r="AG150" s="1624"/>
      <c r="AH150" s="1624"/>
      <c r="AI150" s="1624"/>
      <c r="AJ150" s="1624"/>
      <c r="AK150" s="1624"/>
      <c r="AL150" s="1624"/>
      <c r="AM150" s="1624"/>
      <c r="AN150" s="1624"/>
      <c r="AO150" s="1624"/>
      <c r="AP150" s="213"/>
    </row>
    <row r="151" spans="1:42">
      <c r="A151" s="291" t="s">
        <v>1491</v>
      </c>
      <c r="B151" s="213"/>
      <c r="C151" s="213"/>
      <c r="D151" s="213"/>
      <c r="E151" s="213"/>
      <c r="F151" s="213"/>
      <c r="G151" s="213"/>
      <c r="H151" s="213"/>
      <c r="I151" s="213"/>
      <c r="J151" s="208"/>
      <c r="K151" s="211"/>
      <c r="L151" s="211"/>
      <c r="M151" s="211"/>
      <c r="N151" s="208"/>
      <c r="O151" s="208"/>
      <c r="P151" s="208"/>
      <c r="Q151" s="208"/>
      <c r="R151" s="208"/>
      <c r="S151" s="208"/>
      <c r="T151" s="210">
        <v>0.33</v>
      </c>
      <c r="U151" s="210">
        <v>0.33</v>
      </c>
      <c r="V151" s="210">
        <v>0.33</v>
      </c>
      <c r="W151" s="210">
        <v>0.33</v>
      </c>
      <c r="X151" s="210">
        <v>0.33</v>
      </c>
      <c r="Y151" s="210">
        <v>0.33</v>
      </c>
      <c r="Z151" s="210">
        <v>0.33</v>
      </c>
      <c r="AA151" s="1299">
        <v>0.33</v>
      </c>
      <c r="AB151" s="1299">
        <v>0.33</v>
      </c>
      <c r="AC151" s="1299">
        <v>0.33</v>
      </c>
      <c r="AD151" s="1299">
        <v>0.33</v>
      </c>
      <c r="AE151" s="1299">
        <v>0.33</v>
      </c>
      <c r="AF151" s="1299">
        <v>0.33</v>
      </c>
      <c r="AG151" s="1624"/>
      <c r="AH151" s="1624"/>
      <c r="AI151" s="1624"/>
      <c r="AJ151" s="1624"/>
      <c r="AK151" s="1624"/>
      <c r="AL151" s="1624"/>
      <c r="AM151" s="1624"/>
      <c r="AN151" s="1624"/>
      <c r="AO151" s="1624"/>
      <c r="AP151" s="213"/>
    </row>
    <row r="152" spans="1:42">
      <c r="A152" s="349" t="s">
        <v>1140</v>
      </c>
      <c r="B152" s="213"/>
      <c r="C152" s="213"/>
      <c r="D152" s="213"/>
      <c r="E152" s="213"/>
      <c r="F152" s="213"/>
      <c r="G152" s="213"/>
      <c r="H152" s="213"/>
      <c r="I152" s="213"/>
      <c r="J152" s="208"/>
      <c r="K152" s="211"/>
      <c r="L152" s="211"/>
      <c r="M152" s="211"/>
      <c r="N152" s="208"/>
      <c r="O152" s="208"/>
      <c r="P152" s="208"/>
      <c r="Q152" s="208"/>
      <c r="R152" s="208"/>
      <c r="S152" s="208"/>
      <c r="T152" s="528" t="b">
        <f t="shared" ref="T152:AF152" si="99">SUM(T148:T151)=1</f>
        <v>1</v>
      </c>
      <c r="U152" s="528" t="b">
        <v>1</v>
      </c>
      <c r="V152" s="528" t="b">
        <f t="shared" si="99"/>
        <v>1</v>
      </c>
      <c r="W152" s="528" t="b">
        <f t="shared" si="99"/>
        <v>1</v>
      </c>
      <c r="X152" s="528" t="b">
        <f t="shared" si="99"/>
        <v>1</v>
      </c>
      <c r="Y152" s="528" t="b">
        <f t="shared" si="99"/>
        <v>1</v>
      </c>
      <c r="Z152" s="528" t="b">
        <f t="shared" si="99"/>
        <v>1</v>
      </c>
      <c r="AA152" s="528" t="b">
        <f t="shared" si="99"/>
        <v>1</v>
      </c>
      <c r="AB152" s="528" t="b">
        <f t="shared" si="99"/>
        <v>1</v>
      </c>
      <c r="AC152" s="528" t="b">
        <f t="shared" si="99"/>
        <v>1</v>
      </c>
      <c r="AD152" s="528" t="b">
        <f t="shared" si="99"/>
        <v>1</v>
      </c>
      <c r="AE152" s="528" t="b">
        <f t="shared" si="99"/>
        <v>1</v>
      </c>
      <c r="AF152" s="528" t="b">
        <f t="shared" si="99"/>
        <v>1</v>
      </c>
      <c r="AG152" s="1624"/>
      <c r="AH152" s="1624"/>
      <c r="AI152" s="1624"/>
      <c r="AJ152" s="1624"/>
      <c r="AK152" s="1624"/>
      <c r="AL152" s="1624"/>
      <c r="AM152" s="1624"/>
      <c r="AN152" s="1624"/>
      <c r="AO152" s="1624"/>
      <c r="AP152" s="213"/>
    </row>
    <row r="153" spans="1:42">
      <c r="A153" s="19"/>
      <c r="B153" s="213"/>
      <c r="C153" s="213"/>
      <c r="D153" s="213"/>
      <c r="E153" s="213"/>
      <c r="F153" s="213"/>
      <c r="G153" s="213"/>
      <c r="H153" s="213"/>
      <c r="I153" s="213"/>
      <c r="J153" s="208"/>
      <c r="K153" s="211"/>
      <c r="L153" s="211"/>
      <c r="M153" s="211"/>
      <c r="N153" s="208"/>
      <c r="O153" s="208"/>
      <c r="P153" s="208"/>
      <c r="Q153" s="208"/>
      <c r="R153" s="208"/>
      <c r="S153" s="208"/>
      <c r="T153" s="208"/>
      <c r="U153" s="208"/>
      <c r="V153" s="208"/>
      <c r="W153" s="208"/>
      <c r="X153" s="208"/>
      <c r="Y153" s="208"/>
      <c r="Z153" s="208"/>
      <c r="AA153" s="208"/>
      <c r="AB153" s="208"/>
      <c r="AC153" s="208"/>
      <c r="AD153" s="208"/>
      <c r="AE153" s="208"/>
      <c r="AF153" s="208"/>
      <c r="AG153" s="1624"/>
      <c r="AH153" s="1624"/>
      <c r="AI153" s="1624"/>
      <c r="AJ153" s="1624"/>
      <c r="AK153" s="1624"/>
      <c r="AL153" s="1624"/>
      <c r="AM153" s="1624"/>
      <c r="AN153" s="1624"/>
      <c r="AO153" s="1624"/>
      <c r="AP153" s="213"/>
    </row>
    <row r="154" spans="1:42">
      <c r="A154" s="19" t="s">
        <v>1803</v>
      </c>
      <c r="B154" s="213"/>
      <c r="C154" s="213"/>
      <c r="D154" s="213"/>
      <c r="E154" s="213"/>
      <c r="F154" s="213"/>
      <c r="G154" s="213"/>
      <c r="H154" s="213"/>
      <c r="I154" s="213"/>
      <c r="J154" s="208"/>
      <c r="K154" s="211"/>
      <c r="L154" s="211"/>
      <c r="M154" s="211"/>
      <c r="N154" s="208"/>
      <c r="O154" s="208"/>
      <c r="P154" s="208"/>
      <c r="Q154" s="208"/>
      <c r="R154" s="208"/>
      <c r="S154" s="208"/>
      <c r="T154" s="208"/>
      <c r="U154" s="208"/>
      <c r="V154" s="208"/>
      <c r="W154" s="208"/>
      <c r="X154" s="208"/>
      <c r="Y154" s="208"/>
      <c r="Z154" s="208"/>
      <c r="AA154" s="208"/>
      <c r="AB154" s="208"/>
      <c r="AC154" s="208"/>
      <c r="AD154" s="208"/>
      <c r="AE154" s="208"/>
      <c r="AF154" s="208"/>
      <c r="AG154" s="1624"/>
      <c r="AH154" s="1624" t="s">
        <v>1478</v>
      </c>
      <c r="AI154" s="1624"/>
      <c r="AJ154" s="1624"/>
      <c r="AK154" s="1624"/>
      <c r="AL154" s="1624"/>
      <c r="AM154" s="1624"/>
      <c r="AN154" s="1624"/>
      <c r="AO154" s="1624"/>
      <c r="AP154" s="213"/>
    </row>
    <row r="155" spans="1:42">
      <c r="A155" s="291" t="s">
        <v>1802</v>
      </c>
      <c r="B155" s="213"/>
      <c r="C155" s="213"/>
      <c r="D155" s="213"/>
      <c r="E155" s="213"/>
      <c r="F155" s="213"/>
      <c r="G155" s="213"/>
      <c r="H155" s="213"/>
      <c r="I155" s="213"/>
      <c r="J155" s="208"/>
      <c r="K155" s="211"/>
      <c r="L155" s="211"/>
      <c r="M155" s="211"/>
      <c r="N155" s="208"/>
      <c r="O155" s="208"/>
      <c r="P155" s="208"/>
      <c r="Q155" s="208"/>
      <c r="R155" s="208"/>
      <c r="S155" s="208"/>
      <c r="T155" s="222">
        <f t="shared" ref="T155:AF155" si="100">S155</f>
        <v>0</v>
      </c>
      <c r="U155" s="222">
        <v>0.5</v>
      </c>
      <c r="V155" s="222">
        <f t="shared" si="100"/>
        <v>0.5</v>
      </c>
      <c r="W155" s="220">
        <f t="shared" si="100"/>
        <v>0.5</v>
      </c>
      <c r="X155" s="220">
        <f t="shared" si="100"/>
        <v>0.5</v>
      </c>
      <c r="Y155" s="220">
        <f t="shared" si="100"/>
        <v>0.5</v>
      </c>
      <c r="Z155" s="220">
        <f t="shared" si="100"/>
        <v>0.5</v>
      </c>
      <c r="AA155" s="1297">
        <f t="shared" si="100"/>
        <v>0.5</v>
      </c>
      <c r="AB155" s="1297">
        <f t="shared" si="100"/>
        <v>0.5</v>
      </c>
      <c r="AC155" s="1297">
        <f t="shared" si="100"/>
        <v>0.5</v>
      </c>
      <c r="AD155" s="1297">
        <f t="shared" si="100"/>
        <v>0.5</v>
      </c>
      <c r="AE155" s="1297">
        <f t="shared" si="100"/>
        <v>0.5</v>
      </c>
      <c r="AF155" s="1297">
        <f t="shared" si="100"/>
        <v>0.5</v>
      </c>
      <c r="AG155" s="1624"/>
      <c r="AH155" s="1624"/>
      <c r="AI155" s="1624"/>
      <c r="AJ155" s="1624"/>
      <c r="AK155" s="1624"/>
      <c r="AL155" s="1624"/>
      <c r="AM155" s="1624"/>
      <c r="AN155" s="1624"/>
      <c r="AO155" s="1624"/>
      <c r="AP155" s="213"/>
    </row>
    <row r="156" spans="1:42">
      <c r="A156" s="291" t="s">
        <v>1801</v>
      </c>
      <c r="B156" s="213"/>
      <c r="C156" s="213"/>
      <c r="D156" s="213"/>
      <c r="E156" s="213"/>
      <c r="F156" s="213"/>
      <c r="G156" s="213"/>
      <c r="H156" s="213"/>
      <c r="I156" s="213"/>
      <c r="J156" s="208"/>
      <c r="K156" s="211"/>
      <c r="L156" s="211"/>
      <c r="M156" s="211"/>
      <c r="N156" s="208"/>
      <c r="O156" s="208"/>
      <c r="P156" s="208"/>
      <c r="Q156" s="208"/>
      <c r="R156" s="208"/>
      <c r="S156" s="208"/>
      <c r="T156" s="222">
        <f t="shared" ref="T156:AF156" si="101">S156</f>
        <v>0</v>
      </c>
      <c r="U156" s="222">
        <v>0.5</v>
      </c>
      <c r="V156" s="222">
        <f t="shared" si="101"/>
        <v>0.5</v>
      </c>
      <c r="W156" s="220">
        <f t="shared" si="101"/>
        <v>0.5</v>
      </c>
      <c r="X156" s="220">
        <f t="shared" si="101"/>
        <v>0.5</v>
      </c>
      <c r="Y156" s="220">
        <f t="shared" si="101"/>
        <v>0.5</v>
      </c>
      <c r="Z156" s="220">
        <f t="shared" si="101"/>
        <v>0.5</v>
      </c>
      <c r="AA156" s="1297">
        <f t="shared" si="101"/>
        <v>0.5</v>
      </c>
      <c r="AB156" s="1297">
        <f t="shared" si="101"/>
        <v>0.5</v>
      </c>
      <c r="AC156" s="1297">
        <f t="shared" si="101"/>
        <v>0.5</v>
      </c>
      <c r="AD156" s="1297">
        <f t="shared" si="101"/>
        <v>0.5</v>
      </c>
      <c r="AE156" s="1297">
        <f t="shared" si="101"/>
        <v>0.5</v>
      </c>
      <c r="AF156" s="1297">
        <f t="shared" si="101"/>
        <v>0.5</v>
      </c>
      <c r="AG156" s="1624"/>
      <c r="AH156" s="1624"/>
      <c r="AI156" s="1624"/>
      <c r="AJ156" s="1624"/>
      <c r="AK156" s="1624"/>
      <c r="AL156" s="1624"/>
      <c r="AM156" s="1624"/>
      <c r="AN156" s="1624"/>
      <c r="AO156" s="1624"/>
      <c r="AP156" s="213"/>
    </row>
    <row r="157" spans="1:42">
      <c r="A157" s="291" t="s">
        <v>1490</v>
      </c>
      <c r="B157" s="213"/>
      <c r="C157" s="213"/>
      <c r="D157" s="213"/>
      <c r="E157" s="213"/>
      <c r="F157" s="213"/>
      <c r="G157" s="213"/>
      <c r="H157" s="213"/>
      <c r="I157" s="213"/>
      <c r="J157" s="208"/>
      <c r="K157" s="211"/>
      <c r="L157" s="211"/>
      <c r="M157" s="211"/>
      <c r="N157" s="208"/>
      <c r="O157" s="208"/>
      <c r="P157" s="208"/>
      <c r="Q157" s="208"/>
      <c r="R157" s="208"/>
      <c r="S157" s="208"/>
      <c r="T157" s="220">
        <f t="shared" ref="T157:AF157" si="102">S157</f>
        <v>0</v>
      </c>
      <c r="U157" s="220">
        <v>0.47499999999999998</v>
      </c>
      <c r="V157" s="220">
        <f t="shared" si="102"/>
        <v>0.47499999999999998</v>
      </c>
      <c r="W157" s="220">
        <f t="shared" si="102"/>
        <v>0.47499999999999998</v>
      </c>
      <c r="X157" s="220">
        <f t="shared" si="102"/>
        <v>0.47499999999999998</v>
      </c>
      <c r="Y157" s="220">
        <f t="shared" si="102"/>
        <v>0.47499999999999998</v>
      </c>
      <c r="Z157" s="220">
        <f t="shared" si="102"/>
        <v>0.47499999999999998</v>
      </c>
      <c r="AA157" s="1297">
        <f t="shared" si="102"/>
        <v>0.47499999999999998</v>
      </c>
      <c r="AB157" s="1297">
        <f t="shared" si="102"/>
        <v>0.47499999999999998</v>
      </c>
      <c r="AC157" s="1297">
        <f t="shared" si="102"/>
        <v>0.47499999999999998</v>
      </c>
      <c r="AD157" s="1297">
        <f t="shared" si="102"/>
        <v>0.47499999999999998</v>
      </c>
      <c r="AE157" s="1297">
        <f t="shared" si="102"/>
        <v>0.47499999999999998</v>
      </c>
      <c r="AF157" s="1297">
        <f t="shared" si="102"/>
        <v>0.47499999999999998</v>
      </c>
      <c r="AG157" s="1624"/>
      <c r="AH157" s="1624" t="s">
        <v>1493</v>
      </c>
      <c r="AI157" s="1624"/>
      <c r="AJ157" s="1624"/>
      <c r="AK157" s="1624"/>
      <c r="AL157" s="1624"/>
      <c r="AM157" s="1624"/>
      <c r="AN157" s="1624"/>
      <c r="AO157" s="1624"/>
      <c r="AP157" s="213"/>
    </row>
    <row r="158" spans="1:42">
      <c r="A158" s="291" t="s">
        <v>1491</v>
      </c>
      <c r="B158" s="213"/>
      <c r="C158" s="213"/>
      <c r="D158" s="213"/>
      <c r="E158" s="213"/>
      <c r="F158" s="213"/>
      <c r="G158" s="213"/>
      <c r="H158" s="213"/>
      <c r="I158" s="213"/>
      <c r="J158" s="208"/>
      <c r="K158" s="211"/>
      <c r="L158" s="211"/>
      <c r="M158" s="211"/>
      <c r="N158" s="208"/>
      <c r="O158" s="208"/>
      <c r="P158" s="208"/>
      <c r="Q158" s="208"/>
      <c r="R158" s="208"/>
      <c r="S158" s="208"/>
      <c r="T158" s="220">
        <f t="shared" ref="T158:AF158" si="103">S158</f>
        <v>0</v>
      </c>
      <c r="U158" s="220">
        <v>0.25</v>
      </c>
      <c r="V158" s="220">
        <f t="shared" si="103"/>
        <v>0.25</v>
      </c>
      <c r="W158" s="220">
        <f t="shared" si="103"/>
        <v>0.25</v>
      </c>
      <c r="X158" s="220">
        <f t="shared" si="103"/>
        <v>0.25</v>
      </c>
      <c r="Y158" s="220">
        <f t="shared" si="103"/>
        <v>0.25</v>
      </c>
      <c r="Z158" s="220">
        <f t="shared" si="103"/>
        <v>0.25</v>
      </c>
      <c r="AA158" s="1297">
        <f t="shared" si="103"/>
        <v>0.25</v>
      </c>
      <c r="AB158" s="1297">
        <f t="shared" si="103"/>
        <v>0.25</v>
      </c>
      <c r="AC158" s="1297">
        <f t="shared" si="103"/>
        <v>0.25</v>
      </c>
      <c r="AD158" s="1297">
        <f t="shared" si="103"/>
        <v>0.25</v>
      </c>
      <c r="AE158" s="1297">
        <f t="shared" si="103"/>
        <v>0.25</v>
      </c>
      <c r="AF158" s="1297">
        <f t="shared" si="103"/>
        <v>0.25</v>
      </c>
      <c r="AG158" s="1624"/>
      <c r="AH158" s="1624" t="s">
        <v>1493</v>
      </c>
      <c r="AI158" s="1624"/>
      <c r="AJ158" s="1624"/>
      <c r="AK158" s="1624"/>
      <c r="AL158" s="1624"/>
      <c r="AM158" s="1624"/>
      <c r="AN158" s="1624"/>
      <c r="AO158" s="1624"/>
      <c r="AP158" s="213"/>
    </row>
    <row r="159" spans="1:42">
      <c r="B159" s="213"/>
      <c r="C159" s="213"/>
      <c r="D159" s="213"/>
      <c r="E159" s="213"/>
      <c r="F159" s="213"/>
      <c r="G159" s="213"/>
      <c r="H159" s="213"/>
      <c r="I159" s="213"/>
      <c r="J159" s="208"/>
      <c r="K159" s="211"/>
      <c r="L159" s="211"/>
      <c r="M159" s="211"/>
      <c r="N159" s="208"/>
      <c r="O159" s="208"/>
      <c r="P159" s="208"/>
      <c r="Q159" s="208"/>
      <c r="R159" s="208"/>
      <c r="S159" s="208"/>
      <c r="T159" s="224"/>
      <c r="U159" s="224"/>
      <c r="V159" s="224"/>
      <c r="W159" s="224"/>
      <c r="X159" s="224"/>
      <c r="Y159" s="224"/>
      <c r="Z159" s="224"/>
      <c r="AA159" s="224"/>
      <c r="AB159" s="224"/>
      <c r="AC159" s="224"/>
      <c r="AD159" s="224"/>
      <c r="AE159" s="224"/>
      <c r="AF159" s="224"/>
      <c r="AG159" s="1624"/>
      <c r="AH159" s="1624"/>
      <c r="AI159" s="1624"/>
      <c r="AJ159" s="1624"/>
      <c r="AK159" s="1624"/>
      <c r="AL159" s="1624"/>
      <c r="AM159" s="1624"/>
      <c r="AN159" s="1624"/>
      <c r="AO159" s="1624"/>
      <c r="AP159" s="213"/>
    </row>
    <row r="160" spans="1:42">
      <c r="A160" s="19" t="s">
        <v>1502</v>
      </c>
      <c r="B160" s="213"/>
      <c r="C160" s="213"/>
      <c r="D160" s="213"/>
      <c r="E160" s="213"/>
      <c r="F160" s="213"/>
      <c r="G160" s="213"/>
      <c r="H160" s="213"/>
      <c r="I160" s="213"/>
      <c r="J160" s="208"/>
      <c r="K160" s="211"/>
      <c r="L160" s="211"/>
      <c r="M160" s="211"/>
      <c r="N160" s="208"/>
      <c r="O160" s="208"/>
      <c r="P160" s="208"/>
      <c r="Q160" s="208"/>
      <c r="R160" s="208"/>
      <c r="S160" s="208"/>
      <c r="T160" s="252">
        <v>5.85</v>
      </c>
      <c r="U160" s="221">
        <f>T160*(1+U164)*0.98</f>
        <v>5.7329999999999997</v>
      </c>
      <c r="V160" s="221">
        <f>U160*(1+V164)*0.98</f>
        <v>5.6183399999999999</v>
      </c>
      <c r="W160" s="221">
        <f>V160*(1+W164)*0.98</f>
        <v>5.7234591414000002</v>
      </c>
      <c r="X160" s="221">
        <f>W160*(1+X164)</f>
        <v>5.949535777485301</v>
      </c>
      <c r="Y160" s="221">
        <f>X160*(1+Y164)*1.02</f>
        <v>6.475117768068352</v>
      </c>
      <c r="Z160" s="221">
        <f>Y160*(1+Z164)</f>
        <v>6.8215365686600098</v>
      </c>
      <c r="AA160" s="221">
        <f>Z160*(1+AA164)</f>
        <v>7.1967210799363102</v>
      </c>
      <c r="AB160" s="221">
        <f>AA160*(1+AB164)*0.94</f>
        <v>7.0693391168214363</v>
      </c>
      <c r="AC160" s="221">
        <f>AB160*(1+AC164)*0.94</f>
        <v>6.9109859206046362</v>
      </c>
      <c r="AD160" s="221">
        <f>AC160*(1+AD164)*0.94</f>
        <v>6.756179835983092</v>
      </c>
      <c r="AE160" s="221">
        <f>AD160*(1+AE164)*0.94</f>
        <v>6.5413333171988297</v>
      </c>
      <c r="AF160" s="221">
        <f>AE160*(1+AF164)*0.94</f>
        <v>6.2718303845302374</v>
      </c>
      <c r="AG160" s="1624"/>
      <c r="AH160" s="1624"/>
      <c r="AI160" s="1624"/>
      <c r="AJ160" s="1624"/>
      <c r="AK160" s="1624"/>
      <c r="AL160" s="1624"/>
      <c r="AM160" s="1624"/>
      <c r="AN160" s="1624"/>
      <c r="AO160" s="1624"/>
      <c r="AP160" s="213"/>
    </row>
    <row r="161" spans="1:42">
      <c r="B161" s="213"/>
      <c r="C161" s="213"/>
      <c r="D161" s="213"/>
      <c r="E161" s="213"/>
      <c r="F161" s="213"/>
      <c r="G161" s="213"/>
      <c r="H161" s="213"/>
      <c r="I161" s="213"/>
      <c r="J161" s="208"/>
      <c r="K161" s="211"/>
      <c r="L161" s="211"/>
      <c r="M161" s="211"/>
      <c r="N161" s="208"/>
      <c r="O161" s="208"/>
      <c r="P161" s="208"/>
      <c r="Q161" s="208"/>
      <c r="R161" s="208"/>
      <c r="S161" s="208"/>
      <c r="T161" s="252"/>
      <c r="U161" s="221"/>
      <c r="V161" s="221"/>
      <c r="W161" s="221"/>
      <c r="X161" s="221"/>
      <c r="Y161" s="221"/>
      <c r="Z161" s="221"/>
      <c r="AA161" s="221"/>
      <c r="AB161" s="221"/>
      <c r="AC161" s="221"/>
      <c r="AD161" s="233"/>
      <c r="AE161" s="233"/>
      <c r="AF161" s="233"/>
      <c r="AG161" s="1624"/>
      <c r="AH161" s="1624" t="s">
        <v>1639</v>
      </c>
      <c r="AI161" s="1624"/>
      <c r="AJ161" s="1624"/>
      <c r="AK161" s="1624"/>
      <c r="AL161" s="1624"/>
      <c r="AM161" s="1624"/>
      <c r="AN161" s="1624"/>
      <c r="AO161" s="1624"/>
      <c r="AP161" s="213"/>
    </row>
    <row r="162" spans="1:42">
      <c r="A162" s="19" t="s">
        <v>1536</v>
      </c>
      <c r="B162" s="213"/>
      <c r="C162" s="213"/>
      <c r="D162" s="213"/>
      <c r="E162" s="213"/>
      <c r="F162" s="213"/>
      <c r="G162" s="213"/>
      <c r="H162" s="213"/>
      <c r="I162" s="213"/>
      <c r="J162" s="208"/>
      <c r="K162" s="211"/>
      <c r="L162" s="211"/>
      <c r="M162" s="211"/>
      <c r="N162" s="208"/>
      <c r="O162" s="208"/>
      <c r="P162" s="208"/>
      <c r="Q162" s="208"/>
      <c r="R162" s="208"/>
      <c r="S162" s="208"/>
      <c r="T162" s="294"/>
      <c r="U162" s="294"/>
      <c r="V162" s="294"/>
      <c r="W162" s="294">
        <v>3.2</v>
      </c>
      <c r="X162" s="294">
        <f t="shared" ref="X162:AF162" si="104">W162*(1+X164)</f>
        <v>3.3264000000000005</v>
      </c>
      <c r="Y162" s="294">
        <f t="shared" si="104"/>
        <v>3.5492688000000001</v>
      </c>
      <c r="Z162" s="221">
        <f t="shared" si="104"/>
        <v>3.7391546808000005</v>
      </c>
      <c r="AA162" s="221">
        <f t="shared" si="104"/>
        <v>3.944808188244</v>
      </c>
      <c r="AB162" s="221">
        <f t="shared" si="104"/>
        <v>4.1223245567149798</v>
      </c>
      <c r="AC162" s="221">
        <f t="shared" si="104"/>
        <v>4.2872175389835787</v>
      </c>
      <c r="AD162" s="221">
        <f t="shared" si="104"/>
        <v>4.4587062405429219</v>
      </c>
      <c r="AE162" s="221">
        <f t="shared" si="104"/>
        <v>4.5924674277592095</v>
      </c>
      <c r="AF162" s="221">
        <f t="shared" si="104"/>
        <v>4.684316776314394</v>
      </c>
      <c r="AG162" s="1624"/>
      <c r="AH162" s="1624" t="s">
        <v>1237</v>
      </c>
      <c r="AI162" s="1624"/>
      <c r="AJ162" s="1624"/>
      <c r="AK162" s="1624"/>
      <c r="AL162" s="1624"/>
      <c r="AM162" s="1624"/>
      <c r="AN162" s="1624"/>
      <c r="AO162" s="1624"/>
      <c r="AP162" s="213"/>
    </row>
    <row r="163" spans="1:42">
      <c r="A163" s="291"/>
      <c r="B163" s="213"/>
      <c r="C163" s="213"/>
      <c r="D163" s="213"/>
      <c r="E163" s="213"/>
      <c r="F163" s="213"/>
      <c r="G163" s="213"/>
      <c r="H163" s="213"/>
      <c r="I163" s="213"/>
      <c r="J163" s="208"/>
      <c r="K163" s="211"/>
      <c r="L163" s="211"/>
      <c r="M163" s="211"/>
      <c r="N163" s="208"/>
      <c r="O163" s="208"/>
      <c r="P163" s="208"/>
      <c r="Q163" s="208"/>
      <c r="R163" s="208"/>
      <c r="S163" s="208"/>
      <c r="T163" s="207"/>
      <c r="U163" s="207"/>
      <c r="V163" s="207"/>
      <c r="W163" s="207"/>
      <c r="X163" s="207"/>
      <c r="Y163" s="207"/>
      <c r="Z163" s="207"/>
      <c r="AA163" s="207"/>
      <c r="AB163" s="207"/>
      <c r="AC163" s="207"/>
      <c r="AD163" s="207"/>
      <c r="AE163" s="207"/>
      <c r="AF163" s="207"/>
      <c r="AG163" s="1624"/>
      <c r="AH163" s="1624" t="s">
        <v>1238</v>
      </c>
      <c r="AI163" s="1624"/>
      <c r="AJ163" s="1624"/>
      <c r="AK163" s="1624"/>
      <c r="AL163" s="1624"/>
      <c r="AM163" s="1624"/>
      <c r="AN163" s="1624"/>
      <c r="AO163" s="1624"/>
      <c r="AP163" s="213"/>
    </row>
    <row r="164" spans="1:42">
      <c r="A164" s="19" t="s">
        <v>1979</v>
      </c>
      <c r="B164" s="213"/>
      <c r="C164" s="213"/>
      <c r="D164" s="213"/>
      <c r="E164" s="213"/>
      <c r="F164" s="213"/>
      <c r="G164" s="213"/>
      <c r="H164" s="213"/>
      <c r="I164" s="213"/>
      <c r="J164" s="208"/>
      <c r="K164" s="211"/>
      <c r="L164" s="211"/>
      <c r="M164" s="211"/>
      <c r="N164" s="208"/>
      <c r="O164" s="208"/>
      <c r="P164" s="208"/>
      <c r="Q164" s="208"/>
      <c r="R164" s="208"/>
      <c r="S164" s="208"/>
      <c r="T164" s="221"/>
      <c r="U164" s="221"/>
      <c r="V164" s="221"/>
      <c r="W164" s="226">
        <v>3.9500000000000007E-2</v>
      </c>
      <c r="X164" s="226">
        <v>3.9500000000000007E-2</v>
      </c>
      <c r="Y164" s="226">
        <v>6.7000000000000018E-2</v>
      </c>
      <c r="Z164" s="226">
        <v>5.3500000000000006E-2</v>
      </c>
      <c r="AA164" s="1295">
        <v>5.5E-2</v>
      </c>
      <c r="AB164" s="1295">
        <v>4.4999999999999998E-2</v>
      </c>
      <c r="AC164" s="1295">
        <v>0.04</v>
      </c>
      <c r="AD164" s="1295">
        <v>0.04</v>
      </c>
      <c r="AE164" s="1295">
        <v>0.03</v>
      </c>
      <c r="AF164" s="1295">
        <v>0.02</v>
      </c>
      <c r="AG164" s="1624"/>
      <c r="AH164" s="1624"/>
      <c r="AI164" s="1624"/>
      <c r="AJ164" s="1624"/>
      <c r="AK164" s="1624"/>
      <c r="AL164" s="1624"/>
      <c r="AM164" s="1624"/>
      <c r="AN164" s="1624"/>
      <c r="AO164" s="1624"/>
      <c r="AP164" s="213"/>
    </row>
    <row r="165" spans="1:42">
      <c r="A165" s="19" t="s">
        <v>1503</v>
      </c>
      <c r="B165" s="213"/>
      <c r="C165" s="213"/>
      <c r="D165" s="213"/>
      <c r="E165" s="213"/>
      <c r="F165" s="213"/>
      <c r="G165" s="213"/>
      <c r="H165" s="213"/>
      <c r="I165" s="213"/>
      <c r="J165" s="208"/>
      <c r="K165" s="211"/>
      <c r="L165" s="211"/>
      <c r="M165" s="211"/>
      <c r="N165" s="208"/>
      <c r="O165" s="208"/>
      <c r="P165" s="208"/>
      <c r="Q165" s="208"/>
      <c r="R165" s="208"/>
      <c r="S165" s="208"/>
      <c r="T165" s="208"/>
      <c r="U165" s="208"/>
      <c r="V165" s="208"/>
      <c r="W165" s="208"/>
      <c r="X165" s="208"/>
      <c r="Y165" s="1190"/>
      <c r="Z165" s="208"/>
      <c r="AA165" s="208"/>
      <c r="AB165" s="208"/>
      <c r="AC165" s="208"/>
      <c r="AD165" s="208"/>
      <c r="AE165" s="208"/>
      <c r="AF165" s="208"/>
      <c r="AG165" s="1624"/>
      <c r="AH165" s="1624" t="s">
        <v>1237</v>
      </c>
      <c r="AI165" s="1624"/>
      <c r="AJ165" s="1624"/>
      <c r="AK165" s="1624"/>
      <c r="AL165" s="1624"/>
      <c r="AM165" s="1624"/>
      <c r="AN165" s="1624"/>
      <c r="AO165" s="1624"/>
      <c r="AP165" s="213"/>
    </row>
    <row r="166" spans="1:42">
      <c r="A166" s="291" t="s">
        <v>1799</v>
      </c>
      <c r="B166" s="213"/>
      <c r="C166" s="213"/>
      <c r="D166" s="213"/>
      <c r="E166" s="213"/>
      <c r="F166" s="213"/>
      <c r="G166" s="213"/>
      <c r="H166" s="213"/>
      <c r="I166" s="213"/>
      <c r="J166" s="208"/>
      <c r="K166" s="211"/>
      <c r="L166" s="211"/>
      <c r="M166" s="211"/>
      <c r="N166" s="208"/>
      <c r="O166" s="208"/>
      <c r="P166" s="208"/>
      <c r="Q166" s="208"/>
      <c r="R166" s="208"/>
      <c r="S166" s="208"/>
      <c r="T166" s="208"/>
      <c r="U166" s="208">
        <v>3472.9465270500004</v>
      </c>
      <c r="V166" s="208">
        <f>V144*V160*SUMPRODUCT(V155:V158,V148:V151)*V135</f>
        <v>1762.5311971312499</v>
      </c>
      <c r="W166" s="208">
        <f>W144*W160*SUMPRODUCT(W155:W158,W148:W151)*W135</f>
        <v>2064.8343792040123</v>
      </c>
      <c r="X166" s="208">
        <f t="shared" ref="X166:AF166" si="105">X144*X160*SUMPRODUCT(X155:X158,X148:X151)*X135</f>
        <v>2682.9941714782135</v>
      </c>
      <c r="Y166" s="208">
        <f t="shared" si="105"/>
        <v>3650.0123457332479</v>
      </c>
      <c r="Z166" s="208">
        <f t="shared" si="105"/>
        <v>4037.5524065414766</v>
      </c>
      <c r="AA166" s="208">
        <f>AA144*AA160*SUMPRODUCT(AA155:AA158,AA148:AA151)*AA135</f>
        <v>4899.6581517902132</v>
      </c>
      <c r="AB166" s="208">
        <f t="shared" si="105"/>
        <v>5447.1090621275198</v>
      </c>
      <c r="AC166" s="208">
        <f t="shared" si="105"/>
        <v>5413.6608681027801</v>
      </c>
      <c r="AD166" s="208">
        <f t="shared" si="105"/>
        <v>5112.0133082613238</v>
      </c>
      <c r="AE166" s="208">
        <f t="shared" si="105"/>
        <v>4687.4831507047702</v>
      </c>
      <c r="AF166" s="208">
        <f t="shared" si="105"/>
        <v>4159.4587819377812</v>
      </c>
      <c r="AG166" s="1624"/>
      <c r="AH166" s="1624" t="s">
        <v>1580</v>
      </c>
      <c r="AI166" s="1624"/>
      <c r="AJ166" s="1624"/>
      <c r="AK166" s="1624"/>
      <c r="AL166" s="1624"/>
      <c r="AM166" s="1624"/>
      <c r="AN166" s="1624"/>
      <c r="AO166" s="1624"/>
      <c r="AP166" s="213"/>
    </row>
    <row r="167" spans="1:42">
      <c r="A167" s="291" t="s">
        <v>1023</v>
      </c>
      <c r="B167" s="213"/>
      <c r="C167" s="213"/>
      <c r="D167" s="213"/>
      <c r="E167" s="213"/>
      <c r="F167" s="213"/>
      <c r="G167" s="213"/>
      <c r="H167" s="213"/>
      <c r="I167" s="213"/>
      <c r="J167" s="208"/>
      <c r="K167" s="211"/>
      <c r="L167" s="211"/>
      <c r="M167" s="211"/>
      <c r="N167" s="208"/>
      <c r="O167" s="208"/>
      <c r="P167" s="208"/>
      <c r="Q167" s="208"/>
      <c r="R167" s="208"/>
      <c r="S167" s="208"/>
      <c r="T167" s="208">
        <f>(T135*T148*T160)</f>
        <v>0</v>
      </c>
      <c r="U167" s="208">
        <v>1447.29585</v>
      </c>
      <c r="V167" s="208">
        <f>(V135*V148*V160)</f>
        <v>660.15494999999999</v>
      </c>
      <c r="W167" s="208">
        <f>(W135*W145*W148*W160)</f>
        <v>270.68384576858625</v>
      </c>
      <c r="X167" s="208">
        <f t="shared" ref="X167:AF167" si="106">(X135*X145*X148*X160)</f>
        <v>351.71982209555682</v>
      </c>
      <c r="Y167" s="208">
        <f t="shared" si="106"/>
        <v>478.48843897434784</v>
      </c>
      <c r="Z167" s="208">
        <f t="shared" si="106"/>
        <v>529.2919489824493</v>
      </c>
      <c r="AA167" s="208">
        <f t="shared" si="106"/>
        <v>642.30735638431565</v>
      </c>
      <c r="AB167" s="208">
        <f t="shared" si="106"/>
        <v>714.07394419013326</v>
      </c>
      <c r="AC167" s="208">
        <f t="shared" si="106"/>
        <v>709.68914418689008</v>
      </c>
      <c r="AD167" s="208">
        <f t="shared" si="106"/>
        <v>670.14547793116287</v>
      </c>
      <c r="AE167" s="208">
        <f t="shared" si="106"/>
        <v>614.49285181765799</v>
      </c>
      <c r="AF167" s="208">
        <f t="shared" si="106"/>
        <v>545.27293363105878</v>
      </c>
      <c r="AG167" s="1624"/>
      <c r="AH167" s="1624"/>
      <c r="AI167" s="1624"/>
      <c r="AJ167" s="1624"/>
      <c r="AK167" s="1624"/>
      <c r="AL167" s="1624"/>
      <c r="AM167" s="1624"/>
      <c r="AN167" s="1624"/>
      <c r="AO167" s="1624"/>
      <c r="AP167" s="213"/>
    </row>
    <row r="168" spans="1:42">
      <c r="A168" s="19" t="s">
        <v>1805</v>
      </c>
      <c r="B168" s="213"/>
      <c r="C168" s="213"/>
      <c r="D168" s="213"/>
      <c r="E168" s="213"/>
      <c r="F168" s="213"/>
      <c r="G168" s="213"/>
      <c r="H168" s="213"/>
      <c r="I168" s="213"/>
      <c r="J168" s="208"/>
      <c r="K168" s="211"/>
      <c r="L168" s="211"/>
      <c r="M168" s="211"/>
      <c r="N168" s="208"/>
      <c r="O168" s="208"/>
      <c r="P168" s="208"/>
      <c r="Q168" s="208"/>
      <c r="R168" s="208"/>
      <c r="S168" s="208"/>
      <c r="T168" s="208">
        <f>SUM(T166:T167)</f>
        <v>0</v>
      </c>
      <c r="U168" s="208">
        <v>4920.2423770500009</v>
      </c>
      <c r="V168" s="208">
        <f t="shared" ref="V168:AF168" si="107">SUM(V166:V167)</f>
        <v>2422.68614713125</v>
      </c>
      <c r="W168" s="208">
        <f t="shared" si="107"/>
        <v>2335.5182249725985</v>
      </c>
      <c r="X168" s="208">
        <f t="shared" si="107"/>
        <v>3034.7139935737705</v>
      </c>
      <c r="Y168" s="208">
        <f t="shared" si="107"/>
        <v>4128.5007847075958</v>
      </c>
      <c r="Z168" s="208">
        <f t="shared" si="107"/>
        <v>4566.8443555239255</v>
      </c>
      <c r="AA168" s="208">
        <f t="shared" si="107"/>
        <v>5541.9655081745286</v>
      </c>
      <c r="AB168" s="208">
        <f t="shared" si="107"/>
        <v>6161.1830063176531</v>
      </c>
      <c r="AC168" s="208">
        <f t="shared" si="107"/>
        <v>6123.3500122896703</v>
      </c>
      <c r="AD168" s="208">
        <f t="shared" si="107"/>
        <v>5782.1587861924863</v>
      </c>
      <c r="AE168" s="208">
        <f t="shared" si="107"/>
        <v>5301.9760025224277</v>
      </c>
      <c r="AF168" s="208">
        <f t="shared" si="107"/>
        <v>4704.7317155688397</v>
      </c>
      <c r="AG168" s="1624"/>
      <c r="AH168" s="1624"/>
      <c r="AI168" s="1624"/>
      <c r="AJ168" s="1624"/>
      <c r="AK168" s="1624"/>
      <c r="AL168" s="1624"/>
      <c r="AM168" s="1624"/>
      <c r="AN168" s="1624"/>
      <c r="AO168" s="1624"/>
      <c r="AP168" s="213"/>
    </row>
    <row r="169" spans="1:42">
      <c r="A169" s="349" t="s">
        <v>1489</v>
      </c>
      <c r="B169" s="383"/>
      <c r="C169" s="383"/>
      <c r="D169" s="383"/>
      <c r="E169" s="383"/>
      <c r="F169" s="383"/>
      <c r="G169" s="383"/>
      <c r="H169" s="383"/>
      <c r="I169" s="383"/>
      <c r="J169" s="216"/>
      <c r="K169" s="231"/>
      <c r="L169" s="231"/>
      <c r="M169" s="217"/>
      <c r="N169" s="217"/>
      <c r="O169" s="217"/>
      <c r="P169" s="217"/>
      <c r="Q169" s="217"/>
      <c r="R169" s="217"/>
      <c r="S169" s="217"/>
      <c r="T169" s="217"/>
      <c r="U169" s="217">
        <v>3.7829036854337472E-2</v>
      </c>
      <c r="V169" s="217">
        <f>V168/U168-1</f>
        <v>-0.50760837343468335</v>
      </c>
      <c r="W169" s="217"/>
      <c r="X169" s="217">
        <f t="shared" ref="X169:AF169" si="108">X168/W168-1</f>
        <v>0.29937500000000017</v>
      </c>
      <c r="Y169" s="217">
        <f t="shared" si="108"/>
        <v>0.36042499999999977</v>
      </c>
      <c r="Z169" s="217">
        <f t="shared" si="108"/>
        <v>0.10617500000000013</v>
      </c>
      <c r="AA169" s="217">
        <f t="shared" si="108"/>
        <v>0.21352187128320321</v>
      </c>
      <c r="AB169" s="217">
        <f t="shared" si="108"/>
        <v>0.11173247058823521</v>
      </c>
      <c r="AC169" s="217">
        <f t="shared" si="108"/>
        <v>-6.1405405405404734E-3</v>
      </c>
      <c r="AD169" s="217">
        <f t="shared" si="108"/>
        <v>-5.5719700068166511E-2</v>
      </c>
      <c r="AE169" s="217">
        <f t="shared" si="108"/>
        <v>-8.304558927311223E-2</v>
      </c>
      <c r="AF169" s="217">
        <f t="shared" si="108"/>
        <v>-0.11264560357675091</v>
      </c>
      <c r="AG169" s="1624"/>
      <c r="AH169" s="1624"/>
      <c r="AI169" s="1624"/>
      <c r="AJ169" s="1624"/>
      <c r="AK169" s="1624"/>
      <c r="AL169" s="1624"/>
      <c r="AM169" s="1624"/>
      <c r="AN169" s="1624"/>
      <c r="AO169" s="1624"/>
      <c r="AP169" s="213"/>
    </row>
    <row r="170" spans="1:42">
      <c r="A170" s="19"/>
      <c r="B170" s="213"/>
      <c r="C170" s="213"/>
      <c r="D170" s="213"/>
      <c r="E170" s="213"/>
      <c r="F170" s="213"/>
      <c r="G170" s="213"/>
      <c r="H170" s="213"/>
      <c r="I170" s="213"/>
      <c r="J170" s="208"/>
      <c r="K170" s="211"/>
      <c r="L170" s="211"/>
      <c r="M170" s="208"/>
      <c r="N170" s="208"/>
      <c r="O170" s="208"/>
      <c r="P170" s="208"/>
      <c r="Q170" s="208"/>
      <c r="R170" s="208"/>
      <c r="S170" s="208"/>
      <c r="T170" s="213"/>
      <c r="U170" s="208"/>
      <c r="V170" s="208"/>
      <c r="W170" s="208"/>
      <c r="X170" s="208"/>
      <c r="Y170" s="208"/>
      <c r="Z170" s="208"/>
      <c r="AA170" s="208"/>
      <c r="AB170" s="208"/>
      <c r="AC170" s="208"/>
      <c r="AD170" s="208"/>
      <c r="AE170" s="208"/>
      <c r="AF170" s="208"/>
      <c r="AG170" s="1624"/>
      <c r="AH170" s="1624"/>
      <c r="AI170" s="1624"/>
      <c r="AJ170" s="1624"/>
      <c r="AK170" s="1624"/>
      <c r="AL170" s="1624"/>
      <c r="AM170" s="1624"/>
      <c r="AN170" s="1624"/>
      <c r="AO170" s="1624"/>
      <c r="AP170" s="213"/>
    </row>
    <row r="171" spans="1:42">
      <c r="A171" s="19" t="s">
        <v>1498</v>
      </c>
      <c r="B171" s="213"/>
      <c r="C171" s="213"/>
      <c r="D171" s="213"/>
      <c r="E171" s="213"/>
      <c r="F171" s="213"/>
      <c r="G171" s="213"/>
      <c r="H171" s="213"/>
      <c r="I171" s="213"/>
      <c r="J171" s="208"/>
      <c r="K171" s="211"/>
      <c r="L171" s="211"/>
      <c r="M171" s="211"/>
      <c r="N171" s="233"/>
      <c r="O171" s="233"/>
      <c r="P171" s="233"/>
      <c r="Q171" s="233"/>
      <c r="R171" s="233"/>
      <c r="S171" s="233"/>
      <c r="T171" s="233">
        <f>'Income Statement'!T$155</f>
        <v>1.18028</v>
      </c>
      <c r="U171" s="233">
        <v>1.159077672574627</v>
      </c>
      <c r="V171" s="233">
        <f>'Income Statement'!V$155</f>
        <v>1.1490638246268656</v>
      </c>
      <c r="W171" s="233">
        <f>'Income Statement'!W$155</f>
        <v>1.1713242788461544</v>
      </c>
      <c r="X171" s="233">
        <f>'Income Statement'!X$155</f>
        <v>1.1065795550914248</v>
      </c>
      <c r="Y171" s="233">
        <f>'Income Statement'!Y$155</f>
        <v>1.1105369302909465</v>
      </c>
      <c r="Z171" s="233">
        <f>'Income Statement'!Z$155</f>
        <v>1.1083231112074399</v>
      </c>
      <c r="AA171" s="1301">
        <f>'Income Statement'!AA$155</f>
        <v>1.1207295968584789</v>
      </c>
      <c r="AB171" s="1301">
        <f>'Income Statement'!AB$155</f>
        <v>1.1426415000000001</v>
      </c>
      <c r="AC171" s="1301">
        <f>'Income Statement'!AC$155</f>
        <v>1.1426415000000001</v>
      </c>
      <c r="AD171" s="1301">
        <f>'Income Statement'!AD$155</f>
        <v>1.1426415000000001</v>
      </c>
      <c r="AE171" s="1301">
        <f>'Income Statement'!AE$155</f>
        <v>1.1426415000000001</v>
      </c>
      <c r="AF171" s="1301">
        <f>'Income Statement'!AF$155</f>
        <v>1.1426415000000001</v>
      </c>
      <c r="AG171" s="1624"/>
      <c r="AH171" s="1624"/>
      <c r="AI171" s="1624"/>
      <c r="AJ171" s="1624"/>
      <c r="AK171" s="1624"/>
      <c r="AL171" s="1624"/>
      <c r="AM171" s="1624"/>
      <c r="AN171" s="1624"/>
      <c r="AO171" s="1624"/>
      <c r="AP171" s="213"/>
    </row>
    <row r="172" spans="1:42">
      <c r="A172" s="19" t="s">
        <v>1499</v>
      </c>
      <c r="B172" s="213"/>
      <c r="C172" s="213"/>
      <c r="D172" s="213"/>
      <c r="E172" s="213"/>
      <c r="F172" s="213"/>
      <c r="G172" s="213"/>
      <c r="H172" s="213"/>
      <c r="I172" s="213"/>
      <c r="J172" s="208"/>
      <c r="K172" s="211"/>
      <c r="L172" s="211"/>
      <c r="M172" s="211"/>
      <c r="N172" s="208"/>
      <c r="O172" s="207"/>
      <c r="P172" s="207"/>
      <c r="Q172" s="207"/>
      <c r="R172" s="207"/>
      <c r="S172" s="207"/>
      <c r="T172" s="207"/>
      <c r="U172" s="207">
        <v>1.8292412947854331E-2</v>
      </c>
      <c r="V172" s="207">
        <f t="shared" ref="V172:AF172" si="109">(1/V171)/(1/U171)-1</f>
        <v>8.7147882764591067E-3</v>
      </c>
      <c r="W172" s="207">
        <f t="shared" si="109"/>
        <v>-1.9004518749681454E-2</v>
      </c>
      <c r="X172" s="207">
        <f t="shared" si="109"/>
        <v>5.8508873995399613E-2</v>
      </c>
      <c r="Y172" s="207">
        <f t="shared" si="109"/>
        <v>-3.5634791528138532E-3</v>
      </c>
      <c r="Z172" s="207">
        <f t="shared" si="109"/>
        <v>1.9974491744512157E-3</v>
      </c>
      <c r="AA172" s="207">
        <f t="shared" si="109"/>
        <v>-1.1070008042810442E-2</v>
      </c>
      <c r="AB172" s="207">
        <f t="shared" si="109"/>
        <v>-1.9176533621018677E-2</v>
      </c>
      <c r="AC172" s="207">
        <f t="shared" si="109"/>
        <v>0</v>
      </c>
      <c r="AD172" s="207">
        <f t="shared" si="109"/>
        <v>0</v>
      </c>
      <c r="AE172" s="207">
        <f t="shared" si="109"/>
        <v>0</v>
      </c>
      <c r="AF172" s="207">
        <f t="shared" si="109"/>
        <v>0</v>
      </c>
      <c r="AG172" s="1624"/>
      <c r="AH172" s="1624"/>
      <c r="AI172" s="1624"/>
      <c r="AJ172" s="1624"/>
      <c r="AK172" s="1624"/>
      <c r="AL172" s="1624"/>
      <c r="AM172" s="1624"/>
      <c r="AN172" s="1624"/>
      <c r="AO172" s="1624"/>
      <c r="AP172" s="213"/>
    </row>
    <row r="173" spans="1:42">
      <c r="A173" s="19"/>
      <c r="B173" s="213"/>
      <c r="C173" s="213"/>
      <c r="D173" s="213"/>
      <c r="E173" s="213"/>
      <c r="F173" s="213"/>
      <c r="G173" s="213"/>
      <c r="H173" s="213"/>
      <c r="I173" s="213"/>
      <c r="J173" s="208"/>
      <c r="K173" s="211"/>
      <c r="L173" s="211"/>
      <c r="M173" s="211"/>
      <c r="N173" s="208"/>
      <c r="O173" s="207"/>
      <c r="P173" s="207"/>
      <c r="Q173" s="207"/>
      <c r="R173" s="207"/>
      <c r="S173" s="207"/>
      <c r="T173" s="207"/>
      <c r="U173" s="207"/>
      <c r="V173" s="207"/>
      <c r="W173" s="207"/>
      <c r="X173" s="207"/>
      <c r="Y173" s="207"/>
      <c r="Z173" s="207"/>
      <c r="AA173" s="207"/>
      <c r="AB173" s="207"/>
      <c r="AC173" s="207"/>
      <c r="AD173" s="207"/>
      <c r="AE173" s="207"/>
      <c r="AF173" s="207"/>
      <c r="AG173" s="1624"/>
      <c r="AH173" s="1624"/>
      <c r="AI173" s="1624"/>
      <c r="AJ173" s="1624"/>
      <c r="AK173" s="1624"/>
      <c r="AL173" s="1624"/>
      <c r="AM173" s="1624"/>
      <c r="AN173" s="1624"/>
      <c r="AO173" s="1624"/>
      <c r="AP173" s="213"/>
    </row>
    <row r="174" spans="1:42">
      <c r="A174" s="19" t="s">
        <v>1500</v>
      </c>
      <c r="B174" s="213"/>
      <c r="C174" s="213"/>
      <c r="D174" s="213"/>
      <c r="E174" s="213"/>
      <c r="F174" s="213"/>
      <c r="G174" s="213"/>
      <c r="H174" s="213"/>
      <c r="I174" s="213"/>
      <c r="J174" s="208"/>
      <c r="K174" s="211"/>
      <c r="L174" s="211"/>
      <c r="M174" s="211"/>
      <c r="N174" s="208"/>
      <c r="O174" s="207"/>
      <c r="P174" s="207"/>
      <c r="Q174" s="207"/>
      <c r="R174" s="207"/>
      <c r="S174" s="207"/>
      <c r="T174" s="207"/>
      <c r="U174" s="207"/>
      <c r="V174" s="207"/>
      <c r="W174" s="207"/>
      <c r="X174" s="207"/>
      <c r="Y174" s="207"/>
      <c r="Z174" s="207"/>
      <c r="AA174" s="207"/>
      <c r="AB174" s="207"/>
      <c r="AC174" s="207"/>
      <c r="AD174" s="207"/>
      <c r="AE174" s="207"/>
      <c r="AF174" s="207"/>
      <c r="AG174" s="1624"/>
      <c r="AH174" s="1624" t="s">
        <v>1588</v>
      </c>
      <c r="AI174" s="1624"/>
      <c r="AJ174" s="1624"/>
      <c r="AK174" s="1624"/>
      <c r="AL174" s="1624"/>
      <c r="AM174" s="1624"/>
      <c r="AN174" s="1624"/>
      <c r="AO174" s="1624"/>
      <c r="AP174" s="213"/>
    </row>
    <row r="175" spans="1:42">
      <c r="A175" s="291" t="s">
        <v>1799</v>
      </c>
      <c r="B175" s="213"/>
      <c r="C175" s="213"/>
      <c r="D175" s="213"/>
      <c r="E175" s="213"/>
      <c r="F175" s="213"/>
      <c r="G175" s="213"/>
      <c r="H175" s="213"/>
      <c r="I175" s="213"/>
      <c r="J175" s="208"/>
      <c r="K175" s="211"/>
      <c r="L175" s="211"/>
      <c r="M175" s="211"/>
      <c r="N175" s="208"/>
      <c r="O175" s="208"/>
      <c r="P175" s="208"/>
      <c r="Q175" s="208"/>
      <c r="R175" s="208"/>
      <c r="S175" s="208"/>
      <c r="T175" s="208">
        <f>T166/T$171</f>
        <v>0</v>
      </c>
      <c r="U175" s="208">
        <v>2996.3018089509401</v>
      </c>
      <c r="V175" s="208">
        <f t="shared" ref="V175:AF175" si="110">V166/V$171</f>
        <v>1533.8845061140055</v>
      </c>
      <c r="W175" s="208">
        <f t="shared" si="110"/>
        <v>1762.8204387926073</v>
      </c>
      <c r="X175" s="208">
        <f t="shared" si="110"/>
        <v>2424.5831753655943</v>
      </c>
      <c r="Y175" s="208">
        <f t="shared" si="110"/>
        <v>3286.7095601917458</v>
      </c>
      <c r="Z175" s="208">
        <f t="shared" si="110"/>
        <v>3642.9380256655008</v>
      </c>
      <c r="AA175" s="208">
        <f t="shared" si="110"/>
        <v>4371.8468447022924</v>
      </c>
      <c r="AB175" s="208">
        <f t="shared" si="110"/>
        <v>4767.1199253024852</v>
      </c>
      <c r="AC175" s="208">
        <f t="shared" si="110"/>
        <v>4737.8472321395466</v>
      </c>
      <c r="AD175" s="208">
        <f t="shared" si="110"/>
        <v>4473.8558053959387</v>
      </c>
      <c r="AE175" s="208">
        <f t="shared" si="110"/>
        <v>4102.3218137138983</v>
      </c>
      <c r="AF175" s="208">
        <f t="shared" si="110"/>
        <v>3640.213296942025</v>
      </c>
      <c r="AG175" s="1624"/>
      <c r="AH175" s="1624" t="s">
        <v>1131</v>
      </c>
      <c r="AI175" s="1624"/>
      <c r="AJ175" s="1624"/>
      <c r="AK175" s="1624"/>
      <c r="AL175" s="1624"/>
      <c r="AM175" s="1624"/>
      <c r="AN175" s="1624"/>
      <c r="AO175" s="1624"/>
      <c r="AP175" s="213"/>
    </row>
    <row r="176" spans="1:42">
      <c r="A176" s="291" t="s">
        <v>1023</v>
      </c>
      <c r="B176" s="213"/>
      <c r="C176" s="213"/>
      <c r="D176" s="213"/>
      <c r="E176" s="213"/>
      <c r="F176" s="213"/>
      <c r="G176" s="213"/>
      <c r="H176" s="213"/>
      <c r="I176" s="213"/>
      <c r="J176" s="208"/>
      <c r="K176" s="211"/>
      <c r="L176" s="211"/>
      <c r="M176" s="211"/>
      <c r="N176" s="208"/>
      <c r="O176" s="208"/>
      <c r="P176" s="208"/>
      <c r="Q176" s="208"/>
      <c r="R176" s="208"/>
      <c r="S176" s="208"/>
      <c r="T176" s="208">
        <f>T167/T$171</f>
        <v>0</v>
      </c>
      <c r="U176" s="208">
        <v>1248.6616593909207</v>
      </c>
      <c r="V176" s="208">
        <f t="shared" ref="V176:AF176" si="111">V167/V$171</f>
        <v>574.51547586085701</v>
      </c>
      <c r="W176" s="208">
        <f t="shared" si="111"/>
        <v>231.09214984874291</v>
      </c>
      <c r="X176" s="208">
        <f t="shared" si="111"/>
        <v>317.84413554116134</v>
      </c>
      <c r="Y176" s="208">
        <f t="shared" si="111"/>
        <v>430.86224863228097</v>
      </c>
      <c r="Z176" s="208">
        <f t="shared" si="111"/>
        <v>477.56105023003903</v>
      </c>
      <c r="AA176" s="208">
        <f t="shared" si="111"/>
        <v>573.11536893892128</v>
      </c>
      <c r="AB176" s="208">
        <f t="shared" si="111"/>
        <v>624.93261813975175</v>
      </c>
      <c r="AC176" s="208">
        <f t="shared" si="111"/>
        <v>621.09519406295851</v>
      </c>
      <c r="AD176" s="208">
        <f t="shared" si="111"/>
        <v>586.48795613599088</v>
      </c>
      <c r="AE176" s="208">
        <f t="shared" si="111"/>
        <v>537.78271821709427</v>
      </c>
      <c r="AF176" s="208">
        <f t="shared" si="111"/>
        <v>477.20385933038381</v>
      </c>
      <c r="AG176" s="1624"/>
      <c r="AH176" s="1624"/>
      <c r="AI176" s="1624"/>
      <c r="AJ176" s="1624"/>
      <c r="AK176" s="1624"/>
      <c r="AL176" s="1624"/>
      <c r="AM176" s="1624"/>
      <c r="AN176" s="1624"/>
      <c r="AO176" s="1624"/>
      <c r="AP176" s="213"/>
    </row>
    <row r="177" spans="1:42">
      <c r="A177" s="214" t="s">
        <v>1807</v>
      </c>
      <c r="B177" s="57"/>
      <c r="C177" s="57"/>
      <c r="D177" s="57"/>
      <c r="E177" s="57"/>
      <c r="F177" s="57"/>
      <c r="G177" s="57"/>
      <c r="H177" s="57"/>
      <c r="I177" s="57"/>
      <c r="J177" s="229"/>
      <c r="K177" s="230"/>
      <c r="L177" s="230"/>
      <c r="M177" s="230"/>
      <c r="N177" s="229"/>
      <c r="O177" s="229"/>
      <c r="P177" s="229"/>
      <c r="Q177" s="229"/>
      <c r="R177" s="229"/>
      <c r="S177" s="229"/>
      <c r="T177" s="229">
        <f>T168/T$171</f>
        <v>0</v>
      </c>
      <c r="U177" s="229">
        <v>4244.9634683418608</v>
      </c>
      <c r="V177" s="229">
        <f t="shared" ref="V177:AF177" si="112">V168/V$171</f>
        <v>2108.3999819748624</v>
      </c>
      <c r="W177" s="229">
        <f t="shared" si="112"/>
        <v>1993.9125886413503</v>
      </c>
      <c r="X177" s="229">
        <f t="shared" si="112"/>
        <v>2742.4273109067558</v>
      </c>
      <c r="Y177" s="229">
        <f t="shared" si="112"/>
        <v>3717.5718088240264</v>
      </c>
      <c r="Z177" s="229">
        <f t="shared" si="112"/>
        <v>4120.49907589554</v>
      </c>
      <c r="AA177" s="229">
        <f t="shared" si="112"/>
        <v>4944.9622136412136</v>
      </c>
      <c r="AB177" s="229">
        <f t="shared" si="112"/>
        <v>5392.052543442237</v>
      </c>
      <c r="AC177" s="229">
        <f t="shared" si="112"/>
        <v>5358.942426202505</v>
      </c>
      <c r="AD177" s="229">
        <f t="shared" si="112"/>
        <v>5060.343761531929</v>
      </c>
      <c r="AE177" s="229">
        <f t="shared" si="112"/>
        <v>4640.1045319309924</v>
      </c>
      <c r="AF177" s="229">
        <f t="shared" si="112"/>
        <v>4117.4171562724086</v>
      </c>
      <c r="AG177" s="1624"/>
      <c r="AH177" s="1624"/>
      <c r="AI177" s="1624"/>
      <c r="AJ177" s="1624"/>
      <c r="AK177" s="1624"/>
      <c r="AL177" s="1624"/>
      <c r="AM177" s="1624"/>
      <c r="AN177" s="1624"/>
      <c r="AO177" s="1624"/>
      <c r="AP177" s="213"/>
    </row>
    <row r="178" spans="1:42">
      <c r="A178" s="349" t="s">
        <v>1489</v>
      </c>
      <c r="B178" s="383"/>
      <c r="C178" s="383"/>
      <c r="D178" s="383"/>
      <c r="E178" s="383"/>
      <c r="F178" s="383"/>
      <c r="G178" s="383"/>
      <c r="H178" s="383"/>
      <c r="I178" s="383"/>
      <c r="J178" s="216"/>
      <c r="K178" s="231"/>
      <c r="L178" s="231"/>
      <c r="M178" s="217"/>
      <c r="N178" s="217"/>
      <c r="O178" s="217"/>
      <c r="P178" s="217"/>
      <c r="Q178" s="217"/>
      <c r="R178" s="217"/>
      <c r="S178" s="217"/>
      <c r="T178" s="217"/>
      <c r="U178" s="217">
        <v>5.6813434165750687E-2</v>
      </c>
      <c r="V178" s="217">
        <f>V177/U177-1</f>
        <v>-0.50331728466006531</v>
      </c>
      <c r="W178" s="217"/>
      <c r="X178" s="217">
        <f t="shared" ref="X178:AF178" si="113">X177/W177-1</f>
        <v>0.37539996814777243</v>
      </c>
      <c r="Y178" s="217">
        <f t="shared" si="113"/>
        <v>0.35557715387353284</v>
      </c>
      <c r="Z178" s="217">
        <f t="shared" si="113"/>
        <v>0.1083845283405489</v>
      </c>
      <c r="AA178" s="217">
        <f t="shared" si="113"/>
        <v>0.20008817440797189</v>
      </c>
      <c r="AB178" s="217">
        <f t="shared" si="113"/>
        <v>9.0413295488421808E-2</v>
      </c>
      <c r="AC178" s="217">
        <f t="shared" si="113"/>
        <v>-6.1405405405405844E-3</v>
      </c>
      <c r="AD178" s="217">
        <f t="shared" si="113"/>
        <v>-5.5719700068166511E-2</v>
      </c>
      <c r="AE178" s="217">
        <f t="shared" si="113"/>
        <v>-8.304558927311223E-2</v>
      </c>
      <c r="AF178" s="217">
        <f t="shared" si="113"/>
        <v>-0.11264560357675091</v>
      </c>
      <c r="AG178" s="1624"/>
      <c r="AH178" s="1624"/>
      <c r="AI178" s="1624"/>
      <c r="AJ178" s="1624"/>
      <c r="AK178" s="1624"/>
      <c r="AL178" s="1624"/>
      <c r="AM178" s="1624"/>
      <c r="AN178" s="1624"/>
      <c r="AO178" s="1624"/>
      <c r="AP178" s="213"/>
    </row>
    <row r="179" spans="1:42">
      <c r="A179" s="291"/>
      <c r="B179" s="213"/>
      <c r="C179" s="213"/>
      <c r="D179" s="213"/>
      <c r="E179" s="213"/>
      <c r="F179" s="213"/>
      <c r="G179" s="213"/>
      <c r="H179" s="213"/>
      <c r="I179" s="213"/>
      <c r="J179" s="208"/>
      <c r="K179" s="211"/>
      <c r="L179" s="211"/>
      <c r="M179" s="211"/>
      <c r="N179" s="208"/>
      <c r="O179" s="208"/>
      <c r="P179" s="208"/>
      <c r="Q179" s="208"/>
      <c r="R179" s="208"/>
      <c r="S179" s="208"/>
      <c r="T179" s="208"/>
      <c r="U179" s="208"/>
      <c r="V179" s="208"/>
      <c r="W179" s="208"/>
      <c r="X179" s="208"/>
      <c r="Y179" s="221"/>
      <c r="Z179" s="221"/>
      <c r="AA179" s="208"/>
      <c r="AB179" s="208"/>
      <c r="AC179" s="208"/>
      <c r="AD179" s="208"/>
      <c r="AE179" s="208"/>
      <c r="AF179" s="208"/>
      <c r="AG179" s="1624"/>
      <c r="AH179" s="1624"/>
      <c r="AI179" s="1624"/>
      <c r="AJ179" s="1624"/>
      <c r="AK179" s="1624"/>
      <c r="AL179" s="1624"/>
      <c r="AM179" s="1624"/>
      <c r="AN179" s="1624"/>
      <c r="AO179" s="1624"/>
      <c r="AP179" s="213"/>
    </row>
    <row r="180" spans="1:42">
      <c r="A180" s="393" t="s">
        <v>1605</v>
      </c>
      <c r="B180" s="218"/>
      <c r="C180" s="218"/>
      <c r="D180" s="218"/>
      <c r="E180" s="218"/>
      <c r="F180" s="218"/>
      <c r="G180" s="218"/>
      <c r="H180" s="218"/>
      <c r="I180" s="218"/>
      <c r="J180" s="218"/>
      <c r="K180" s="219"/>
      <c r="L180" s="219"/>
      <c r="M180" s="219"/>
      <c r="N180" s="219"/>
      <c r="O180" s="219"/>
      <c r="P180" s="219"/>
      <c r="Q180" s="219"/>
      <c r="R180" s="219"/>
      <c r="S180" s="219"/>
      <c r="T180" s="219"/>
      <c r="U180" s="219"/>
      <c r="V180" s="219"/>
      <c r="W180" s="219"/>
      <c r="X180" s="219"/>
      <c r="Y180" s="219"/>
      <c r="Z180" s="219"/>
      <c r="AA180" s="219"/>
      <c r="AB180" s="219"/>
      <c r="AC180" s="219"/>
      <c r="AD180" s="219"/>
      <c r="AE180" s="219"/>
      <c r="AF180" s="219"/>
      <c r="AG180" s="1624"/>
      <c r="AH180" s="1624" t="s">
        <v>1806</v>
      </c>
      <c r="AI180" s="1624"/>
      <c r="AJ180" s="1624"/>
      <c r="AK180" s="1624"/>
      <c r="AL180" s="1624"/>
      <c r="AM180" s="1624"/>
      <c r="AN180" s="1624"/>
      <c r="AO180" s="1624"/>
      <c r="AP180" s="213"/>
    </row>
    <row r="181" spans="1:42">
      <c r="A181" s="19"/>
      <c r="B181" s="213"/>
      <c r="C181" s="213"/>
      <c r="D181" s="213"/>
      <c r="E181" s="213"/>
      <c r="F181" s="213"/>
      <c r="G181" s="213"/>
      <c r="H181" s="213"/>
      <c r="I181" s="213"/>
      <c r="J181" s="208"/>
      <c r="K181" s="211"/>
      <c r="L181" s="211"/>
      <c r="M181" s="211"/>
      <c r="N181" s="208"/>
      <c r="O181" s="208"/>
      <c r="P181" s="208"/>
      <c r="Q181" s="208"/>
      <c r="R181" s="208"/>
      <c r="S181" s="208"/>
      <c r="T181" s="208"/>
      <c r="U181" s="208"/>
      <c r="V181" s="208"/>
      <c r="W181" s="208"/>
      <c r="X181" s="213"/>
      <c r="Y181" s="208"/>
      <c r="Z181" s="208"/>
      <c r="AA181" s="208"/>
      <c r="AB181" s="208"/>
      <c r="AC181" s="208"/>
      <c r="AD181" s="208"/>
      <c r="AE181" s="208"/>
      <c r="AF181" s="208"/>
      <c r="AG181" s="1624"/>
      <c r="AH181" s="1624"/>
      <c r="AI181" s="1624"/>
      <c r="AJ181" s="1624"/>
      <c r="AK181" s="1624"/>
      <c r="AL181" s="1624"/>
      <c r="AM181" s="1624"/>
      <c r="AN181" s="1624"/>
      <c r="AO181" s="1624"/>
      <c r="AP181" s="213"/>
    </row>
    <row r="182" spans="1:42">
      <c r="A182" s="1191" t="s">
        <v>1812</v>
      </c>
      <c r="B182" s="1192"/>
      <c r="C182" s="1192"/>
      <c r="D182" s="1192"/>
      <c r="E182" s="1192"/>
      <c r="F182" s="1192"/>
      <c r="G182" s="1192"/>
      <c r="H182" s="1192"/>
      <c r="I182" s="1192"/>
      <c r="J182" s="1193"/>
      <c r="K182" s="1194"/>
      <c r="L182" s="1194"/>
      <c r="M182" s="1194"/>
      <c r="N182" s="1193"/>
      <c r="O182" s="1193"/>
      <c r="P182" s="1193"/>
      <c r="Q182" s="1193"/>
      <c r="R182" s="1193"/>
      <c r="S182" s="1195"/>
      <c r="T182" s="1196"/>
      <c r="U182" s="1196"/>
      <c r="V182" s="1196"/>
      <c r="W182" s="1196"/>
      <c r="X182" s="1196"/>
      <c r="Y182" s="1196"/>
      <c r="Z182" s="1196"/>
      <c r="AA182" s="1196"/>
      <c r="AB182" s="1196"/>
      <c r="AC182" s="1196"/>
      <c r="AD182" s="1196"/>
      <c r="AE182" s="1196"/>
      <c r="AF182" s="1196"/>
      <c r="AG182" s="1624"/>
      <c r="AH182" s="1629">
        <f>X169*0.75+0.2*0.25</f>
        <v>0.27453125000000012</v>
      </c>
      <c r="AI182" s="1624"/>
      <c r="AJ182" s="1624"/>
      <c r="AK182" s="1624"/>
      <c r="AL182" s="1624"/>
      <c r="AM182" s="1624"/>
      <c r="AN182" s="1624"/>
      <c r="AO182" s="1624"/>
      <c r="AP182" s="213"/>
    </row>
    <row r="183" spans="1:42">
      <c r="A183" s="291" t="s">
        <v>1026</v>
      </c>
      <c r="B183" s="213"/>
      <c r="C183" s="213"/>
      <c r="D183" s="213"/>
      <c r="E183" s="213"/>
      <c r="F183" s="213"/>
      <c r="G183" s="213"/>
      <c r="H183" s="213"/>
      <c r="I183" s="213"/>
      <c r="J183" s="208"/>
      <c r="K183" s="211"/>
      <c r="L183" s="211"/>
      <c r="M183" s="211"/>
      <c r="N183" s="208"/>
      <c r="O183" s="208"/>
      <c r="P183" s="208"/>
      <c r="Q183" s="208"/>
      <c r="R183" s="208"/>
      <c r="S183" s="208"/>
      <c r="T183" s="208"/>
      <c r="U183" s="208"/>
      <c r="V183" s="208"/>
      <c r="W183" s="208"/>
      <c r="X183" s="200">
        <f t="shared" ref="X183:AF183" si="114">ROUND(X$185*X198,0)</f>
        <v>0</v>
      </c>
      <c r="Y183" s="200">
        <f t="shared" si="114"/>
        <v>2</v>
      </c>
      <c r="Z183" s="200">
        <f t="shared" si="114"/>
        <v>15</v>
      </c>
      <c r="AA183" s="200">
        <f t="shared" si="114"/>
        <v>54</v>
      </c>
      <c r="AB183" s="200">
        <f t="shared" si="114"/>
        <v>86</v>
      </c>
      <c r="AC183" s="200">
        <f t="shared" si="114"/>
        <v>133</v>
      </c>
      <c r="AD183" s="200">
        <f t="shared" si="114"/>
        <v>182</v>
      </c>
      <c r="AE183" s="200">
        <f t="shared" si="114"/>
        <v>242</v>
      </c>
      <c r="AF183" s="200">
        <f t="shared" si="114"/>
        <v>316</v>
      </c>
      <c r="AG183" s="1624"/>
      <c r="AH183" s="1624"/>
      <c r="AI183" s="1624"/>
      <c r="AJ183" s="1624"/>
      <c r="AK183" s="1624"/>
      <c r="AL183" s="1624"/>
      <c r="AM183" s="1624"/>
      <c r="AN183" s="1624"/>
      <c r="AO183" s="1624"/>
      <c r="AP183" s="213"/>
    </row>
    <row r="184" spans="1:42">
      <c r="A184" s="291" t="s">
        <v>1495</v>
      </c>
      <c r="B184" s="213"/>
      <c r="C184" s="213"/>
      <c r="D184" s="213"/>
      <c r="E184" s="213"/>
      <c r="F184" s="213"/>
      <c r="G184" s="213"/>
      <c r="H184" s="213"/>
      <c r="I184" s="213"/>
      <c r="J184" s="208"/>
      <c r="K184" s="211"/>
      <c r="L184" s="211"/>
      <c r="M184" s="211"/>
      <c r="N184" s="208"/>
      <c r="O184" s="208"/>
      <c r="P184" s="208"/>
      <c r="Q184" s="208"/>
      <c r="R184" s="208"/>
      <c r="S184" s="208"/>
      <c r="T184" s="208"/>
      <c r="U184" s="208"/>
      <c r="V184" s="208"/>
      <c r="W184" s="208"/>
      <c r="X184" s="200">
        <f t="shared" ref="X184:AF184" si="115">ROUND(X$185*X199,0)</f>
        <v>2</v>
      </c>
      <c r="Y184" s="200">
        <f t="shared" si="115"/>
        <v>49</v>
      </c>
      <c r="Z184" s="200">
        <f t="shared" si="115"/>
        <v>260</v>
      </c>
      <c r="AA184" s="200">
        <f>ROUND(AA$185*AA199,0)</f>
        <v>601</v>
      </c>
      <c r="AB184" s="200">
        <f t="shared" si="115"/>
        <v>714</v>
      </c>
      <c r="AC184" s="200">
        <f t="shared" si="115"/>
        <v>867</v>
      </c>
      <c r="AD184" s="200">
        <f t="shared" si="115"/>
        <v>968</v>
      </c>
      <c r="AE184" s="200">
        <f t="shared" si="115"/>
        <v>1080</v>
      </c>
      <c r="AF184" s="200">
        <f t="shared" si="115"/>
        <v>1205</v>
      </c>
      <c r="AG184" s="1624"/>
      <c r="AH184" s="1624"/>
      <c r="AI184" s="1624"/>
      <c r="AJ184" s="1624"/>
      <c r="AK184" s="1624"/>
      <c r="AL184" s="1624"/>
      <c r="AM184" s="1624"/>
      <c r="AN184" s="1624"/>
      <c r="AO184" s="1624"/>
      <c r="AP184" s="213"/>
    </row>
    <row r="185" spans="1:42">
      <c r="A185" s="214" t="s">
        <v>1808</v>
      </c>
      <c r="B185" s="57"/>
      <c r="C185" s="57"/>
      <c r="D185" s="57"/>
      <c r="E185" s="57"/>
      <c r="F185" s="57"/>
      <c r="G185" s="57"/>
      <c r="H185" s="57"/>
      <c r="I185" s="57"/>
      <c r="J185" s="229"/>
      <c r="K185" s="230"/>
      <c r="L185" s="230"/>
      <c r="M185" s="230"/>
      <c r="N185" s="229"/>
      <c r="O185" s="229"/>
      <c r="P185" s="229"/>
      <c r="Q185" s="229"/>
      <c r="R185" s="229"/>
      <c r="S185" s="229"/>
      <c r="T185" s="229"/>
      <c r="U185" s="229"/>
      <c r="V185" s="229"/>
      <c r="W185" s="1420"/>
      <c r="X185" s="1421">
        <v>2</v>
      </c>
      <c r="Y185" s="1421">
        <v>50</v>
      </c>
      <c r="Z185" s="1421">
        <v>275</v>
      </c>
      <c r="AA185" s="458">
        <v>655</v>
      </c>
      <c r="AB185" s="458">
        <v>800</v>
      </c>
      <c r="AC185" s="458">
        <v>1000</v>
      </c>
      <c r="AD185" s="458">
        <f>AC185*1.15</f>
        <v>1150</v>
      </c>
      <c r="AE185" s="458">
        <f>AD185*1.15</f>
        <v>1322.5</v>
      </c>
      <c r="AF185" s="458">
        <f>AE185*1.15</f>
        <v>1520.8749999999998</v>
      </c>
      <c r="AG185" s="1624"/>
      <c r="AH185" s="1624"/>
      <c r="AI185" s="1624"/>
      <c r="AJ185" s="1624"/>
      <c r="AK185" s="1624"/>
      <c r="AL185" s="1624"/>
      <c r="AM185" s="1624"/>
      <c r="AN185" s="1624"/>
      <c r="AO185" s="1624"/>
      <c r="AP185" s="213"/>
    </row>
    <row r="186" spans="1:42">
      <c r="A186" s="349" t="s">
        <v>1489</v>
      </c>
      <c r="B186" s="213"/>
      <c r="C186" s="213"/>
      <c r="D186" s="213"/>
      <c r="E186" s="213"/>
      <c r="F186" s="213"/>
      <c r="G186" s="213"/>
      <c r="H186" s="213"/>
      <c r="I186" s="213"/>
      <c r="J186" s="208"/>
      <c r="K186" s="211"/>
      <c r="L186" s="211"/>
      <c r="M186" s="211"/>
      <c r="N186" s="208"/>
      <c r="O186" s="208"/>
      <c r="P186" s="208"/>
      <c r="Q186" s="208"/>
      <c r="R186" s="208"/>
      <c r="S186" s="208"/>
      <c r="T186" s="208"/>
      <c r="U186" s="208"/>
      <c r="V186" s="208"/>
      <c r="W186" s="1419"/>
      <c r="X186" s="1422"/>
      <c r="Y186" s="1422">
        <f t="shared" ref="Y186:AF186" si="116">Y185/X185-1</f>
        <v>24</v>
      </c>
      <c r="Z186" s="1422">
        <f t="shared" si="116"/>
        <v>4.5</v>
      </c>
      <c r="AA186" s="217">
        <f t="shared" si="116"/>
        <v>1.3818181818181818</v>
      </c>
      <c r="AB186" s="217">
        <f t="shared" si="116"/>
        <v>0.22137404580152675</v>
      </c>
      <c r="AC186" s="217">
        <f t="shared" si="116"/>
        <v>0.25</v>
      </c>
      <c r="AD186" s="217">
        <f t="shared" si="116"/>
        <v>0.14999999999999991</v>
      </c>
      <c r="AE186" s="217">
        <f t="shared" si="116"/>
        <v>0.14999999999999991</v>
      </c>
      <c r="AF186" s="217">
        <f t="shared" si="116"/>
        <v>0.14999999999999991</v>
      </c>
      <c r="AG186" s="1624"/>
      <c r="AH186" s="1624"/>
      <c r="AI186" s="1624"/>
      <c r="AJ186" s="1624"/>
      <c r="AK186" s="1624"/>
      <c r="AL186" s="1624"/>
      <c r="AM186" s="1624"/>
      <c r="AN186" s="1624"/>
      <c r="AO186" s="1624"/>
      <c r="AP186" s="213"/>
    </row>
    <row r="187" spans="1:42">
      <c r="A187" s="19"/>
      <c r="B187" s="213"/>
      <c r="C187" s="213"/>
      <c r="D187" s="213"/>
      <c r="E187" s="213"/>
      <c r="F187" s="213"/>
      <c r="G187" s="213"/>
      <c r="H187" s="213"/>
      <c r="I187" s="213"/>
      <c r="J187" s="208"/>
      <c r="K187" s="211"/>
      <c r="L187" s="211"/>
      <c r="M187" s="211"/>
      <c r="N187" s="208"/>
      <c r="O187" s="208"/>
      <c r="P187" s="208"/>
      <c r="Q187" s="208"/>
      <c r="R187" s="208"/>
      <c r="S187" s="208"/>
      <c r="T187" s="208"/>
      <c r="U187" s="208"/>
      <c r="V187" s="208"/>
      <c r="W187" s="1419"/>
      <c r="X187" s="263"/>
      <c r="Y187" s="1419"/>
      <c r="Z187" s="1419"/>
      <c r="AA187" s="208"/>
      <c r="AB187" s="208"/>
      <c r="AC187" s="208"/>
      <c r="AD187" s="208"/>
      <c r="AE187" s="208"/>
      <c r="AF187" s="208"/>
      <c r="AG187" s="1624"/>
      <c r="AH187" s="1624"/>
      <c r="AI187" s="1624"/>
      <c r="AJ187" s="1624"/>
      <c r="AK187" s="1624"/>
      <c r="AL187" s="1624"/>
      <c r="AM187" s="1624"/>
      <c r="AN187" s="1624"/>
      <c r="AO187" s="1624"/>
      <c r="AP187" s="213"/>
    </row>
    <row r="188" spans="1:42">
      <c r="A188" s="291" t="s">
        <v>1026</v>
      </c>
      <c r="B188" s="213"/>
      <c r="C188" s="213"/>
      <c r="D188" s="213"/>
      <c r="E188" s="213"/>
      <c r="F188" s="213"/>
      <c r="G188" s="213"/>
      <c r="H188" s="213"/>
      <c r="I188" s="213"/>
      <c r="J188" s="208"/>
      <c r="K188" s="211"/>
      <c r="L188" s="211"/>
      <c r="M188" s="211"/>
      <c r="N188" s="208"/>
      <c r="O188" s="208"/>
      <c r="P188" s="208"/>
      <c r="Q188" s="208"/>
      <c r="R188" s="208"/>
      <c r="S188" s="208"/>
      <c r="T188" s="208"/>
      <c r="U188" s="208"/>
      <c r="V188" s="208"/>
      <c r="W188" s="1419"/>
      <c r="X188" s="1413">
        <f t="shared" ref="X188:AF188" si="117">ROUND(X$190*X198,0)</f>
        <v>2</v>
      </c>
      <c r="Y188" s="1413">
        <f t="shared" si="117"/>
        <v>20</v>
      </c>
      <c r="Z188" s="1413">
        <f t="shared" si="117"/>
        <v>46</v>
      </c>
      <c r="AA188" s="200">
        <f t="shared" si="117"/>
        <v>70</v>
      </c>
      <c r="AB188" s="200">
        <f t="shared" si="117"/>
        <v>120</v>
      </c>
      <c r="AC188" s="200">
        <f t="shared" si="117"/>
        <v>191</v>
      </c>
      <c r="AD188" s="200">
        <f t="shared" si="117"/>
        <v>308</v>
      </c>
      <c r="AE188" s="200">
        <f t="shared" si="117"/>
        <v>356</v>
      </c>
      <c r="AF188" s="200">
        <f t="shared" si="117"/>
        <v>399</v>
      </c>
      <c r="AG188" s="1624"/>
      <c r="AH188" s="1624"/>
      <c r="AI188" s="1624"/>
      <c r="AJ188" s="1624"/>
      <c r="AK188" s="1624"/>
      <c r="AL188" s="1624"/>
      <c r="AM188" s="1624"/>
      <c r="AN188" s="1624"/>
      <c r="AO188" s="1624"/>
      <c r="AP188" s="213"/>
    </row>
    <row r="189" spans="1:42">
      <c r="A189" s="291" t="s">
        <v>1495</v>
      </c>
      <c r="B189" s="213"/>
      <c r="C189" s="213"/>
      <c r="D189" s="213"/>
      <c r="E189" s="213"/>
      <c r="F189" s="213"/>
      <c r="G189" s="213"/>
      <c r="H189" s="213"/>
      <c r="I189" s="213"/>
      <c r="J189" s="208"/>
      <c r="K189" s="211"/>
      <c r="L189" s="211"/>
      <c r="M189" s="211"/>
      <c r="N189" s="208"/>
      <c r="O189" s="208"/>
      <c r="P189" s="208"/>
      <c r="Q189" s="208"/>
      <c r="R189" s="208"/>
      <c r="S189" s="208"/>
      <c r="T189" s="208"/>
      <c r="U189" s="208"/>
      <c r="V189" s="208"/>
      <c r="W189" s="1419"/>
      <c r="X189" s="1413">
        <f t="shared" ref="X189:AF189" si="118">ROUND(X$190*X199,0)</f>
        <v>446</v>
      </c>
      <c r="Y189" s="1413">
        <f t="shared" si="118"/>
        <v>645</v>
      </c>
      <c r="Z189" s="1413">
        <f t="shared" si="118"/>
        <v>787</v>
      </c>
      <c r="AA189" s="200">
        <f t="shared" si="118"/>
        <v>775</v>
      </c>
      <c r="AB189" s="200">
        <f t="shared" si="118"/>
        <v>991</v>
      </c>
      <c r="AC189" s="200">
        <f t="shared" si="118"/>
        <v>1243</v>
      </c>
      <c r="AD189" s="200">
        <f t="shared" si="118"/>
        <v>1642</v>
      </c>
      <c r="AE189" s="200">
        <f t="shared" si="118"/>
        <v>1591</v>
      </c>
      <c r="AF189" s="200">
        <f t="shared" si="118"/>
        <v>1520</v>
      </c>
      <c r="AG189" s="1624"/>
      <c r="AH189" s="1624"/>
      <c r="AI189" s="1624"/>
      <c r="AJ189" s="1624"/>
      <c r="AK189" s="1624"/>
      <c r="AL189" s="1624"/>
      <c r="AM189" s="1624"/>
      <c r="AN189" s="1624"/>
      <c r="AO189" s="1624"/>
      <c r="AP189" s="213"/>
    </row>
    <row r="190" spans="1:42">
      <c r="A190" s="214" t="s">
        <v>1809</v>
      </c>
      <c r="B190" s="57"/>
      <c r="C190" s="57"/>
      <c r="D190" s="57"/>
      <c r="E190" s="57"/>
      <c r="F190" s="57"/>
      <c r="G190" s="57"/>
      <c r="H190" s="57"/>
      <c r="I190" s="57"/>
      <c r="J190" s="229"/>
      <c r="K190" s="230"/>
      <c r="L190" s="230"/>
      <c r="M190" s="230"/>
      <c r="N190" s="229"/>
      <c r="O190" s="229"/>
      <c r="P190" s="229"/>
      <c r="Q190" s="229"/>
      <c r="R190" s="229"/>
      <c r="S190" s="229"/>
      <c r="T190" s="229"/>
      <c r="U190" s="229"/>
      <c r="V190" s="229"/>
      <c r="W190" s="1420"/>
      <c r="X190" s="1421">
        <f t="shared" ref="X190:AF190" si="119">X193-X185</f>
        <v>448</v>
      </c>
      <c r="Y190" s="1421">
        <f t="shared" si="119"/>
        <v>665</v>
      </c>
      <c r="Z190" s="1421">
        <f t="shared" si="119"/>
        <v>832.5</v>
      </c>
      <c r="AA190" s="190">
        <f t="shared" si="119"/>
        <v>845</v>
      </c>
      <c r="AB190" s="190">
        <f t="shared" si="119"/>
        <v>1110.65116728306</v>
      </c>
      <c r="AC190" s="190">
        <f t="shared" si="119"/>
        <v>1433.7252553600797</v>
      </c>
      <c r="AD190" s="190">
        <f t="shared" si="119"/>
        <v>1950</v>
      </c>
      <c r="AE190" s="190">
        <f t="shared" si="119"/>
        <v>1947.5</v>
      </c>
      <c r="AF190" s="190">
        <f t="shared" si="119"/>
        <v>1919.1250000000002</v>
      </c>
      <c r="AG190" s="1624"/>
      <c r="AH190" s="1624"/>
      <c r="AI190" s="1624"/>
      <c r="AJ190" s="1624"/>
      <c r="AK190" s="1624"/>
      <c r="AL190" s="1624"/>
      <c r="AM190" s="1624"/>
      <c r="AN190" s="1624"/>
      <c r="AO190" s="1630"/>
      <c r="AP190" s="348"/>
    </row>
    <row r="191" spans="1:42">
      <c r="A191" s="349" t="s">
        <v>1489</v>
      </c>
      <c r="B191" s="213"/>
      <c r="C191" s="213"/>
      <c r="D191" s="213"/>
      <c r="E191" s="213"/>
      <c r="F191" s="213"/>
      <c r="G191" s="213"/>
      <c r="H191" s="213"/>
      <c r="I191" s="213"/>
      <c r="J191" s="208"/>
      <c r="K191" s="211"/>
      <c r="L191" s="211"/>
      <c r="M191" s="211"/>
      <c r="N191" s="208"/>
      <c r="O191" s="208"/>
      <c r="P191" s="208"/>
      <c r="Q191" s="208"/>
      <c r="R191" s="208"/>
      <c r="S191" s="208"/>
      <c r="T191" s="208"/>
      <c r="U191" s="208"/>
      <c r="V191" s="208"/>
      <c r="W191" s="1419"/>
      <c r="X191" s="1422"/>
      <c r="Y191" s="1422">
        <f t="shared" ref="Y191:AF191" si="120">Y190/X190-1</f>
        <v>0.484375</v>
      </c>
      <c r="Z191" s="1422">
        <f t="shared" si="120"/>
        <v>0.25187969924812026</v>
      </c>
      <c r="AA191" s="217">
        <f t="shared" si="120"/>
        <v>1.501501501501501E-2</v>
      </c>
      <c r="AB191" s="217">
        <f t="shared" si="120"/>
        <v>0.31438007962492298</v>
      </c>
      <c r="AC191" s="217">
        <f t="shared" si="120"/>
        <v>0.29088709181960581</v>
      </c>
      <c r="AD191" s="217">
        <f t="shared" si="120"/>
        <v>0.36009322058727222</v>
      </c>
      <c r="AE191" s="217">
        <f t="shared" si="120"/>
        <v>-1.2820512820512775E-3</v>
      </c>
      <c r="AF191" s="217">
        <f t="shared" si="120"/>
        <v>-1.4569961489088512E-2</v>
      </c>
      <c r="AG191" s="1624"/>
      <c r="AH191" s="1624"/>
      <c r="AI191" s="1624"/>
      <c r="AJ191" s="1630"/>
      <c r="AK191" s="1631"/>
      <c r="AL191" s="1631"/>
      <c r="AM191" s="1631"/>
      <c r="AN191" s="1631"/>
      <c r="AO191" s="1630"/>
      <c r="AP191" s="348"/>
    </row>
    <row r="192" spans="1:42">
      <c r="A192" s="349"/>
      <c r="B192" s="213"/>
      <c r="C192" s="213"/>
      <c r="D192" s="213"/>
      <c r="E192" s="213"/>
      <c r="F192" s="213"/>
      <c r="G192" s="213"/>
      <c r="H192" s="213"/>
      <c r="I192" s="213"/>
      <c r="J192" s="208"/>
      <c r="K192" s="211"/>
      <c r="L192" s="211"/>
      <c r="M192" s="211"/>
      <c r="N192" s="208"/>
      <c r="O192" s="208"/>
      <c r="P192" s="208"/>
      <c r="Q192" s="208"/>
      <c r="R192" s="208"/>
      <c r="S192" s="208"/>
      <c r="T192" s="208"/>
      <c r="U192" s="208"/>
      <c r="V192" s="208"/>
      <c r="W192" s="1419"/>
      <c r="X192" s="1422"/>
      <c r="Y192" s="1422"/>
      <c r="Z192" s="1422"/>
      <c r="AA192" s="217"/>
      <c r="AB192" s="217"/>
      <c r="AC192" s="217"/>
      <c r="AD192" s="217"/>
      <c r="AE192" s="217"/>
      <c r="AF192" s="217"/>
      <c r="AG192" s="1624"/>
      <c r="AH192" s="1624"/>
      <c r="AI192" s="1624"/>
      <c r="AJ192" s="1630"/>
      <c r="AK192" s="1631"/>
      <c r="AL192" s="1631"/>
      <c r="AM192" s="1631"/>
      <c r="AN192" s="1631"/>
      <c r="AO192" s="1624"/>
      <c r="AP192" s="213"/>
    </row>
    <row r="193" spans="1:42">
      <c r="A193" s="214" t="s">
        <v>1814</v>
      </c>
      <c r="B193" s="57"/>
      <c r="C193" s="57"/>
      <c r="D193" s="57"/>
      <c r="E193" s="57"/>
      <c r="F193" s="57"/>
      <c r="G193" s="57"/>
      <c r="H193" s="57"/>
      <c r="I193" s="57"/>
      <c r="J193" s="229"/>
      <c r="K193" s="230"/>
      <c r="L193" s="230"/>
      <c r="M193" s="230"/>
      <c r="N193" s="229"/>
      <c r="O193" s="229"/>
      <c r="P193" s="229"/>
      <c r="Q193" s="229"/>
      <c r="R193" s="229"/>
      <c r="S193" s="229"/>
      <c r="T193" s="229"/>
      <c r="U193" s="229"/>
      <c r="V193" s="229"/>
      <c r="W193" s="1420"/>
      <c r="X193" s="1421">
        <f>450</f>
        <v>450</v>
      </c>
      <c r="Y193" s="1421">
        <f>715</f>
        <v>715</v>
      </c>
      <c r="Z193" s="1421">
        <f>(AA193-Y193)/2+Y193</f>
        <v>1107.5</v>
      </c>
      <c r="AA193" s="458">
        <v>1500</v>
      </c>
      <c r="AB193" s="458">
        <f>AA193*(AD193/AA193)^(1/3)</f>
        <v>1910.65116728306</v>
      </c>
      <c r="AC193" s="458">
        <f>AB193*(AD193/AA193)^(1/3)</f>
        <v>2433.7252553600797</v>
      </c>
      <c r="AD193" s="458">
        <f>3100</f>
        <v>3100</v>
      </c>
      <c r="AE193" s="458">
        <f>AD193+170</f>
        <v>3270</v>
      </c>
      <c r="AF193" s="458">
        <f>AE193+170</f>
        <v>3440</v>
      </c>
      <c r="AG193" s="1624"/>
      <c r="AH193" s="1624"/>
      <c r="AI193" s="1624"/>
      <c r="AJ193" s="1624"/>
      <c r="AK193" s="1624"/>
      <c r="AL193" s="1624"/>
      <c r="AM193" s="1624"/>
      <c r="AN193" s="1624"/>
      <c r="AO193" s="1624"/>
      <c r="AP193" s="213"/>
    </row>
    <row r="194" spans="1:42">
      <c r="A194" s="349" t="s">
        <v>1489</v>
      </c>
      <c r="B194" s="213"/>
      <c r="C194" s="213"/>
      <c r="D194" s="213"/>
      <c r="E194" s="213"/>
      <c r="F194" s="213"/>
      <c r="G194" s="213"/>
      <c r="H194" s="213"/>
      <c r="I194" s="213"/>
      <c r="J194" s="208"/>
      <c r="K194" s="211"/>
      <c r="L194" s="211"/>
      <c r="M194" s="211"/>
      <c r="N194" s="208"/>
      <c r="O194" s="208"/>
      <c r="P194" s="208"/>
      <c r="Q194" s="208"/>
      <c r="R194" s="208"/>
      <c r="S194" s="208"/>
      <c r="T194" s="208"/>
      <c r="U194" s="208"/>
      <c r="V194" s="208"/>
      <c r="W194" s="1419"/>
      <c r="X194" s="1422"/>
      <c r="Y194" s="1422">
        <f t="shared" ref="Y194:AF194" si="121">Y193/X193-1</f>
        <v>0.5888888888888888</v>
      </c>
      <c r="Z194" s="1422">
        <f t="shared" si="121"/>
        <v>0.54895104895104896</v>
      </c>
      <c r="AA194" s="217">
        <f t="shared" si="121"/>
        <v>0.35440180586907455</v>
      </c>
      <c r="AB194" s="217">
        <f t="shared" si="121"/>
        <v>0.2737674448553733</v>
      </c>
      <c r="AC194" s="217">
        <f t="shared" si="121"/>
        <v>0.2737674448553733</v>
      </c>
      <c r="AD194" s="217">
        <f t="shared" si="121"/>
        <v>0.27376744485537352</v>
      </c>
      <c r="AE194" s="217">
        <f t="shared" si="121"/>
        <v>5.4838709677419439E-2</v>
      </c>
      <c r="AF194" s="217">
        <f t="shared" si="121"/>
        <v>5.1987767584097844E-2</v>
      </c>
      <c r="AG194" s="1624"/>
      <c r="AH194" s="1624" t="s">
        <v>1686</v>
      </c>
      <c r="AI194" s="1624"/>
      <c r="AJ194" s="1624"/>
      <c r="AK194" s="1624"/>
      <c r="AL194" s="1624"/>
      <c r="AM194" s="1624"/>
      <c r="AN194" s="1624"/>
      <c r="AO194" s="1624"/>
      <c r="AP194" s="213"/>
    </row>
    <row r="195" spans="1:42">
      <c r="A195" s="349"/>
      <c r="B195" s="213"/>
      <c r="C195" s="213"/>
      <c r="D195" s="213"/>
      <c r="E195" s="213"/>
      <c r="F195" s="213"/>
      <c r="G195" s="213"/>
      <c r="H195" s="213"/>
      <c r="I195" s="213"/>
      <c r="J195" s="208"/>
      <c r="K195" s="211"/>
      <c r="L195" s="211"/>
      <c r="M195" s="211"/>
      <c r="N195" s="208"/>
      <c r="O195" s="208"/>
      <c r="P195" s="208"/>
      <c r="Q195" s="208"/>
      <c r="R195" s="208"/>
      <c r="S195" s="208"/>
      <c r="T195" s="208"/>
      <c r="U195" s="208"/>
      <c r="V195" s="208"/>
      <c r="W195" s="1419"/>
      <c r="X195" s="1422"/>
      <c r="Y195" s="1422"/>
      <c r="Z195" s="1422"/>
      <c r="AA195" s="217"/>
      <c r="AB195" s="217"/>
      <c r="AC195" s="217"/>
      <c r="AD195" s="217"/>
      <c r="AE195" s="217"/>
      <c r="AF195" s="217"/>
      <c r="AG195" s="1624"/>
      <c r="AH195" s="1624"/>
      <c r="AI195" s="1624"/>
      <c r="AJ195" s="1624"/>
      <c r="AK195" s="1624"/>
      <c r="AL195" s="1624"/>
      <c r="AM195" s="1624"/>
      <c r="AN195" s="1624"/>
      <c r="AO195" s="1624"/>
      <c r="AP195" s="213"/>
    </row>
    <row r="196" spans="1:42">
      <c r="A196" s="1191" t="s">
        <v>1813</v>
      </c>
      <c r="B196" s="1192"/>
      <c r="C196" s="1192"/>
      <c r="D196" s="1192"/>
      <c r="E196" s="1192"/>
      <c r="F196" s="1192"/>
      <c r="G196" s="1192"/>
      <c r="H196" s="1192"/>
      <c r="I196" s="1192"/>
      <c r="J196" s="1193"/>
      <c r="K196" s="1194"/>
      <c r="L196" s="1194"/>
      <c r="M196" s="1194"/>
      <c r="N196" s="1193"/>
      <c r="O196" s="1193"/>
      <c r="P196" s="1193"/>
      <c r="Q196" s="1193"/>
      <c r="R196" s="1193"/>
      <c r="S196" s="1195"/>
      <c r="T196" s="1196"/>
      <c r="U196" s="1196"/>
      <c r="V196" s="1196"/>
      <c r="W196" s="1196"/>
      <c r="X196" s="1196"/>
      <c r="Y196" s="1196"/>
      <c r="Z196" s="1196"/>
      <c r="AA196" s="1196"/>
      <c r="AB196" s="1196"/>
      <c r="AC196" s="1196"/>
      <c r="AD196" s="1196"/>
      <c r="AE196" s="1196"/>
      <c r="AF196" s="1196"/>
      <c r="AG196" s="1624"/>
      <c r="AH196" s="1624"/>
      <c r="AI196" s="1624"/>
      <c r="AJ196" s="1624"/>
      <c r="AK196" s="1624"/>
      <c r="AL196" s="1624"/>
      <c r="AM196" s="1624"/>
      <c r="AN196" s="1624"/>
      <c r="AO196" s="1624"/>
      <c r="AP196" s="213"/>
    </row>
    <row r="197" spans="1:42">
      <c r="A197" s="291" t="s">
        <v>1685</v>
      </c>
      <c r="B197" s="213"/>
      <c r="C197" s="213"/>
      <c r="D197" s="213"/>
      <c r="E197" s="213"/>
      <c r="F197" s="213"/>
      <c r="G197" s="213"/>
      <c r="H197" s="213"/>
      <c r="I197" s="213"/>
      <c r="J197" s="343"/>
      <c r="K197" s="343"/>
      <c r="L197" s="343"/>
      <c r="M197" s="343"/>
      <c r="N197" s="343"/>
      <c r="O197" s="343"/>
      <c r="P197" s="343"/>
      <c r="Q197" s="343"/>
      <c r="R197" s="343"/>
      <c r="S197" s="343"/>
      <c r="T197" s="343"/>
      <c r="U197" s="343"/>
      <c r="V197" s="343"/>
      <c r="W197" s="343"/>
      <c r="X197" s="343"/>
      <c r="Y197" s="343"/>
      <c r="Z197" s="343"/>
      <c r="AA197" s="343"/>
      <c r="AB197" s="343"/>
      <c r="AC197" s="343"/>
      <c r="AD197" s="343"/>
      <c r="AE197" s="343"/>
      <c r="AF197" s="343"/>
      <c r="AG197" s="1624"/>
      <c r="AH197" s="1624"/>
      <c r="AI197" s="1624"/>
      <c r="AJ197" s="1624"/>
      <c r="AK197" s="1624"/>
      <c r="AL197" s="1624"/>
      <c r="AM197" s="1624"/>
      <c r="AN197" s="1624"/>
      <c r="AO197" s="1624"/>
      <c r="AP197" s="213"/>
    </row>
    <row r="198" spans="1:42">
      <c r="A198" s="370" t="s">
        <v>1494</v>
      </c>
      <c r="B198" s="207"/>
      <c r="C198" s="207"/>
      <c r="D198" s="207"/>
      <c r="E198" s="207"/>
      <c r="F198" s="207"/>
      <c r="G198" s="207"/>
      <c r="H198" s="210"/>
      <c r="I198" s="210"/>
      <c r="J198" s="210"/>
      <c r="K198" s="210"/>
      <c r="L198" s="210"/>
      <c r="M198" s="210"/>
      <c r="N198" s="210"/>
      <c r="O198" s="210"/>
      <c r="P198" s="210"/>
      <c r="Q198" s="210"/>
      <c r="R198" s="210"/>
      <c r="S198" s="210"/>
      <c r="T198" s="210"/>
      <c r="U198" s="210"/>
      <c r="V198" s="210"/>
      <c r="W198" s="210"/>
      <c r="X198" s="1300">
        <f t="shared" ref="X198:AF198" si="122">X210+X211</f>
        <v>5.0000000000000001E-3</v>
      </c>
      <c r="Y198" s="1300">
        <f t="shared" si="122"/>
        <v>3.0000000000000002E-2</v>
      </c>
      <c r="Z198" s="1300">
        <f t="shared" si="122"/>
        <v>5.5000000000000007E-2</v>
      </c>
      <c r="AA198" s="1300">
        <f t="shared" si="122"/>
        <v>8.3000000000000004E-2</v>
      </c>
      <c r="AB198" s="1300">
        <f t="shared" si="122"/>
        <v>0.10800000000000001</v>
      </c>
      <c r="AC198" s="1300">
        <f t="shared" si="122"/>
        <v>0.13300000000000001</v>
      </c>
      <c r="AD198" s="1300">
        <f t="shared" si="122"/>
        <v>0.158</v>
      </c>
      <c r="AE198" s="1300">
        <f t="shared" si="122"/>
        <v>0.183</v>
      </c>
      <c r="AF198" s="1300">
        <f t="shared" si="122"/>
        <v>0.20799999999999999</v>
      </c>
      <c r="AG198" s="1624"/>
      <c r="AH198" s="1624"/>
      <c r="AI198" s="1624"/>
      <c r="AJ198" s="1624"/>
      <c r="AK198" s="1624"/>
      <c r="AL198" s="1624"/>
      <c r="AM198" s="1624"/>
      <c r="AN198" s="1624"/>
      <c r="AO198" s="1624"/>
      <c r="AP198" s="213"/>
    </row>
    <row r="199" spans="1:42">
      <c r="A199" s="370" t="s">
        <v>1488</v>
      </c>
      <c r="B199" s="207"/>
      <c r="C199" s="207"/>
      <c r="D199" s="207"/>
      <c r="E199" s="207"/>
      <c r="F199" s="207"/>
      <c r="G199" s="207"/>
      <c r="H199" s="210"/>
      <c r="I199" s="210"/>
      <c r="J199" s="210"/>
      <c r="K199" s="210"/>
      <c r="L199" s="210"/>
      <c r="M199" s="210"/>
      <c r="N199" s="210"/>
      <c r="O199" s="210"/>
      <c r="P199" s="210"/>
      <c r="Q199" s="210"/>
      <c r="R199" s="210"/>
      <c r="S199" s="210"/>
      <c r="T199" s="210"/>
      <c r="U199" s="210"/>
      <c r="V199" s="210"/>
      <c r="W199" s="210"/>
      <c r="X199" s="220">
        <f t="shared" ref="X199:AF199" si="123">1-X198</f>
        <v>0.995</v>
      </c>
      <c r="Y199" s="220">
        <f t="shared" si="123"/>
        <v>0.97</v>
      </c>
      <c r="Z199" s="220">
        <f t="shared" si="123"/>
        <v>0.94499999999999995</v>
      </c>
      <c r="AA199" s="220">
        <f t="shared" si="123"/>
        <v>0.91700000000000004</v>
      </c>
      <c r="AB199" s="220">
        <f t="shared" si="123"/>
        <v>0.89200000000000002</v>
      </c>
      <c r="AC199" s="220">
        <f t="shared" si="123"/>
        <v>0.86699999999999999</v>
      </c>
      <c r="AD199" s="220">
        <f t="shared" si="123"/>
        <v>0.84199999999999997</v>
      </c>
      <c r="AE199" s="220">
        <f t="shared" si="123"/>
        <v>0.81699999999999995</v>
      </c>
      <c r="AF199" s="220">
        <f t="shared" si="123"/>
        <v>0.79200000000000004</v>
      </c>
      <c r="AG199" s="1624"/>
      <c r="AH199" s="1624"/>
      <c r="AI199" s="1624"/>
      <c r="AJ199" s="1624"/>
      <c r="AK199" s="1624"/>
      <c r="AL199" s="1624"/>
      <c r="AM199" s="1624"/>
      <c r="AN199" s="1624"/>
      <c r="AO199" s="1624"/>
      <c r="AP199" s="213"/>
    </row>
    <row r="200" spans="1:42">
      <c r="A200" s="1197" t="s">
        <v>1275</v>
      </c>
      <c r="B200" s="213"/>
      <c r="C200" s="213"/>
      <c r="D200" s="213"/>
      <c r="E200" s="213"/>
      <c r="F200" s="213"/>
      <c r="G200" s="213"/>
      <c r="H200" s="213"/>
      <c r="I200" s="394"/>
      <c r="J200" s="220"/>
      <c r="K200" s="220"/>
      <c r="L200" s="220"/>
      <c r="M200" s="220"/>
      <c r="N200" s="220"/>
      <c r="O200" s="220"/>
      <c r="P200" s="220"/>
      <c r="Q200" s="220"/>
      <c r="R200" s="220"/>
      <c r="S200" s="220"/>
      <c r="T200" s="220"/>
      <c r="U200" s="220"/>
      <c r="V200" s="220"/>
      <c r="W200" s="220"/>
      <c r="X200" s="220">
        <f t="shared" ref="X200:AF200" si="124">X$199*0.2</f>
        <v>0.19900000000000001</v>
      </c>
      <c r="Y200" s="220">
        <f t="shared" si="124"/>
        <v>0.19400000000000001</v>
      </c>
      <c r="Z200" s="220">
        <f t="shared" si="124"/>
        <v>0.189</v>
      </c>
      <c r="AA200" s="220">
        <f t="shared" si="124"/>
        <v>0.18340000000000001</v>
      </c>
      <c r="AB200" s="220">
        <f t="shared" si="124"/>
        <v>0.1784</v>
      </c>
      <c r="AC200" s="220">
        <f t="shared" si="124"/>
        <v>0.1734</v>
      </c>
      <c r="AD200" s="220">
        <f t="shared" si="124"/>
        <v>0.16839999999999999</v>
      </c>
      <c r="AE200" s="220">
        <f t="shared" si="124"/>
        <v>0.16339999999999999</v>
      </c>
      <c r="AF200" s="220">
        <f t="shared" si="124"/>
        <v>0.15840000000000001</v>
      </c>
      <c r="AG200" s="1624"/>
      <c r="AH200" s="1624"/>
      <c r="AI200" s="1624"/>
      <c r="AJ200" s="1624"/>
      <c r="AK200" s="1624"/>
      <c r="AL200" s="1624"/>
      <c r="AM200" s="1624"/>
      <c r="AN200" s="1624"/>
      <c r="AO200" s="1624"/>
      <c r="AP200" s="213"/>
    </row>
    <row r="201" spans="1:42">
      <c r="A201" s="1197" t="s">
        <v>1276</v>
      </c>
      <c r="B201" s="213"/>
      <c r="C201" s="213"/>
      <c r="D201" s="213"/>
      <c r="E201" s="213"/>
      <c r="F201" s="213"/>
      <c r="G201" s="213"/>
      <c r="H201" s="213"/>
      <c r="I201" s="394"/>
      <c r="J201" s="220"/>
      <c r="K201" s="220"/>
      <c r="L201" s="220"/>
      <c r="M201" s="220"/>
      <c r="N201" s="220"/>
      <c r="O201" s="220"/>
      <c r="P201" s="220"/>
      <c r="Q201" s="220"/>
      <c r="R201" s="220"/>
      <c r="S201" s="220"/>
      <c r="T201" s="220"/>
      <c r="U201" s="220"/>
      <c r="V201" s="220"/>
      <c r="W201" s="220"/>
      <c r="X201" s="220">
        <f t="shared" ref="X201:AF201" si="125">X$199*0.8</f>
        <v>0.79600000000000004</v>
      </c>
      <c r="Y201" s="220">
        <f t="shared" si="125"/>
        <v>0.77600000000000002</v>
      </c>
      <c r="Z201" s="220">
        <f t="shared" si="125"/>
        <v>0.75600000000000001</v>
      </c>
      <c r="AA201" s="220">
        <f t="shared" si="125"/>
        <v>0.73360000000000003</v>
      </c>
      <c r="AB201" s="220">
        <f t="shared" si="125"/>
        <v>0.71360000000000001</v>
      </c>
      <c r="AC201" s="220">
        <f t="shared" si="125"/>
        <v>0.69359999999999999</v>
      </c>
      <c r="AD201" s="220">
        <f t="shared" si="125"/>
        <v>0.67359999999999998</v>
      </c>
      <c r="AE201" s="220">
        <f t="shared" si="125"/>
        <v>0.65359999999999996</v>
      </c>
      <c r="AF201" s="220">
        <f t="shared" si="125"/>
        <v>0.63360000000000005</v>
      </c>
      <c r="AG201" s="1624"/>
      <c r="AH201" s="1624" t="s">
        <v>1686</v>
      </c>
      <c r="AI201" s="1624"/>
      <c r="AJ201" s="1624"/>
      <c r="AK201" s="1624"/>
      <c r="AL201" s="1624"/>
      <c r="AM201" s="1624"/>
      <c r="AN201" s="1624"/>
      <c r="AO201" s="1624"/>
      <c r="AP201" s="213"/>
    </row>
    <row r="202" spans="1:42">
      <c r="A202" s="291"/>
      <c r="B202" s="213"/>
      <c r="C202" s="213"/>
      <c r="D202" s="213"/>
      <c r="E202" s="213"/>
      <c r="F202" s="213"/>
      <c r="G202" s="213"/>
      <c r="H202" s="213"/>
      <c r="I202" s="213"/>
      <c r="J202" s="208"/>
      <c r="K202" s="211"/>
      <c r="L202" s="211"/>
      <c r="M202" s="211"/>
      <c r="N202" s="208"/>
      <c r="O202" s="208"/>
      <c r="P202" s="208"/>
      <c r="Q202" s="208"/>
      <c r="R202" s="208"/>
      <c r="S202" s="208"/>
      <c r="T202" s="208"/>
      <c r="U202" s="208"/>
      <c r="V202" s="208"/>
      <c r="W202" s="208"/>
      <c r="X202" s="208"/>
      <c r="Y202" s="208"/>
      <c r="Z202" s="208"/>
      <c r="AA202" s="208"/>
      <c r="AB202" s="208"/>
      <c r="AC202" s="208"/>
      <c r="AD202" s="208"/>
      <c r="AE202" s="208"/>
      <c r="AF202" s="208"/>
      <c r="AG202" s="1624"/>
      <c r="AH202" s="1624"/>
      <c r="AI202" s="1624"/>
      <c r="AJ202" s="1624"/>
      <c r="AK202" s="1624"/>
      <c r="AL202" s="1624"/>
      <c r="AM202" s="1624"/>
      <c r="AN202" s="1624"/>
      <c r="AO202" s="1624"/>
      <c r="AP202" s="213"/>
    </row>
    <row r="203" spans="1:42">
      <c r="A203" s="291" t="s">
        <v>1492</v>
      </c>
      <c r="B203" s="213"/>
      <c r="C203" s="213"/>
      <c r="D203" s="213"/>
      <c r="E203" s="213"/>
      <c r="F203" s="213"/>
      <c r="G203" s="213"/>
      <c r="H203" s="213"/>
      <c r="I203" s="213"/>
      <c r="J203" s="208"/>
      <c r="K203" s="211"/>
      <c r="L203" s="211"/>
      <c r="M203" s="211"/>
      <c r="N203" s="208"/>
      <c r="O203" s="208"/>
      <c r="P203" s="208"/>
      <c r="Q203" s="208"/>
      <c r="R203" s="208"/>
      <c r="S203" s="208"/>
      <c r="T203" s="208"/>
      <c r="U203" s="208"/>
      <c r="V203" s="208"/>
      <c r="W203" s="208"/>
      <c r="X203" s="233"/>
      <c r="Y203" s="233"/>
      <c r="Z203" s="208"/>
      <c r="AA203" s="208"/>
      <c r="AB203" s="208"/>
      <c r="AC203" s="208"/>
      <c r="AD203" s="208"/>
      <c r="AE203" s="208"/>
      <c r="AF203" s="208"/>
      <c r="AG203" s="1624"/>
      <c r="AH203" s="1624"/>
      <c r="AI203" s="1624"/>
      <c r="AJ203" s="1624"/>
      <c r="AK203" s="1624"/>
      <c r="AL203" s="1624"/>
      <c r="AM203" s="1624"/>
      <c r="AN203" s="1624"/>
      <c r="AO203" s="1624"/>
      <c r="AP203" s="213"/>
    </row>
    <row r="204" spans="1:42">
      <c r="A204" s="370" t="s">
        <v>1799</v>
      </c>
      <c r="B204" s="213"/>
      <c r="C204" s="213"/>
      <c r="D204" s="213"/>
      <c r="E204" s="213"/>
      <c r="F204" s="213"/>
      <c r="G204" s="213"/>
      <c r="H204" s="213"/>
      <c r="I204" s="213"/>
      <c r="J204" s="208"/>
      <c r="K204" s="211"/>
      <c r="L204" s="211"/>
      <c r="M204" s="211"/>
      <c r="N204" s="210"/>
      <c r="O204" s="220"/>
      <c r="P204" s="220"/>
      <c r="Q204" s="220"/>
      <c r="R204" s="210"/>
      <c r="S204" s="220"/>
      <c r="T204" s="220">
        <f t="shared" ref="T204:AF204" si="126">S204</f>
        <v>0</v>
      </c>
      <c r="U204" s="220">
        <v>0.65</v>
      </c>
      <c r="V204" s="220">
        <f t="shared" si="126"/>
        <v>0.65</v>
      </c>
      <c r="W204" s="220">
        <f t="shared" si="126"/>
        <v>0.65</v>
      </c>
      <c r="X204" s="220">
        <f t="shared" si="126"/>
        <v>0.65</v>
      </c>
      <c r="Y204" s="220">
        <f t="shared" si="126"/>
        <v>0.65</v>
      </c>
      <c r="Z204" s="220">
        <f t="shared" si="126"/>
        <v>0.65</v>
      </c>
      <c r="AA204" s="1297">
        <f t="shared" si="126"/>
        <v>0.65</v>
      </c>
      <c r="AB204" s="1297">
        <f t="shared" si="126"/>
        <v>0.65</v>
      </c>
      <c r="AC204" s="1297">
        <f t="shared" si="126"/>
        <v>0.65</v>
      </c>
      <c r="AD204" s="1297">
        <f t="shared" si="126"/>
        <v>0.65</v>
      </c>
      <c r="AE204" s="1297">
        <f t="shared" si="126"/>
        <v>0.65</v>
      </c>
      <c r="AF204" s="1297">
        <f t="shared" si="126"/>
        <v>0.65</v>
      </c>
      <c r="AG204" s="1624"/>
      <c r="AH204" s="1624"/>
      <c r="AI204" s="1624"/>
      <c r="AJ204" s="1624"/>
      <c r="AK204" s="1624"/>
      <c r="AL204" s="1624"/>
      <c r="AM204" s="1624"/>
      <c r="AN204" s="1624"/>
      <c r="AO204" s="1624"/>
      <c r="AP204" s="213"/>
    </row>
    <row r="205" spans="1:42">
      <c r="A205" s="370" t="s">
        <v>1023</v>
      </c>
      <c r="B205" s="213"/>
      <c r="C205" s="213"/>
      <c r="D205" s="213"/>
      <c r="E205" s="213"/>
      <c r="F205" s="213"/>
      <c r="G205" s="213"/>
      <c r="H205" s="213"/>
      <c r="I205" s="213"/>
      <c r="J205" s="208"/>
      <c r="K205" s="211"/>
      <c r="L205" s="211"/>
      <c r="M205" s="211"/>
      <c r="N205" s="210"/>
      <c r="O205" s="220"/>
      <c r="P205" s="220"/>
      <c r="Q205" s="220"/>
      <c r="R205" s="210"/>
      <c r="S205" s="220"/>
      <c r="T205" s="220">
        <f t="shared" ref="T205:AF205" si="127">S205</f>
        <v>0</v>
      </c>
      <c r="U205" s="220">
        <v>0.35</v>
      </c>
      <c r="V205" s="220">
        <f t="shared" si="127"/>
        <v>0.35</v>
      </c>
      <c r="W205" s="220">
        <f t="shared" si="127"/>
        <v>0.35</v>
      </c>
      <c r="X205" s="220">
        <f t="shared" si="127"/>
        <v>0.35</v>
      </c>
      <c r="Y205" s="220">
        <f t="shared" si="127"/>
        <v>0.35</v>
      </c>
      <c r="Z205" s="220">
        <f t="shared" si="127"/>
        <v>0.35</v>
      </c>
      <c r="AA205" s="1297">
        <f t="shared" si="127"/>
        <v>0.35</v>
      </c>
      <c r="AB205" s="1297">
        <f t="shared" si="127"/>
        <v>0.35</v>
      </c>
      <c r="AC205" s="1297">
        <f t="shared" si="127"/>
        <v>0.35</v>
      </c>
      <c r="AD205" s="1297">
        <f t="shared" si="127"/>
        <v>0.35</v>
      </c>
      <c r="AE205" s="1297">
        <f t="shared" si="127"/>
        <v>0.35</v>
      </c>
      <c r="AF205" s="1297">
        <f t="shared" si="127"/>
        <v>0.35</v>
      </c>
      <c r="AG205" s="1624"/>
      <c r="AH205" s="1624"/>
      <c r="AI205" s="1624"/>
      <c r="AJ205" s="1624"/>
      <c r="AK205" s="1624"/>
      <c r="AL205" s="1624"/>
      <c r="AM205" s="1624"/>
      <c r="AN205" s="1624"/>
      <c r="AO205" s="1624"/>
      <c r="AP205" s="213"/>
    </row>
    <row r="206" spans="1:42">
      <c r="A206" s="291"/>
      <c r="B206" s="213"/>
      <c r="C206" s="213"/>
      <c r="D206" s="213"/>
      <c r="E206" s="213"/>
      <c r="F206" s="213"/>
      <c r="G206" s="213"/>
      <c r="H206" s="213"/>
      <c r="I206" s="213"/>
      <c r="J206" s="208"/>
      <c r="K206" s="211"/>
      <c r="L206" s="211"/>
      <c r="M206" s="211"/>
      <c r="N206" s="208"/>
      <c r="O206" s="208"/>
      <c r="P206" s="208"/>
      <c r="Q206" s="208"/>
      <c r="R206" s="208"/>
      <c r="S206" s="642"/>
      <c r="T206" s="208"/>
      <c r="U206" s="208"/>
      <c r="V206" s="208"/>
      <c r="W206" s="208"/>
      <c r="X206" s="208"/>
      <c r="Y206" s="208"/>
      <c r="Z206" s="208"/>
      <c r="AA206" s="208"/>
      <c r="AB206" s="208"/>
      <c r="AC206" s="208"/>
      <c r="AD206" s="208"/>
      <c r="AE206" s="208"/>
      <c r="AF206" s="208"/>
      <c r="AG206" s="1624"/>
      <c r="AH206" s="1624" t="s">
        <v>1686</v>
      </c>
      <c r="AI206" s="1624"/>
      <c r="AJ206" s="1624"/>
      <c r="AK206" s="1624"/>
      <c r="AL206" s="1624"/>
      <c r="AM206" s="1624"/>
      <c r="AN206" s="1624"/>
      <c r="AO206" s="1624"/>
      <c r="AP206" s="213"/>
    </row>
    <row r="207" spans="1:42">
      <c r="A207" s="291" t="s">
        <v>1533</v>
      </c>
      <c r="B207" s="213"/>
      <c r="C207" s="213"/>
      <c r="D207" s="213"/>
      <c r="E207" s="213"/>
      <c r="F207" s="213"/>
      <c r="G207" s="213"/>
      <c r="H207" s="213"/>
      <c r="I207" s="213"/>
      <c r="J207" s="208"/>
      <c r="K207" s="211"/>
      <c r="L207" s="211"/>
      <c r="M207" s="211"/>
      <c r="N207" s="208"/>
      <c r="O207" s="208"/>
      <c r="P207" s="208"/>
      <c r="Q207" s="208"/>
      <c r="R207" s="208"/>
      <c r="S207" s="1419"/>
      <c r="T207" s="208"/>
      <c r="U207" s="208"/>
      <c r="V207" s="208"/>
      <c r="W207" s="208"/>
      <c r="X207" s="208"/>
      <c r="Y207" s="208"/>
      <c r="Z207" s="208"/>
      <c r="AA207" s="208"/>
      <c r="AB207" s="208"/>
      <c r="AC207" s="208"/>
      <c r="AD207" s="208"/>
      <c r="AE207" s="208"/>
      <c r="AF207" s="208"/>
      <c r="AG207" s="1624"/>
      <c r="AH207" s="1624"/>
      <c r="AI207" s="1624"/>
      <c r="AJ207" s="1624"/>
      <c r="AK207" s="1624"/>
      <c r="AL207" s="1624"/>
      <c r="AM207" s="1624"/>
      <c r="AN207" s="1624"/>
      <c r="AO207" s="1624"/>
      <c r="AP207" s="213"/>
    </row>
    <row r="208" spans="1:42">
      <c r="A208" s="370" t="s">
        <v>1802</v>
      </c>
      <c r="B208" s="213"/>
      <c r="C208" s="213"/>
      <c r="D208" s="213"/>
      <c r="E208" s="213"/>
      <c r="F208" s="213"/>
      <c r="G208" s="213"/>
      <c r="H208" s="213"/>
      <c r="I208" s="213"/>
      <c r="J208" s="208"/>
      <c r="K208" s="211"/>
      <c r="L208" s="211"/>
      <c r="M208" s="211"/>
      <c r="N208" s="211"/>
      <c r="O208" s="211"/>
      <c r="P208" s="211"/>
      <c r="Q208" s="211"/>
      <c r="R208" s="220"/>
      <c r="S208" s="1397"/>
      <c r="T208" s="222">
        <f t="shared" ref="T208:AF208" si="128">(1-T210-T211)/2</f>
        <v>0.5</v>
      </c>
      <c r="U208" s="222">
        <v>0.5</v>
      </c>
      <c r="V208" s="222">
        <f t="shared" si="128"/>
        <v>0.5</v>
      </c>
      <c r="W208" s="220">
        <f t="shared" si="128"/>
        <v>0.5</v>
      </c>
      <c r="X208" s="220">
        <f t="shared" si="128"/>
        <v>0.4975</v>
      </c>
      <c r="Y208" s="220">
        <f t="shared" si="128"/>
        <v>0.48499999999999999</v>
      </c>
      <c r="Z208" s="220">
        <f t="shared" si="128"/>
        <v>0.47249999999999998</v>
      </c>
      <c r="AA208" s="220">
        <f t="shared" si="128"/>
        <v>0.45850000000000002</v>
      </c>
      <c r="AB208" s="220">
        <f t="shared" si="128"/>
        <v>0.44600000000000001</v>
      </c>
      <c r="AC208" s="220">
        <f t="shared" si="128"/>
        <v>0.4335</v>
      </c>
      <c r="AD208" s="220">
        <f t="shared" si="128"/>
        <v>0.42099999999999999</v>
      </c>
      <c r="AE208" s="220">
        <f t="shared" si="128"/>
        <v>0.40849999999999997</v>
      </c>
      <c r="AF208" s="220">
        <f t="shared" si="128"/>
        <v>0.39600000000000002</v>
      </c>
      <c r="AG208" s="1624"/>
      <c r="AH208" s="1624"/>
      <c r="AI208" s="1624"/>
      <c r="AJ208" s="1624"/>
      <c r="AK208" s="1624"/>
      <c r="AL208" s="1624"/>
      <c r="AM208" s="1624"/>
      <c r="AN208" s="1624"/>
      <c r="AO208" s="1630"/>
      <c r="AP208" s="348"/>
    </row>
    <row r="209" spans="1:42">
      <c r="A209" s="370" t="s">
        <v>1801</v>
      </c>
      <c r="B209" s="213"/>
      <c r="C209" s="213"/>
      <c r="D209" s="213"/>
      <c r="E209" s="213"/>
      <c r="F209" s="213"/>
      <c r="G209" s="213"/>
      <c r="H209" s="213"/>
      <c r="I209" s="213"/>
      <c r="J209" s="208"/>
      <c r="K209" s="211"/>
      <c r="L209" s="211"/>
      <c r="M209" s="211"/>
      <c r="N209" s="211"/>
      <c r="O209" s="211"/>
      <c r="P209" s="211"/>
      <c r="Q209" s="211"/>
      <c r="R209" s="220"/>
      <c r="S209" s="1397"/>
      <c r="T209" s="222">
        <f t="shared" ref="T209:AF209" si="129">(1-T210-T211)/2</f>
        <v>0.5</v>
      </c>
      <c r="U209" s="222">
        <v>0.5</v>
      </c>
      <c r="V209" s="222">
        <f t="shared" si="129"/>
        <v>0.5</v>
      </c>
      <c r="W209" s="220">
        <f t="shared" si="129"/>
        <v>0.5</v>
      </c>
      <c r="X209" s="220">
        <f t="shared" si="129"/>
        <v>0.4975</v>
      </c>
      <c r="Y209" s="220">
        <f t="shared" si="129"/>
        <v>0.48499999999999999</v>
      </c>
      <c r="Z209" s="220">
        <f t="shared" si="129"/>
        <v>0.47249999999999998</v>
      </c>
      <c r="AA209" s="220">
        <f t="shared" si="129"/>
        <v>0.45850000000000002</v>
      </c>
      <c r="AB209" s="220">
        <f t="shared" si="129"/>
        <v>0.44600000000000001</v>
      </c>
      <c r="AC209" s="220">
        <f t="shared" si="129"/>
        <v>0.4335</v>
      </c>
      <c r="AD209" s="220">
        <f t="shared" si="129"/>
        <v>0.42099999999999999</v>
      </c>
      <c r="AE209" s="220">
        <f t="shared" si="129"/>
        <v>0.40849999999999997</v>
      </c>
      <c r="AF209" s="220">
        <f t="shared" si="129"/>
        <v>0.39600000000000002</v>
      </c>
      <c r="AG209" s="1624"/>
      <c r="AH209" s="1624"/>
      <c r="AI209" s="1624"/>
      <c r="AJ209" s="1630"/>
      <c r="AK209" s="1624"/>
      <c r="AL209" s="1624"/>
      <c r="AM209" s="1624"/>
      <c r="AN209" s="1624"/>
      <c r="AO209" s="1630"/>
      <c r="AP209" s="348"/>
    </row>
    <row r="210" spans="1:42">
      <c r="A210" s="370" t="s">
        <v>1490</v>
      </c>
      <c r="B210" s="213"/>
      <c r="C210" s="213"/>
      <c r="D210" s="213"/>
      <c r="E210" s="213"/>
      <c r="F210" s="213"/>
      <c r="G210" s="213"/>
      <c r="H210" s="213"/>
      <c r="I210" s="213"/>
      <c r="J210" s="208"/>
      <c r="K210" s="211"/>
      <c r="L210" s="211"/>
      <c r="M210" s="211"/>
      <c r="N210" s="211"/>
      <c r="O210" s="211"/>
      <c r="P210" s="211"/>
      <c r="Q210" s="211"/>
      <c r="R210" s="210"/>
      <c r="S210" s="1397"/>
      <c r="T210" s="222">
        <f t="shared" ref="T210:W211" si="130">S210</f>
        <v>0</v>
      </c>
      <c r="U210" s="222">
        <v>0</v>
      </c>
      <c r="V210" s="222">
        <f t="shared" si="130"/>
        <v>0</v>
      </c>
      <c r="W210" s="220">
        <f t="shared" si="130"/>
        <v>0</v>
      </c>
      <c r="X210" s="210">
        <v>5.0000000000000001E-3</v>
      </c>
      <c r="Y210" s="210">
        <f t="shared" ref="Y210:AF210" si="131">X210+0.025</f>
        <v>3.0000000000000002E-2</v>
      </c>
      <c r="Z210" s="210">
        <f t="shared" si="131"/>
        <v>5.5000000000000007E-2</v>
      </c>
      <c r="AA210" s="1299">
        <f>Z210+0.028</f>
        <v>8.3000000000000004E-2</v>
      </c>
      <c r="AB210" s="1299">
        <f t="shared" si="131"/>
        <v>0.10800000000000001</v>
      </c>
      <c r="AC210" s="1299">
        <f t="shared" si="131"/>
        <v>0.13300000000000001</v>
      </c>
      <c r="AD210" s="1299">
        <f t="shared" si="131"/>
        <v>0.158</v>
      </c>
      <c r="AE210" s="1299">
        <f t="shared" si="131"/>
        <v>0.183</v>
      </c>
      <c r="AF210" s="1299">
        <f t="shared" si="131"/>
        <v>0.20799999999999999</v>
      </c>
      <c r="AG210" s="1624"/>
      <c r="AH210" s="1624"/>
      <c r="AI210" s="1624"/>
      <c r="AJ210" s="1624"/>
      <c r="AK210" s="1624"/>
      <c r="AL210" s="1624"/>
      <c r="AM210" s="1624"/>
      <c r="AN210" s="1624"/>
      <c r="AO210" s="1630"/>
      <c r="AP210" s="348"/>
    </row>
    <row r="211" spans="1:42">
      <c r="A211" s="370" t="s">
        <v>1491</v>
      </c>
      <c r="B211" s="213"/>
      <c r="C211" s="213"/>
      <c r="D211" s="213"/>
      <c r="E211" s="213"/>
      <c r="F211" s="213"/>
      <c r="G211" s="213"/>
      <c r="H211" s="213"/>
      <c r="I211" s="213"/>
      <c r="J211" s="208"/>
      <c r="K211" s="211"/>
      <c r="L211" s="211"/>
      <c r="M211" s="211"/>
      <c r="N211" s="211"/>
      <c r="O211" s="211"/>
      <c r="P211" s="211"/>
      <c r="Q211" s="211"/>
      <c r="R211" s="210"/>
      <c r="S211" s="1397"/>
      <c r="T211" s="222">
        <f t="shared" si="130"/>
        <v>0</v>
      </c>
      <c r="U211" s="222">
        <v>0</v>
      </c>
      <c r="V211" s="222">
        <f t="shared" si="130"/>
        <v>0</v>
      </c>
      <c r="W211" s="220">
        <f t="shared" si="130"/>
        <v>0</v>
      </c>
      <c r="X211" s="220">
        <f t="shared" ref="X211:AF211" si="132">W211</f>
        <v>0</v>
      </c>
      <c r="Y211" s="220">
        <f t="shared" si="132"/>
        <v>0</v>
      </c>
      <c r="Z211" s="220">
        <f t="shared" si="132"/>
        <v>0</v>
      </c>
      <c r="AA211" s="220">
        <f t="shared" si="132"/>
        <v>0</v>
      </c>
      <c r="AB211" s="220">
        <f t="shared" si="132"/>
        <v>0</v>
      </c>
      <c r="AC211" s="220">
        <f t="shared" si="132"/>
        <v>0</v>
      </c>
      <c r="AD211" s="220">
        <f t="shared" si="132"/>
        <v>0</v>
      </c>
      <c r="AE211" s="220">
        <f t="shared" si="132"/>
        <v>0</v>
      </c>
      <c r="AF211" s="220">
        <f t="shared" si="132"/>
        <v>0</v>
      </c>
      <c r="AG211" s="1624"/>
      <c r="AH211" s="1624"/>
      <c r="AI211" s="1624"/>
      <c r="AJ211" s="1632"/>
      <c r="AK211" s="1624"/>
      <c r="AL211" s="1624"/>
      <c r="AM211" s="1624"/>
      <c r="AN211" s="1624"/>
      <c r="AO211" s="1630"/>
      <c r="AP211" s="348"/>
    </row>
    <row r="212" spans="1:42">
      <c r="A212" s="741" t="s">
        <v>1140</v>
      </c>
      <c r="B212" s="213"/>
      <c r="C212" s="213"/>
      <c r="D212" s="213"/>
      <c r="E212" s="213"/>
      <c r="F212" s="213"/>
      <c r="G212" s="213"/>
      <c r="H212" s="213"/>
      <c r="I212" s="213"/>
      <c r="J212" s="208"/>
      <c r="K212" s="211"/>
      <c r="L212" s="211"/>
      <c r="M212" s="211"/>
      <c r="N212" s="211"/>
      <c r="O212" s="211"/>
      <c r="P212" s="211"/>
      <c r="Q212" s="211"/>
      <c r="R212" s="528"/>
      <c r="S212" s="1424"/>
      <c r="T212" s="528" t="b">
        <f t="shared" ref="T212:AF212" si="133">SUM(T208:T211)=1</f>
        <v>1</v>
      </c>
      <c r="U212" s="528" t="b">
        <v>1</v>
      </c>
      <c r="V212" s="528" t="b">
        <f t="shared" si="133"/>
        <v>1</v>
      </c>
      <c r="W212" s="528" t="b">
        <f t="shared" si="133"/>
        <v>1</v>
      </c>
      <c r="X212" s="528" t="b">
        <f t="shared" si="133"/>
        <v>1</v>
      </c>
      <c r="Y212" s="528" t="b">
        <f t="shared" si="133"/>
        <v>1</v>
      </c>
      <c r="Z212" s="528" t="b">
        <f t="shared" si="133"/>
        <v>1</v>
      </c>
      <c r="AA212" s="528" t="b">
        <f t="shared" si="133"/>
        <v>1</v>
      </c>
      <c r="AB212" s="528" t="b">
        <f t="shared" si="133"/>
        <v>1</v>
      </c>
      <c r="AC212" s="528" t="b">
        <f t="shared" si="133"/>
        <v>1</v>
      </c>
      <c r="AD212" s="528" t="b">
        <f t="shared" si="133"/>
        <v>1</v>
      </c>
      <c r="AE212" s="528" t="b">
        <f t="shared" si="133"/>
        <v>1</v>
      </c>
      <c r="AF212" s="528" t="b">
        <f t="shared" si="133"/>
        <v>1</v>
      </c>
      <c r="AG212" s="1624"/>
      <c r="AH212" s="1624"/>
      <c r="AI212" s="1624"/>
      <c r="AJ212" s="1624"/>
      <c r="AK212" s="1624"/>
      <c r="AL212" s="1624"/>
      <c r="AM212" s="1624"/>
      <c r="AN212" s="1624"/>
      <c r="AO212" s="1630"/>
      <c r="AP212" s="348"/>
    </row>
    <row r="213" spans="1:42">
      <c r="A213" s="349"/>
      <c r="B213" s="213"/>
      <c r="C213" s="213"/>
      <c r="D213" s="213"/>
      <c r="E213" s="213"/>
      <c r="F213" s="213"/>
      <c r="G213" s="213"/>
      <c r="H213" s="213"/>
      <c r="I213" s="213"/>
      <c r="J213" s="208"/>
      <c r="K213" s="211"/>
      <c r="L213" s="211"/>
      <c r="M213" s="211"/>
      <c r="N213" s="528"/>
      <c r="O213" s="528"/>
      <c r="P213" s="528"/>
      <c r="Q213" s="528"/>
      <c r="R213" s="528"/>
      <c r="S213" s="1424"/>
      <c r="T213" s="528"/>
      <c r="U213" s="528"/>
      <c r="V213" s="528"/>
      <c r="W213" s="528"/>
      <c r="X213" s="528"/>
      <c r="Y213" s="528"/>
      <c r="Z213" s="528"/>
      <c r="AA213" s="528"/>
      <c r="AB213" s="528"/>
      <c r="AC213" s="528"/>
      <c r="AD213" s="528"/>
      <c r="AE213" s="528"/>
      <c r="AF213" s="528"/>
      <c r="AG213" s="1624"/>
      <c r="AH213" s="1624" t="s">
        <v>1423</v>
      </c>
      <c r="AI213" s="1624"/>
      <c r="AJ213" s="1624"/>
      <c r="AK213" s="1624"/>
      <c r="AL213" s="1624"/>
      <c r="AM213" s="1624"/>
      <c r="AN213" s="1624"/>
      <c r="AO213" s="1630"/>
      <c r="AP213" s="348"/>
    </row>
    <row r="214" spans="1:42">
      <c r="A214" s="19" t="s">
        <v>1803</v>
      </c>
      <c r="B214" s="213"/>
      <c r="C214" s="213"/>
      <c r="D214" s="213"/>
      <c r="E214" s="213"/>
      <c r="F214" s="213"/>
      <c r="G214" s="213"/>
      <c r="H214" s="213"/>
      <c r="I214" s="213"/>
      <c r="J214" s="208"/>
      <c r="K214" s="211"/>
      <c r="L214" s="211"/>
      <c r="M214" s="211"/>
      <c r="N214" s="208"/>
      <c r="O214" s="208"/>
      <c r="P214" s="208"/>
      <c r="Q214" s="208"/>
      <c r="R214" s="208"/>
      <c r="S214" s="1419"/>
      <c r="T214" s="208"/>
      <c r="U214" s="208"/>
      <c r="V214" s="208"/>
      <c r="W214" s="208"/>
      <c r="X214" s="208"/>
      <c r="Y214" s="208"/>
      <c r="Z214" s="208"/>
      <c r="AA214" s="208"/>
      <c r="AB214" s="208"/>
      <c r="AC214" s="208"/>
      <c r="AD214" s="208"/>
      <c r="AE214" s="208"/>
      <c r="AF214" s="208"/>
      <c r="AG214" s="1624"/>
      <c r="AH214" s="1624" t="s">
        <v>1423</v>
      </c>
      <c r="AI214" s="1624"/>
      <c r="AJ214" s="1633"/>
      <c r="AK214" s="1624"/>
      <c r="AL214" s="1624"/>
      <c r="AM214" s="1624"/>
      <c r="AN214" s="1624"/>
      <c r="AO214" s="1630"/>
      <c r="AP214" s="348"/>
    </row>
    <row r="215" spans="1:42">
      <c r="A215" s="291" t="s">
        <v>1802</v>
      </c>
      <c r="B215" s="213"/>
      <c r="C215" s="213"/>
      <c r="D215" s="213"/>
      <c r="E215" s="213"/>
      <c r="F215" s="213"/>
      <c r="G215" s="213"/>
      <c r="H215" s="213"/>
      <c r="I215" s="213"/>
      <c r="J215" s="208"/>
      <c r="K215" s="211"/>
      <c r="L215" s="211"/>
      <c r="M215" s="211"/>
      <c r="N215" s="211"/>
      <c r="O215" s="211"/>
      <c r="P215" s="211"/>
      <c r="Q215" s="211"/>
      <c r="R215" s="210"/>
      <c r="S215" s="1397"/>
      <c r="T215" s="222">
        <f t="shared" ref="T215:AF215" si="134">S215</f>
        <v>0</v>
      </c>
      <c r="U215" s="222">
        <v>0.5</v>
      </c>
      <c r="V215" s="222">
        <f t="shared" si="134"/>
        <v>0.5</v>
      </c>
      <c r="W215" s="220">
        <f t="shared" si="134"/>
        <v>0.5</v>
      </c>
      <c r="X215" s="220">
        <f t="shared" si="134"/>
        <v>0.5</v>
      </c>
      <c r="Y215" s="220">
        <f t="shared" si="134"/>
        <v>0.5</v>
      </c>
      <c r="Z215" s="220">
        <f t="shared" si="134"/>
        <v>0.5</v>
      </c>
      <c r="AA215" s="220">
        <f t="shared" si="134"/>
        <v>0.5</v>
      </c>
      <c r="AB215" s="220">
        <f t="shared" si="134"/>
        <v>0.5</v>
      </c>
      <c r="AC215" s="220">
        <f t="shared" si="134"/>
        <v>0.5</v>
      </c>
      <c r="AD215" s="220">
        <f t="shared" si="134"/>
        <v>0.5</v>
      </c>
      <c r="AE215" s="220">
        <f t="shared" si="134"/>
        <v>0.5</v>
      </c>
      <c r="AF215" s="220">
        <f t="shared" si="134"/>
        <v>0.5</v>
      </c>
      <c r="AG215" s="1624"/>
      <c r="AH215" s="1624"/>
      <c r="AI215" s="1624"/>
      <c r="AJ215" s="1624"/>
      <c r="AK215" s="1624"/>
      <c r="AL215" s="1624"/>
      <c r="AM215" s="1624"/>
      <c r="AN215" s="1624"/>
      <c r="AO215" s="1630"/>
      <c r="AP215" s="348"/>
    </row>
    <row r="216" spans="1:42">
      <c r="A216" s="291" t="s">
        <v>1801</v>
      </c>
      <c r="B216" s="213"/>
      <c r="C216" s="213"/>
      <c r="D216" s="213"/>
      <c r="E216" s="213"/>
      <c r="F216" s="213"/>
      <c r="G216" s="213"/>
      <c r="H216" s="213"/>
      <c r="I216" s="213"/>
      <c r="J216" s="208"/>
      <c r="K216" s="211"/>
      <c r="L216" s="211"/>
      <c r="M216" s="211"/>
      <c r="N216" s="211"/>
      <c r="O216" s="211"/>
      <c r="P216" s="211"/>
      <c r="Q216" s="211"/>
      <c r="R216" s="210"/>
      <c r="S216" s="1397"/>
      <c r="T216" s="222">
        <f t="shared" ref="T216:AF216" si="135">S216</f>
        <v>0</v>
      </c>
      <c r="U216" s="222">
        <v>0.5</v>
      </c>
      <c r="V216" s="222">
        <f t="shared" si="135"/>
        <v>0.5</v>
      </c>
      <c r="W216" s="220">
        <f t="shared" si="135"/>
        <v>0.5</v>
      </c>
      <c r="X216" s="220">
        <f t="shared" si="135"/>
        <v>0.5</v>
      </c>
      <c r="Y216" s="220">
        <f t="shared" si="135"/>
        <v>0.5</v>
      </c>
      <c r="Z216" s="220">
        <f t="shared" si="135"/>
        <v>0.5</v>
      </c>
      <c r="AA216" s="220">
        <f t="shared" si="135"/>
        <v>0.5</v>
      </c>
      <c r="AB216" s="220">
        <f t="shared" si="135"/>
        <v>0.5</v>
      </c>
      <c r="AC216" s="220">
        <f t="shared" si="135"/>
        <v>0.5</v>
      </c>
      <c r="AD216" s="220">
        <f t="shared" si="135"/>
        <v>0.5</v>
      </c>
      <c r="AE216" s="220">
        <f t="shared" si="135"/>
        <v>0.5</v>
      </c>
      <c r="AF216" s="220">
        <f t="shared" si="135"/>
        <v>0.5</v>
      </c>
      <c r="AG216" s="1624"/>
      <c r="AH216" s="1624"/>
      <c r="AI216" s="1624"/>
      <c r="AJ216" s="1624"/>
      <c r="AK216" s="1624"/>
      <c r="AL216" s="1624"/>
      <c r="AM216" s="1624"/>
      <c r="AN216" s="1624"/>
      <c r="AO216" s="1630"/>
      <c r="AP216" s="348"/>
    </row>
    <row r="217" spans="1:42">
      <c r="A217" s="291" t="s">
        <v>1490</v>
      </c>
      <c r="B217" s="213"/>
      <c r="C217" s="213"/>
      <c r="D217" s="213"/>
      <c r="E217" s="213"/>
      <c r="F217" s="213"/>
      <c r="G217" s="213"/>
      <c r="H217" s="213"/>
      <c r="I217" s="213"/>
      <c r="J217" s="208"/>
      <c r="K217" s="211"/>
      <c r="L217" s="211"/>
      <c r="M217" s="211"/>
      <c r="N217" s="211"/>
      <c r="O217" s="211"/>
      <c r="P217" s="211"/>
      <c r="Q217" s="211"/>
      <c r="R217" s="210"/>
      <c r="S217" s="1397"/>
      <c r="T217" s="222">
        <f t="shared" ref="T217:AF217" si="136">S217</f>
        <v>0</v>
      </c>
      <c r="U217" s="222">
        <v>0.47499999999999998</v>
      </c>
      <c r="V217" s="222">
        <f t="shared" si="136"/>
        <v>0.47499999999999998</v>
      </c>
      <c r="W217" s="220">
        <f t="shared" si="136"/>
        <v>0.47499999999999998</v>
      </c>
      <c r="X217" s="220">
        <f t="shared" si="136"/>
        <v>0.47499999999999998</v>
      </c>
      <c r="Y217" s="220">
        <f t="shared" si="136"/>
        <v>0.47499999999999998</v>
      </c>
      <c r="Z217" s="220">
        <f t="shared" si="136"/>
        <v>0.47499999999999998</v>
      </c>
      <c r="AA217" s="220">
        <f t="shared" si="136"/>
        <v>0.47499999999999998</v>
      </c>
      <c r="AB217" s="220">
        <f t="shared" si="136"/>
        <v>0.47499999999999998</v>
      </c>
      <c r="AC217" s="220">
        <f t="shared" si="136"/>
        <v>0.47499999999999998</v>
      </c>
      <c r="AD217" s="220">
        <f t="shared" si="136"/>
        <v>0.47499999999999998</v>
      </c>
      <c r="AE217" s="220">
        <f t="shared" si="136"/>
        <v>0.47499999999999998</v>
      </c>
      <c r="AF217" s="220">
        <f t="shared" si="136"/>
        <v>0.47499999999999998</v>
      </c>
      <c r="AG217" s="1624"/>
      <c r="AH217" s="1624"/>
      <c r="AI217" s="1624"/>
      <c r="AJ217" s="1634"/>
      <c r="AK217" s="1624"/>
      <c r="AL217" s="1624"/>
      <c r="AM217" s="1624"/>
      <c r="AN217" s="1624"/>
      <c r="AO217" s="1630"/>
      <c r="AP217" s="348"/>
    </row>
    <row r="218" spans="1:42">
      <c r="A218" s="291" t="s">
        <v>1491</v>
      </c>
      <c r="B218" s="213"/>
      <c r="C218" s="213"/>
      <c r="D218" s="213"/>
      <c r="E218" s="213"/>
      <c r="F218" s="213"/>
      <c r="G218" s="213"/>
      <c r="H218" s="213"/>
      <c r="I218" s="213"/>
      <c r="J218" s="208"/>
      <c r="K218" s="211"/>
      <c r="L218" s="211"/>
      <c r="M218" s="211"/>
      <c r="N218" s="211"/>
      <c r="O218" s="211"/>
      <c r="P218" s="211"/>
      <c r="Q218" s="211"/>
      <c r="R218" s="210"/>
      <c r="S218" s="1397"/>
      <c r="T218" s="222">
        <f t="shared" ref="T218:AF218" si="137">S218</f>
        <v>0</v>
      </c>
      <c r="U218" s="222">
        <v>0.5</v>
      </c>
      <c r="V218" s="222">
        <f t="shared" si="137"/>
        <v>0.5</v>
      </c>
      <c r="W218" s="220">
        <f t="shared" si="137"/>
        <v>0.5</v>
      </c>
      <c r="X218" s="220">
        <f t="shared" si="137"/>
        <v>0.5</v>
      </c>
      <c r="Y218" s="220">
        <f t="shared" si="137"/>
        <v>0.5</v>
      </c>
      <c r="Z218" s="220">
        <f t="shared" si="137"/>
        <v>0.5</v>
      </c>
      <c r="AA218" s="220">
        <f t="shared" si="137"/>
        <v>0.5</v>
      </c>
      <c r="AB218" s="220">
        <f t="shared" si="137"/>
        <v>0.5</v>
      </c>
      <c r="AC218" s="220">
        <f t="shared" si="137"/>
        <v>0.5</v>
      </c>
      <c r="AD218" s="220">
        <f t="shared" si="137"/>
        <v>0.5</v>
      </c>
      <c r="AE218" s="220">
        <f t="shared" si="137"/>
        <v>0.5</v>
      </c>
      <c r="AF218" s="220">
        <f t="shared" si="137"/>
        <v>0.5</v>
      </c>
      <c r="AG218" s="1624"/>
      <c r="AH218" s="1624"/>
      <c r="AI218" s="1624"/>
      <c r="AJ218" s="1633"/>
      <c r="AK218" s="1624"/>
      <c r="AL218" s="1624"/>
      <c r="AM218" s="1624"/>
      <c r="AN218" s="1624"/>
      <c r="AO218" s="1630"/>
      <c r="AP218" s="348"/>
    </row>
    <row r="219" spans="1:42">
      <c r="A219" s="19"/>
      <c r="B219" s="213"/>
      <c r="C219" s="213"/>
      <c r="D219" s="213"/>
      <c r="E219" s="213"/>
      <c r="F219" s="213"/>
      <c r="G219" s="213"/>
      <c r="H219" s="213"/>
      <c r="I219" s="213"/>
      <c r="J219" s="208"/>
      <c r="K219" s="211"/>
      <c r="L219" s="211"/>
      <c r="M219" s="211"/>
      <c r="N219" s="208"/>
      <c r="O219" s="208"/>
      <c r="P219" s="208"/>
      <c r="Q219" s="208"/>
      <c r="R219" s="208"/>
      <c r="S219" s="1419"/>
      <c r="T219" s="208"/>
      <c r="U219" s="208"/>
      <c r="V219" s="208"/>
      <c r="W219" s="208"/>
      <c r="X219" s="208"/>
      <c r="Y219" s="208"/>
      <c r="Z219" s="208"/>
      <c r="AA219" s="208"/>
      <c r="AB219" s="208"/>
      <c r="AC219" s="208"/>
      <c r="AD219" s="208"/>
      <c r="AE219" s="208"/>
      <c r="AF219" s="208"/>
      <c r="AG219" s="1624"/>
      <c r="AH219" s="1624"/>
      <c r="AI219" s="1624"/>
      <c r="AJ219" s="1630"/>
      <c r="AK219" s="1624"/>
      <c r="AL219" s="1624"/>
      <c r="AM219" s="1624"/>
      <c r="AN219" s="1624"/>
      <c r="AO219" s="1630"/>
      <c r="AP219" s="348"/>
    </row>
    <row r="220" spans="1:42">
      <c r="A220" s="19" t="s">
        <v>1804</v>
      </c>
      <c r="B220" s="213"/>
      <c r="C220" s="213"/>
      <c r="D220" s="213"/>
      <c r="E220" s="213"/>
      <c r="F220" s="213"/>
      <c r="G220" s="213"/>
      <c r="H220" s="213"/>
      <c r="I220" s="213"/>
      <c r="J220" s="208"/>
      <c r="K220" s="211"/>
      <c r="L220" s="211"/>
      <c r="M220" s="211"/>
      <c r="N220" s="208"/>
      <c r="O220" s="208"/>
      <c r="P220" s="208"/>
      <c r="Q220" s="208"/>
      <c r="R220" s="208"/>
      <c r="S220" s="1419"/>
      <c r="T220" s="208"/>
      <c r="U220" s="208"/>
      <c r="V220" s="208"/>
      <c r="W220" s="208"/>
      <c r="X220" s="208"/>
      <c r="Y220" s="208"/>
      <c r="Z220" s="208"/>
      <c r="AA220" s="208"/>
      <c r="AB220" s="208"/>
      <c r="AC220" s="208"/>
      <c r="AD220" s="208"/>
      <c r="AE220" s="208"/>
      <c r="AF220" s="208"/>
      <c r="AG220" s="1624"/>
      <c r="AH220" s="1628"/>
      <c r="AI220" s="1624"/>
      <c r="AJ220" s="1624"/>
      <c r="AK220" s="1624"/>
      <c r="AL220" s="1624"/>
      <c r="AM220" s="1624"/>
      <c r="AN220" s="1624"/>
      <c r="AO220" s="1630"/>
      <c r="AP220" s="348"/>
    </row>
    <row r="221" spans="1:42">
      <c r="A221" s="291" t="s">
        <v>1802</v>
      </c>
      <c r="B221" s="213"/>
      <c r="C221" s="213"/>
      <c r="D221" s="213"/>
      <c r="E221" s="213"/>
      <c r="F221" s="213"/>
      <c r="G221" s="213"/>
      <c r="H221" s="213"/>
      <c r="I221" s="213"/>
      <c r="J221" s="208"/>
      <c r="K221" s="211"/>
      <c r="L221" s="211"/>
      <c r="M221" s="211"/>
      <c r="N221" s="211"/>
      <c r="O221" s="211"/>
      <c r="P221" s="211"/>
      <c r="Q221" s="211"/>
      <c r="R221" s="210"/>
      <c r="S221" s="1397"/>
      <c r="T221" s="222">
        <f t="shared" ref="T221:AF221" si="138">S221</f>
        <v>0</v>
      </c>
      <c r="U221" s="222">
        <v>0.1</v>
      </c>
      <c r="V221" s="222">
        <f t="shared" si="138"/>
        <v>0.1</v>
      </c>
      <c r="W221" s="220">
        <f t="shared" si="138"/>
        <v>0.1</v>
      </c>
      <c r="X221" s="220">
        <f t="shared" si="138"/>
        <v>0.1</v>
      </c>
      <c r="Y221" s="220">
        <f t="shared" si="138"/>
        <v>0.1</v>
      </c>
      <c r="Z221" s="220">
        <f t="shared" si="138"/>
        <v>0.1</v>
      </c>
      <c r="AA221" s="220">
        <f t="shared" si="138"/>
        <v>0.1</v>
      </c>
      <c r="AB221" s="220">
        <f t="shared" si="138"/>
        <v>0.1</v>
      </c>
      <c r="AC221" s="220">
        <f t="shared" si="138"/>
        <v>0.1</v>
      </c>
      <c r="AD221" s="220">
        <f t="shared" si="138"/>
        <v>0.1</v>
      </c>
      <c r="AE221" s="220">
        <f t="shared" si="138"/>
        <v>0.1</v>
      </c>
      <c r="AF221" s="220">
        <f t="shared" si="138"/>
        <v>0.1</v>
      </c>
      <c r="AG221" s="1624"/>
      <c r="AH221" s="1624"/>
      <c r="AI221" s="1624"/>
      <c r="AJ221" s="1624"/>
      <c r="AK221" s="1624"/>
      <c r="AL221" s="1624"/>
      <c r="AM221" s="1624"/>
      <c r="AN221" s="1624"/>
      <c r="AO221" s="1630"/>
      <c r="AP221" s="348"/>
    </row>
    <row r="222" spans="1:42">
      <c r="A222" s="291" t="s">
        <v>1801</v>
      </c>
      <c r="B222" s="213"/>
      <c r="C222" s="213"/>
      <c r="D222" s="213"/>
      <c r="E222" s="213"/>
      <c r="F222" s="213"/>
      <c r="G222" s="213"/>
      <c r="H222" s="213"/>
      <c r="I222" s="213"/>
      <c r="J222" s="208"/>
      <c r="K222" s="211"/>
      <c r="L222" s="211"/>
      <c r="M222" s="211"/>
      <c r="N222" s="211"/>
      <c r="O222" s="211"/>
      <c r="P222" s="211"/>
      <c r="Q222" s="211"/>
      <c r="R222" s="210"/>
      <c r="S222" s="1397"/>
      <c r="T222" s="222">
        <f t="shared" ref="T222:AF222" si="139">S222</f>
        <v>0</v>
      </c>
      <c r="U222" s="222">
        <v>0</v>
      </c>
      <c r="V222" s="222">
        <f t="shared" si="139"/>
        <v>0</v>
      </c>
      <c r="W222" s="220">
        <f t="shared" si="139"/>
        <v>0</v>
      </c>
      <c r="X222" s="220">
        <f t="shared" si="139"/>
        <v>0</v>
      </c>
      <c r="Y222" s="220">
        <f t="shared" si="139"/>
        <v>0</v>
      </c>
      <c r="Z222" s="220">
        <f t="shared" si="139"/>
        <v>0</v>
      </c>
      <c r="AA222" s="220">
        <f t="shared" si="139"/>
        <v>0</v>
      </c>
      <c r="AB222" s="220">
        <f t="shared" si="139"/>
        <v>0</v>
      </c>
      <c r="AC222" s="220">
        <f t="shared" si="139"/>
        <v>0</v>
      </c>
      <c r="AD222" s="220">
        <f t="shared" si="139"/>
        <v>0</v>
      </c>
      <c r="AE222" s="220">
        <f t="shared" si="139"/>
        <v>0</v>
      </c>
      <c r="AF222" s="220">
        <f t="shared" si="139"/>
        <v>0</v>
      </c>
      <c r="AG222" s="1624"/>
      <c r="AH222" s="1624"/>
      <c r="AI222" s="1624"/>
      <c r="AJ222" s="1624"/>
      <c r="AK222" s="1624"/>
      <c r="AL222" s="1624"/>
      <c r="AM222" s="1624"/>
      <c r="AN222" s="1624"/>
      <c r="AO222" s="1630"/>
      <c r="AP222" s="348"/>
    </row>
    <row r="223" spans="1:42">
      <c r="A223" s="291" t="s">
        <v>1490</v>
      </c>
      <c r="B223" s="213"/>
      <c r="C223" s="213"/>
      <c r="D223" s="213"/>
      <c r="E223" s="213"/>
      <c r="F223" s="213"/>
      <c r="G223" s="213"/>
      <c r="H223" s="213"/>
      <c r="I223" s="213"/>
      <c r="J223" s="208"/>
      <c r="K223" s="211"/>
      <c r="L223" s="211"/>
      <c r="M223" s="211"/>
      <c r="N223" s="211"/>
      <c r="O223" s="211"/>
      <c r="P223" s="211"/>
      <c r="Q223" s="211"/>
      <c r="R223" s="210"/>
      <c r="S223" s="1397"/>
      <c r="T223" s="222">
        <f t="shared" ref="T223:AF223" si="140">S223</f>
        <v>0</v>
      </c>
      <c r="U223" s="222">
        <v>0</v>
      </c>
      <c r="V223" s="222">
        <f t="shared" si="140"/>
        <v>0</v>
      </c>
      <c r="W223" s="220">
        <f t="shared" si="140"/>
        <v>0</v>
      </c>
      <c r="X223" s="220">
        <f t="shared" si="140"/>
        <v>0</v>
      </c>
      <c r="Y223" s="220">
        <f t="shared" si="140"/>
        <v>0</v>
      </c>
      <c r="Z223" s="220">
        <f t="shared" si="140"/>
        <v>0</v>
      </c>
      <c r="AA223" s="220">
        <f t="shared" si="140"/>
        <v>0</v>
      </c>
      <c r="AB223" s="220">
        <f t="shared" si="140"/>
        <v>0</v>
      </c>
      <c r="AC223" s="220">
        <f t="shared" si="140"/>
        <v>0</v>
      </c>
      <c r="AD223" s="220">
        <f t="shared" si="140"/>
        <v>0</v>
      </c>
      <c r="AE223" s="220">
        <f t="shared" si="140"/>
        <v>0</v>
      </c>
      <c r="AF223" s="220">
        <f t="shared" si="140"/>
        <v>0</v>
      </c>
      <c r="AG223" s="1624"/>
      <c r="AH223" s="1624"/>
      <c r="AI223" s="1624"/>
      <c r="AJ223" s="1624"/>
      <c r="AK223" s="1624"/>
      <c r="AL223" s="1624"/>
      <c r="AM223" s="1624"/>
      <c r="AN223" s="1624"/>
      <c r="AO223" s="1624"/>
      <c r="AP223" s="213"/>
    </row>
    <row r="224" spans="1:42">
      <c r="A224" s="291" t="s">
        <v>1491</v>
      </c>
      <c r="B224" s="213"/>
      <c r="C224" s="213"/>
      <c r="D224" s="213"/>
      <c r="E224" s="213"/>
      <c r="F224" s="213"/>
      <c r="G224" s="213"/>
      <c r="H224" s="213"/>
      <c r="I224" s="213"/>
      <c r="J224" s="208"/>
      <c r="K224" s="211"/>
      <c r="L224" s="211"/>
      <c r="M224" s="211"/>
      <c r="N224" s="211"/>
      <c r="O224" s="211"/>
      <c r="P224" s="211"/>
      <c r="Q224" s="211"/>
      <c r="R224" s="210"/>
      <c r="S224" s="1397"/>
      <c r="T224" s="222">
        <f t="shared" ref="T224:AF224" si="141">S224</f>
        <v>0</v>
      </c>
      <c r="U224" s="222">
        <v>0</v>
      </c>
      <c r="V224" s="222">
        <f t="shared" si="141"/>
        <v>0</v>
      </c>
      <c r="W224" s="220">
        <f t="shared" si="141"/>
        <v>0</v>
      </c>
      <c r="X224" s="220">
        <f t="shared" si="141"/>
        <v>0</v>
      </c>
      <c r="Y224" s="220">
        <f t="shared" si="141"/>
        <v>0</v>
      </c>
      <c r="Z224" s="220">
        <f t="shared" si="141"/>
        <v>0</v>
      </c>
      <c r="AA224" s="220">
        <f t="shared" si="141"/>
        <v>0</v>
      </c>
      <c r="AB224" s="220">
        <f t="shared" si="141"/>
        <v>0</v>
      </c>
      <c r="AC224" s="220">
        <f t="shared" si="141"/>
        <v>0</v>
      </c>
      <c r="AD224" s="220">
        <f t="shared" si="141"/>
        <v>0</v>
      </c>
      <c r="AE224" s="220">
        <f t="shared" si="141"/>
        <v>0</v>
      </c>
      <c r="AF224" s="220">
        <f t="shared" si="141"/>
        <v>0</v>
      </c>
      <c r="AG224" s="1624"/>
      <c r="AH224" s="1624"/>
      <c r="AI224" s="1624"/>
      <c r="AJ224" s="1624"/>
      <c r="AK224" s="1624"/>
      <c r="AL224" s="1624"/>
      <c r="AM224" s="1624"/>
      <c r="AN224" s="1624"/>
      <c r="AO224" s="1624"/>
      <c r="AP224" s="213"/>
    </row>
    <row r="225" spans="1:42">
      <c r="A225" s="19"/>
      <c r="B225" s="213"/>
      <c r="C225" s="213"/>
      <c r="D225" s="213"/>
      <c r="E225" s="213"/>
      <c r="F225" s="213"/>
      <c r="G225" s="213"/>
      <c r="H225" s="213"/>
      <c r="I225" s="213"/>
      <c r="J225" s="208"/>
      <c r="K225" s="211"/>
      <c r="L225" s="211"/>
      <c r="M225" s="211"/>
      <c r="N225" s="208"/>
      <c r="O225" s="208"/>
      <c r="P225" s="208"/>
      <c r="Q225" s="208"/>
      <c r="R225" s="208"/>
      <c r="S225" s="1419"/>
      <c r="T225" s="208"/>
      <c r="U225" s="208"/>
      <c r="V225" s="208"/>
      <c r="W225" s="208"/>
      <c r="X225" s="208"/>
      <c r="Y225" s="208"/>
      <c r="Z225" s="208"/>
      <c r="AA225" s="208"/>
      <c r="AB225" s="208"/>
      <c r="AC225" s="208"/>
      <c r="AD225" s="208"/>
      <c r="AE225" s="208"/>
      <c r="AF225" s="208"/>
      <c r="AG225" s="1624"/>
      <c r="AH225" s="1624"/>
      <c r="AI225" s="1624"/>
      <c r="AJ225" s="1624"/>
      <c r="AK225" s="1624"/>
      <c r="AL225" s="1624"/>
      <c r="AM225" s="1624"/>
      <c r="AN225" s="1624"/>
      <c r="AO225" s="1624"/>
      <c r="AP225" s="213"/>
    </row>
    <row r="226" spans="1:42">
      <c r="A226" s="1191" t="s">
        <v>1810</v>
      </c>
      <c r="B226" s="1192"/>
      <c r="C226" s="1192"/>
      <c r="D226" s="1192"/>
      <c r="E226" s="1192"/>
      <c r="F226" s="1192"/>
      <c r="G226" s="1192"/>
      <c r="H226" s="1192"/>
      <c r="I226" s="1192"/>
      <c r="J226" s="1193"/>
      <c r="K226" s="1194"/>
      <c r="L226" s="1194"/>
      <c r="M226" s="1194"/>
      <c r="N226" s="1193"/>
      <c r="O226" s="1193"/>
      <c r="P226" s="1193"/>
      <c r="Q226" s="1193"/>
      <c r="R226" s="1193"/>
      <c r="S226" s="1425"/>
      <c r="T226" s="1196"/>
      <c r="U226" s="1196"/>
      <c r="V226" s="1196"/>
      <c r="W226" s="1196"/>
      <c r="X226" s="1196"/>
      <c r="Y226" s="1196"/>
      <c r="Z226" s="1196"/>
      <c r="AA226" s="1196"/>
      <c r="AB226" s="1196"/>
      <c r="AC226" s="1196"/>
      <c r="AD226" s="1196"/>
      <c r="AE226" s="1196"/>
      <c r="AF226" s="1196"/>
      <c r="AG226" s="1624"/>
      <c r="AH226" s="1624"/>
      <c r="AI226" s="1624"/>
      <c r="AJ226" s="1624"/>
      <c r="AK226" s="1624"/>
      <c r="AL226" s="1624"/>
      <c r="AM226" s="1624"/>
      <c r="AN226" s="1624"/>
      <c r="AO226" s="1624"/>
      <c r="AP226" s="213"/>
    </row>
    <row r="227" spans="1:42">
      <c r="A227" s="291" t="s">
        <v>1687</v>
      </c>
      <c r="B227" s="213"/>
      <c r="C227" s="213"/>
      <c r="D227" s="213"/>
      <c r="E227" s="213"/>
      <c r="F227" s="213"/>
      <c r="G227" s="213"/>
      <c r="H227" s="213"/>
      <c r="I227" s="213"/>
      <c r="J227" s="208"/>
      <c r="K227" s="211"/>
      <c r="L227" s="211"/>
      <c r="M227" s="211"/>
      <c r="N227" s="208"/>
      <c r="O227" s="208"/>
      <c r="P227" s="208"/>
      <c r="Q227" s="208"/>
      <c r="R227" s="208"/>
      <c r="S227" s="1426"/>
      <c r="T227" s="221">
        <f>S227*(1+(T204*T237+T205*T238))</f>
        <v>0</v>
      </c>
      <c r="U227" s="221">
        <v>6.0569936009578136</v>
      </c>
      <c r="V227" s="221">
        <f>U227*(1+(V204*V237+V205*V238))</f>
        <v>6.2886736061944504</v>
      </c>
      <c r="W227" s="221">
        <v>3</v>
      </c>
      <c r="X227" s="221">
        <f t="shared" ref="X227:AF227" si="142">W227*(1+(X204*X237+X205*X238))</f>
        <v>3.06</v>
      </c>
      <c r="Y227" s="221">
        <f t="shared" si="142"/>
        <v>3.1212</v>
      </c>
      <c r="Z227" s="221">
        <f t="shared" si="142"/>
        <v>3.183624</v>
      </c>
      <c r="AA227" s="221">
        <f t="shared" si="142"/>
        <v>3.2791327200000002</v>
      </c>
      <c r="AB227" s="221">
        <f t="shared" si="142"/>
        <v>3.3775067016000002</v>
      </c>
      <c r="AC227" s="221">
        <f t="shared" si="142"/>
        <v>3.4788319026480004</v>
      </c>
      <c r="AD227" s="221">
        <f t="shared" si="142"/>
        <v>3.5831968597274404</v>
      </c>
      <c r="AE227" s="221">
        <f t="shared" si="142"/>
        <v>3.6906927655192638</v>
      </c>
      <c r="AF227" s="221">
        <f t="shared" si="142"/>
        <v>3.8014135484848417</v>
      </c>
      <c r="AG227" s="1624"/>
      <c r="AH227" s="1624"/>
      <c r="AI227" s="1624"/>
      <c r="AJ227" s="1624"/>
      <c r="AK227" s="1624"/>
      <c r="AL227" s="1624"/>
      <c r="AM227" s="1624"/>
      <c r="AN227" s="1624"/>
      <c r="AO227" s="1624"/>
      <c r="AP227" s="213"/>
    </row>
    <row r="228" spans="1:42">
      <c r="A228" s="291" t="s">
        <v>1536</v>
      </c>
      <c r="B228" s="213"/>
      <c r="C228" s="213"/>
      <c r="D228" s="213"/>
      <c r="E228" s="213"/>
      <c r="F228" s="213"/>
      <c r="G228" s="213"/>
      <c r="H228" s="213"/>
      <c r="I228" s="213"/>
      <c r="J228" s="208"/>
      <c r="K228" s="211"/>
      <c r="L228" s="211"/>
      <c r="M228" s="211"/>
      <c r="N228" s="208"/>
      <c r="O228" s="208"/>
      <c r="P228" s="208"/>
      <c r="Q228" s="208"/>
      <c r="R228" s="208"/>
      <c r="S228" s="1426"/>
      <c r="T228" s="221">
        <f>S228*(1+T238)</f>
        <v>0</v>
      </c>
      <c r="U228" s="221">
        <v>3.0095664665624993</v>
      </c>
      <c r="V228" s="221">
        <f>U228*(1+V238)</f>
        <v>3.1149012928921866</v>
      </c>
      <c r="W228" s="221">
        <v>3</v>
      </c>
      <c r="X228" s="221">
        <f t="shared" ref="X228:AF228" si="143">W228*(1+X238)</f>
        <v>3.06</v>
      </c>
      <c r="Y228" s="221">
        <f t="shared" si="143"/>
        <v>3.1212</v>
      </c>
      <c r="Z228" s="221">
        <f t="shared" si="143"/>
        <v>3.183624</v>
      </c>
      <c r="AA228" s="221">
        <f t="shared" si="143"/>
        <v>3.2791327200000002</v>
      </c>
      <c r="AB228" s="221">
        <f t="shared" si="143"/>
        <v>3.3775067016000002</v>
      </c>
      <c r="AC228" s="221">
        <f t="shared" si="143"/>
        <v>3.4788319026480004</v>
      </c>
      <c r="AD228" s="221">
        <f t="shared" si="143"/>
        <v>3.5831968597274404</v>
      </c>
      <c r="AE228" s="221">
        <f t="shared" si="143"/>
        <v>3.6906927655192638</v>
      </c>
      <c r="AF228" s="221">
        <f t="shared" si="143"/>
        <v>3.8014135484848417</v>
      </c>
      <c r="AG228" s="1624"/>
      <c r="AH228" s="1624"/>
      <c r="AI228" s="1624"/>
      <c r="AJ228" s="1624"/>
      <c r="AK228" s="1624"/>
      <c r="AL228" s="1624"/>
      <c r="AM228" s="1624"/>
      <c r="AN228" s="1624"/>
      <c r="AO228" s="1624"/>
      <c r="AP228" s="213"/>
    </row>
    <row r="229" spans="1:42">
      <c r="A229" s="741" t="s">
        <v>1688</v>
      </c>
      <c r="B229" s="213"/>
      <c r="C229" s="213"/>
      <c r="D229" s="213"/>
      <c r="E229" s="213"/>
      <c r="F229" s="213"/>
      <c r="G229" s="213"/>
      <c r="H229" s="213"/>
      <c r="I229" s="213"/>
      <c r="J229" s="208"/>
      <c r="K229" s="211"/>
      <c r="L229" s="211"/>
      <c r="M229" s="211"/>
      <c r="N229" s="208"/>
      <c r="O229" s="208"/>
      <c r="P229" s="208"/>
      <c r="Q229" s="208"/>
      <c r="R229" s="208"/>
      <c r="S229" s="1422"/>
      <c r="T229" s="469" t="e">
        <f t="shared" ref="T229:AF229" si="144">(T227-T228)/T227</f>
        <v>#DIV/0!</v>
      </c>
      <c r="U229" s="469">
        <v>0.50312536799005603</v>
      </c>
      <c r="V229" s="469">
        <f t="shared" si="144"/>
        <v>0.50468071839124296</v>
      </c>
      <c r="W229" s="217">
        <f t="shared" si="144"/>
        <v>0</v>
      </c>
      <c r="X229" s="217">
        <f t="shared" si="144"/>
        <v>0</v>
      </c>
      <c r="Y229" s="217">
        <f t="shared" si="144"/>
        <v>0</v>
      </c>
      <c r="Z229" s="217">
        <f t="shared" si="144"/>
        <v>0</v>
      </c>
      <c r="AA229" s="217">
        <f t="shared" si="144"/>
        <v>0</v>
      </c>
      <c r="AB229" s="217">
        <f t="shared" si="144"/>
        <v>0</v>
      </c>
      <c r="AC229" s="217">
        <f t="shared" si="144"/>
        <v>0</v>
      </c>
      <c r="AD229" s="217">
        <f t="shared" si="144"/>
        <v>0</v>
      </c>
      <c r="AE229" s="217">
        <f t="shared" si="144"/>
        <v>0</v>
      </c>
      <c r="AF229" s="217">
        <f t="shared" si="144"/>
        <v>0</v>
      </c>
      <c r="AG229" s="1624"/>
      <c r="AH229" s="1624"/>
      <c r="AI229" s="1624"/>
      <c r="AJ229" s="1624"/>
      <c r="AK229" s="1624"/>
      <c r="AL229" s="1624"/>
      <c r="AM229" s="1624"/>
      <c r="AN229" s="1624"/>
      <c r="AO229" s="1624"/>
      <c r="AP229" s="213"/>
    </row>
    <row r="230" spans="1:42">
      <c r="A230" s="19"/>
      <c r="B230" s="213"/>
      <c r="C230" s="213"/>
      <c r="D230" s="213"/>
      <c r="E230" s="213"/>
      <c r="F230" s="213"/>
      <c r="G230" s="213"/>
      <c r="H230" s="213"/>
      <c r="I230" s="213"/>
      <c r="J230" s="208"/>
      <c r="K230" s="211"/>
      <c r="L230" s="211"/>
      <c r="M230" s="211"/>
      <c r="N230" s="208"/>
      <c r="O230" s="208"/>
      <c r="P230" s="208"/>
      <c r="Q230" s="208"/>
      <c r="R230" s="208"/>
      <c r="S230" s="1427"/>
      <c r="T230" s="207"/>
      <c r="U230" s="207"/>
      <c r="V230" s="207"/>
      <c r="W230" s="251"/>
      <c r="X230" s="251"/>
      <c r="Y230" s="251"/>
      <c r="Z230" s="251"/>
      <c r="AA230" s="225"/>
      <c r="AB230" s="225"/>
      <c r="AC230" s="225"/>
      <c r="AD230" s="225"/>
      <c r="AE230" s="225"/>
      <c r="AF230" s="225"/>
      <c r="AG230" s="1624"/>
      <c r="AH230" s="1624"/>
      <c r="AI230" s="1624"/>
      <c r="AJ230" s="1624"/>
      <c r="AK230" s="1624"/>
      <c r="AL230" s="1624"/>
      <c r="AM230" s="1624"/>
      <c r="AN230" s="1624"/>
      <c r="AO230" s="1624"/>
      <c r="AP230" s="213"/>
    </row>
    <row r="231" spans="1:42">
      <c r="A231" s="1191" t="s">
        <v>1811</v>
      </c>
      <c r="B231" s="1192"/>
      <c r="C231" s="1192"/>
      <c r="D231" s="1192"/>
      <c r="E231" s="1192"/>
      <c r="F231" s="1192"/>
      <c r="G231" s="1192"/>
      <c r="H231" s="1192"/>
      <c r="I231" s="1192"/>
      <c r="J231" s="1193"/>
      <c r="K231" s="1194"/>
      <c r="L231" s="1194"/>
      <c r="M231" s="1194"/>
      <c r="N231" s="1193"/>
      <c r="O231" s="1193"/>
      <c r="P231" s="1193"/>
      <c r="Q231" s="1193"/>
      <c r="R231" s="1193"/>
      <c r="S231" s="1425"/>
      <c r="T231" s="1196"/>
      <c r="U231" s="1196"/>
      <c r="V231" s="1196"/>
      <c r="W231" s="1196"/>
      <c r="X231" s="1196"/>
      <c r="Y231" s="1196"/>
      <c r="Z231" s="1196"/>
      <c r="AA231" s="1202"/>
      <c r="AB231" s="1202"/>
      <c r="AC231" s="1202"/>
      <c r="AD231" s="1202"/>
      <c r="AE231" s="1202"/>
      <c r="AF231" s="1202"/>
      <c r="AG231" s="1624"/>
      <c r="AH231" s="1624"/>
      <c r="AI231" s="1624"/>
      <c r="AJ231" s="1624"/>
      <c r="AK231" s="1624"/>
      <c r="AL231" s="1624"/>
      <c r="AM231" s="1624"/>
      <c r="AN231" s="1624"/>
      <c r="AO231" s="1624"/>
      <c r="AP231" s="213"/>
    </row>
    <row r="232" spans="1:42">
      <c r="A232" s="291" t="s">
        <v>1687</v>
      </c>
      <c r="B232" s="213"/>
      <c r="C232" s="213"/>
      <c r="D232" s="213"/>
      <c r="E232" s="213"/>
      <c r="F232" s="213"/>
      <c r="G232" s="213"/>
      <c r="H232" s="213"/>
      <c r="I232" s="213"/>
      <c r="J232" s="208"/>
      <c r="K232" s="211"/>
      <c r="L232" s="211"/>
      <c r="M232" s="211"/>
      <c r="N232" s="208"/>
      <c r="O232" s="208"/>
      <c r="P232" s="208"/>
      <c r="Q232" s="208"/>
      <c r="R232" s="208"/>
      <c r="S232" s="1426"/>
      <c r="T232" s="221">
        <f>T227/3</f>
        <v>0</v>
      </c>
      <c r="U232" s="221">
        <v>2.0189978669859379</v>
      </c>
      <c r="V232" s="221">
        <f t="shared" ref="V232:AF232" si="145">V227/3</f>
        <v>2.0962245353981501</v>
      </c>
      <c r="W232" s="221">
        <f t="shared" si="145"/>
        <v>1</v>
      </c>
      <c r="X232" s="221">
        <f t="shared" si="145"/>
        <v>1.02</v>
      </c>
      <c r="Y232" s="221">
        <f t="shared" si="145"/>
        <v>1.0404</v>
      </c>
      <c r="Z232" s="221">
        <f t="shared" si="145"/>
        <v>1.0612079999999999</v>
      </c>
      <c r="AA232" s="221">
        <f t="shared" si="145"/>
        <v>1.09304424</v>
      </c>
      <c r="AB232" s="221">
        <f t="shared" si="145"/>
        <v>1.1258355672</v>
      </c>
      <c r="AC232" s="221">
        <f t="shared" si="145"/>
        <v>1.1596106342160002</v>
      </c>
      <c r="AD232" s="221">
        <f t="shared" si="145"/>
        <v>1.1943989532424801</v>
      </c>
      <c r="AE232" s="221">
        <f t="shared" si="145"/>
        <v>1.2302309218397547</v>
      </c>
      <c r="AF232" s="221">
        <f t="shared" si="145"/>
        <v>1.2671378494949472</v>
      </c>
      <c r="AG232" s="1624"/>
      <c r="AH232" s="1624"/>
      <c r="AI232" s="1624"/>
      <c r="AJ232" s="1624"/>
      <c r="AK232" s="1624"/>
      <c r="AL232" s="1624"/>
      <c r="AM232" s="1624"/>
      <c r="AN232" s="1624"/>
      <c r="AO232" s="1624"/>
      <c r="AP232" s="213"/>
    </row>
    <row r="233" spans="1:42">
      <c r="A233" s="291" t="s">
        <v>1536</v>
      </c>
      <c r="B233" s="213"/>
      <c r="C233" s="213"/>
      <c r="D233" s="213"/>
      <c r="E233" s="213"/>
      <c r="F233" s="213"/>
      <c r="G233" s="213"/>
      <c r="H233" s="213"/>
      <c r="I233" s="213"/>
      <c r="J233" s="208"/>
      <c r="K233" s="211"/>
      <c r="L233" s="211"/>
      <c r="M233" s="211"/>
      <c r="N233" s="208"/>
      <c r="O233" s="208"/>
      <c r="P233" s="208"/>
      <c r="Q233" s="208"/>
      <c r="R233" s="208"/>
      <c r="S233" s="1426"/>
      <c r="T233" s="221">
        <f>T228/3</f>
        <v>0</v>
      </c>
      <c r="U233" s="221">
        <v>1.0031888221874998</v>
      </c>
      <c r="V233" s="221">
        <f t="shared" ref="V233:AF233" si="146">V228/3</f>
        <v>1.0383004309640622</v>
      </c>
      <c r="W233" s="221">
        <f t="shared" si="146"/>
        <v>1</v>
      </c>
      <c r="X233" s="221">
        <f t="shared" si="146"/>
        <v>1.02</v>
      </c>
      <c r="Y233" s="221">
        <f t="shared" si="146"/>
        <v>1.0404</v>
      </c>
      <c r="Z233" s="221">
        <f t="shared" si="146"/>
        <v>1.0612079999999999</v>
      </c>
      <c r="AA233" s="221">
        <f t="shared" si="146"/>
        <v>1.09304424</v>
      </c>
      <c r="AB233" s="221">
        <f t="shared" si="146"/>
        <v>1.1258355672</v>
      </c>
      <c r="AC233" s="221">
        <f t="shared" si="146"/>
        <v>1.1596106342160002</v>
      </c>
      <c r="AD233" s="221">
        <f t="shared" si="146"/>
        <v>1.1943989532424801</v>
      </c>
      <c r="AE233" s="221">
        <f t="shared" si="146"/>
        <v>1.2302309218397547</v>
      </c>
      <c r="AF233" s="221">
        <f t="shared" si="146"/>
        <v>1.2671378494949472</v>
      </c>
      <c r="AG233" s="1624"/>
      <c r="AH233" s="1624"/>
      <c r="AI233" s="1624"/>
      <c r="AJ233" s="1624"/>
      <c r="AK233" s="1624"/>
      <c r="AL233" s="1624"/>
      <c r="AM233" s="1624"/>
      <c r="AN233" s="1624"/>
      <c r="AO233" s="1624"/>
      <c r="AP233" s="213"/>
    </row>
    <row r="234" spans="1:42">
      <c r="A234" s="741" t="s">
        <v>1688</v>
      </c>
      <c r="B234" s="213"/>
      <c r="C234" s="213"/>
      <c r="D234" s="213"/>
      <c r="E234" s="213"/>
      <c r="F234" s="213"/>
      <c r="G234" s="213"/>
      <c r="H234" s="213"/>
      <c r="I234" s="213"/>
      <c r="J234" s="208"/>
      <c r="K234" s="211"/>
      <c r="L234" s="211"/>
      <c r="M234" s="211"/>
      <c r="N234" s="208"/>
      <c r="O234" s="208"/>
      <c r="P234" s="208"/>
      <c r="Q234" s="208"/>
      <c r="R234" s="208"/>
      <c r="S234" s="1422"/>
      <c r="T234" s="469" t="e">
        <f t="shared" ref="T234:AF234" si="147">(T232-T233)/T232</f>
        <v>#DIV/0!</v>
      </c>
      <c r="U234" s="469">
        <v>0.50312536799005592</v>
      </c>
      <c r="V234" s="469">
        <f t="shared" si="147"/>
        <v>0.50468071839124296</v>
      </c>
      <c r="W234" s="217">
        <f t="shared" si="147"/>
        <v>0</v>
      </c>
      <c r="X234" s="217">
        <f t="shared" si="147"/>
        <v>0</v>
      </c>
      <c r="Y234" s="217">
        <f t="shared" si="147"/>
        <v>0</v>
      </c>
      <c r="Z234" s="217">
        <f t="shared" si="147"/>
        <v>0</v>
      </c>
      <c r="AA234" s="217">
        <f t="shared" si="147"/>
        <v>0</v>
      </c>
      <c r="AB234" s="217">
        <f t="shared" si="147"/>
        <v>0</v>
      </c>
      <c r="AC234" s="217">
        <f t="shared" si="147"/>
        <v>0</v>
      </c>
      <c r="AD234" s="217">
        <f t="shared" si="147"/>
        <v>0</v>
      </c>
      <c r="AE234" s="217">
        <f t="shared" si="147"/>
        <v>0</v>
      </c>
      <c r="AF234" s="217">
        <f t="shared" si="147"/>
        <v>0</v>
      </c>
      <c r="AG234" s="1624"/>
      <c r="AH234" s="1624"/>
      <c r="AI234" s="1624"/>
      <c r="AJ234" s="1624"/>
      <c r="AK234" s="1624"/>
      <c r="AL234" s="1624"/>
      <c r="AM234" s="1624"/>
      <c r="AN234" s="1624"/>
      <c r="AO234" s="1624"/>
      <c r="AP234" s="213"/>
    </row>
    <row r="235" spans="1:42">
      <c r="A235" s="19"/>
      <c r="B235" s="213"/>
      <c r="C235" s="213"/>
      <c r="D235" s="213"/>
      <c r="E235" s="213"/>
      <c r="F235" s="213"/>
      <c r="G235" s="213"/>
      <c r="H235" s="213"/>
      <c r="I235" s="213"/>
      <c r="J235" s="208"/>
      <c r="K235" s="211"/>
      <c r="L235" s="211"/>
      <c r="M235" s="211"/>
      <c r="N235" s="208"/>
      <c r="O235" s="208"/>
      <c r="P235" s="208"/>
      <c r="Q235" s="208"/>
      <c r="R235" s="208"/>
      <c r="S235" s="1419"/>
      <c r="T235" s="208"/>
      <c r="U235" s="208"/>
      <c r="V235" s="208"/>
      <c r="W235" s="208"/>
      <c r="X235" s="213"/>
      <c r="Y235" s="213"/>
      <c r="Z235" s="224"/>
      <c r="AA235" s="208"/>
      <c r="AB235" s="208"/>
      <c r="AC235" s="208"/>
      <c r="AD235" s="208"/>
      <c r="AE235" s="208"/>
      <c r="AF235" s="208"/>
      <c r="AG235" s="1624"/>
      <c r="AH235" s="1624"/>
      <c r="AI235" s="1624"/>
      <c r="AJ235" s="1624"/>
      <c r="AK235" s="1624"/>
      <c r="AL235" s="1624"/>
      <c r="AM235" s="1624"/>
      <c r="AN235" s="1624"/>
      <c r="AO235" s="1624"/>
      <c r="AP235" s="213"/>
    </row>
    <row r="236" spans="1:42">
      <c r="A236" s="19" t="s">
        <v>1027</v>
      </c>
      <c r="B236" s="213"/>
      <c r="C236" s="213"/>
      <c r="D236" s="213"/>
      <c r="E236" s="213"/>
      <c r="F236" s="213"/>
      <c r="G236" s="213"/>
      <c r="H236" s="213"/>
      <c r="I236" s="213"/>
      <c r="J236" s="208"/>
      <c r="K236" s="211"/>
      <c r="L236" s="211"/>
      <c r="M236" s="211"/>
      <c r="N236" s="221"/>
      <c r="O236" s="221"/>
      <c r="P236" s="221"/>
      <c r="Q236" s="221"/>
      <c r="R236" s="221"/>
      <c r="S236" s="221"/>
      <c r="T236" s="221"/>
      <c r="U236" s="221"/>
      <c r="V236" s="221"/>
      <c r="W236" s="207"/>
      <c r="X236" s="207"/>
      <c r="Y236" s="207"/>
      <c r="Z236" s="221"/>
      <c r="AA236" s="221"/>
      <c r="AB236" s="221"/>
      <c r="AC236" s="221"/>
      <c r="AD236" s="221"/>
      <c r="AE236" s="221"/>
      <c r="AF236" s="221"/>
      <c r="AG236" s="1624"/>
      <c r="AH236" s="1624"/>
      <c r="AI236" s="1624"/>
      <c r="AJ236" s="1624"/>
      <c r="AK236" s="1624"/>
      <c r="AL236" s="1624"/>
      <c r="AM236" s="1624"/>
      <c r="AN236" s="1624"/>
      <c r="AO236" s="1624"/>
      <c r="AP236" s="213"/>
    </row>
    <row r="237" spans="1:42">
      <c r="A237" s="291" t="s">
        <v>1026</v>
      </c>
      <c r="B237" s="213"/>
      <c r="C237" s="213"/>
      <c r="D237" s="213"/>
      <c r="E237" s="213"/>
      <c r="F237" s="213"/>
      <c r="G237" s="213"/>
      <c r="H237" s="213"/>
      <c r="I237" s="213"/>
      <c r="J237" s="208"/>
      <c r="K237" s="211"/>
      <c r="L237" s="211"/>
      <c r="M237" s="211"/>
      <c r="N237" s="221"/>
      <c r="O237" s="225"/>
      <c r="P237" s="225"/>
      <c r="Q237" s="225"/>
      <c r="R237" s="225"/>
      <c r="S237" s="225"/>
      <c r="T237" s="225">
        <v>0.04</v>
      </c>
      <c r="U237" s="225">
        <v>0.04</v>
      </c>
      <c r="V237" s="225">
        <v>0.04</v>
      </c>
      <c r="W237" s="225">
        <v>0.02</v>
      </c>
      <c r="X237" s="225">
        <v>0.02</v>
      </c>
      <c r="Y237" s="225">
        <v>0.02</v>
      </c>
      <c r="Z237" s="225">
        <v>0.02</v>
      </c>
      <c r="AA237" s="1296">
        <v>0.03</v>
      </c>
      <c r="AB237" s="1296">
        <f>AA237</f>
        <v>0.03</v>
      </c>
      <c r="AC237" s="1296">
        <f t="shared" ref="AC237:AF237" si="148">AB237</f>
        <v>0.03</v>
      </c>
      <c r="AD237" s="1296">
        <f t="shared" si="148"/>
        <v>0.03</v>
      </c>
      <c r="AE237" s="1296">
        <f t="shared" si="148"/>
        <v>0.03</v>
      </c>
      <c r="AF237" s="1296">
        <f t="shared" si="148"/>
        <v>0.03</v>
      </c>
      <c r="AG237" s="1624"/>
      <c r="AH237" s="1624"/>
      <c r="AI237" s="1624"/>
      <c r="AJ237" s="1624"/>
      <c r="AK237" s="1624"/>
      <c r="AL237" s="1624"/>
      <c r="AM237" s="1624"/>
      <c r="AN237" s="1624"/>
      <c r="AO237" s="1624"/>
      <c r="AP237" s="213"/>
    </row>
    <row r="238" spans="1:42">
      <c r="A238" s="291" t="s">
        <v>1495</v>
      </c>
      <c r="B238" s="213"/>
      <c r="C238" s="213"/>
      <c r="D238" s="213"/>
      <c r="E238" s="213"/>
      <c r="F238" s="213"/>
      <c r="G238" s="213"/>
      <c r="H238" s="213"/>
      <c r="I238" s="213"/>
      <c r="J238" s="208"/>
      <c r="K238" s="211"/>
      <c r="L238" s="211"/>
      <c r="M238" s="211"/>
      <c r="N238" s="208"/>
      <c r="O238" s="225"/>
      <c r="P238" s="225"/>
      <c r="Q238" s="225"/>
      <c r="R238" s="225"/>
      <c r="S238" s="225"/>
      <c r="T238" s="225">
        <v>3.5000000000000003E-2</v>
      </c>
      <c r="U238" s="225">
        <v>3.5000000000000003E-2</v>
      </c>
      <c r="V238" s="225">
        <v>3.5000000000000003E-2</v>
      </c>
      <c r="W238" s="225">
        <v>0.02</v>
      </c>
      <c r="X238" s="225">
        <v>0.02</v>
      </c>
      <c r="Y238" s="225">
        <v>0.02</v>
      </c>
      <c r="Z238" s="225">
        <v>0.02</v>
      </c>
      <c r="AA238" s="1296">
        <v>0.03</v>
      </c>
      <c r="AB238" s="1296">
        <v>0.03</v>
      </c>
      <c r="AC238" s="1296">
        <v>0.03</v>
      </c>
      <c r="AD238" s="1296">
        <v>0.03</v>
      </c>
      <c r="AE238" s="1296">
        <v>0.03</v>
      </c>
      <c r="AF238" s="1296">
        <v>0.03</v>
      </c>
      <c r="AG238" s="1624"/>
      <c r="AH238" s="1624"/>
      <c r="AI238" s="1624"/>
      <c r="AJ238" s="1624"/>
      <c r="AK238" s="1624"/>
      <c r="AL238" s="1624"/>
      <c r="AM238" s="1624"/>
      <c r="AN238" s="1624"/>
      <c r="AO238" s="1630"/>
      <c r="AP238" s="348"/>
    </row>
    <row r="239" spans="1:42">
      <c r="A239" s="19" t="s">
        <v>1496</v>
      </c>
      <c r="B239" s="213"/>
      <c r="C239" s="213"/>
      <c r="D239" s="213"/>
      <c r="E239" s="213"/>
      <c r="F239" s="213"/>
      <c r="G239" s="213"/>
      <c r="H239" s="213"/>
      <c r="I239" s="213"/>
      <c r="J239" s="208"/>
      <c r="K239" s="211"/>
      <c r="L239" s="211"/>
      <c r="M239" s="211"/>
      <c r="N239" s="211"/>
      <c r="O239" s="226"/>
      <c r="P239" s="226"/>
      <c r="Q239" s="226"/>
      <c r="R239" s="226"/>
      <c r="S239" s="226"/>
      <c r="T239" s="226">
        <f>T237*T198+T238*T199</f>
        <v>0</v>
      </c>
      <c r="U239" s="226">
        <v>0</v>
      </c>
      <c r="V239" s="226">
        <f t="shared" ref="V239:AF239" si="149">V237*V198+V238*V199</f>
        <v>0</v>
      </c>
      <c r="W239" s="226">
        <f t="shared" si="149"/>
        <v>0</v>
      </c>
      <c r="X239" s="226">
        <f t="shared" si="149"/>
        <v>0.02</v>
      </c>
      <c r="Y239" s="226">
        <f t="shared" si="149"/>
        <v>0.02</v>
      </c>
      <c r="Z239" s="226">
        <f t="shared" si="149"/>
        <v>0.02</v>
      </c>
      <c r="AA239" s="1295">
        <f t="shared" si="149"/>
        <v>0.03</v>
      </c>
      <c r="AB239" s="1295">
        <f t="shared" si="149"/>
        <v>0.03</v>
      </c>
      <c r="AC239" s="1295">
        <f t="shared" si="149"/>
        <v>0.03</v>
      </c>
      <c r="AD239" s="1295">
        <f t="shared" si="149"/>
        <v>0.03</v>
      </c>
      <c r="AE239" s="1295">
        <f t="shared" si="149"/>
        <v>0.03</v>
      </c>
      <c r="AF239" s="1295">
        <f t="shared" si="149"/>
        <v>0.03</v>
      </c>
      <c r="AG239" s="1624"/>
      <c r="AH239" s="1624"/>
      <c r="AI239" s="1624"/>
      <c r="AJ239" s="1630"/>
      <c r="AK239" s="1631"/>
      <c r="AL239" s="1631"/>
      <c r="AM239" s="1631"/>
      <c r="AN239" s="1631"/>
      <c r="AO239" s="1627">
        <v>0.65</v>
      </c>
      <c r="AP239" s="262"/>
    </row>
    <row r="240" spans="1:42">
      <c r="A240" s="19"/>
      <c r="B240" s="213"/>
      <c r="C240" s="213"/>
      <c r="D240" s="213"/>
      <c r="E240" s="213"/>
      <c r="F240" s="213"/>
      <c r="G240" s="213"/>
      <c r="H240" s="213"/>
      <c r="I240" s="213"/>
      <c r="J240" s="208"/>
      <c r="K240" s="211"/>
      <c r="L240" s="211"/>
      <c r="M240" s="211"/>
      <c r="N240" s="208"/>
      <c r="O240" s="208"/>
      <c r="P240" s="208"/>
      <c r="Q240" s="208"/>
      <c r="R240" s="208"/>
      <c r="S240" s="208"/>
      <c r="T240" s="208"/>
      <c r="U240" s="208"/>
      <c r="V240" s="208"/>
      <c r="W240" s="208"/>
      <c r="X240" s="213"/>
      <c r="Y240" s="208"/>
      <c r="Z240" s="208"/>
      <c r="AA240" s="208"/>
      <c r="AB240" s="208"/>
      <c r="AC240" s="208"/>
      <c r="AD240" s="208"/>
      <c r="AE240" s="208"/>
      <c r="AF240" s="208"/>
      <c r="AG240" s="1624"/>
      <c r="AH240" s="1624" t="s">
        <v>1537</v>
      </c>
      <c r="AI240" s="1624"/>
      <c r="AJ240" s="1627"/>
      <c r="AK240" s="1624" t="s">
        <v>1269</v>
      </c>
      <c r="AL240" s="1624"/>
      <c r="AM240" s="1624"/>
      <c r="AN240" s="1624"/>
      <c r="AO240" s="1627">
        <v>0.15</v>
      </c>
      <c r="AP240" s="262"/>
    </row>
    <row r="241" spans="1:42">
      <c r="A241" s="19" t="s">
        <v>1503</v>
      </c>
      <c r="B241" s="213"/>
      <c r="C241" s="213"/>
      <c r="D241" s="213"/>
      <c r="E241" s="213"/>
      <c r="F241" s="213"/>
      <c r="G241" s="213"/>
      <c r="H241" s="213"/>
      <c r="I241" s="213"/>
      <c r="J241" s="208"/>
      <c r="K241" s="211"/>
      <c r="L241" s="211"/>
      <c r="M241" s="211"/>
      <c r="N241" s="208"/>
      <c r="O241" s="208"/>
      <c r="P241" s="208"/>
      <c r="Q241" s="208"/>
      <c r="R241" s="208"/>
      <c r="S241" s="208"/>
      <c r="T241" s="208"/>
      <c r="U241" s="208"/>
      <c r="V241" s="208"/>
      <c r="W241" s="208"/>
      <c r="X241" s="208"/>
      <c r="Y241" s="208"/>
      <c r="Z241" s="208"/>
      <c r="AA241" s="208"/>
      <c r="AB241" s="207"/>
      <c r="AC241" s="207"/>
      <c r="AD241" s="207"/>
      <c r="AE241" s="207"/>
      <c r="AF241" s="207"/>
      <c r="AG241" s="1624"/>
      <c r="AH241" s="1624" t="s">
        <v>1689</v>
      </c>
      <c r="AI241" s="1624"/>
      <c r="AJ241" s="1627"/>
      <c r="AK241" s="1624" t="s">
        <v>1270</v>
      </c>
      <c r="AL241" s="1624"/>
      <c r="AM241" s="1624"/>
      <c r="AN241" s="1624"/>
      <c r="AO241" s="1627"/>
      <c r="AP241" s="262"/>
    </row>
    <row r="242" spans="1:42">
      <c r="A242" s="291" t="s">
        <v>1026</v>
      </c>
      <c r="B242" s="213"/>
      <c r="C242" s="213"/>
      <c r="D242" s="213"/>
      <c r="E242" s="213"/>
      <c r="F242" s="213"/>
      <c r="G242" s="213"/>
      <c r="H242" s="213"/>
      <c r="I242" s="213"/>
      <c r="J242" s="208"/>
      <c r="K242" s="211"/>
      <c r="L242" s="211"/>
      <c r="M242" s="211"/>
      <c r="N242" s="208"/>
      <c r="O242" s="208"/>
      <c r="P242" s="208"/>
      <c r="Q242" s="208"/>
      <c r="R242" s="208"/>
      <c r="S242" s="208"/>
      <c r="T242" s="208"/>
      <c r="U242" s="208"/>
      <c r="V242" s="208"/>
      <c r="W242" s="208"/>
      <c r="X242" s="208">
        <f>X$227*X$183+X$232*X$188</f>
        <v>2.04</v>
      </c>
      <c r="Y242" s="208">
        <f t="shared" ref="Y242:AF242" si="150">Y$227*Y183+Y$232*Y188</f>
        <v>27.0504</v>
      </c>
      <c r="Z242" s="208">
        <f t="shared" si="150"/>
        <v>96.569928000000004</v>
      </c>
      <c r="AA242" s="208">
        <f t="shared" si="150"/>
        <v>253.58626368</v>
      </c>
      <c r="AB242" s="208">
        <f t="shared" si="150"/>
        <v>425.56584440159997</v>
      </c>
      <c r="AC242" s="208">
        <f t="shared" si="150"/>
        <v>684.1702741874401</v>
      </c>
      <c r="AD242" s="208">
        <f t="shared" si="150"/>
        <v>1020.0167060690781</v>
      </c>
      <c r="AE242" s="208">
        <f t="shared" si="150"/>
        <v>1331.1098574306145</v>
      </c>
      <c r="AF242" s="208">
        <f t="shared" si="150"/>
        <v>1706.8346832696939</v>
      </c>
      <c r="AG242" s="1624"/>
      <c r="AH242" s="1624" t="s">
        <v>1690</v>
      </c>
      <c r="AI242" s="1624"/>
      <c r="AJ242" s="1627"/>
      <c r="AK242" s="1624"/>
      <c r="AL242" s="1624"/>
      <c r="AM242" s="1624"/>
      <c r="AN242" s="1624"/>
      <c r="AO242" s="1627"/>
      <c r="AP242" s="262"/>
    </row>
    <row r="243" spans="1:42">
      <c r="A243" s="370" t="s">
        <v>1799</v>
      </c>
      <c r="B243" s="213"/>
      <c r="C243" s="213"/>
      <c r="D243" s="213"/>
      <c r="E243" s="213"/>
      <c r="F243" s="213"/>
      <c r="G243" s="213"/>
      <c r="H243" s="213"/>
      <c r="I243" s="213"/>
      <c r="J243" s="208"/>
      <c r="K243" s="211"/>
      <c r="L243" s="211"/>
      <c r="M243" s="211"/>
      <c r="N243" s="208"/>
      <c r="O243" s="208"/>
      <c r="P243" s="208"/>
      <c r="Q243" s="208"/>
      <c r="R243" s="208"/>
      <c r="S243" s="208"/>
      <c r="T243" s="208"/>
      <c r="U243" s="208"/>
      <c r="V243" s="208"/>
      <c r="W243" s="208"/>
      <c r="X243" s="208">
        <f t="shared" ref="X243:AF243" si="151">X$242*X204</f>
        <v>1.3260000000000001</v>
      </c>
      <c r="Y243" s="208">
        <f t="shared" si="151"/>
        <v>17.58276</v>
      </c>
      <c r="Z243" s="208">
        <f t="shared" si="151"/>
        <v>62.770453200000006</v>
      </c>
      <c r="AA243" s="208">
        <f t="shared" si="151"/>
        <v>164.83107139200001</v>
      </c>
      <c r="AB243" s="208">
        <f t="shared" si="151"/>
        <v>276.61779886104</v>
      </c>
      <c r="AC243" s="208">
        <f t="shared" si="151"/>
        <v>444.71067822183608</v>
      </c>
      <c r="AD243" s="208">
        <f t="shared" si="151"/>
        <v>663.01085894490075</v>
      </c>
      <c r="AE243" s="208">
        <f t="shared" si="151"/>
        <v>865.22140732989942</v>
      </c>
      <c r="AF243" s="208">
        <f t="shared" si="151"/>
        <v>1109.4425441253011</v>
      </c>
      <c r="AG243" s="1624"/>
      <c r="AH243" s="1624"/>
      <c r="AI243" s="1624"/>
      <c r="AJ243" s="1627"/>
      <c r="AK243" s="1624"/>
      <c r="AL243" s="1624"/>
      <c r="AM243" s="1624"/>
      <c r="AN243" s="1624"/>
      <c r="AO243" s="1630"/>
      <c r="AP243" s="348"/>
    </row>
    <row r="244" spans="1:42">
      <c r="A244" s="370" t="s">
        <v>1023</v>
      </c>
      <c r="B244" s="213"/>
      <c r="C244" s="213"/>
      <c r="D244" s="213"/>
      <c r="E244" s="213"/>
      <c r="F244" s="213"/>
      <c r="G244" s="213"/>
      <c r="H244" s="213"/>
      <c r="I244" s="213"/>
      <c r="J244" s="208"/>
      <c r="K244" s="211"/>
      <c r="L244" s="211"/>
      <c r="M244" s="211"/>
      <c r="N244" s="208"/>
      <c r="O244" s="208"/>
      <c r="P244" s="208"/>
      <c r="Q244" s="208"/>
      <c r="R244" s="208"/>
      <c r="S244" s="208"/>
      <c r="T244" s="208"/>
      <c r="U244" s="208"/>
      <c r="V244" s="208"/>
      <c r="W244" s="208"/>
      <c r="X244" s="208">
        <f t="shared" ref="X244:AF244" si="152">X$242*X205</f>
        <v>0.71399999999999997</v>
      </c>
      <c r="Y244" s="208">
        <f t="shared" si="152"/>
        <v>9.4676399999999994</v>
      </c>
      <c r="Z244" s="208">
        <f t="shared" si="152"/>
        <v>33.799474799999999</v>
      </c>
      <c r="AA244" s="208">
        <f t="shared" si="152"/>
        <v>88.755192287999989</v>
      </c>
      <c r="AB244" s="208">
        <f t="shared" si="152"/>
        <v>148.94804554055997</v>
      </c>
      <c r="AC244" s="208">
        <f t="shared" si="152"/>
        <v>239.45959596560402</v>
      </c>
      <c r="AD244" s="208">
        <f t="shared" si="152"/>
        <v>357.00584712417731</v>
      </c>
      <c r="AE244" s="208">
        <f t="shared" si="152"/>
        <v>465.88845010071503</v>
      </c>
      <c r="AF244" s="208">
        <f t="shared" si="152"/>
        <v>597.39213914439279</v>
      </c>
      <c r="AG244" s="1624"/>
      <c r="AH244" s="1624"/>
      <c r="AI244" s="1624"/>
      <c r="AJ244" s="1630"/>
      <c r="AK244" s="1631"/>
      <c r="AL244" s="1631"/>
      <c r="AM244" s="1631"/>
      <c r="AN244" s="1631"/>
      <c r="AO244" s="1627">
        <v>0.65</v>
      </c>
      <c r="AP244" s="262"/>
    </row>
    <row r="245" spans="1:42">
      <c r="A245" s="291" t="s">
        <v>1495</v>
      </c>
      <c r="B245" s="213"/>
      <c r="C245" s="213"/>
      <c r="D245" s="213"/>
      <c r="E245" s="213"/>
      <c r="F245" s="213"/>
      <c r="G245" s="213"/>
      <c r="H245" s="213"/>
      <c r="I245" s="213"/>
      <c r="J245" s="208"/>
      <c r="K245" s="211"/>
      <c r="L245" s="211"/>
      <c r="M245" s="211"/>
      <c r="N245" s="208"/>
      <c r="O245" s="208"/>
      <c r="P245" s="208"/>
      <c r="Q245" s="208"/>
      <c r="R245" s="208"/>
      <c r="S245" s="208"/>
      <c r="T245" s="208"/>
      <c r="U245" s="208"/>
      <c r="V245" s="208"/>
      <c r="W245" s="208"/>
      <c r="X245" s="208">
        <f t="shared" ref="X245:AF245" si="153">X$228*X$184+X$233*X$189</f>
        <v>461.04</v>
      </c>
      <c r="Y245" s="208">
        <f t="shared" si="153"/>
        <v>823.99680000000001</v>
      </c>
      <c r="Z245" s="208">
        <f t="shared" si="153"/>
        <v>1662.9129359999999</v>
      </c>
      <c r="AA245" s="208">
        <f t="shared" si="153"/>
        <v>2817.8680507200002</v>
      </c>
      <c r="AB245" s="208">
        <f t="shared" si="153"/>
        <v>3527.2428320376002</v>
      </c>
      <c r="AC245" s="208">
        <f t="shared" si="153"/>
        <v>4457.5432779263047</v>
      </c>
      <c r="AD245" s="208">
        <f t="shared" si="153"/>
        <v>5429.7376414403152</v>
      </c>
      <c r="AE245" s="208">
        <f t="shared" si="153"/>
        <v>5943.2455834078546</v>
      </c>
      <c r="AF245" s="208">
        <f t="shared" si="153"/>
        <v>6506.7528571565545</v>
      </c>
      <c r="AG245" s="1624"/>
      <c r="AH245" s="1624" t="s">
        <v>1537</v>
      </c>
      <c r="AI245" s="1624"/>
      <c r="AJ245" s="1627"/>
      <c r="AK245" s="1624" t="s">
        <v>1269</v>
      </c>
      <c r="AL245" s="1624"/>
      <c r="AM245" s="1624"/>
      <c r="AN245" s="1624"/>
      <c r="AO245" s="1627"/>
      <c r="AP245" s="262"/>
    </row>
    <row r="246" spans="1:42">
      <c r="A246" s="291"/>
      <c r="B246" s="213"/>
      <c r="C246" s="213"/>
      <c r="D246" s="213"/>
      <c r="E246" s="213"/>
      <c r="F246" s="213"/>
      <c r="G246" s="213"/>
      <c r="H246" s="213"/>
      <c r="I246" s="213"/>
      <c r="J246" s="208"/>
      <c r="K246" s="211"/>
      <c r="L246" s="211"/>
      <c r="M246" s="211"/>
      <c r="N246" s="208"/>
      <c r="O246" s="208"/>
      <c r="P246" s="208"/>
      <c r="Q246" s="208"/>
      <c r="R246" s="208"/>
      <c r="S246" s="208"/>
      <c r="T246" s="208"/>
      <c r="U246" s="208"/>
      <c r="V246" s="208"/>
      <c r="W246" s="208"/>
      <c r="X246" s="208"/>
      <c r="Y246" s="208"/>
      <c r="Z246" s="208"/>
      <c r="AA246" s="208"/>
      <c r="AB246" s="208"/>
      <c r="AC246" s="208"/>
      <c r="AD246" s="208"/>
      <c r="AE246" s="208"/>
      <c r="AF246" s="208"/>
      <c r="AG246" s="1624"/>
      <c r="AH246" s="1624"/>
      <c r="AI246" s="1624"/>
      <c r="AJ246" s="1627"/>
      <c r="AK246" s="1624"/>
      <c r="AL246" s="1624"/>
      <c r="AM246" s="1624"/>
      <c r="AN246" s="1624"/>
      <c r="AO246" s="1630" t="e">
        <f>#REF!+#REF!</f>
        <v>#REF!</v>
      </c>
      <c r="AP246" s="348"/>
    </row>
    <row r="247" spans="1:42">
      <c r="A247" s="19" t="s">
        <v>1501</v>
      </c>
      <c r="B247" s="213"/>
      <c r="C247" s="213"/>
      <c r="D247" s="213"/>
      <c r="E247" s="213"/>
      <c r="F247" s="213"/>
      <c r="G247" s="213"/>
      <c r="H247" s="213"/>
      <c r="I247" s="213"/>
      <c r="J247" s="208"/>
      <c r="K247" s="211"/>
      <c r="L247" s="211"/>
      <c r="M247" s="211"/>
      <c r="N247" s="208"/>
      <c r="O247" s="208"/>
      <c r="P247" s="208"/>
      <c r="Q247" s="208"/>
      <c r="R247" s="208"/>
      <c r="S247" s="208"/>
      <c r="T247" s="208"/>
      <c r="U247" s="208"/>
      <c r="V247" s="208"/>
      <c r="W247" s="208"/>
      <c r="X247" s="208">
        <f t="shared" ref="X247:AF247" si="154">X245+X242</f>
        <v>463.08000000000004</v>
      </c>
      <c r="Y247" s="208">
        <f t="shared" si="154"/>
        <v>851.04719999999998</v>
      </c>
      <c r="Z247" s="208">
        <f t="shared" si="154"/>
        <v>1759.4828640000001</v>
      </c>
      <c r="AA247" s="208">
        <f t="shared" si="154"/>
        <v>3071.4543143999999</v>
      </c>
      <c r="AB247" s="208">
        <f t="shared" si="154"/>
        <v>3952.8086764392001</v>
      </c>
      <c r="AC247" s="208">
        <f t="shared" si="154"/>
        <v>5141.7135521137443</v>
      </c>
      <c r="AD247" s="208">
        <f t="shared" si="154"/>
        <v>6449.7543475093935</v>
      </c>
      <c r="AE247" s="208">
        <f t="shared" si="154"/>
        <v>7274.3554408384689</v>
      </c>
      <c r="AF247" s="208">
        <f t="shared" si="154"/>
        <v>8213.5875404262479</v>
      </c>
      <c r="AG247" s="1624"/>
      <c r="AH247" s="1624"/>
      <c r="AI247" s="1624"/>
      <c r="AJ247" s="1630"/>
      <c r="AK247" s="1624" t="s">
        <v>1273</v>
      </c>
      <c r="AL247" s="1624"/>
      <c r="AM247" s="1624"/>
      <c r="AN247" s="1624"/>
      <c r="AO247" s="1627"/>
      <c r="AP247" s="262"/>
    </row>
    <row r="248" spans="1:42">
      <c r="A248" s="349" t="s">
        <v>1489</v>
      </c>
      <c r="B248" s="383"/>
      <c r="C248" s="383"/>
      <c r="D248" s="383"/>
      <c r="E248" s="383"/>
      <c r="F248" s="383"/>
      <c r="G248" s="383"/>
      <c r="H248" s="383"/>
      <c r="I248" s="383"/>
      <c r="J248" s="216"/>
      <c r="K248" s="231"/>
      <c r="L248" s="231"/>
      <c r="M248" s="217"/>
      <c r="N248" s="217"/>
      <c r="O248" s="217"/>
      <c r="P248" s="217"/>
      <c r="Q248" s="217"/>
      <c r="R248" s="217"/>
      <c r="S248" s="217"/>
      <c r="T248" s="217"/>
      <c r="U248" s="217"/>
      <c r="V248" s="217"/>
      <c r="W248" s="217"/>
      <c r="X248" s="217"/>
      <c r="Y248" s="217">
        <f t="shared" ref="Y248:AF248" si="155">Y247/X247-1</f>
        <v>0.83779735682819356</v>
      </c>
      <c r="Z248" s="217">
        <f t="shared" si="155"/>
        <v>1.0674327628361859</v>
      </c>
      <c r="AA248" s="217">
        <f t="shared" si="155"/>
        <v>0.74565741857659829</v>
      </c>
      <c r="AB248" s="217">
        <f t="shared" si="155"/>
        <v>0.28695017793594313</v>
      </c>
      <c r="AC248" s="217">
        <f t="shared" si="155"/>
        <v>0.30077470806038176</v>
      </c>
      <c r="AD248" s="217">
        <f t="shared" si="155"/>
        <v>0.25439783491204349</v>
      </c>
      <c r="AE248" s="217">
        <f t="shared" si="155"/>
        <v>0.12785000000000002</v>
      </c>
      <c r="AF248" s="217">
        <f t="shared" si="155"/>
        <v>0.12911550820226614</v>
      </c>
      <c r="AG248" s="1624"/>
      <c r="AH248" s="1624"/>
      <c r="AI248" s="1624"/>
      <c r="AJ248" s="1627"/>
      <c r="AK248" s="1624"/>
      <c r="AL248" s="1624"/>
      <c r="AM248" s="1624"/>
      <c r="AN248" s="1624"/>
      <c r="AO248" s="1627"/>
      <c r="AP248" s="262"/>
    </row>
    <row r="249" spans="1:42">
      <c r="A249" s="19"/>
      <c r="B249" s="213"/>
      <c r="C249" s="213"/>
      <c r="D249" s="213"/>
      <c r="E249" s="213"/>
      <c r="F249" s="213"/>
      <c r="G249" s="213"/>
      <c r="H249" s="213"/>
      <c r="I249" s="213"/>
      <c r="J249" s="208"/>
      <c r="K249" s="211"/>
      <c r="L249" s="211"/>
      <c r="M249" s="211"/>
      <c r="N249" s="208"/>
      <c r="O249" s="208"/>
      <c r="P249" s="208"/>
      <c r="Q249" s="208"/>
      <c r="R249" s="208"/>
      <c r="S249" s="208"/>
      <c r="T249" s="208"/>
      <c r="U249" s="208"/>
      <c r="V249" s="208"/>
      <c r="W249" s="208"/>
      <c r="X249" s="208"/>
      <c r="Y249" s="208"/>
      <c r="Z249" s="208"/>
      <c r="AA249" s="208"/>
      <c r="AB249" s="208"/>
      <c r="AC249" s="208"/>
      <c r="AD249" s="208"/>
      <c r="AE249" s="208"/>
      <c r="AF249" s="208"/>
      <c r="AG249" s="1624"/>
      <c r="AH249" s="1624" t="s">
        <v>1588</v>
      </c>
      <c r="AI249" s="1624"/>
      <c r="AJ249" s="1627"/>
      <c r="AK249" s="1624"/>
      <c r="AL249" s="1624"/>
      <c r="AM249" s="1624"/>
      <c r="AN249" s="1624"/>
      <c r="AO249" s="1630">
        <f>AO217*(1-AO239)</f>
        <v>0</v>
      </c>
      <c r="AP249" s="348"/>
    </row>
    <row r="250" spans="1:42">
      <c r="A250" s="19" t="s">
        <v>1498</v>
      </c>
      <c r="B250" s="213"/>
      <c r="C250" s="213"/>
      <c r="D250" s="213"/>
      <c r="E250" s="213"/>
      <c r="F250" s="213"/>
      <c r="G250" s="213"/>
      <c r="H250" s="213"/>
      <c r="I250" s="213"/>
      <c r="J250" s="208"/>
      <c r="K250" s="211"/>
      <c r="L250" s="211"/>
      <c r="M250" s="211"/>
      <c r="N250" s="233"/>
      <c r="O250" s="233"/>
      <c r="P250" s="233"/>
      <c r="Q250" s="233"/>
      <c r="R250" s="233"/>
      <c r="S250" s="233"/>
      <c r="T250" s="233">
        <f>'Income Statement'!T$155</f>
        <v>1.18028</v>
      </c>
      <c r="U250" s="233">
        <v>1.159077672574627</v>
      </c>
      <c r="V250" s="233">
        <f>'Income Statement'!V$155</f>
        <v>1.1490638246268656</v>
      </c>
      <c r="W250" s="233">
        <f>'Income Statement'!W$155</f>
        <v>1.1713242788461544</v>
      </c>
      <c r="X250" s="233">
        <f>'Income Statement'!X$155</f>
        <v>1.1065795550914248</v>
      </c>
      <c r="Y250" s="233">
        <f>'Income Statement'!Y$155</f>
        <v>1.1105369302909465</v>
      </c>
      <c r="Z250" s="233">
        <f>'Income Statement'!Z$155</f>
        <v>1.1083231112074399</v>
      </c>
      <c r="AA250" s="1301">
        <f>'Income Statement'!AA$155</f>
        <v>1.1207295968584789</v>
      </c>
      <c r="AB250" s="1301">
        <f>'Income Statement'!AB$155</f>
        <v>1.1426415000000001</v>
      </c>
      <c r="AC250" s="1301">
        <f>'Income Statement'!AC$155</f>
        <v>1.1426415000000001</v>
      </c>
      <c r="AD250" s="1301">
        <f>'Income Statement'!AD$155</f>
        <v>1.1426415000000001</v>
      </c>
      <c r="AE250" s="1301">
        <f>'Income Statement'!AE$155</f>
        <v>1.1426415000000001</v>
      </c>
      <c r="AF250" s="1301">
        <f>'Income Statement'!AF$155</f>
        <v>1.1426415000000001</v>
      </c>
      <c r="AG250" s="1624"/>
      <c r="AH250" s="1624" t="s">
        <v>1131</v>
      </c>
      <c r="AI250" s="1624"/>
      <c r="AJ250" s="1630"/>
      <c r="AK250" s="1624" t="s">
        <v>1271</v>
      </c>
      <c r="AL250" s="1624"/>
      <c r="AM250" s="1624"/>
      <c r="AN250" s="1624"/>
      <c r="AO250" s="1630">
        <f>AO218*(1-AO240)</f>
        <v>0</v>
      </c>
      <c r="AP250" s="348"/>
    </row>
    <row r="251" spans="1:42">
      <c r="A251" s="19" t="s">
        <v>1499</v>
      </c>
      <c r="B251" s="213"/>
      <c r="C251" s="213"/>
      <c r="D251" s="213"/>
      <c r="E251" s="213"/>
      <c r="F251" s="213"/>
      <c r="G251" s="213"/>
      <c r="H251" s="213"/>
      <c r="I251" s="213"/>
      <c r="J251" s="208"/>
      <c r="K251" s="211"/>
      <c r="L251" s="211"/>
      <c r="M251" s="211"/>
      <c r="N251" s="208"/>
      <c r="O251" s="207"/>
      <c r="P251" s="207"/>
      <c r="Q251" s="207"/>
      <c r="R251" s="207"/>
      <c r="S251" s="207"/>
      <c r="T251" s="207" t="e">
        <f t="shared" ref="T251:AF251" si="156">(1/T250)/(1/S250)-1</f>
        <v>#DIV/0!</v>
      </c>
      <c r="U251" s="207">
        <v>1.8292412947854331E-2</v>
      </c>
      <c r="V251" s="207">
        <f t="shared" si="156"/>
        <v>8.7147882764591067E-3</v>
      </c>
      <c r="W251" s="207">
        <f t="shared" si="156"/>
        <v>-1.9004518749681454E-2</v>
      </c>
      <c r="X251" s="207">
        <f t="shared" si="156"/>
        <v>5.8508873995399613E-2</v>
      </c>
      <c r="Y251" s="207">
        <f t="shared" si="156"/>
        <v>-3.5634791528138532E-3</v>
      </c>
      <c r="Z251" s="207">
        <f t="shared" si="156"/>
        <v>1.9974491744512157E-3</v>
      </c>
      <c r="AA251" s="207">
        <f t="shared" si="156"/>
        <v>-1.1070008042810442E-2</v>
      </c>
      <c r="AB251" s="207">
        <f t="shared" si="156"/>
        <v>-1.9176533621018677E-2</v>
      </c>
      <c r="AC251" s="207">
        <f t="shared" si="156"/>
        <v>0</v>
      </c>
      <c r="AD251" s="207">
        <f t="shared" si="156"/>
        <v>0</v>
      </c>
      <c r="AE251" s="207">
        <f t="shared" si="156"/>
        <v>0</v>
      </c>
      <c r="AF251" s="207">
        <f t="shared" si="156"/>
        <v>0</v>
      </c>
      <c r="AG251" s="1624"/>
      <c r="AH251" s="1624"/>
      <c r="AI251" s="1624"/>
      <c r="AJ251" s="1630"/>
      <c r="AK251" s="1624" t="s">
        <v>1272</v>
      </c>
      <c r="AL251" s="1624"/>
      <c r="AM251" s="1624"/>
      <c r="AN251" s="1624"/>
      <c r="AO251" s="1630">
        <f>AO249+AO250</f>
        <v>0</v>
      </c>
      <c r="AP251" s="348"/>
    </row>
    <row r="252" spans="1:42">
      <c r="A252" s="19"/>
      <c r="B252" s="213"/>
      <c r="C252" s="213"/>
      <c r="D252" s="213"/>
      <c r="E252" s="213"/>
      <c r="F252" s="213"/>
      <c r="G252" s="213"/>
      <c r="H252" s="213"/>
      <c r="I252" s="213"/>
      <c r="J252" s="208"/>
      <c r="K252" s="211"/>
      <c r="L252" s="211"/>
      <c r="M252" s="211"/>
      <c r="N252" s="208"/>
      <c r="O252" s="207"/>
      <c r="P252" s="207"/>
      <c r="Q252" s="207"/>
      <c r="R252" s="207"/>
      <c r="S252" s="207"/>
      <c r="T252" s="207"/>
      <c r="U252" s="207"/>
      <c r="V252" s="207"/>
      <c r="W252" s="207"/>
      <c r="X252" s="207"/>
      <c r="Y252" s="207"/>
      <c r="Z252" s="207"/>
      <c r="AA252" s="207"/>
      <c r="AB252" s="207"/>
      <c r="AC252" s="207"/>
      <c r="AD252" s="207"/>
      <c r="AE252" s="207"/>
      <c r="AF252" s="207"/>
      <c r="AG252" s="1624"/>
      <c r="AH252" s="1624"/>
      <c r="AI252" s="1624"/>
      <c r="AJ252" s="1630"/>
      <c r="AK252" s="1624" t="s">
        <v>1273</v>
      </c>
      <c r="AL252" s="1624"/>
      <c r="AM252" s="1624"/>
      <c r="AN252" s="1624"/>
      <c r="AO252" s="1633">
        <f>AO251*3</f>
        <v>0</v>
      </c>
      <c r="AP252" s="234"/>
    </row>
    <row r="253" spans="1:42">
      <c r="A253" s="374" t="s">
        <v>1583</v>
      </c>
      <c r="B253" s="213"/>
      <c r="C253" s="213"/>
      <c r="D253" s="213"/>
      <c r="E253" s="213"/>
      <c r="F253" s="213"/>
      <c r="G253" s="213"/>
      <c r="H253" s="213"/>
      <c r="I253" s="213"/>
      <c r="J253" s="208"/>
      <c r="K253" s="211"/>
      <c r="L253" s="211"/>
      <c r="M253" s="211"/>
      <c r="N253" s="210"/>
      <c r="O253" s="207"/>
      <c r="P253" s="207"/>
      <c r="Q253" s="207"/>
      <c r="R253" s="207"/>
      <c r="S253" s="207"/>
      <c r="T253" s="207">
        <f t="shared" ref="T253:AF253" si="157">S253</f>
        <v>0</v>
      </c>
      <c r="U253" s="207">
        <v>0.5</v>
      </c>
      <c r="V253" s="207">
        <f t="shared" si="157"/>
        <v>0.5</v>
      </c>
      <c r="W253" s="207">
        <f t="shared" si="157"/>
        <v>0.5</v>
      </c>
      <c r="X253" s="207">
        <f t="shared" si="157"/>
        <v>0.5</v>
      </c>
      <c r="Y253" s="207">
        <f t="shared" si="157"/>
        <v>0.5</v>
      </c>
      <c r="Z253" s="207">
        <f t="shared" si="157"/>
        <v>0.5</v>
      </c>
      <c r="AA253" s="1293">
        <f t="shared" si="157"/>
        <v>0.5</v>
      </c>
      <c r="AB253" s="1293">
        <f t="shared" si="157"/>
        <v>0.5</v>
      </c>
      <c r="AC253" s="1293">
        <f t="shared" si="157"/>
        <v>0.5</v>
      </c>
      <c r="AD253" s="1293">
        <f t="shared" si="157"/>
        <v>0.5</v>
      </c>
      <c r="AE253" s="1293">
        <f t="shared" si="157"/>
        <v>0.5</v>
      </c>
      <c r="AF253" s="1293">
        <f t="shared" si="157"/>
        <v>0.5</v>
      </c>
      <c r="AG253" s="1624"/>
      <c r="AH253" s="1624"/>
      <c r="AI253" s="1624"/>
      <c r="AJ253" s="1633"/>
      <c r="AK253" s="1624" t="s">
        <v>1274</v>
      </c>
      <c r="AL253" s="1624"/>
      <c r="AM253" s="1624"/>
      <c r="AN253" s="1624"/>
      <c r="AO253" s="1624"/>
      <c r="AP253" s="213"/>
    </row>
    <row r="254" spans="1:42">
      <c r="A254" s="291"/>
      <c r="B254" s="213"/>
      <c r="C254" s="213"/>
      <c r="D254" s="213"/>
      <c r="E254" s="213"/>
      <c r="F254" s="213"/>
      <c r="G254" s="213"/>
      <c r="H254" s="213"/>
      <c r="I254" s="213"/>
      <c r="J254" s="208"/>
      <c r="K254" s="211"/>
      <c r="L254" s="211"/>
      <c r="M254" s="211"/>
      <c r="N254" s="208"/>
      <c r="O254" s="208"/>
      <c r="P254" s="208"/>
      <c r="Q254" s="208"/>
      <c r="R254" s="208"/>
      <c r="S254" s="208"/>
      <c r="T254" s="208"/>
      <c r="U254" s="208"/>
      <c r="V254" s="208"/>
      <c r="W254" s="208"/>
      <c r="X254" s="208"/>
      <c r="Y254" s="208"/>
      <c r="Z254" s="208"/>
      <c r="AA254" s="208"/>
      <c r="AB254" s="208"/>
      <c r="AC254" s="208"/>
      <c r="AD254" s="208"/>
      <c r="AE254" s="208"/>
      <c r="AF254" s="208"/>
      <c r="AG254" s="1624"/>
      <c r="AH254" s="1624"/>
      <c r="AI254" s="1624"/>
      <c r="AJ254" s="1624"/>
      <c r="AK254" s="1624"/>
      <c r="AL254" s="1624"/>
      <c r="AM254" s="1624"/>
      <c r="AN254" s="1624"/>
      <c r="AO254" s="1633">
        <f>AO213-AO252</f>
        <v>0</v>
      </c>
      <c r="AP254" s="234"/>
    </row>
    <row r="255" spans="1:42">
      <c r="A255" s="19"/>
      <c r="B255" s="213"/>
      <c r="C255" s="213"/>
      <c r="D255" s="213"/>
      <c r="E255" s="213"/>
      <c r="F255" s="213"/>
      <c r="G255" s="213"/>
      <c r="H255" s="213"/>
      <c r="I255" s="213"/>
      <c r="J255" s="208"/>
      <c r="K255" s="211"/>
      <c r="L255" s="211"/>
      <c r="M255" s="211"/>
      <c r="N255" s="208"/>
      <c r="O255" s="208"/>
      <c r="P255" s="208"/>
      <c r="Q255" s="208"/>
      <c r="R255" s="208"/>
      <c r="S255" s="208"/>
      <c r="T255" s="208"/>
      <c r="U255" s="208"/>
      <c r="V255" s="208"/>
      <c r="W255" s="208"/>
      <c r="X255" s="208"/>
      <c r="Y255" s="208"/>
      <c r="Z255" s="208"/>
      <c r="AA255" s="208"/>
      <c r="AB255" s="208"/>
      <c r="AC255" s="208"/>
      <c r="AD255" s="208"/>
      <c r="AE255" s="208"/>
      <c r="AF255" s="208"/>
      <c r="AG255" s="1624"/>
      <c r="AH255" s="1624"/>
      <c r="AI255" s="1624"/>
      <c r="AJ255" s="1633"/>
      <c r="AK255" s="1624" t="s">
        <v>1268</v>
      </c>
      <c r="AL255" s="1624"/>
      <c r="AM255" s="1624"/>
      <c r="AN255" s="1624"/>
      <c r="AO255" s="1635" t="e">
        <f>AO254/AO213</f>
        <v>#DIV/0!</v>
      </c>
      <c r="AP255" s="340"/>
    </row>
    <row r="256" spans="1:42">
      <c r="A256" s="214" t="s">
        <v>1505</v>
      </c>
      <c r="B256" s="57"/>
      <c r="C256" s="57"/>
      <c r="D256" s="57"/>
      <c r="E256" s="57"/>
      <c r="F256" s="57"/>
      <c r="G256" s="57"/>
      <c r="H256" s="57"/>
      <c r="I256" s="57"/>
      <c r="J256" s="229"/>
      <c r="K256" s="230"/>
      <c r="L256" s="230"/>
      <c r="M256" s="230"/>
      <c r="N256" s="229"/>
      <c r="O256" s="229"/>
      <c r="P256" s="229"/>
      <c r="Q256" s="229"/>
      <c r="R256" s="229"/>
      <c r="S256" s="229"/>
      <c r="T256" s="229"/>
      <c r="U256" s="229"/>
      <c r="V256" s="229"/>
      <c r="W256" s="229"/>
      <c r="X256" s="229">
        <f t="shared" ref="X256:AF256" si="158">X247/X$250*X253</f>
        <v>209.23936190097996</v>
      </c>
      <c r="Y256" s="229">
        <f t="shared" si="158"/>
        <v>383.16924758955855</v>
      </c>
      <c r="Z256" s="229">
        <f t="shared" si="158"/>
        <v>793.75898878584587</v>
      </c>
      <c r="AA256" s="229">
        <f t="shared" si="158"/>
        <v>1370.2923180620928</v>
      </c>
      <c r="AB256" s="229">
        <f t="shared" si="158"/>
        <v>1729.6801649682773</v>
      </c>
      <c r="AC256" s="229">
        <f t="shared" si="158"/>
        <v>2249.9242116244441</v>
      </c>
      <c r="AD256" s="229">
        <f t="shared" si="158"/>
        <v>2822.3000597778887</v>
      </c>
      <c r="AE256" s="229">
        <f t="shared" si="158"/>
        <v>3183.1311224204915</v>
      </c>
      <c r="AF256" s="229">
        <f t="shared" si="158"/>
        <v>3594.1227149662632</v>
      </c>
      <c r="AG256" s="1624"/>
      <c r="AH256" s="1624"/>
      <c r="AI256" s="1624"/>
      <c r="AJ256" s="1635"/>
      <c r="AK256" s="1624" t="s">
        <v>985</v>
      </c>
      <c r="AL256" s="1624"/>
      <c r="AM256" s="1624"/>
      <c r="AN256" s="1624"/>
      <c r="AO256" s="1624"/>
      <c r="AP256" s="213"/>
    </row>
    <row r="257" spans="1:46">
      <c r="A257" s="349" t="s">
        <v>1489</v>
      </c>
      <c r="B257" s="383"/>
      <c r="C257" s="383"/>
      <c r="D257" s="383"/>
      <c r="E257" s="383"/>
      <c r="F257" s="383"/>
      <c r="G257" s="383"/>
      <c r="H257" s="383"/>
      <c r="I257" s="383"/>
      <c r="J257" s="216"/>
      <c r="K257" s="231"/>
      <c r="L257" s="231"/>
      <c r="M257" s="217"/>
      <c r="N257" s="217"/>
      <c r="O257" s="217"/>
      <c r="P257" s="217"/>
      <c r="Q257" s="217"/>
      <c r="R257" s="217"/>
      <c r="S257" s="217"/>
      <c r="T257" s="217"/>
      <c r="U257" s="217"/>
      <c r="V257" s="217"/>
      <c r="W257" s="217"/>
      <c r="X257" s="217"/>
      <c r="Y257" s="217">
        <f t="shared" ref="Y257:AF257" si="159">Y256/X256-1</f>
        <v>0.83124840426003987</v>
      </c>
      <c r="Z257" s="217">
        <f t="shared" si="159"/>
        <v>1.0715623547015469</v>
      </c>
      <c r="AA257" s="217">
        <f t="shared" si="159"/>
        <v>0.72633297691296339</v>
      </c>
      <c r="AB257" s="217">
        <f t="shared" si="159"/>
        <v>0.26227093458017858</v>
      </c>
      <c r="AC257" s="217">
        <f t="shared" si="159"/>
        <v>0.30077470806038198</v>
      </c>
      <c r="AD257" s="217">
        <f t="shared" si="159"/>
        <v>0.25439783491204326</v>
      </c>
      <c r="AE257" s="217">
        <f t="shared" si="159"/>
        <v>0.1278499999999998</v>
      </c>
      <c r="AF257" s="217">
        <f t="shared" si="159"/>
        <v>0.12911550820226614</v>
      </c>
      <c r="AG257" s="1624"/>
      <c r="AH257" s="1624" t="s">
        <v>1587</v>
      </c>
      <c r="AI257" s="1624"/>
      <c r="AJ257" s="1624"/>
      <c r="AK257" s="1624"/>
      <c r="AL257" s="1624"/>
      <c r="AM257" s="1624"/>
      <c r="AN257" s="1624"/>
      <c r="AO257" s="1624"/>
      <c r="AP257" s="213"/>
    </row>
    <row r="258" spans="1:46">
      <c r="A258" s="349"/>
      <c r="B258" s="383"/>
      <c r="C258" s="383"/>
      <c r="D258" s="383"/>
      <c r="E258" s="383"/>
      <c r="F258" s="383"/>
      <c r="G258" s="383"/>
      <c r="H258" s="383"/>
      <c r="I258" s="383"/>
      <c r="J258" s="216"/>
      <c r="K258" s="231"/>
      <c r="L258" s="231"/>
      <c r="M258" s="217"/>
      <c r="N258" s="217"/>
      <c r="O258" s="217"/>
      <c r="P258" s="217"/>
      <c r="Q258" s="217"/>
      <c r="R258" s="217"/>
      <c r="S258" s="217"/>
      <c r="T258" s="217"/>
      <c r="U258" s="217"/>
      <c r="V258" s="217"/>
      <c r="W258" s="217"/>
      <c r="X258" s="217"/>
      <c r="Y258" s="217"/>
      <c r="Z258" s="217"/>
      <c r="AA258" s="217"/>
      <c r="AB258" s="217"/>
      <c r="AC258" s="217"/>
      <c r="AD258" s="217"/>
      <c r="AE258" s="217"/>
      <c r="AF258" s="217"/>
      <c r="AG258" s="1624"/>
      <c r="AH258" s="1624"/>
      <c r="AI258" s="1624"/>
      <c r="AJ258" s="1624"/>
      <c r="AK258" s="1624"/>
      <c r="AL258" s="1624"/>
      <c r="AM258" s="1624"/>
      <c r="AN258" s="1624"/>
      <c r="AO258" s="1624"/>
      <c r="AP258" s="213"/>
      <c r="AQ258" s="213"/>
      <c r="AR258" s="213"/>
      <c r="AS258" s="213"/>
      <c r="AT258" s="213"/>
    </row>
    <row r="259" spans="1:46">
      <c r="A259" s="349"/>
      <c r="B259" s="383"/>
      <c r="C259" s="383"/>
      <c r="D259" s="383"/>
      <c r="E259" s="383"/>
      <c r="F259" s="383"/>
      <c r="G259" s="383"/>
      <c r="H259" s="383"/>
      <c r="I259" s="383"/>
      <c r="J259" s="216"/>
      <c r="K259" s="231"/>
      <c r="L259" s="231"/>
      <c r="M259" s="217"/>
      <c r="N259" s="217"/>
      <c r="O259" s="217"/>
      <c r="P259" s="217"/>
      <c r="Q259" s="217"/>
      <c r="R259" s="217"/>
      <c r="S259" s="217"/>
      <c r="T259" s="217"/>
      <c r="U259" s="217"/>
      <c r="V259" s="217"/>
      <c r="W259" s="217"/>
      <c r="X259" s="217"/>
      <c r="Y259" s="217"/>
      <c r="Z259" s="217"/>
      <c r="AA259" s="217"/>
      <c r="AB259" s="217"/>
      <c r="AC259" s="217"/>
      <c r="AD259" s="217"/>
      <c r="AE259" s="217"/>
      <c r="AF259" s="217"/>
      <c r="AG259" s="1624"/>
      <c r="AH259" s="1624"/>
      <c r="AI259" s="1624"/>
      <c r="AJ259" s="1624"/>
      <c r="AK259" s="1624"/>
      <c r="AL259" s="1624"/>
      <c r="AM259" s="1624"/>
      <c r="AN259" s="1624"/>
      <c r="AO259" s="1624"/>
      <c r="AP259" s="213"/>
      <c r="AQ259" s="213"/>
      <c r="AR259" s="213"/>
      <c r="AS259" s="213"/>
      <c r="AT259" s="213"/>
    </row>
    <row r="260" spans="1:46">
      <c r="A260" s="374" t="s">
        <v>1964</v>
      </c>
      <c r="B260" s="208"/>
      <c r="C260" s="208"/>
      <c r="D260" s="208"/>
      <c r="E260" s="208"/>
      <c r="F260" s="208"/>
      <c r="G260" s="208"/>
      <c r="H260" s="208"/>
      <c r="I260" s="208"/>
      <c r="J260" s="208"/>
      <c r="K260" s="208"/>
      <c r="L260" s="208"/>
      <c r="M260" s="208"/>
      <c r="N260" s="208"/>
      <c r="O260" s="208"/>
      <c r="P260" s="208"/>
      <c r="Q260" s="208"/>
      <c r="R260" s="208"/>
      <c r="S260" s="208"/>
      <c r="T260" s="208"/>
      <c r="U260" s="208"/>
      <c r="V260" s="208"/>
      <c r="W260" s="208"/>
      <c r="X260" s="208"/>
      <c r="Y260" s="208"/>
      <c r="Z260" s="208"/>
      <c r="AA260" s="208">
        <f>AA256*AA261</f>
        <v>13.702923180620928</v>
      </c>
      <c r="AB260" s="208">
        <f t="shared" ref="AB260:AF260" si="160">AB256*AB261</f>
        <v>17.296801649682774</v>
      </c>
      <c r="AC260" s="208">
        <f t="shared" si="160"/>
        <v>44.998484232488885</v>
      </c>
      <c r="AD260" s="208">
        <f t="shared" si="160"/>
        <v>84.669001793336662</v>
      </c>
      <c r="AE260" s="208">
        <f t="shared" si="160"/>
        <v>159.15655612102458</v>
      </c>
      <c r="AF260" s="208">
        <f t="shared" si="160"/>
        <v>251.58859004763843</v>
      </c>
      <c r="AG260" s="1624"/>
      <c r="AH260" s="1624"/>
      <c r="AI260" s="1624"/>
      <c r="AJ260" s="1624"/>
      <c r="AK260" s="1624"/>
      <c r="AL260" s="1624"/>
      <c r="AM260" s="1624"/>
      <c r="AN260" s="1624"/>
      <c r="AO260" s="1624"/>
      <c r="AP260" s="213"/>
      <c r="AQ260" s="213"/>
      <c r="AR260" s="213"/>
      <c r="AS260" s="213"/>
      <c r="AT260" s="213"/>
    </row>
    <row r="261" spans="1:46">
      <c r="A261" s="374" t="s">
        <v>1965</v>
      </c>
      <c r="B261" s="208"/>
      <c r="C261" s="208"/>
      <c r="D261" s="208"/>
      <c r="E261" s="208"/>
      <c r="F261" s="208"/>
      <c r="G261" s="208"/>
      <c r="H261" s="208"/>
      <c r="I261" s="208"/>
      <c r="J261" s="208"/>
      <c r="K261" s="208"/>
      <c r="L261" s="208"/>
      <c r="M261" s="208"/>
      <c r="N261" s="208"/>
      <c r="O261" s="208"/>
      <c r="P261" s="208"/>
      <c r="Q261" s="208"/>
      <c r="R261" s="208"/>
      <c r="S261" s="208"/>
      <c r="T261" s="208"/>
      <c r="U261" s="208"/>
      <c r="V261" s="208"/>
      <c r="W261" s="208"/>
      <c r="X261" s="208"/>
      <c r="Y261" s="208"/>
      <c r="Z261" s="208"/>
      <c r="AA261" s="1415">
        <v>0.01</v>
      </c>
      <c r="AB261" s="1415">
        <v>0.01</v>
      </c>
      <c r="AC261" s="1415">
        <v>0.02</v>
      </c>
      <c r="AD261" s="1415">
        <v>0.03</v>
      </c>
      <c r="AE261" s="1415">
        <v>0.05</v>
      </c>
      <c r="AF261" s="1415">
        <v>7.0000000000000007E-2</v>
      </c>
      <c r="AG261" s="1624"/>
      <c r="AH261" s="1629"/>
      <c r="AI261" s="1624"/>
      <c r="AJ261" s="1624"/>
      <c r="AK261" s="1624"/>
      <c r="AL261" s="1624"/>
      <c r="AM261" s="1624"/>
      <c r="AN261" s="1624"/>
      <c r="AO261" s="1624"/>
      <c r="AP261" s="213"/>
      <c r="AQ261" s="213"/>
      <c r="AR261" s="213"/>
      <c r="AS261" s="213"/>
      <c r="AT261" s="213"/>
    </row>
    <row r="262" spans="1:46">
      <c r="A262" s="374"/>
      <c r="B262" s="208"/>
      <c r="C262" s="208"/>
      <c r="D262" s="208"/>
      <c r="E262" s="208"/>
      <c r="F262" s="208"/>
      <c r="G262" s="208"/>
      <c r="H262" s="208"/>
      <c r="I262" s="208"/>
      <c r="J262" s="208"/>
      <c r="K262" s="208"/>
      <c r="L262" s="208"/>
      <c r="M262" s="208"/>
      <c r="N262" s="208"/>
      <c r="O262" s="208"/>
      <c r="P262" s="208"/>
      <c r="Q262" s="208"/>
      <c r="R262" s="208"/>
      <c r="S262" s="208"/>
      <c r="T262" s="208"/>
      <c r="U262" s="208"/>
      <c r="V262" s="208"/>
      <c r="W262" s="208"/>
      <c r="X262" s="208"/>
      <c r="Y262" s="208"/>
      <c r="Z262" s="208"/>
      <c r="AA262" s="208"/>
      <c r="AB262" s="208"/>
      <c r="AC262" s="208"/>
      <c r="AD262" s="208"/>
      <c r="AE262" s="208"/>
      <c r="AF262" s="208"/>
      <c r="AG262" s="1624"/>
      <c r="AH262" s="1624"/>
      <c r="AI262" s="1624"/>
      <c r="AJ262" s="1624"/>
      <c r="AK262" s="1624"/>
      <c r="AL262" s="1624"/>
      <c r="AM262" s="1624"/>
      <c r="AN262" s="1624"/>
      <c r="AO262" s="1624"/>
      <c r="AP262" s="213"/>
      <c r="AQ262" s="213"/>
      <c r="AR262" s="213"/>
      <c r="AS262" s="213"/>
      <c r="AT262" s="213"/>
    </row>
    <row r="263" spans="1:46">
      <c r="A263" s="291"/>
      <c r="B263" s="208"/>
      <c r="C263" s="208"/>
      <c r="D263" s="208"/>
      <c r="E263" s="208"/>
      <c r="F263" s="208"/>
      <c r="G263" s="208"/>
      <c r="H263" s="208"/>
      <c r="I263" s="208"/>
      <c r="J263" s="208"/>
      <c r="K263" s="208"/>
      <c r="L263" s="208"/>
      <c r="M263" s="208"/>
      <c r="N263" s="208"/>
      <c r="O263" s="208"/>
      <c r="P263" s="208"/>
      <c r="Q263" s="208"/>
      <c r="R263" s="208"/>
      <c r="S263" s="208"/>
      <c r="T263" s="208"/>
      <c r="U263" s="208"/>
      <c r="V263" s="208"/>
      <c r="W263" s="208"/>
      <c r="X263" s="208"/>
      <c r="Y263" s="208"/>
      <c r="Z263" s="208"/>
      <c r="AA263" s="208"/>
      <c r="AB263" s="223"/>
      <c r="AC263" s="223"/>
      <c r="AD263" s="223"/>
      <c r="AE263" s="223"/>
      <c r="AF263" s="223"/>
      <c r="AG263" s="1624"/>
      <c r="AH263" s="1624"/>
      <c r="AI263" s="1624"/>
      <c r="AJ263" s="1624"/>
      <c r="AK263" s="1624"/>
      <c r="AL263" s="1624"/>
      <c r="AM263" s="1624"/>
      <c r="AN263" s="1624"/>
      <c r="AO263" s="1624"/>
      <c r="AP263" s="213"/>
      <c r="AQ263" s="213"/>
      <c r="AR263" s="213"/>
      <c r="AS263" s="213"/>
      <c r="AT263" s="213"/>
    </row>
    <row r="264" spans="1:46">
      <c r="A264" s="370"/>
      <c r="B264" s="208"/>
      <c r="C264" s="208"/>
      <c r="D264" s="208"/>
      <c r="E264" s="208"/>
      <c r="F264" s="208"/>
      <c r="G264" s="208"/>
      <c r="H264" s="208"/>
      <c r="I264" s="208"/>
      <c r="J264" s="208"/>
      <c r="K264" s="208"/>
      <c r="L264" s="208"/>
      <c r="M264" s="208"/>
      <c r="N264" s="208"/>
      <c r="O264" s="208"/>
      <c r="P264" s="208"/>
      <c r="Q264" s="208"/>
      <c r="R264" s="208"/>
      <c r="S264" s="208"/>
      <c r="T264" s="208"/>
      <c r="U264" s="208"/>
      <c r="V264" s="208"/>
      <c r="W264" s="213"/>
      <c r="X264" s="213"/>
      <c r="Y264" s="213"/>
      <c r="Z264" s="213"/>
      <c r="AA264" s="213"/>
      <c r="AB264" s="213"/>
      <c r="AC264" s="213"/>
      <c r="AD264" s="213"/>
      <c r="AE264" s="213"/>
      <c r="AF264" s="213"/>
      <c r="AG264" s="1624"/>
      <c r="AH264" s="1624"/>
      <c r="AI264" s="1624"/>
      <c r="AJ264" s="1624"/>
      <c r="AK264" s="1624"/>
      <c r="AL264" s="1624"/>
      <c r="AM264" s="1624"/>
      <c r="AN264" s="1624"/>
      <c r="AO264" s="1624"/>
      <c r="AP264" s="213"/>
      <c r="AQ264" s="213"/>
      <c r="AR264" s="213"/>
      <c r="AS264" s="213"/>
      <c r="AT264" s="213"/>
    </row>
    <row r="265" spans="1:46">
      <c r="A265" s="393" t="s">
        <v>1816</v>
      </c>
      <c r="B265" s="218"/>
      <c r="C265" s="218"/>
      <c r="D265" s="218"/>
      <c r="E265" s="218"/>
      <c r="F265" s="218"/>
      <c r="G265" s="218"/>
      <c r="H265" s="218"/>
      <c r="I265" s="218"/>
      <c r="J265" s="218"/>
      <c r="K265" s="219"/>
      <c r="L265" s="219"/>
      <c r="M265" s="219"/>
      <c r="N265" s="219"/>
      <c r="O265" s="219"/>
      <c r="P265" s="219"/>
      <c r="Q265" s="219"/>
      <c r="R265" s="219"/>
      <c r="S265" s="219"/>
      <c r="T265" s="219"/>
      <c r="U265" s="219"/>
      <c r="V265" s="219"/>
      <c r="W265" s="219"/>
      <c r="X265" s="219"/>
      <c r="Y265" s="219"/>
      <c r="Z265" s="219"/>
      <c r="AA265" s="219"/>
      <c r="AB265" s="219"/>
      <c r="AC265" s="219"/>
      <c r="AD265" s="219"/>
      <c r="AE265" s="219"/>
      <c r="AF265" s="219"/>
      <c r="AG265" s="1624"/>
      <c r="AH265" s="1624"/>
      <c r="AI265" s="1624"/>
      <c r="AJ265" s="1624"/>
      <c r="AK265" s="1624"/>
      <c r="AL265" s="1624"/>
      <c r="AM265" s="1624"/>
      <c r="AN265" s="1624"/>
      <c r="AO265" s="1624"/>
      <c r="AP265" s="213"/>
      <c r="AQ265" s="213"/>
      <c r="AR265" s="213"/>
      <c r="AS265" s="213"/>
      <c r="AT265" s="213"/>
    </row>
    <row r="266" spans="1:46">
      <c r="A266" s="291"/>
      <c r="B266" s="213"/>
      <c r="C266" s="213"/>
      <c r="D266" s="213"/>
      <c r="E266" s="213"/>
      <c r="F266" s="213"/>
      <c r="G266" s="213"/>
      <c r="H266" s="213"/>
      <c r="I266" s="213"/>
      <c r="J266" s="208"/>
      <c r="K266" s="211"/>
      <c r="L266" s="211"/>
      <c r="M266" s="211"/>
      <c r="N266" s="210"/>
      <c r="O266" s="220"/>
      <c r="P266" s="220"/>
      <c r="Q266" s="220"/>
      <c r="R266" s="210"/>
      <c r="S266" s="220"/>
      <c r="T266" s="220"/>
      <c r="U266" s="220"/>
      <c r="V266" s="220"/>
      <c r="W266" s="220"/>
      <c r="X266" s="220"/>
      <c r="Y266" s="220"/>
      <c r="Z266" s="220"/>
      <c r="AA266" s="220"/>
      <c r="AB266" s="220"/>
      <c r="AC266" s="220"/>
      <c r="AD266" s="220"/>
      <c r="AE266" s="220"/>
      <c r="AF266" s="220"/>
      <c r="AG266" s="1624"/>
      <c r="AH266" s="1624"/>
      <c r="AI266" s="1624"/>
      <c r="AJ266" s="1624"/>
      <c r="AK266" s="1624"/>
      <c r="AL266" s="1624"/>
      <c r="AM266" s="1624"/>
      <c r="AN266" s="1624"/>
      <c r="AO266" s="1624"/>
      <c r="AP266" s="213"/>
      <c r="AQ266" s="213"/>
      <c r="AR266" s="213"/>
      <c r="AS266" s="213"/>
      <c r="AT266" s="213"/>
    </row>
    <row r="267" spans="1:46">
      <c r="A267" s="19" t="s">
        <v>1503</v>
      </c>
      <c r="B267" s="213"/>
      <c r="C267" s="213"/>
      <c r="D267" s="213"/>
      <c r="E267" s="213"/>
      <c r="F267" s="213"/>
      <c r="G267" s="213"/>
      <c r="H267" s="213"/>
      <c r="I267" s="213"/>
      <c r="J267" s="208"/>
      <c r="K267" s="211"/>
      <c r="L267" s="211"/>
      <c r="M267" s="211"/>
      <c r="N267" s="208"/>
      <c r="O267" s="208"/>
      <c r="P267" s="208"/>
      <c r="Q267" s="208"/>
      <c r="R267" s="208"/>
      <c r="S267" s="208"/>
      <c r="T267" s="208"/>
      <c r="U267" s="208"/>
      <c r="V267" s="208"/>
      <c r="W267" s="208"/>
      <c r="X267" s="213"/>
      <c r="Y267" s="213"/>
      <c r="Z267" s="208"/>
      <c r="AA267" s="208"/>
      <c r="AB267" s="208"/>
      <c r="AC267" s="208"/>
      <c r="AD267" s="208"/>
      <c r="AE267" s="208"/>
      <c r="AF267" s="208"/>
      <c r="AG267" s="1624"/>
      <c r="AH267" s="1624"/>
      <c r="AI267" s="1624"/>
      <c r="AJ267" s="1624"/>
      <c r="AK267" s="1624"/>
      <c r="AL267" s="1624"/>
      <c r="AM267" s="1624"/>
      <c r="AN267" s="1624"/>
      <c r="AO267" s="1624"/>
      <c r="AP267" s="213"/>
      <c r="AQ267" s="213"/>
      <c r="AR267" s="213"/>
      <c r="AS267" s="213"/>
      <c r="AT267" s="213"/>
    </row>
    <row r="268" spans="1:46">
      <c r="A268" s="291" t="s">
        <v>1799</v>
      </c>
      <c r="B268" s="213"/>
      <c r="C268" s="213"/>
      <c r="D268" s="213"/>
      <c r="E268" s="213"/>
      <c r="F268" s="213"/>
      <c r="G268" s="213"/>
      <c r="H268" s="213"/>
      <c r="I268" s="213"/>
      <c r="J268" s="208"/>
      <c r="K268" s="211"/>
      <c r="L268" s="211"/>
      <c r="M268" s="211"/>
      <c r="N268" s="208"/>
      <c r="O268" s="208"/>
      <c r="P268" s="208"/>
      <c r="Q268" s="208"/>
      <c r="R268" s="208"/>
      <c r="S268" s="208"/>
      <c r="T268" s="208">
        <f t="shared" ref="T268:V268" si="161">T270-T269</f>
        <v>200.26153738471714</v>
      </c>
      <c r="U268" s="208">
        <v>217.48402959980285</v>
      </c>
      <c r="V268" s="208">
        <f t="shared" si="161"/>
        <v>137.09105805823572</v>
      </c>
      <c r="W268" s="208">
        <v>150.40259979569038</v>
      </c>
      <c r="X268" s="208">
        <v>180.76888469444032</v>
      </c>
      <c r="Y268" s="208">
        <v>243.79395634315694</v>
      </c>
      <c r="Z268" s="208">
        <v>304.74244542894621</v>
      </c>
      <c r="AA268" s="208">
        <f t="shared" ref="AA268:AF268" si="162">AA270-AA269</f>
        <v>365.69093451473543</v>
      </c>
      <c r="AB268" s="208">
        <f t="shared" si="162"/>
        <v>438.82912141768247</v>
      </c>
      <c r="AC268" s="208">
        <f t="shared" si="162"/>
        <v>526.59494570121888</v>
      </c>
      <c r="AD268" s="208">
        <f t="shared" si="162"/>
        <v>631.91393484146261</v>
      </c>
      <c r="AE268" s="208">
        <f t="shared" si="162"/>
        <v>707.74360702243825</v>
      </c>
      <c r="AF268" s="208">
        <f t="shared" si="162"/>
        <v>792.67283986513098</v>
      </c>
      <c r="AG268" s="1624"/>
      <c r="AH268" s="1624"/>
      <c r="AI268" s="1624"/>
      <c r="AJ268" s="1624"/>
      <c r="AK268" s="1624"/>
      <c r="AL268" s="1624"/>
      <c r="AM268" s="1624"/>
      <c r="AN268" s="1624"/>
      <c r="AO268" s="1624"/>
      <c r="AP268" s="213"/>
      <c r="AQ268" s="213"/>
      <c r="AR268" s="213"/>
      <c r="AS268" s="213"/>
      <c r="AT268" s="213"/>
    </row>
    <row r="269" spans="1:46">
      <c r="A269" s="291" t="s">
        <v>1023</v>
      </c>
      <c r="B269" s="213"/>
      <c r="C269" s="213"/>
      <c r="D269" s="213"/>
      <c r="E269" s="213"/>
      <c r="F269" s="213"/>
      <c r="G269" s="213"/>
      <c r="H269" s="213"/>
      <c r="I269" s="213"/>
      <c r="J269" s="208"/>
      <c r="K269" s="211"/>
      <c r="L269" s="211"/>
      <c r="M269" s="211"/>
      <c r="N269" s="208"/>
      <c r="O269" s="208"/>
      <c r="P269" s="208"/>
      <c r="Q269" s="208"/>
      <c r="R269" s="208"/>
      <c r="S269" s="208"/>
      <c r="T269" s="208">
        <f t="shared" ref="T269:V269" si="163">T270*0.65</f>
        <v>371.91428371447466</v>
      </c>
      <c r="U269" s="208">
        <v>403.89891211391955</v>
      </c>
      <c r="V269" s="208">
        <f t="shared" si="163"/>
        <v>254.5976792510092</v>
      </c>
      <c r="W269" s="208">
        <v>279.31911390628221</v>
      </c>
      <c r="X269" s="208">
        <v>335.71364300396056</v>
      </c>
      <c r="Y269" s="208">
        <v>452.76020463729145</v>
      </c>
      <c r="Z269" s="208">
        <v>565.95025579661433</v>
      </c>
      <c r="AA269" s="208">
        <f t="shared" ref="AA269:AF269" si="164">AA270*0.65</f>
        <v>679.14030695593726</v>
      </c>
      <c r="AB269" s="208">
        <f t="shared" si="164"/>
        <v>814.96836834712462</v>
      </c>
      <c r="AC269" s="208">
        <f t="shared" si="164"/>
        <v>977.9620420165495</v>
      </c>
      <c r="AD269" s="208">
        <f t="shared" si="164"/>
        <v>1173.5544504198594</v>
      </c>
      <c r="AE269" s="208">
        <f t="shared" si="164"/>
        <v>1314.3809844702425</v>
      </c>
      <c r="AF269" s="208">
        <f t="shared" si="164"/>
        <v>1472.1067026066719</v>
      </c>
      <c r="AG269" s="1624"/>
      <c r="AH269" s="1628"/>
      <c r="AI269" s="1624"/>
      <c r="AJ269" s="1624"/>
      <c r="AK269" s="1624"/>
      <c r="AL269" s="1624"/>
      <c r="AM269" s="1624"/>
      <c r="AN269" s="1624"/>
      <c r="AO269" s="1624"/>
      <c r="AP269" s="213"/>
      <c r="AQ269" s="213"/>
      <c r="AS269" s="213"/>
      <c r="AT269" s="213"/>
    </row>
    <row r="270" spans="1:46">
      <c r="A270" s="214" t="s">
        <v>1817</v>
      </c>
      <c r="B270" s="57"/>
      <c r="C270" s="57"/>
      <c r="D270" s="57"/>
      <c r="E270" s="57"/>
      <c r="F270" s="57"/>
      <c r="G270" s="57"/>
      <c r="H270" s="57"/>
      <c r="I270" s="57"/>
      <c r="J270" s="229"/>
      <c r="K270" s="230"/>
      <c r="L270" s="230"/>
      <c r="M270" s="230"/>
      <c r="N270" s="229"/>
      <c r="O270" s="229"/>
      <c r="P270" s="229"/>
      <c r="Q270" s="229"/>
      <c r="R270" s="229"/>
      <c r="S270" s="229"/>
      <c r="T270" s="229">
        <f t="shared" ref="T270:V270" si="165">U270/(1+U271)</f>
        <v>572.17582109919181</v>
      </c>
      <c r="U270" s="229">
        <v>621.3829417137224</v>
      </c>
      <c r="V270" s="229">
        <f t="shared" si="165"/>
        <v>391.68873730924491</v>
      </c>
      <c r="W270" s="229">
        <v>429.72171370197259</v>
      </c>
      <c r="X270" s="229">
        <v>516.48252769840087</v>
      </c>
      <c r="Y270" s="229">
        <v>696.55416098044839</v>
      </c>
      <c r="Z270" s="229">
        <v>870.69270122556054</v>
      </c>
      <c r="AA270" s="229">
        <f t="shared" ref="AA270" si="166">Z270*(1+AA271)</f>
        <v>1044.8312414706727</v>
      </c>
      <c r="AB270" s="229">
        <f t="shared" ref="AB270" si="167">AA270*(1+AB271)</f>
        <v>1253.7974897648071</v>
      </c>
      <c r="AC270" s="229">
        <f t="shared" ref="AC270" si="168">AB270*(1+AC271)</f>
        <v>1504.5569877177684</v>
      </c>
      <c r="AD270" s="229">
        <f t="shared" ref="AD270" si="169">AC270*(1+AD271)</f>
        <v>1805.4683852613221</v>
      </c>
      <c r="AE270" s="229">
        <f t="shared" ref="AE270" si="170">AD270*(1+AE271)</f>
        <v>2022.1245914926808</v>
      </c>
      <c r="AF270" s="229">
        <f t="shared" ref="AF270" si="171">AE270*(1+AF271)</f>
        <v>2264.7795424718029</v>
      </c>
      <c r="AG270" s="1624"/>
      <c r="AH270" s="1624"/>
      <c r="AI270" s="1624"/>
      <c r="AJ270" s="1624"/>
      <c r="AK270" s="1624"/>
      <c r="AL270" s="1624"/>
      <c r="AM270" s="1624"/>
      <c r="AN270" s="1624"/>
      <c r="AO270" s="1624"/>
      <c r="AP270" s="213"/>
      <c r="AQ270" s="213"/>
      <c r="AR270" s="213"/>
      <c r="AS270" s="213"/>
      <c r="AT270" s="213"/>
    </row>
    <row r="271" spans="1:46">
      <c r="A271" s="349" t="s">
        <v>1489</v>
      </c>
      <c r="B271" s="213"/>
      <c r="C271" s="213"/>
      <c r="D271" s="213"/>
      <c r="E271" s="213"/>
      <c r="F271" s="213"/>
      <c r="G271" s="213"/>
      <c r="H271" s="213"/>
      <c r="I271" s="213"/>
      <c r="J271" s="208"/>
      <c r="K271" s="211"/>
      <c r="L271" s="211"/>
      <c r="M271" s="211"/>
      <c r="N271" s="208"/>
      <c r="O271" s="208"/>
      <c r="P271" s="454"/>
      <c r="Q271" s="454"/>
      <c r="R271" s="454"/>
      <c r="S271" s="454"/>
      <c r="T271" s="1198">
        <v>9.0889751552795106E-2</v>
      </c>
      <c r="U271" s="1198">
        <v>8.5999999999999993E-2</v>
      </c>
      <c r="V271" s="1198">
        <v>-0.36964999999999998</v>
      </c>
      <c r="W271" s="1198">
        <v>9.7100000000000006E-2</v>
      </c>
      <c r="X271" s="1198">
        <v>0.2019</v>
      </c>
      <c r="Y271" s="1198">
        <v>0.34865000000000002</v>
      </c>
      <c r="Z271" s="1198">
        <v>0.25</v>
      </c>
      <c r="AA271" s="1302">
        <v>0.2</v>
      </c>
      <c r="AB271" s="1302">
        <v>0.2</v>
      </c>
      <c r="AC271" s="1302">
        <v>0.2</v>
      </c>
      <c r="AD271" s="1302">
        <v>0.2</v>
      </c>
      <c r="AE271" s="1302">
        <v>0.12</v>
      </c>
      <c r="AF271" s="1302">
        <v>0.12</v>
      </c>
      <c r="AG271" s="1624"/>
      <c r="AH271" s="1624"/>
      <c r="AI271" s="1624"/>
      <c r="AJ271" s="1624"/>
      <c r="AK271" s="1624"/>
      <c r="AL271" s="1624"/>
      <c r="AM271" s="1624"/>
      <c r="AN271" s="1624"/>
      <c r="AO271" s="1624"/>
      <c r="AP271" s="213"/>
    </row>
    <row r="272" spans="1:46">
      <c r="A272" s="19"/>
      <c r="B272" s="213"/>
      <c r="C272" s="213"/>
      <c r="D272" s="213"/>
      <c r="E272" s="213"/>
      <c r="F272" s="213"/>
      <c r="G272" s="213"/>
      <c r="H272" s="213"/>
      <c r="I272" s="213"/>
      <c r="J272" s="208"/>
      <c r="K272" s="211"/>
      <c r="L272" s="211"/>
      <c r="M272" s="211"/>
      <c r="N272" s="208"/>
      <c r="O272" s="208"/>
      <c r="P272" s="208"/>
      <c r="Q272" s="208"/>
      <c r="R272" s="208"/>
      <c r="S272" s="208"/>
      <c r="T272" s="208"/>
      <c r="U272" s="208"/>
      <c r="V272" s="208"/>
      <c r="W272" s="208"/>
      <c r="X272" s="213"/>
      <c r="Y272" s="1190"/>
      <c r="Z272" s="208"/>
      <c r="AA272" s="208"/>
      <c r="AB272" s="208"/>
      <c r="AC272" s="208"/>
      <c r="AD272" s="208"/>
      <c r="AE272" s="208"/>
      <c r="AF272" s="208"/>
      <c r="AG272" s="1624"/>
      <c r="AH272" s="1624"/>
      <c r="AI272" s="1624"/>
      <c r="AJ272" s="1624"/>
      <c r="AK272" s="1624"/>
      <c r="AL272" s="1624"/>
      <c r="AM272" s="1624"/>
      <c r="AN272" s="1624"/>
      <c r="AO272" s="1624"/>
      <c r="AP272" s="213"/>
    </row>
    <row r="273" spans="1:42">
      <c r="A273" s="19" t="s">
        <v>1498</v>
      </c>
      <c r="B273" s="213"/>
      <c r="C273" s="213"/>
      <c r="D273" s="213"/>
      <c r="E273" s="213"/>
      <c r="F273" s="213"/>
      <c r="G273" s="213"/>
      <c r="H273" s="213"/>
      <c r="I273" s="213"/>
      <c r="J273" s="208"/>
      <c r="K273" s="211"/>
      <c r="L273" s="211"/>
      <c r="M273" s="211"/>
      <c r="N273" s="233"/>
      <c r="O273" s="233"/>
      <c r="P273" s="233"/>
      <c r="Q273" s="233"/>
      <c r="R273" s="233"/>
      <c r="S273" s="233"/>
      <c r="T273" s="233">
        <f>'Income Statement'!T$155</f>
        <v>1.18028</v>
      </c>
      <c r="U273" s="233">
        <v>1.159077672574627</v>
      </c>
      <c r="V273" s="233">
        <f>'Income Statement'!V$155</f>
        <v>1.1490638246268656</v>
      </c>
      <c r="W273" s="233">
        <f>'Income Statement'!W$155</f>
        <v>1.1713242788461544</v>
      </c>
      <c r="X273" s="233">
        <f>'Income Statement'!X$155</f>
        <v>1.1065795550914248</v>
      </c>
      <c r="Y273" s="233">
        <f>'Income Statement'!Y$155</f>
        <v>1.1105369302909465</v>
      </c>
      <c r="Z273" s="233">
        <f>'Income Statement'!Z$155</f>
        <v>1.1083231112074399</v>
      </c>
      <c r="AA273" s="1301">
        <f>'Income Statement'!AA$155</f>
        <v>1.1207295968584789</v>
      </c>
      <c r="AB273" s="1301">
        <f>'Income Statement'!AB$155</f>
        <v>1.1426415000000001</v>
      </c>
      <c r="AC273" s="1301">
        <f>'Income Statement'!AC$155</f>
        <v>1.1426415000000001</v>
      </c>
      <c r="AD273" s="1301">
        <f>'Income Statement'!AD$155</f>
        <v>1.1426415000000001</v>
      </c>
      <c r="AE273" s="1301">
        <f>'Income Statement'!AE$155</f>
        <v>1.1426415000000001</v>
      </c>
      <c r="AF273" s="1301">
        <f>'Income Statement'!AF$155</f>
        <v>1.1426415000000001</v>
      </c>
      <c r="AG273" s="1624"/>
      <c r="AH273" s="1624" t="s">
        <v>1815</v>
      </c>
      <c r="AI273" s="1624"/>
      <c r="AJ273" s="1624"/>
      <c r="AK273" s="1624"/>
      <c r="AL273" s="1624"/>
      <c r="AM273" s="1624"/>
      <c r="AN273" s="1624"/>
      <c r="AO273" s="1624"/>
      <c r="AP273" s="213"/>
    </row>
    <row r="274" spans="1:42">
      <c r="A274" s="19" t="s">
        <v>1499</v>
      </c>
      <c r="B274" s="213"/>
      <c r="C274" s="213"/>
      <c r="D274" s="213"/>
      <c r="E274" s="213"/>
      <c r="F274" s="213"/>
      <c r="G274" s="213"/>
      <c r="H274" s="213"/>
      <c r="I274" s="213"/>
      <c r="J274" s="208"/>
      <c r="K274" s="211"/>
      <c r="L274" s="211"/>
      <c r="M274" s="211"/>
      <c r="N274" s="208"/>
      <c r="O274" s="207"/>
      <c r="P274" s="207"/>
      <c r="Q274" s="207"/>
      <c r="R274" s="207"/>
      <c r="S274" s="207"/>
      <c r="T274" s="207" t="e">
        <f t="shared" ref="T274:AF274" si="172">(1/T273)/(1/S273)-1</f>
        <v>#DIV/0!</v>
      </c>
      <c r="U274" s="207">
        <v>1.8292412947854331E-2</v>
      </c>
      <c r="V274" s="207">
        <f t="shared" si="172"/>
        <v>8.7147882764591067E-3</v>
      </c>
      <c r="W274" s="207">
        <f t="shared" si="172"/>
        <v>-1.9004518749681454E-2</v>
      </c>
      <c r="X274" s="207">
        <f t="shared" si="172"/>
        <v>5.8508873995399613E-2</v>
      </c>
      <c r="Y274" s="207">
        <f t="shared" si="172"/>
        <v>-3.5634791528138532E-3</v>
      </c>
      <c r="Z274" s="207">
        <f t="shared" si="172"/>
        <v>1.9974491744512157E-3</v>
      </c>
      <c r="AA274" s="207">
        <f t="shared" si="172"/>
        <v>-1.1070008042810442E-2</v>
      </c>
      <c r="AB274" s="207">
        <f t="shared" si="172"/>
        <v>-1.9176533621018677E-2</v>
      </c>
      <c r="AC274" s="207">
        <f t="shared" si="172"/>
        <v>0</v>
      </c>
      <c r="AD274" s="207">
        <f t="shared" si="172"/>
        <v>0</v>
      </c>
      <c r="AE274" s="207">
        <f t="shared" si="172"/>
        <v>0</v>
      </c>
      <c r="AF274" s="207">
        <f t="shared" si="172"/>
        <v>0</v>
      </c>
      <c r="AG274" s="1624"/>
      <c r="AH274" s="1624"/>
      <c r="AI274" s="1624"/>
      <c r="AJ274" s="1624"/>
      <c r="AK274" s="1624"/>
      <c r="AL274" s="1624"/>
      <c r="AM274" s="1624"/>
      <c r="AN274" s="1624"/>
      <c r="AO274" s="1624"/>
      <c r="AP274" s="213"/>
    </row>
    <row r="275" spans="1:42">
      <c r="A275" s="19"/>
      <c r="B275" s="213"/>
      <c r="C275" s="213"/>
      <c r="D275" s="213"/>
      <c r="E275" s="213"/>
      <c r="F275" s="213"/>
      <c r="G275" s="213"/>
      <c r="H275" s="213"/>
      <c r="I275" s="213"/>
      <c r="J275" s="208"/>
      <c r="K275" s="211"/>
      <c r="L275" s="211"/>
      <c r="M275" s="211"/>
      <c r="N275" s="208"/>
      <c r="O275" s="208"/>
      <c r="P275" s="208"/>
      <c r="Q275" s="208"/>
      <c r="R275" s="208"/>
      <c r="S275" s="208"/>
      <c r="T275" s="208"/>
      <c r="U275" s="208"/>
      <c r="V275" s="208"/>
      <c r="W275" s="208"/>
      <c r="X275" s="213"/>
      <c r="Y275" s="213"/>
      <c r="Z275" s="208"/>
      <c r="AA275" s="208"/>
      <c r="AB275" s="208"/>
      <c r="AC275" s="208"/>
      <c r="AD275" s="208"/>
      <c r="AE275" s="208"/>
      <c r="AF275" s="208"/>
      <c r="AG275" s="1624"/>
      <c r="AH275" s="1624"/>
      <c r="AI275" s="1624"/>
      <c r="AJ275" s="1624"/>
      <c r="AK275" s="1624"/>
      <c r="AL275" s="1624"/>
      <c r="AM275" s="1624"/>
      <c r="AN275" s="1624"/>
      <c r="AO275" s="1624"/>
      <c r="AP275" s="213"/>
    </row>
    <row r="276" spans="1:42">
      <c r="A276" s="19" t="s">
        <v>1504</v>
      </c>
      <c r="B276" s="213"/>
      <c r="C276" s="213"/>
      <c r="D276" s="213"/>
      <c r="E276" s="213"/>
      <c r="F276" s="213"/>
      <c r="G276" s="213"/>
      <c r="H276" s="213"/>
      <c r="I276" s="213"/>
      <c r="J276" s="208"/>
      <c r="K276" s="211"/>
      <c r="L276" s="211"/>
      <c r="M276" s="211"/>
      <c r="N276" s="208"/>
      <c r="O276" s="208"/>
      <c r="P276" s="208"/>
      <c r="Q276" s="208"/>
      <c r="R276" s="208"/>
      <c r="S276" s="208"/>
      <c r="T276" s="208"/>
      <c r="U276" s="208"/>
      <c r="V276" s="208"/>
      <c r="W276" s="208"/>
      <c r="X276" s="213"/>
      <c r="Y276" s="213"/>
      <c r="Z276" s="208"/>
      <c r="AA276" s="208"/>
      <c r="AB276" s="208"/>
      <c r="AC276" s="208"/>
      <c r="AD276" s="208"/>
      <c r="AE276" s="208"/>
      <c r="AF276" s="208"/>
      <c r="AG276" s="1624"/>
      <c r="AH276" s="1624"/>
      <c r="AI276" s="1624"/>
      <c r="AJ276" s="1624"/>
      <c r="AK276" s="1624"/>
      <c r="AL276" s="1624"/>
      <c r="AM276" s="1624"/>
      <c r="AN276" s="1624"/>
      <c r="AO276" s="1624"/>
      <c r="AP276" s="213"/>
    </row>
    <row r="277" spans="1:42">
      <c r="A277" s="291" t="s">
        <v>1799</v>
      </c>
      <c r="B277" s="213"/>
      <c r="C277" s="213"/>
      <c r="D277" s="213"/>
      <c r="E277" s="213"/>
      <c r="F277" s="213"/>
      <c r="G277" s="213"/>
      <c r="H277" s="213"/>
      <c r="I277" s="213"/>
      <c r="J277" s="208"/>
      <c r="K277" s="211"/>
      <c r="L277" s="211"/>
      <c r="M277" s="211"/>
      <c r="N277" s="208"/>
      <c r="O277" s="208"/>
      <c r="P277" s="208"/>
      <c r="Q277" s="208"/>
      <c r="R277" s="208"/>
      <c r="S277" s="208"/>
      <c r="T277" s="208">
        <f>T268/T$273</f>
        <v>169.6729059076805</v>
      </c>
      <c r="U277" s="208">
        <v>187.63542318670639</v>
      </c>
      <c r="V277" s="208">
        <f t="shared" ref="V277:AA279" si="173">V268/V$273</f>
        <v>119.30673920811419</v>
      </c>
      <c r="W277" s="208">
        <f t="shared" si="173"/>
        <v>128.4038950715242</v>
      </c>
      <c r="X277" s="208">
        <f t="shared" si="173"/>
        <v>163.35823652507779</v>
      </c>
      <c r="Y277" s="208">
        <f t="shared" si="173"/>
        <v>219.52800460159938</v>
      </c>
      <c r="Z277" s="208">
        <f t="shared" si="173"/>
        <v>274.95812579144973</v>
      </c>
      <c r="AA277" s="208">
        <f t="shared" si="173"/>
        <v>326.29720455300276</v>
      </c>
      <c r="AB277" s="208">
        <f t="shared" ref="AB277:AF277" si="174">AB268/AB$273</f>
        <v>384.04794628733725</v>
      </c>
      <c r="AC277" s="208">
        <f t="shared" si="174"/>
        <v>460.85753554480459</v>
      </c>
      <c r="AD277" s="208">
        <f t="shared" si="174"/>
        <v>553.02904265376549</v>
      </c>
      <c r="AE277" s="208">
        <f t="shared" si="174"/>
        <v>619.39252777221748</v>
      </c>
      <c r="AF277" s="208">
        <f t="shared" si="174"/>
        <v>693.71963110488366</v>
      </c>
      <c r="AG277" s="1624"/>
      <c r="AH277" s="1624"/>
      <c r="AI277" s="1624"/>
      <c r="AJ277" s="1624"/>
      <c r="AK277" s="1624"/>
      <c r="AL277" s="1624"/>
      <c r="AM277" s="1624"/>
      <c r="AN277" s="1624"/>
      <c r="AO277" s="1624"/>
      <c r="AP277" s="213"/>
    </row>
    <row r="278" spans="1:42">
      <c r="A278" s="291" t="s">
        <v>1023</v>
      </c>
      <c r="B278" s="213"/>
      <c r="C278" s="213"/>
      <c r="D278" s="213"/>
      <c r="E278" s="213"/>
      <c r="F278" s="213"/>
      <c r="G278" s="213"/>
      <c r="H278" s="213"/>
      <c r="I278" s="213"/>
      <c r="J278" s="208"/>
      <c r="K278" s="211"/>
      <c r="L278" s="211"/>
      <c r="M278" s="211"/>
      <c r="N278" s="208"/>
      <c r="O278" s="208"/>
      <c r="P278" s="208"/>
      <c r="Q278" s="208"/>
      <c r="R278" s="208"/>
      <c r="S278" s="208"/>
      <c r="T278" s="208">
        <f>T269/T$273</f>
        <v>315.10682525712093</v>
      </c>
      <c r="U278" s="208">
        <v>348.46578591816899</v>
      </c>
      <c r="V278" s="208">
        <f t="shared" si="173"/>
        <v>221.56965852935494</v>
      </c>
      <c r="W278" s="208">
        <f t="shared" si="173"/>
        <v>238.46437656140216</v>
      </c>
      <c r="X278" s="208">
        <f t="shared" si="173"/>
        <v>303.37958211800157</v>
      </c>
      <c r="Y278" s="208">
        <f t="shared" si="173"/>
        <v>407.69486568868456</v>
      </c>
      <c r="Z278" s="208">
        <f t="shared" si="173"/>
        <v>510.63651932697809</v>
      </c>
      <c r="AA278" s="208">
        <f t="shared" si="173"/>
        <v>605.98052274129088</v>
      </c>
      <c r="AB278" s="208">
        <f t="shared" ref="AB278:AF279" si="175">AB269/AB$273</f>
        <v>713.23190024791199</v>
      </c>
      <c r="AC278" s="208">
        <f t="shared" si="175"/>
        <v>855.87828029749437</v>
      </c>
      <c r="AD278" s="208">
        <f t="shared" si="175"/>
        <v>1027.0539363569933</v>
      </c>
      <c r="AE278" s="208">
        <f t="shared" si="175"/>
        <v>1150.3004087198324</v>
      </c>
      <c r="AF278" s="208">
        <f t="shared" si="175"/>
        <v>1288.3364577662126</v>
      </c>
      <c r="AG278" s="1624"/>
      <c r="AH278" s="1624"/>
      <c r="AI278" s="1624"/>
      <c r="AJ278" s="1624"/>
      <c r="AK278" s="1624"/>
      <c r="AL278" s="1624"/>
      <c r="AM278" s="1624"/>
      <c r="AN278" s="1624"/>
      <c r="AO278" s="1624"/>
      <c r="AP278" s="213"/>
    </row>
    <row r="279" spans="1:42">
      <c r="A279" s="214" t="s">
        <v>1818</v>
      </c>
      <c r="B279" s="57"/>
      <c r="C279" s="57"/>
      <c r="D279" s="57"/>
      <c r="E279" s="57"/>
      <c r="F279" s="57"/>
      <c r="G279" s="57"/>
      <c r="H279" s="57"/>
      <c r="I279" s="57"/>
      <c r="J279" s="229"/>
      <c r="K279" s="230"/>
      <c r="L279" s="230"/>
      <c r="M279" s="230"/>
      <c r="N279" s="229"/>
      <c r="O279" s="229"/>
      <c r="P279" s="229"/>
      <c r="Q279" s="229"/>
      <c r="R279" s="229"/>
      <c r="S279" s="229"/>
      <c r="T279" s="229">
        <f>T270/T$273</f>
        <v>484.77973116480143</v>
      </c>
      <c r="U279" s="229">
        <v>536.10120910487535</v>
      </c>
      <c r="V279" s="229">
        <f t="shared" si="173"/>
        <v>340.87639773746912</v>
      </c>
      <c r="W279" s="229">
        <f t="shared" si="173"/>
        <v>366.86827163292639</v>
      </c>
      <c r="X279" s="229">
        <f t="shared" si="173"/>
        <v>466.73781864307938</v>
      </c>
      <c r="Y279" s="229">
        <f t="shared" si="173"/>
        <v>627.22287029028394</v>
      </c>
      <c r="Z279" s="229">
        <f t="shared" si="173"/>
        <v>785.59464511842782</v>
      </c>
      <c r="AA279" s="229">
        <f t="shared" si="173"/>
        <v>932.27772729429364</v>
      </c>
      <c r="AB279" s="229">
        <f t="shared" si="175"/>
        <v>1097.2798465352491</v>
      </c>
      <c r="AC279" s="229">
        <f t="shared" si="175"/>
        <v>1316.735815842299</v>
      </c>
      <c r="AD279" s="229">
        <f t="shared" si="175"/>
        <v>1580.0829790107587</v>
      </c>
      <c r="AE279" s="229">
        <f t="shared" si="175"/>
        <v>1769.69293649205</v>
      </c>
      <c r="AF279" s="229">
        <f t="shared" si="175"/>
        <v>1982.0560888710963</v>
      </c>
      <c r="AG279" s="1624"/>
      <c r="AH279" s="1624"/>
      <c r="AI279" s="1624"/>
      <c r="AJ279" s="1624"/>
      <c r="AK279" s="1624"/>
      <c r="AL279" s="1624"/>
      <c r="AM279" s="1624"/>
      <c r="AN279" s="1624"/>
      <c r="AO279" s="1624"/>
      <c r="AP279" s="213"/>
    </row>
    <row r="280" spans="1:42">
      <c r="A280" s="349" t="s">
        <v>1489</v>
      </c>
      <c r="B280" s="213"/>
      <c r="C280" s="213"/>
      <c r="D280" s="213"/>
      <c r="E280" s="213"/>
      <c r="F280" s="213"/>
      <c r="G280" s="213"/>
      <c r="H280" s="213"/>
      <c r="I280" s="213"/>
      <c r="J280" s="208"/>
      <c r="K280" s="211"/>
      <c r="L280" s="211"/>
      <c r="M280" s="211"/>
      <c r="N280" s="208"/>
      <c r="O280" s="217"/>
      <c r="P280" s="217"/>
      <c r="Q280" s="217"/>
      <c r="R280" s="217"/>
      <c r="S280" s="217"/>
      <c r="T280" s="217" t="e">
        <f t="shared" ref="T280:AF280" si="176">T279/S279-1</f>
        <v>#DIV/0!</v>
      </c>
      <c r="U280" s="217">
        <v>0.10586556046136986</v>
      </c>
      <c r="V280" s="217">
        <f t="shared" si="176"/>
        <v>-0.36415663320993397</v>
      </c>
      <c r="W280" s="217">
        <f t="shared" si="176"/>
        <v>7.6250142479724614E-2</v>
      </c>
      <c r="X280" s="217">
        <f t="shared" si="176"/>
        <v>0.27222181565507086</v>
      </c>
      <c r="Y280" s="217">
        <f t="shared" si="176"/>
        <v>0.34384411384055769</v>
      </c>
      <c r="Z280" s="217">
        <f t="shared" si="176"/>
        <v>0.25249681146806413</v>
      </c>
      <c r="AA280" s="217">
        <f t="shared" si="176"/>
        <v>0.18671599034862751</v>
      </c>
      <c r="AB280" s="217">
        <f t="shared" si="176"/>
        <v>0.17698815965477732</v>
      </c>
      <c r="AC280" s="217">
        <f t="shared" si="176"/>
        <v>0.19999999999999996</v>
      </c>
      <c r="AD280" s="217">
        <f t="shared" si="176"/>
        <v>0.19999999999999996</v>
      </c>
      <c r="AE280" s="217">
        <f t="shared" si="176"/>
        <v>0.12000000000000011</v>
      </c>
      <c r="AF280" s="217">
        <f t="shared" si="176"/>
        <v>0.12000000000000011</v>
      </c>
      <c r="AG280" s="1624"/>
      <c r="AH280" s="1624"/>
      <c r="AI280" s="1624"/>
      <c r="AJ280" s="1624"/>
      <c r="AK280" s="1624"/>
      <c r="AL280" s="1624"/>
      <c r="AM280" s="1624"/>
      <c r="AN280" s="1624"/>
      <c r="AO280" s="1624"/>
      <c r="AP280" s="213"/>
    </row>
    <row r="281" spans="1:42">
      <c r="A281" s="19"/>
      <c r="B281" s="213"/>
      <c r="C281" s="213"/>
      <c r="D281" s="213"/>
      <c r="E281" s="213"/>
      <c r="F281" s="213"/>
      <c r="G281" s="213"/>
      <c r="H281" s="213"/>
      <c r="I281" s="213"/>
      <c r="J281" s="208"/>
      <c r="K281" s="211"/>
      <c r="L281" s="211"/>
      <c r="M281" s="211"/>
      <c r="N281" s="208"/>
      <c r="O281" s="208"/>
      <c r="P281" s="208"/>
      <c r="Q281" s="208"/>
      <c r="R281" s="208"/>
      <c r="S281" s="208"/>
      <c r="T281" s="208"/>
      <c r="U281" s="208"/>
      <c r="V281" s="208"/>
      <c r="W281" s="208"/>
      <c r="X281" s="213"/>
      <c r="Y281" s="213"/>
      <c r="Z281" s="208"/>
      <c r="AA281" s="208"/>
      <c r="AB281" s="208"/>
      <c r="AC281" s="208"/>
      <c r="AD281" s="208"/>
      <c r="AE281" s="208"/>
      <c r="AF281" s="208"/>
      <c r="AG281" s="1624"/>
      <c r="AH281" s="1624"/>
      <c r="AI281" s="1624"/>
      <c r="AJ281" s="1624"/>
      <c r="AK281" s="1624"/>
      <c r="AL281" s="1624"/>
      <c r="AM281" s="1624"/>
      <c r="AN281" s="1624"/>
      <c r="AO281" s="1624"/>
      <c r="AP281" s="213"/>
    </row>
    <row r="282" spans="1:42">
      <c r="A282" s="306" t="s">
        <v>1518</v>
      </c>
      <c r="B282" s="307"/>
      <c r="C282" s="307"/>
      <c r="D282" s="307"/>
      <c r="E282" s="307"/>
      <c r="F282" s="307"/>
      <c r="G282" s="307"/>
      <c r="H282" s="307"/>
      <c r="I282" s="307"/>
      <c r="J282" s="307"/>
      <c r="K282" s="307"/>
      <c r="L282" s="307"/>
      <c r="M282" s="308"/>
      <c r="N282" s="308"/>
      <c r="O282" s="308"/>
      <c r="P282" s="308"/>
      <c r="Q282" s="308"/>
      <c r="R282" s="308"/>
      <c r="S282" s="308"/>
      <c r="T282" s="308"/>
      <c r="U282" s="308"/>
      <c r="V282" s="308"/>
      <c r="W282" s="308"/>
      <c r="X282" s="384"/>
      <c r="Y282" s="384"/>
      <c r="Z282" s="308"/>
      <c r="AA282" s="308"/>
      <c r="AB282" s="308"/>
      <c r="AC282" s="308"/>
      <c r="AD282" s="308"/>
      <c r="AE282" s="308"/>
      <c r="AF282" s="308"/>
      <c r="AG282" s="1624"/>
      <c r="AH282" s="1624"/>
      <c r="AI282" s="1624"/>
      <c r="AJ282" s="1624"/>
      <c r="AK282" s="1624"/>
      <c r="AL282" s="1624"/>
      <c r="AM282" s="1624"/>
      <c r="AN282" s="1624"/>
      <c r="AO282" s="1624"/>
      <c r="AP282" s="213"/>
    </row>
    <row r="283" spans="1:42">
      <c r="A283" s="19" t="s">
        <v>791</v>
      </c>
      <c r="B283" s="213"/>
      <c r="C283" s="213"/>
      <c r="D283" s="213"/>
      <c r="E283" s="213"/>
      <c r="F283" s="213"/>
      <c r="G283" s="213"/>
      <c r="H283" s="213"/>
      <c r="I283" s="213"/>
      <c r="J283" s="208"/>
      <c r="K283" s="211"/>
      <c r="L283" s="211"/>
      <c r="M283" s="211"/>
      <c r="N283" s="208"/>
      <c r="O283" s="208"/>
      <c r="P283" s="208"/>
      <c r="Q283" s="208"/>
      <c r="R283" s="208"/>
      <c r="S283" s="208"/>
      <c r="T283" s="208"/>
      <c r="U283" s="208"/>
      <c r="V283" s="208"/>
      <c r="W283" s="208"/>
      <c r="X283" s="213"/>
      <c r="Y283" s="213"/>
      <c r="Z283" s="208"/>
      <c r="AA283" s="208"/>
      <c r="AB283" s="208"/>
      <c r="AC283" s="208"/>
      <c r="AD283" s="208"/>
      <c r="AE283" s="208"/>
      <c r="AF283" s="208"/>
      <c r="AG283" s="1624"/>
      <c r="AH283" s="1624"/>
      <c r="AI283" s="1624"/>
      <c r="AJ283" s="1624"/>
      <c r="AK283" s="1624"/>
      <c r="AL283" s="1624"/>
      <c r="AM283" s="1624"/>
      <c r="AN283" s="1624"/>
      <c r="AO283" s="1624"/>
      <c r="AP283" s="213"/>
    </row>
    <row r="284" spans="1:42">
      <c r="A284" s="291" t="s">
        <v>1154</v>
      </c>
      <c r="B284" s="213"/>
      <c r="C284" s="213"/>
      <c r="D284" s="213"/>
      <c r="E284" s="213"/>
      <c r="F284" s="213"/>
      <c r="G284" s="213"/>
      <c r="H284" s="213"/>
      <c r="I284" s="213"/>
      <c r="J284" s="208"/>
      <c r="K284" s="211"/>
      <c r="L284" s="211"/>
      <c r="M284" s="211"/>
      <c r="N284" s="208"/>
      <c r="O284" s="211"/>
      <c r="P284" s="208"/>
      <c r="Q284" s="208"/>
      <c r="R284" s="208"/>
      <c r="S284" s="208"/>
      <c r="T284" s="208">
        <f>S284*(1+T288)</f>
        <v>0</v>
      </c>
      <c r="U284" s="208">
        <v>500.87400000000008</v>
      </c>
      <c r="V284" s="208">
        <f t="shared" ref="V284:AF284" si="177">U284*(1+V288)</f>
        <v>525.91770000000008</v>
      </c>
      <c r="W284" s="208">
        <f t="shared" si="177"/>
        <v>499.62181500000003</v>
      </c>
      <c r="X284" s="208">
        <f t="shared" si="177"/>
        <v>514.6104694500001</v>
      </c>
      <c r="Y284" s="208">
        <f t="shared" si="177"/>
        <v>530.04878353350011</v>
      </c>
      <c r="Z284" s="208">
        <f t="shared" si="177"/>
        <v>545.95024703950514</v>
      </c>
      <c r="AA284" s="208">
        <f t="shared" si="177"/>
        <v>589.62626680266555</v>
      </c>
      <c r="AB284" s="208">
        <f t="shared" si="177"/>
        <v>636.79636814687888</v>
      </c>
      <c r="AC284" s="208">
        <f t="shared" si="177"/>
        <v>687.74007759862923</v>
      </c>
      <c r="AD284" s="208">
        <f t="shared" si="177"/>
        <v>742.75928380651965</v>
      </c>
      <c r="AE284" s="208">
        <f t="shared" si="177"/>
        <v>802.18002651104132</v>
      </c>
      <c r="AF284" s="208">
        <f t="shared" si="177"/>
        <v>866.35442863192463</v>
      </c>
      <c r="AG284" s="1624"/>
      <c r="AH284" s="1624" t="s">
        <v>1539</v>
      </c>
      <c r="AI284" s="1624"/>
      <c r="AJ284" s="1624"/>
      <c r="AK284" s="1624"/>
      <c r="AL284" s="1624"/>
      <c r="AM284" s="1624"/>
      <c r="AN284" s="1624"/>
      <c r="AO284" s="1624"/>
      <c r="AP284" s="213"/>
    </row>
    <row r="285" spans="1:42">
      <c r="A285" s="291" t="s">
        <v>1967</v>
      </c>
      <c r="B285" s="213"/>
      <c r="C285" s="213"/>
      <c r="D285" s="213"/>
      <c r="E285" s="213"/>
      <c r="F285" s="213"/>
      <c r="G285" s="213"/>
      <c r="H285" s="213"/>
      <c r="I285" s="213"/>
      <c r="J285" s="208"/>
      <c r="K285" s="211"/>
      <c r="L285" s="211"/>
      <c r="M285" s="211"/>
      <c r="N285" s="208"/>
      <c r="O285" s="211"/>
      <c r="P285" s="208"/>
      <c r="Q285" s="208"/>
      <c r="R285" s="208"/>
      <c r="S285" s="211"/>
      <c r="T285" s="208">
        <f>S285*(1+T289)</f>
        <v>0</v>
      </c>
      <c r="U285" s="208">
        <v>984.096</v>
      </c>
      <c r="V285" s="208">
        <f t="shared" ref="V285:AF285" si="178">U285*(1+V289)</f>
        <v>1033.3008</v>
      </c>
      <c r="W285" s="208">
        <f t="shared" si="178"/>
        <v>1002.3017759999999</v>
      </c>
      <c r="X285" s="208">
        <f t="shared" si="178"/>
        <v>1052.4168648</v>
      </c>
      <c r="Y285" s="208">
        <f t="shared" si="178"/>
        <v>1105.0377080400001</v>
      </c>
      <c r="Z285" s="208">
        <f t="shared" si="178"/>
        <v>1160.2895934420001</v>
      </c>
      <c r="AA285" s="208">
        <f t="shared" si="178"/>
        <v>1253.1127609173602</v>
      </c>
      <c r="AB285" s="208">
        <f t="shared" si="178"/>
        <v>1353.3617817907491</v>
      </c>
      <c r="AC285" s="208">
        <f t="shared" si="178"/>
        <v>1461.6307243340091</v>
      </c>
      <c r="AD285" s="208">
        <f t="shared" si="178"/>
        <v>1578.56118228073</v>
      </c>
      <c r="AE285" s="208">
        <f t="shared" si="178"/>
        <v>1704.8460768631885</v>
      </c>
      <c r="AF285" s="208">
        <f t="shared" si="178"/>
        <v>1841.2337630122438</v>
      </c>
      <c r="AG285" s="1624"/>
      <c r="AH285" s="1624"/>
      <c r="AI285" s="1624"/>
      <c r="AJ285" s="1624"/>
      <c r="AK285" s="1624"/>
      <c r="AL285" s="1624"/>
      <c r="AM285" s="1624"/>
      <c r="AN285" s="1624"/>
      <c r="AO285" s="1624"/>
      <c r="AP285" s="213"/>
    </row>
    <row r="286" spans="1:42">
      <c r="A286" s="19"/>
      <c r="B286" s="213"/>
      <c r="C286" s="213"/>
      <c r="D286" s="213"/>
      <c r="E286" s="213"/>
      <c r="F286" s="213"/>
      <c r="G286" s="213"/>
      <c r="H286" s="213"/>
      <c r="I286" s="213"/>
      <c r="J286" s="208"/>
      <c r="K286" s="211"/>
      <c r="L286" s="211"/>
      <c r="M286" s="211"/>
      <c r="N286" s="208"/>
      <c r="O286" s="211"/>
      <c r="P286" s="208"/>
      <c r="Q286" s="208"/>
      <c r="R286" s="208"/>
      <c r="S286" s="211"/>
      <c r="T286" s="208"/>
      <c r="U286" s="208"/>
      <c r="V286" s="208"/>
      <c r="W286" s="208"/>
      <c r="X286" s="213"/>
      <c r="Y286" s="213"/>
      <c r="Z286" s="208"/>
      <c r="AA286" s="208"/>
      <c r="AB286" s="208"/>
      <c r="AC286" s="208"/>
      <c r="AD286" s="208"/>
      <c r="AE286" s="208"/>
      <c r="AF286" s="208"/>
      <c r="AG286" s="1624"/>
      <c r="AH286" s="1624"/>
      <c r="AI286" s="1624"/>
      <c r="AJ286" s="1624"/>
      <c r="AK286" s="1624"/>
      <c r="AL286" s="1624"/>
      <c r="AM286" s="1624"/>
      <c r="AN286" s="1624"/>
      <c r="AO286" s="1624"/>
      <c r="AP286" s="213"/>
    </row>
    <row r="287" spans="1:42">
      <c r="A287" s="19" t="s">
        <v>746</v>
      </c>
      <c r="B287" s="213"/>
      <c r="C287" s="213"/>
      <c r="D287" s="213"/>
      <c r="E287" s="213"/>
      <c r="F287" s="213"/>
      <c r="G287" s="213"/>
      <c r="H287" s="213"/>
      <c r="I287" s="213"/>
      <c r="J287" s="208"/>
      <c r="K287" s="211"/>
      <c r="L287" s="211"/>
      <c r="M287" s="211"/>
      <c r="N287" s="208"/>
      <c r="O287" s="211"/>
      <c r="P287" s="208"/>
      <c r="Q287" s="208"/>
      <c r="R287" s="208"/>
      <c r="S287" s="211"/>
      <c r="T287" s="208"/>
      <c r="U287" s="208"/>
      <c r="V287" s="208"/>
      <c r="W287" s="208"/>
      <c r="X287" s="213"/>
      <c r="Y287" s="213"/>
      <c r="Z287" s="208"/>
      <c r="AA287" s="208"/>
      <c r="AB287" s="208"/>
      <c r="AC287" s="208"/>
      <c r="AD287" s="208"/>
      <c r="AE287" s="208"/>
      <c r="AF287" s="208"/>
      <c r="AG287" s="1624"/>
      <c r="AH287" s="1624"/>
      <c r="AI287" s="1624"/>
      <c r="AJ287" s="1624"/>
      <c r="AK287" s="1624"/>
      <c r="AL287" s="1624"/>
      <c r="AM287" s="1624"/>
      <c r="AN287" s="1624"/>
      <c r="AO287" s="1624"/>
      <c r="AP287" s="213"/>
    </row>
    <row r="288" spans="1:42">
      <c r="A288" s="291" t="s">
        <v>1154</v>
      </c>
      <c r="B288" s="213"/>
      <c r="C288" s="213"/>
      <c r="D288" s="213"/>
      <c r="E288" s="213"/>
      <c r="F288" s="213"/>
      <c r="G288" s="213"/>
      <c r="H288" s="213"/>
      <c r="I288" s="213"/>
      <c r="J288" s="208"/>
      <c r="K288" s="211"/>
      <c r="L288" s="211"/>
      <c r="M288" s="211"/>
      <c r="N288" s="208"/>
      <c r="O288" s="211"/>
      <c r="P288" s="208"/>
      <c r="Q288" s="208"/>
      <c r="R288" s="208"/>
      <c r="S288" s="211"/>
      <c r="T288" s="209">
        <v>0</v>
      </c>
      <c r="U288" s="209">
        <v>0.2</v>
      </c>
      <c r="V288" s="209">
        <v>0.05</v>
      </c>
      <c r="W288" s="210">
        <v>-0.05</v>
      </c>
      <c r="X288" s="418">
        <v>0.03</v>
      </c>
      <c r="Y288" s="418">
        <v>0.03</v>
      </c>
      <c r="Z288" s="210">
        <v>0.03</v>
      </c>
      <c r="AA288" s="1299">
        <v>0.08</v>
      </c>
      <c r="AB288" s="1299">
        <v>0.08</v>
      </c>
      <c r="AC288" s="1299">
        <v>0.08</v>
      </c>
      <c r="AD288" s="1299">
        <v>0.08</v>
      </c>
      <c r="AE288" s="1299">
        <v>0.08</v>
      </c>
      <c r="AF288" s="1299">
        <v>0.08</v>
      </c>
      <c r="AG288" s="1624"/>
      <c r="AH288" s="1624"/>
      <c r="AI288" s="1624"/>
      <c r="AJ288" s="1624"/>
      <c r="AK288" s="1624"/>
      <c r="AL288" s="1624"/>
      <c r="AM288" s="1624"/>
      <c r="AN288" s="1624"/>
      <c r="AO288" s="1624"/>
      <c r="AP288" s="213"/>
    </row>
    <row r="289" spans="1:42">
      <c r="A289" s="291" t="s">
        <v>1520</v>
      </c>
      <c r="B289" s="213"/>
      <c r="C289" s="213"/>
      <c r="D289" s="213"/>
      <c r="E289" s="213"/>
      <c r="F289" s="213"/>
      <c r="G289" s="213"/>
      <c r="H289" s="213"/>
      <c r="I289" s="213"/>
      <c r="J289" s="208"/>
      <c r="K289" s="211"/>
      <c r="L289" s="211"/>
      <c r="M289" s="211"/>
      <c r="N289" s="208"/>
      <c r="O289" s="211"/>
      <c r="P289" s="208"/>
      <c r="Q289" s="208"/>
      <c r="R289" s="208"/>
      <c r="S289" s="211"/>
      <c r="T289" s="209">
        <v>0.02</v>
      </c>
      <c r="U289" s="209">
        <v>0.2</v>
      </c>
      <c r="V289" s="209">
        <v>0.05</v>
      </c>
      <c r="W289" s="210">
        <v>-0.03</v>
      </c>
      <c r="X289" s="418">
        <v>0.05</v>
      </c>
      <c r="Y289" s="418">
        <v>0.05</v>
      </c>
      <c r="Z289" s="210">
        <v>0.05</v>
      </c>
      <c r="AA289" s="1299">
        <v>0.08</v>
      </c>
      <c r="AB289" s="1299">
        <v>0.08</v>
      </c>
      <c r="AC289" s="1299">
        <v>0.08</v>
      </c>
      <c r="AD289" s="1299">
        <v>0.08</v>
      </c>
      <c r="AE289" s="1299">
        <v>0.08</v>
      </c>
      <c r="AF289" s="1299">
        <v>0.08</v>
      </c>
      <c r="AG289" s="1624"/>
      <c r="AH289" s="1624"/>
      <c r="AI289" s="1624"/>
      <c r="AJ289" s="1624"/>
      <c r="AK289" s="1624"/>
      <c r="AL289" s="1624"/>
      <c r="AM289" s="1624"/>
      <c r="AN289" s="1624"/>
      <c r="AO289" s="1624"/>
      <c r="AP289" s="213"/>
    </row>
    <row r="290" spans="1:42">
      <c r="A290" s="19"/>
      <c r="B290" s="213"/>
      <c r="C290" s="213"/>
      <c r="D290" s="213"/>
      <c r="E290" s="213"/>
      <c r="F290" s="213"/>
      <c r="G290" s="213"/>
      <c r="H290" s="213"/>
      <c r="I290" s="213"/>
      <c r="J290" s="208"/>
      <c r="K290" s="211"/>
      <c r="L290" s="211"/>
      <c r="M290" s="211"/>
      <c r="N290" s="208"/>
      <c r="O290" s="211"/>
      <c r="P290" s="208"/>
      <c r="Q290" s="208"/>
      <c r="R290" s="208"/>
      <c r="S290" s="211"/>
      <c r="T290" s="208"/>
      <c r="U290" s="208"/>
      <c r="V290" s="208"/>
      <c r="W290" s="208"/>
      <c r="X290" s="213"/>
      <c r="Y290" s="213"/>
      <c r="Z290" s="208"/>
      <c r="AA290" s="208"/>
      <c r="AB290" s="208"/>
      <c r="AC290" s="208"/>
      <c r="AD290" s="208"/>
      <c r="AE290" s="208"/>
      <c r="AF290" s="208"/>
      <c r="AG290" s="1624"/>
      <c r="AH290" s="1624"/>
      <c r="AI290" s="1624"/>
      <c r="AJ290" s="1624"/>
      <c r="AK290" s="1624"/>
      <c r="AL290" s="1624"/>
      <c r="AM290" s="1624"/>
      <c r="AN290" s="1624"/>
      <c r="AO290" s="1624"/>
      <c r="AP290" s="213"/>
    </row>
    <row r="291" spans="1:42">
      <c r="A291" s="19" t="s">
        <v>1498</v>
      </c>
      <c r="B291" s="213"/>
      <c r="C291" s="213"/>
      <c r="D291" s="213"/>
      <c r="E291" s="213"/>
      <c r="F291" s="213"/>
      <c r="G291" s="213"/>
      <c r="H291" s="213"/>
      <c r="I291" s="213"/>
      <c r="J291" s="208"/>
      <c r="K291" s="211"/>
      <c r="L291" s="211"/>
      <c r="M291" s="211"/>
      <c r="N291" s="233"/>
      <c r="O291" s="211"/>
      <c r="P291" s="208"/>
      <c r="Q291" s="208"/>
      <c r="R291" s="208"/>
      <c r="S291" s="211"/>
      <c r="T291" s="233">
        <f>'Income Statement'!T$155</f>
        <v>1.18028</v>
      </c>
      <c r="U291" s="233">
        <v>1.159077672574627</v>
      </c>
      <c r="V291" s="233">
        <f>'Income Statement'!V$155</f>
        <v>1.1490638246268656</v>
      </c>
      <c r="W291" s="233">
        <f>'Income Statement'!W$155</f>
        <v>1.1713242788461544</v>
      </c>
      <c r="X291" s="233">
        <f>'Income Statement'!X$155</f>
        <v>1.1065795550914248</v>
      </c>
      <c r="Y291" s="233">
        <f>'Income Statement'!Y$155</f>
        <v>1.1105369302909465</v>
      </c>
      <c r="Z291" s="233">
        <f>'Income Statement'!Z$155</f>
        <v>1.1083231112074399</v>
      </c>
      <c r="AA291" s="1301">
        <f>'Income Statement'!AA$155</f>
        <v>1.1207295968584789</v>
      </c>
      <c r="AB291" s="1301">
        <f>'Income Statement'!AB$155</f>
        <v>1.1426415000000001</v>
      </c>
      <c r="AC291" s="1301">
        <f>'Income Statement'!AC$155</f>
        <v>1.1426415000000001</v>
      </c>
      <c r="AD291" s="1301">
        <f>'Income Statement'!AD$155</f>
        <v>1.1426415000000001</v>
      </c>
      <c r="AE291" s="1301">
        <f>'Income Statement'!AE$155</f>
        <v>1.1426415000000001</v>
      </c>
      <c r="AF291" s="1301">
        <f>'Income Statement'!AF$155</f>
        <v>1.1426415000000001</v>
      </c>
      <c r="AG291" s="1624"/>
      <c r="AH291" s="1624"/>
      <c r="AI291" s="1624"/>
      <c r="AJ291" s="1624"/>
      <c r="AK291" s="1624"/>
      <c r="AL291" s="1624"/>
      <c r="AM291" s="1624"/>
      <c r="AN291" s="1624"/>
      <c r="AO291" s="1624"/>
      <c r="AP291" s="213"/>
    </row>
    <row r="292" spans="1:42">
      <c r="A292" s="19" t="s">
        <v>1499</v>
      </c>
      <c r="B292" s="213"/>
      <c r="C292" s="213"/>
      <c r="D292" s="213"/>
      <c r="E292" s="213"/>
      <c r="F292" s="213"/>
      <c r="G292" s="213"/>
      <c r="H292" s="213"/>
      <c r="I292" s="213"/>
      <c r="J292" s="208"/>
      <c r="K292" s="211"/>
      <c r="L292" s="211"/>
      <c r="M292" s="211"/>
      <c r="N292" s="208"/>
      <c r="O292" s="211"/>
      <c r="P292" s="208"/>
      <c r="Q292" s="208"/>
      <c r="R292" s="208"/>
      <c r="S292" s="211"/>
      <c r="T292" s="207" t="e">
        <f t="shared" ref="T292:AF292" si="179">(1/T291)/(1/S291)-1</f>
        <v>#DIV/0!</v>
      </c>
      <c r="U292" s="207">
        <v>1.8292412947854331E-2</v>
      </c>
      <c r="V292" s="207">
        <f t="shared" si="179"/>
        <v>8.7147882764591067E-3</v>
      </c>
      <c r="W292" s="207">
        <f t="shared" si="179"/>
        <v>-1.9004518749681454E-2</v>
      </c>
      <c r="X292" s="207">
        <f t="shared" si="179"/>
        <v>5.8508873995399613E-2</v>
      </c>
      <c r="Y292" s="207">
        <f t="shared" si="179"/>
        <v>-3.5634791528138532E-3</v>
      </c>
      <c r="Z292" s="207">
        <f t="shared" si="179"/>
        <v>1.9974491744512157E-3</v>
      </c>
      <c r="AA292" s="207">
        <f t="shared" si="179"/>
        <v>-1.1070008042810442E-2</v>
      </c>
      <c r="AB292" s="207">
        <f t="shared" si="179"/>
        <v>-1.9176533621018677E-2</v>
      </c>
      <c r="AC292" s="207">
        <f t="shared" si="179"/>
        <v>0</v>
      </c>
      <c r="AD292" s="207">
        <f t="shared" si="179"/>
        <v>0</v>
      </c>
      <c r="AE292" s="207">
        <f t="shared" si="179"/>
        <v>0</v>
      </c>
      <c r="AF292" s="207">
        <f t="shared" si="179"/>
        <v>0</v>
      </c>
      <c r="AG292" s="1624"/>
      <c r="AH292" s="1624"/>
      <c r="AI292" s="1624"/>
      <c r="AJ292" s="1624"/>
      <c r="AK292" s="1624"/>
      <c r="AL292" s="1624"/>
      <c r="AM292" s="1624"/>
      <c r="AN292" s="1624"/>
      <c r="AO292" s="1624"/>
      <c r="AP292" s="213"/>
    </row>
    <row r="293" spans="1:42">
      <c r="A293" s="19"/>
      <c r="B293" s="213"/>
      <c r="C293" s="213"/>
      <c r="D293" s="213"/>
      <c r="E293" s="213"/>
      <c r="F293" s="213"/>
      <c r="G293" s="213"/>
      <c r="H293" s="213"/>
      <c r="I293" s="213"/>
      <c r="J293" s="208"/>
      <c r="K293" s="211"/>
      <c r="L293" s="211"/>
      <c r="M293" s="211"/>
      <c r="N293" s="208"/>
      <c r="O293" s="211"/>
      <c r="P293" s="208"/>
      <c r="Q293" s="208"/>
      <c r="R293" s="208"/>
      <c r="S293" s="211"/>
      <c r="T293" s="208"/>
      <c r="U293" s="208"/>
      <c r="V293" s="208"/>
      <c r="W293" s="208"/>
      <c r="X293" s="213"/>
      <c r="Y293" s="213"/>
      <c r="Z293" s="208"/>
      <c r="AA293" s="208"/>
      <c r="AB293" s="208"/>
      <c r="AC293" s="208"/>
      <c r="AD293" s="208"/>
      <c r="AE293" s="208"/>
      <c r="AF293" s="208"/>
      <c r="AG293" s="1624"/>
      <c r="AH293" s="1624"/>
      <c r="AI293" s="1624"/>
      <c r="AJ293" s="1624"/>
      <c r="AK293" s="1624"/>
      <c r="AL293" s="1624"/>
      <c r="AM293" s="1624"/>
      <c r="AN293" s="1624"/>
      <c r="AO293" s="1624"/>
      <c r="AP293" s="213"/>
    </row>
    <row r="294" spans="1:42">
      <c r="A294" s="19" t="s">
        <v>994</v>
      </c>
      <c r="B294" s="259"/>
      <c r="C294" s="259"/>
      <c r="D294" s="259"/>
      <c r="E294" s="259"/>
      <c r="F294" s="259"/>
      <c r="G294" s="259"/>
      <c r="H294" s="259"/>
      <c r="I294" s="259"/>
      <c r="J294" s="259"/>
      <c r="K294" s="259"/>
      <c r="L294" s="259"/>
      <c r="M294" s="259"/>
      <c r="N294" s="259"/>
      <c r="O294" s="211"/>
      <c r="P294" s="208"/>
      <c r="Q294" s="208"/>
      <c r="R294" s="208"/>
      <c r="S294" s="211"/>
      <c r="T294" s="259">
        <f>T284</f>
        <v>0</v>
      </c>
      <c r="U294" s="259">
        <v>500.87400000000008</v>
      </c>
      <c r="V294" s="259">
        <f t="shared" ref="V294:AF294" si="180">V284</f>
        <v>525.91770000000008</v>
      </c>
      <c r="W294" s="259">
        <f t="shared" si="180"/>
        <v>499.62181500000003</v>
      </c>
      <c r="X294" s="259">
        <f t="shared" si="180"/>
        <v>514.6104694500001</v>
      </c>
      <c r="Y294" s="259">
        <f t="shared" si="180"/>
        <v>530.04878353350011</v>
      </c>
      <c r="Z294" s="259">
        <f t="shared" si="180"/>
        <v>545.95024703950514</v>
      </c>
      <c r="AA294" s="259">
        <f t="shared" si="180"/>
        <v>589.62626680266555</v>
      </c>
      <c r="AB294" s="259">
        <f t="shared" si="180"/>
        <v>636.79636814687888</v>
      </c>
      <c r="AC294" s="259">
        <f t="shared" si="180"/>
        <v>687.74007759862923</v>
      </c>
      <c r="AD294" s="259">
        <f t="shared" si="180"/>
        <v>742.75928380651965</v>
      </c>
      <c r="AE294" s="259">
        <f t="shared" si="180"/>
        <v>802.18002651104132</v>
      </c>
      <c r="AF294" s="259">
        <f t="shared" si="180"/>
        <v>866.35442863192463</v>
      </c>
      <c r="AG294" s="1624"/>
      <c r="AH294" s="1624"/>
      <c r="AI294" s="1624"/>
      <c r="AJ294" s="1624"/>
      <c r="AK294" s="1624"/>
      <c r="AL294" s="1624"/>
      <c r="AM294" s="1624"/>
      <c r="AN294" s="1624"/>
      <c r="AO294" s="1624"/>
      <c r="AP294" s="213"/>
    </row>
    <row r="295" spans="1:42">
      <c r="A295" s="19" t="s">
        <v>1519</v>
      </c>
      <c r="B295" s="259"/>
      <c r="C295" s="259"/>
      <c r="D295" s="259"/>
      <c r="E295" s="259"/>
      <c r="F295" s="259"/>
      <c r="G295" s="259"/>
      <c r="H295" s="259"/>
      <c r="I295" s="259"/>
      <c r="J295" s="259"/>
      <c r="K295" s="259"/>
      <c r="L295" s="259"/>
      <c r="M295" s="259"/>
      <c r="N295" s="259"/>
      <c r="O295" s="211"/>
      <c r="P295" s="208"/>
      <c r="Q295" s="208"/>
      <c r="R295" s="208"/>
      <c r="S295" s="211"/>
      <c r="T295" s="259">
        <f>T285/T291</f>
        <v>0</v>
      </c>
      <c r="U295" s="259">
        <v>849.03369574366388</v>
      </c>
      <c r="V295" s="259">
        <f t="shared" ref="V295:AF295" si="181">V285/V291</f>
        <v>899.25448687373193</v>
      </c>
      <c r="W295" s="259">
        <f t="shared" si="181"/>
        <v>855.69965047368873</v>
      </c>
      <c r="X295" s="259">
        <f t="shared" si="181"/>
        <v>951.05395717621957</v>
      </c>
      <c r="Y295" s="259">
        <f t="shared" si="181"/>
        <v>995.04814103795206</v>
      </c>
      <c r="Z295" s="259">
        <f t="shared" si="181"/>
        <v>1046.8874840820981</v>
      </c>
      <c r="AA295" s="259">
        <f t="shared" si="181"/>
        <v>1118.122305710463</v>
      </c>
      <c r="AB295" s="259">
        <f t="shared" si="181"/>
        <v>1184.4150433804032</v>
      </c>
      <c r="AC295" s="259">
        <f t="shared" si="181"/>
        <v>1279.1682468508354</v>
      </c>
      <c r="AD295" s="259">
        <f t="shared" si="181"/>
        <v>1381.5017065989025</v>
      </c>
      <c r="AE295" s="259">
        <f t="shared" si="181"/>
        <v>1492.0218431268147</v>
      </c>
      <c r="AF295" s="259">
        <f t="shared" si="181"/>
        <v>1611.3835905769602</v>
      </c>
      <c r="AG295" s="1624"/>
      <c r="AH295" s="1624"/>
      <c r="AI295" s="1624"/>
      <c r="AJ295" s="1624"/>
      <c r="AK295" s="1624"/>
      <c r="AL295" s="1624"/>
      <c r="AM295" s="1624"/>
      <c r="AN295" s="1624"/>
      <c r="AO295" s="1624"/>
      <c r="AP295" s="213"/>
    </row>
    <row r="296" spans="1:42">
      <c r="A296" s="214" t="s">
        <v>1524</v>
      </c>
      <c r="B296" s="57"/>
      <c r="C296" s="57"/>
      <c r="D296" s="57"/>
      <c r="E296" s="57"/>
      <c r="F296" s="57"/>
      <c r="G296" s="57"/>
      <c r="H296" s="57"/>
      <c r="I296" s="57"/>
      <c r="J296" s="57"/>
      <c r="K296" s="57"/>
      <c r="L296" s="57"/>
      <c r="M296" s="57"/>
      <c r="N296" s="382"/>
      <c r="O296" s="211"/>
      <c r="P296" s="208"/>
      <c r="Q296" s="208"/>
      <c r="R296" s="208"/>
      <c r="S296" s="211"/>
      <c r="T296" s="382">
        <f>SUM(T294:T295)</f>
        <v>0</v>
      </c>
      <c r="U296" s="382">
        <v>1349.9076957436639</v>
      </c>
      <c r="V296" s="382">
        <f t="shared" ref="V296:AF296" si="182">SUM(V294:V295)</f>
        <v>1425.172186873732</v>
      </c>
      <c r="W296" s="382">
        <f t="shared" si="182"/>
        <v>1355.3214654736887</v>
      </c>
      <c r="X296" s="382">
        <f t="shared" si="182"/>
        <v>1465.6644266262197</v>
      </c>
      <c r="Y296" s="382">
        <f t="shared" si="182"/>
        <v>1525.0969245714523</v>
      </c>
      <c r="Z296" s="382">
        <f t="shared" si="182"/>
        <v>1592.8377311216032</v>
      </c>
      <c r="AA296" s="382">
        <f t="shared" si="182"/>
        <v>1707.7485725131287</v>
      </c>
      <c r="AB296" s="382">
        <f t="shared" si="182"/>
        <v>1821.2114115272821</v>
      </c>
      <c r="AC296" s="382">
        <f t="shared" si="182"/>
        <v>1966.9083244494645</v>
      </c>
      <c r="AD296" s="382">
        <f t="shared" si="182"/>
        <v>2124.260990405422</v>
      </c>
      <c r="AE296" s="382">
        <f t="shared" si="182"/>
        <v>2294.2018696378559</v>
      </c>
      <c r="AF296" s="382">
        <f t="shared" si="182"/>
        <v>2477.7380192088849</v>
      </c>
      <c r="AG296" s="1624"/>
      <c r="AH296" s="1624"/>
      <c r="AI296" s="1624"/>
      <c r="AJ296" s="1624"/>
      <c r="AK296" s="1624"/>
      <c r="AL296" s="1624"/>
      <c r="AM296" s="1624"/>
      <c r="AN296" s="1624"/>
      <c r="AO296" s="1624"/>
      <c r="AP296" s="213"/>
    </row>
    <row r="297" spans="1:42">
      <c r="A297" s="349" t="s">
        <v>1489</v>
      </c>
      <c r="B297" s="383"/>
      <c r="C297" s="383"/>
      <c r="D297" s="383"/>
      <c r="E297" s="383"/>
      <c r="F297" s="383"/>
      <c r="G297" s="383"/>
      <c r="H297" s="383"/>
      <c r="I297" s="383"/>
      <c r="J297" s="216"/>
      <c r="K297" s="231"/>
      <c r="L297" s="231"/>
      <c r="M297" s="217"/>
      <c r="N297" s="217"/>
      <c r="O297" s="211"/>
      <c r="P297" s="208"/>
      <c r="Q297" s="208"/>
      <c r="R297" s="208"/>
      <c r="S297" s="211"/>
      <c r="T297" s="217" t="e">
        <f t="shared" ref="T297:AF297" si="183">T296/S296-1</f>
        <v>#DIV/0!</v>
      </c>
      <c r="U297" s="217">
        <v>0.21371309165413899</v>
      </c>
      <c r="V297" s="217">
        <f t="shared" si="183"/>
        <v>5.5755287096578066E-2</v>
      </c>
      <c r="W297" s="217">
        <f t="shared" si="183"/>
        <v>-4.901212782805453E-2</v>
      </c>
      <c r="X297" s="217">
        <f t="shared" si="183"/>
        <v>8.1414604552113135E-2</v>
      </c>
      <c r="Y297" s="217">
        <f t="shared" si="183"/>
        <v>4.0549867258523165E-2</v>
      </c>
      <c r="Z297" s="217">
        <f t="shared" si="183"/>
        <v>4.4417377976934791E-2</v>
      </c>
      <c r="AA297" s="217">
        <f t="shared" si="183"/>
        <v>7.2142214581149222E-2</v>
      </c>
      <c r="AB297" s="217">
        <f t="shared" si="183"/>
        <v>6.6440013969492728E-2</v>
      </c>
      <c r="AC297" s="217">
        <f t="shared" si="183"/>
        <v>8.0000000000000071E-2</v>
      </c>
      <c r="AD297" s="217">
        <f t="shared" si="183"/>
        <v>8.0000000000000071E-2</v>
      </c>
      <c r="AE297" s="217">
        <f t="shared" si="183"/>
        <v>8.0000000000000071E-2</v>
      </c>
      <c r="AF297" s="217">
        <f t="shared" si="183"/>
        <v>8.0000000000000293E-2</v>
      </c>
      <c r="AG297" s="1624"/>
      <c r="AH297" s="1624"/>
      <c r="AI297" s="1624"/>
      <c r="AJ297" s="1624"/>
      <c r="AK297" s="1624"/>
      <c r="AL297" s="1624"/>
      <c r="AM297" s="1624"/>
      <c r="AN297" s="1624"/>
      <c r="AO297" s="1624"/>
      <c r="AP297" s="213"/>
    </row>
    <row r="298" spans="1:42">
      <c r="A298" s="19" t="s">
        <v>1966</v>
      </c>
      <c r="O298" s="211"/>
      <c r="P298" s="208"/>
      <c r="Q298" s="208"/>
      <c r="R298" s="208"/>
      <c r="S298" s="211"/>
      <c r="AG298" s="1624"/>
      <c r="AH298" s="1624"/>
      <c r="AI298" s="1624"/>
      <c r="AJ298" s="1624"/>
      <c r="AK298" s="1624"/>
      <c r="AL298" s="1624"/>
      <c r="AM298" s="1624"/>
      <c r="AN298" s="1624"/>
      <c r="AO298" s="1624"/>
      <c r="AP298" s="213"/>
    </row>
    <row r="299" spans="1:42">
      <c r="A299" s="19"/>
      <c r="O299" s="211"/>
      <c r="P299" s="208"/>
      <c r="Q299" s="208"/>
      <c r="R299" s="208"/>
      <c r="S299" s="211"/>
      <c r="AG299" s="1624"/>
      <c r="AH299" s="1624"/>
      <c r="AI299" s="1624"/>
      <c r="AJ299" s="1624"/>
      <c r="AK299" s="1624"/>
      <c r="AL299" s="1624"/>
      <c r="AM299" s="1624"/>
      <c r="AN299" s="1624"/>
      <c r="AO299" s="1624"/>
      <c r="AP299" s="213"/>
    </row>
    <row r="300" spans="1:42">
      <c r="A300" s="374" t="s">
        <v>994</v>
      </c>
      <c r="O300" s="211"/>
      <c r="P300" s="208"/>
      <c r="Q300" s="208"/>
      <c r="R300" s="208"/>
      <c r="S300" s="211"/>
      <c r="T300" s="1418">
        <v>0.15</v>
      </c>
      <c r="U300" s="1418">
        <v>0.15</v>
      </c>
      <c r="V300" s="1418">
        <v>0.15</v>
      </c>
      <c r="W300" s="1418">
        <v>0.15</v>
      </c>
      <c r="X300" s="1418">
        <v>0.15</v>
      </c>
      <c r="Y300" s="1418">
        <v>0.15</v>
      </c>
      <c r="Z300" s="1418">
        <v>0.15</v>
      </c>
      <c r="AA300" s="1487">
        <v>0.12</v>
      </c>
      <c r="AB300" s="1487">
        <v>0.12</v>
      </c>
      <c r="AC300" s="1487">
        <v>0.12</v>
      </c>
      <c r="AD300" s="1487">
        <v>0.12</v>
      </c>
      <c r="AE300" s="1487">
        <v>0.12</v>
      </c>
      <c r="AF300" s="1487">
        <v>0.12</v>
      </c>
      <c r="AG300" s="1624"/>
      <c r="AH300" s="1624"/>
      <c r="AI300" s="1624"/>
      <c r="AJ300" s="1624"/>
      <c r="AK300" s="1624"/>
      <c r="AL300" s="1624"/>
      <c r="AM300" s="1624"/>
      <c r="AN300" s="1624"/>
      <c r="AO300" s="1624"/>
      <c r="AP300" s="213"/>
    </row>
    <row r="301" spans="1:42">
      <c r="A301" s="374" t="s">
        <v>1153</v>
      </c>
      <c r="P301" s="1418"/>
      <c r="Q301" s="1418"/>
      <c r="R301" s="1418"/>
      <c r="S301" s="1418"/>
      <c r="T301" s="1418">
        <v>0.5</v>
      </c>
      <c r="U301" s="1418">
        <v>0.5</v>
      </c>
      <c r="V301" s="1418">
        <v>0.5</v>
      </c>
      <c r="W301" s="1418">
        <v>0.5</v>
      </c>
      <c r="X301" s="1418">
        <v>0.5</v>
      </c>
      <c r="Y301" s="1418">
        <v>0.5</v>
      </c>
      <c r="Z301" s="1418">
        <v>0.5</v>
      </c>
      <c r="AA301" s="1487">
        <v>0.46</v>
      </c>
      <c r="AB301" s="1487">
        <v>0.46</v>
      </c>
      <c r="AC301" s="1487">
        <v>0.46</v>
      </c>
      <c r="AD301" s="1487">
        <v>0.46</v>
      </c>
      <c r="AE301" s="1487">
        <v>0.46</v>
      </c>
      <c r="AF301" s="1487">
        <v>0.46</v>
      </c>
      <c r="AG301" s="1624"/>
      <c r="AH301" s="1628"/>
      <c r="AI301" s="1624"/>
      <c r="AJ301" s="1624"/>
      <c r="AK301" s="1624"/>
      <c r="AL301" s="1624"/>
      <c r="AM301" s="1624"/>
      <c r="AN301" s="1624"/>
      <c r="AO301" s="1624"/>
      <c r="AP301" s="213"/>
    </row>
    <row r="302" spans="1:42">
      <c r="A302" s="374"/>
      <c r="B302" s="374"/>
      <c r="C302" s="374"/>
      <c r="D302" s="374"/>
      <c r="E302" s="374"/>
      <c r="F302" s="374"/>
      <c r="G302" s="374"/>
      <c r="H302" s="374"/>
      <c r="I302" s="374"/>
      <c r="J302" s="374"/>
      <c r="K302" s="374"/>
      <c r="L302" s="374"/>
      <c r="M302" s="374"/>
      <c r="N302" s="374"/>
      <c r="O302" s="374"/>
      <c r="P302" s="374"/>
      <c r="Q302" s="374"/>
      <c r="R302" s="374"/>
      <c r="S302" s="374"/>
      <c r="T302" s="374"/>
      <c r="U302" s="374"/>
      <c r="V302" s="374"/>
      <c r="W302" s="374"/>
      <c r="X302" s="374"/>
      <c r="Y302" s="374"/>
      <c r="Z302" s="374"/>
      <c r="AA302" s="374"/>
      <c r="AB302" s="374"/>
      <c r="AC302" s="374"/>
      <c r="AD302" s="374"/>
      <c r="AE302" s="374"/>
      <c r="AF302" s="374"/>
      <c r="AG302" s="1624"/>
      <c r="AH302" s="1624"/>
      <c r="AI302" s="1624"/>
      <c r="AJ302" s="1624"/>
      <c r="AK302" s="1624"/>
      <c r="AL302" s="1624"/>
      <c r="AM302" s="1624"/>
      <c r="AN302" s="1624"/>
      <c r="AO302" s="1624"/>
      <c r="AP302" s="213"/>
    </row>
    <row r="303" spans="1:42">
      <c r="A303" s="374" t="s">
        <v>1968</v>
      </c>
      <c r="W303" s="1416">
        <f t="shared" ref="W303:AF303" si="184">(W294*W300)+(W295*W301)</f>
        <v>502.79309748684437</v>
      </c>
      <c r="X303" s="1416">
        <f t="shared" si="184"/>
        <v>552.71854900560982</v>
      </c>
      <c r="Y303" s="1416">
        <f t="shared" si="184"/>
        <v>577.03138804900107</v>
      </c>
      <c r="Z303" s="1416">
        <f t="shared" si="184"/>
        <v>605.33627909697486</v>
      </c>
      <c r="AA303" s="1416">
        <f t="shared" si="184"/>
        <v>585.0914126431328</v>
      </c>
      <c r="AB303" s="1416">
        <f t="shared" si="184"/>
        <v>621.24648413261093</v>
      </c>
      <c r="AC303" s="1416">
        <f t="shared" si="184"/>
        <v>670.94620286321981</v>
      </c>
      <c r="AD303" s="1416">
        <f t="shared" si="184"/>
        <v>724.62189909227754</v>
      </c>
      <c r="AE303" s="1416">
        <f t="shared" si="184"/>
        <v>782.59165101965982</v>
      </c>
      <c r="AF303" s="1416">
        <f t="shared" si="184"/>
        <v>845.19898310123267</v>
      </c>
      <c r="AG303" s="1624"/>
      <c r="AH303" s="1624"/>
      <c r="AI303" s="1624"/>
      <c r="AJ303" s="1624"/>
      <c r="AK303" s="1624"/>
      <c r="AL303" s="1624"/>
      <c r="AM303" s="1624"/>
      <c r="AN303" s="1624"/>
      <c r="AO303" s="1624"/>
      <c r="AP303" s="213"/>
    </row>
    <row r="304" spans="1:42">
      <c r="AG304" s="1624"/>
      <c r="AH304" s="1624"/>
      <c r="AI304" s="1624"/>
      <c r="AJ304" s="1624"/>
      <c r="AK304" s="1624"/>
      <c r="AL304" s="1624"/>
      <c r="AM304" s="1624"/>
      <c r="AN304" s="1624"/>
      <c r="AO304" s="1624"/>
      <c r="AP304" s="213"/>
    </row>
    <row r="305" spans="1:42">
      <c r="A305" s="306" t="s">
        <v>794</v>
      </c>
      <c r="B305" s="307"/>
      <c r="C305" s="307"/>
      <c r="D305" s="307"/>
      <c r="E305" s="307"/>
      <c r="F305" s="307"/>
      <c r="G305" s="307"/>
      <c r="H305" s="307"/>
      <c r="I305" s="307"/>
      <c r="J305" s="307"/>
      <c r="K305" s="307"/>
      <c r="L305" s="307"/>
      <c r="M305" s="308"/>
      <c r="N305" s="308"/>
      <c r="O305" s="308"/>
      <c r="P305" s="308"/>
      <c r="Q305" s="308"/>
      <c r="R305" s="308"/>
      <c r="S305" s="308"/>
      <c r="T305" s="308"/>
      <c r="U305" s="308"/>
      <c r="V305" s="308"/>
      <c r="W305" s="308"/>
      <c r="X305" s="308"/>
      <c r="Y305" s="308"/>
      <c r="Z305" s="308"/>
      <c r="AA305" s="308"/>
      <c r="AB305" s="308"/>
      <c r="AC305" s="308"/>
      <c r="AD305" s="308"/>
      <c r="AE305" s="308"/>
      <c r="AF305" s="308"/>
      <c r="AG305" s="1624"/>
      <c r="AH305" s="1624"/>
      <c r="AI305" s="1624"/>
      <c r="AJ305" s="1624"/>
      <c r="AK305" s="1624"/>
      <c r="AL305" s="1624"/>
      <c r="AM305" s="1624"/>
      <c r="AN305" s="1624"/>
      <c r="AO305" s="1624"/>
      <c r="AP305" s="213"/>
    </row>
    <row r="306" spans="1:42">
      <c r="A306" s="374" t="s">
        <v>1029</v>
      </c>
      <c r="B306" s="383"/>
      <c r="C306" s="383"/>
      <c r="D306" s="383"/>
      <c r="E306" s="383"/>
      <c r="F306" s="383"/>
      <c r="G306" s="383"/>
      <c r="H306" s="259"/>
      <c r="I306" s="259"/>
      <c r="J306" s="259"/>
      <c r="K306" s="259"/>
      <c r="L306" s="259"/>
      <c r="M306" s="260"/>
      <c r="N306" s="260"/>
      <c r="O306" s="259"/>
      <c r="P306" s="259"/>
      <c r="Q306" s="259"/>
      <c r="R306" s="259"/>
      <c r="S306" s="259"/>
      <c r="T306" s="259">
        <f t="shared" ref="T306:AF306" si="185">T308-T307</f>
        <v>-546</v>
      </c>
      <c r="U306" s="259">
        <v>-573</v>
      </c>
      <c r="V306" s="259">
        <f t="shared" si="185"/>
        <v>-334</v>
      </c>
      <c r="W306" s="259">
        <f t="shared" si="185"/>
        <v>-397</v>
      </c>
      <c r="X306" s="259">
        <f t="shared" si="185"/>
        <v>-457</v>
      </c>
      <c r="Y306" s="259">
        <f t="shared" si="185"/>
        <v>-570</v>
      </c>
      <c r="Z306" s="259">
        <f t="shared" si="185"/>
        <v>-644</v>
      </c>
      <c r="AA306" s="259">
        <f t="shared" si="185"/>
        <v>-644</v>
      </c>
      <c r="AB306" s="259">
        <f t="shared" si="185"/>
        <v>-717.3930102652032</v>
      </c>
      <c r="AC306" s="259">
        <f t="shared" si="185"/>
        <v>-797.10087915379972</v>
      </c>
      <c r="AD306" s="259">
        <f t="shared" si="185"/>
        <v>-878.5336892931424</v>
      </c>
      <c r="AE306" s="259">
        <f t="shared" si="185"/>
        <v>-944.83862463931962</v>
      </c>
      <c r="AF306" s="259">
        <f t="shared" si="185"/>
        <v>-988.73192169701827</v>
      </c>
      <c r="AG306" s="1624"/>
      <c r="AH306" s="1624"/>
      <c r="AI306" s="1624"/>
      <c r="AJ306" s="1624"/>
      <c r="AK306" s="1624"/>
      <c r="AL306" s="1624"/>
      <c r="AM306" s="1624"/>
      <c r="AN306" s="1624"/>
      <c r="AO306" s="1624"/>
      <c r="AP306" s="213"/>
    </row>
    <row r="307" spans="1:42">
      <c r="A307" s="291" t="s">
        <v>971</v>
      </c>
      <c r="B307" s="383"/>
      <c r="C307" s="383"/>
      <c r="D307" s="383"/>
      <c r="E307" s="383"/>
      <c r="F307" s="383"/>
      <c r="G307" s="383"/>
      <c r="H307" s="259"/>
      <c r="I307" s="259"/>
      <c r="J307" s="259"/>
      <c r="K307" s="259"/>
      <c r="L307" s="259"/>
      <c r="M307" s="260"/>
      <c r="N307" s="260"/>
      <c r="O307" s="260"/>
      <c r="P307" s="260"/>
      <c r="Q307" s="260"/>
      <c r="R307" s="260"/>
      <c r="S307" s="260"/>
      <c r="T307" s="260">
        <v>62</v>
      </c>
      <c r="U307" s="260">
        <v>65</v>
      </c>
      <c r="V307" s="260">
        <v>57</v>
      </c>
      <c r="W307" s="260">
        <v>61</v>
      </c>
      <c r="X307" s="260">
        <v>57</v>
      </c>
      <c r="Y307" s="260">
        <v>67</v>
      </c>
      <c r="Z307" s="260">
        <v>74</v>
      </c>
      <c r="AA307" s="1294">
        <f t="shared" ref="AA307:AF307" si="186">Z307</f>
        <v>74</v>
      </c>
      <c r="AB307" s="1294">
        <f t="shared" si="186"/>
        <v>74</v>
      </c>
      <c r="AC307" s="1294">
        <f t="shared" si="186"/>
        <v>74</v>
      </c>
      <c r="AD307" s="1294">
        <f t="shared" si="186"/>
        <v>74</v>
      </c>
      <c r="AE307" s="1294">
        <f t="shared" si="186"/>
        <v>74</v>
      </c>
      <c r="AF307" s="1294">
        <f t="shared" si="186"/>
        <v>74</v>
      </c>
      <c r="AG307" s="1624"/>
      <c r="AH307" s="1624"/>
      <c r="AI307" s="1624"/>
      <c r="AJ307" s="1624"/>
      <c r="AK307" s="1624"/>
      <c r="AL307" s="1624"/>
      <c r="AM307" s="1624"/>
      <c r="AN307" s="1624"/>
      <c r="AO307" s="1624"/>
      <c r="AP307" s="213"/>
    </row>
    <row r="308" spans="1:42">
      <c r="A308" s="374" t="s">
        <v>1030</v>
      </c>
      <c r="B308" s="383"/>
      <c r="C308" s="383"/>
      <c r="D308" s="383"/>
      <c r="E308" s="383"/>
      <c r="F308" s="383"/>
      <c r="G308" s="383"/>
      <c r="H308" s="260"/>
      <c r="I308" s="260"/>
      <c r="J308" s="260"/>
      <c r="K308" s="260"/>
      <c r="L308" s="260"/>
      <c r="M308" s="259"/>
      <c r="N308" s="259"/>
      <c r="O308" s="259"/>
      <c r="P308" s="259"/>
      <c r="Q308" s="259"/>
      <c r="R308" s="259"/>
      <c r="S308" s="259"/>
      <c r="T308" s="259">
        <f t="shared" ref="T308:AF308" si="187">T311-T310-T309</f>
        <v>-484</v>
      </c>
      <c r="U308" s="259">
        <v>-508</v>
      </c>
      <c r="V308" s="259">
        <f t="shared" si="187"/>
        <v>-277</v>
      </c>
      <c r="W308" s="259">
        <f t="shared" si="187"/>
        <v>-336</v>
      </c>
      <c r="X308" s="259">
        <f t="shared" si="187"/>
        <v>-400</v>
      </c>
      <c r="Y308" s="259">
        <f t="shared" si="187"/>
        <v>-503</v>
      </c>
      <c r="Z308" s="259">
        <f t="shared" si="187"/>
        <v>-570</v>
      </c>
      <c r="AA308" s="259">
        <f t="shared" si="187"/>
        <v>-570</v>
      </c>
      <c r="AB308" s="259">
        <f t="shared" si="187"/>
        <v>-643.3930102652032</v>
      </c>
      <c r="AC308" s="259">
        <f t="shared" si="187"/>
        <v>-723.10087915379972</v>
      </c>
      <c r="AD308" s="259">
        <f t="shared" si="187"/>
        <v>-804.5336892931424</v>
      </c>
      <c r="AE308" s="259">
        <f t="shared" si="187"/>
        <v>-870.83862463931962</v>
      </c>
      <c r="AF308" s="259">
        <f t="shared" si="187"/>
        <v>-914.73192169701827</v>
      </c>
      <c r="AG308" s="1624"/>
      <c r="AH308" s="1624"/>
      <c r="AI308" s="1636"/>
      <c r="AJ308" s="1624"/>
      <c r="AK308" s="1624"/>
      <c r="AL308" s="1624"/>
      <c r="AM308" s="1624"/>
      <c r="AN308" s="1624"/>
      <c r="AO308" s="1628"/>
      <c r="AP308" s="57"/>
    </row>
    <row r="309" spans="1:42">
      <c r="A309" s="291" t="s">
        <v>1031</v>
      </c>
      <c r="B309" s="383"/>
      <c r="C309" s="383"/>
      <c r="D309" s="383"/>
      <c r="E309" s="383"/>
      <c r="F309" s="383"/>
      <c r="G309" s="383"/>
      <c r="H309" s="260"/>
      <c r="I309" s="260"/>
      <c r="J309" s="260"/>
      <c r="K309" s="260"/>
      <c r="L309" s="260"/>
      <c r="M309" s="260"/>
      <c r="N309" s="260"/>
      <c r="O309" s="260"/>
      <c r="P309" s="260"/>
      <c r="Q309" s="260"/>
      <c r="R309" s="260"/>
      <c r="S309" s="260"/>
      <c r="T309" s="260">
        <v>103</v>
      </c>
      <c r="U309" s="260">
        <v>96</v>
      </c>
      <c r="V309" s="260">
        <v>62</v>
      </c>
      <c r="W309" s="260">
        <v>105</v>
      </c>
      <c r="X309" s="260">
        <v>92</v>
      </c>
      <c r="Y309" s="260">
        <v>96</v>
      </c>
      <c r="Z309" s="260">
        <v>110</v>
      </c>
      <c r="AA309" s="314">
        <f t="shared" ref="AA309:AF310" si="188">Z309</f>
        <v>110</v>
      </c>
      <c r="AB309" s="314">
        <f t="shared" si="188"/>
        <v>110</v>
      </c>
      <c r="AC309" s="314">
        <f t="shared" si="188"/>
        <v>110</v>
      </c>
      <c r="AD309" s="314">
        <f t="shared" si="188"/>
        <v>110</v>
      </c>
      <c r="AE309" s="314">
        <f t="shared" si="188"/>
        <v>110</v>
      </c>
      <c r="AF309" s="314">
        <f t="shared" si="188"/>
        <v>110</v>
      </c>
      <c r="AG309" s="1628"/>
      <c r="AH309" s="1628"/>
      <c r="AI309" s="1628"/>
      <c r="AJ309" s="1628"/>
      <c r="AK309" s="1628"/>
      <c r="AL309" s="1628"/>
      <c r="AM309" s="1628"/>
      <c r="AN309" s="1628"/>
      <c r="AO309" s="1628"/>
      <c r="AP309" s="57"/>
    </row>
    <row r="310" spans="1:42">
      <c r="A310" s="291" t="s">
        <v>1043</v>
      </c>
      <c r="B310" s="383"/>
      <c r="C310" s="383"/>
      <c r="D310" s="383"/>
      <c r="E310" s="383"/>
      <c r="F310" s="383"/>
      <c r="G310" s="383"/>
      <c r="H310" s="259"/>
      <c r="I310" s="259"/>
      <c r="J310" s="259"/>
      <c r="K310" s="259"/>
      <c r="L310" s="259"/>
      <c r="M310" s="260"/>
      <c r="N310" s="260"/>
      <c r="O310" s="260"/>
      <c r="P310" s="260"/>
      <c r="Q310" s="260"/>
      <c r="R310" s="260"/>
      <c r="S310" s="260"/>
      <c r="T310" s="260">
        <v>-106</v>
      </c>
      <c r="U310" s="260">
        <v>-111</v>
      </c>
      <c r="V310" s="260">
        <v>-117</v>
      </c>
      <c r="W310" s="260">
        <v>-119</v>
      </c>
      <c r="X310" s="260">
        <v>-117</v>
      </c>
      <c r="Y310" s="260">
        <v>-124</v>
      </c>
      <c r="Z310" s="260">
        <v>-123</v>
      </c>
      <c r="AA310" s="314">
        <f t="shared" si="188"/>
        <v>-123</v>
      </c>
      <c r="AB310" s="314">
        <f t="shared" si="188"/>
        <v>-123</v>
      </c>
      <c r="AC310" s="314">
        <f t="shared" si="188"/>
        <v>-123</v>
      </c>
      <c r="AD310" s="314">
        <f t="shared" si="188"/>
        <v>-123</v>
      </c>
      <c r="AE310" s="314">
        <f t="shared" si="188"/>
        <v>-123</v>
      </c>
      <c r="AF310" s="314">
        <f t="shared" si="188"/>
        <v>-123</v>
      </c>
      <c r="AG310" s="1628"/>
      <c r="AH310" s="1628"/>
      <c r="AI310" s="1628"/>
      <c r="AJ310" s="1628"/>
      <c r="AK310" s="1628"/>
      <c r="AL310" s="1628"/>
      <c r="AM310" s="1628"/>
      <c r="AN310" s="1628"/>
    </row>
    <row r="311" spans="1:42">
      <c r="A311" s="291" t="s">
        <v>1032</v>
      </c>
      <c r="B311" s="383"/>
      <c r="C311" s="383"/>
      <c r="D311" s="383"/>
      <c r="E311" s="383"/>
      <c r="F311" s="383"/>
      <c r="G311" s="383"/>
      <c r="H311" s="259"/>
      <c r="I311" s="259"/>
      <c r="J311" s="259"/>
      <c r="K311" s="259"/>
      <c r="L311" s="259"/>
      <c r="M311" s="259"/>
      <c r="N311" s="259"/>
      <c r="O311" s="260"/>
      <c r="P311" s="260"/>
      <c r="Q311" s="260"/>
      <c r="R311" s="260"/>
      <c r="S311" s="260"/>
      <c r="T311" s="260">
        <v>-487</v>
      </c>
      <c r="U311" s="260">
        <v>-523</v>
      </c>
      <c r="V311" s="260">
        <v>-332</v>
      </c>
      <c r="W311" s="260">
        <v>-350</v>
      </c>
      <c r="X311" s="260">
        <v>-425</v>
      </c>
      <c r="Y311" s="260">
        <v>-531</v>
      </c>
      <c r="Z311" s="260">
        <v>-583</v>
      </c>
      <c r="AA311" s="259">
        <f t="shared" ref="AA311:AF311" si="189">Z6*AA312</f>
        <v>-583</v>
      </c>
      <c r="AB311" s="259">
        <f t="shared" si="189"/>
        <v>-656.3930102652032</v>
      </c>
      <c r="AC311" s="259">
        <f t="shared" si="189"/>
        <v>-736.10087915379972</v>
      </c>
      <c r="AD311" s="259">
        <f t="shared" si="189"/>
        <v>-817.5336892931424</v>
      </c>
      <c r="AE311" s="259">
        <f t="shared" si="189"/>
        <v>-883.83862463931962</v>
      </c>
      <c r="AF311" s="259">
        <f t="shared" si="189"/>
        <v>-927.73192169701827</v>
      </c>
    </row>
    <row r="312" spans="1:42">
      <c r="A312" s="370" t="s">
        <v>781</v>
      </c>
      <c r="B312" s="383"/>
      <c r="C312" s="383"/>
      <c r="D312" s="383"/>
      <c r="E312" s="383"/>
      <c r="F312" s="383"/>
      <c r="G312" s="383"/>
      <c r="H312" s="340"/>
      <c r="I312" s="340"/>
      <c r="J312" s="340"/>
      <c r="K312" s="340"/>
      <c r="L312" s="340"/>
      <c r="M312" s="340"/>
      <c r="N312" s="340"/>
      <c r="O312" s="345"/>
      <c r="P312" s="345"/>
      <c r="Q312" s="345"/>
      <c r="R312" s="345"/>
      <c r="S312" s="345"/>
      <c r="T312" s="345">
        <f>T311/T6</f>
        <v>-4.6034596842801777E-2</v>
      </c>
      <c r="U312" s="345">
        <v>-4.3420506434205065E-2</v>
      </c>
      <c r="V312" s="345">
        <f>V311/V6</f>
        <v>-4.3325068511027014E-2</v>
      </c>
      <c r="W312" s="345">
        <f>W311/W6</f>
        <v>-4.7049334587982258E-2</v>
      </c>
      <c r="X312" s="345">
        <f>X311/X6</f>
        <v>-4.4708605091521143E-2</v>
      </c>
      <c r="Y312" s="345">
        <f>Y311/Y6</f>
        <v>-4.4712024250589427E-2</v>
      </c>
      <c r="Z312" s="345">
        <f>Z311/Z6</f>
        <v>-4.2704365660709051E-2</v>
      </c>
      <c r="AA312" s="1295">
        <f t="shared" ref="AA312:AF312" si="190">Z312</f>
        <v>-4.2704365660709051E-2</v>
      </c>
      <c r="AB312" s="1295">
        <f t="shared" si="190"/>
        <v>-4.2704365660709051E-2</v>
      </c>
      <c r="AC312" s="1295">
        <f t="shared" si="190"/>
        <v>-4.2704365660709051E-2</v>
      </c>
      <c r="AD312" s="1295">
        <f t="shared" si="190"/>
        <v>-4.2704365660709051E-2</v>
      </c>
      <c r="AE312" s="1295">
        <f t="shared" si="190"/>
        <v>-4.2704365660709051E-2</v>
      </c>
      <c r="AF312" s="1295">
        <f t="shared" si="190"/>
        <v>-4.2704365660709051E-2</v>
      </c>
    </row>
    <row r="313" spans="1:42">
      <c r="A313" s="374" t="s">
        <v>1033</v>
      </c>
      <c r="B313" s="383"/>
      <c r="C313" s="383"/>
      <c r="D313" s="383"/>
      <c r="E313" s="383"/>
      <c r="F313" s="383"/>
      <c r="G313" s="383"/>
      <c r="H313" s="383"/>
      <c r="I313" s="383"/>
      <c r="J313" s="216"/>
      <c r="K313" s="231"/>
      <c r="L313" s="231"/>
      <c r="M313" s="217"/>
      <c r="N313" s="217"/>
      <c r="O313" s="345"/>
      <c r="P313" s="345"/>
      <c r="Q313" s="345"/>
      <c r="R313" s="345"/>
      <c r="S313" s="345"/>
      <c r="T313" s="345">
        <f>(T311-T310-T309)/T6</f>
        <v>-4.5751016164098685E-2</v>
      </c>
      <c r="U313" s="345">
        <v>-4.2175176421751767E-2</v>
      </c>
      <c r="V313" s="345">
        <f t="shared" ref="V313:AF313" si="191">(V311-V310-V309)/V6</f>
        <v>-3.6147722823959283E-2</v>
      </c>
      <c r="W313" s="345">
        <f t="shared" si="191"/>
        <v>-4.5167361204462964E-2</v>
      </c>
      <c r="X313" s="345">
        <f t="shared" si="191"/>
        <v>-4.2078687144961074E-2</v>
      </c>
      <c r="Y313" s="345">
        <f t="shared" si="191"/>
        <v>-4.2354328056584706E-2</v>
      </c>
      <c r="Z313" s="345">
        <f t="shared" si="191"/>
        <v>-4.1752124230881919E-2</v>
      </c>
      <c r="AA313" s="345">
        <f t="shared" si="191"/>
        <v>-3.7083710590960502E-2</v>
      </c>
      <c r="AB313" s="345">
        <f t="shared" si="191"/>
        <v>-3.7325985000173929E-2</v>
      </c>
      <c r="AC313" s="345">
        <f t="shared" si="191"/>
        <v>-3.7771610830696412E-2</v>
      </c>
      <c r="AD313" s="345">
        <f t="shared" si="191"/>
        <v>-3.8872594946791579E-2</v>
      </c>
      <c r="AE313" s="345">
        <f t="shared" si="191"/>
        <v>-4.0085514132186605E-2</v>
      </c>
      <c r="AF313" s="345">
        <f t="shared" si="191"/>
        <v>-4.0110513582574212E-2</v>
      </c>
    </row>
    <row r="315" spans="1:42">
      <c r="AG315" s="1637"/>
    </row>
    <row r="316" spans="1:42">
      <c r="AG316" s="1637"/>
    </row>
    <row r="317" spans="1:42">
      <c r="AO317" s="1624"/>
      <c r="AP317" s="213"/>
    </row>
    <row r="318" spans="1:42">
      <c r="AG318" s="1624"/>
      <c r="AH318" s="1624"/>
      <c r="AI318" s="1624"/>
      <c r="AJ318" s="1624"/>
      <c r="AK318" s="1624"/>
      <c r="AL318" s="1624"/>
      <c r="AM318" s="1624"/>
      <c r="AN318" s="1624"/>
      <c r="AO318" s="1624"/>
      <c r="AP318" s="213"/>
    </row>
    <row r="319" spans="1:42">
      <c r="AG319" s="1624"/>
      <c r="AH319" s="1624"/>
      <c r="AI319" s="1624"/>
      <c r="AJ319" s="1624"/>
      <c r="AK319" s="1624"/>
      <c r="AL319" s="1624"/>
      <c r="AM319" s="1624"/>
      <c r="AN319" s="1624"/>
      <c r="AO319" s="1624"/>
      <c r="AP319" s="213"/>
    </row>
    <row r="320" spans="1:42">
      <c r="AG320" s="1624"/>
      <c r="AH320" s="1624"/>
      <c r="AI320" s="1624"/>
      <c r="AJ320" s="1624"/>
      <c r="AK320" s="1624"/>
      <c r="AL320" s="1624"/>
      <c r="AM320" s="1624"/>
      <c r="AN320" s="1624"/>
      <c r="AO320" s="1624"/>
      <c r="AP320" s="213"/>
    </row>
    <row r="321" spans="33:42">
      <c r="AG321" s="1624"/>
      <c r="AH321" s="1624"/>
      <c r="AI321" s="1624"/>
      <c r="AJ321" s="1624"/>
      <c r="AK321" s="1624"/>
      <c r="AL321" s="1624"/>
      <c r="AM321" s="1624"/>
      <c r="AN321" s="1624"/>
      <c r="AO321" s="1624"/>
      <c r="AP321" s="213"/>
    </row>
    <row r="322" spans="33:42">
      <c r="AG322" s="1624"/>
      <c r="AH322" s="1624"/>
      <c r="AI322" s="1624"/>
      <c r="AJ322" s="1624"/>
      <c r="AK322" s="1624"/>
      <c r="AL322" s="1624"/>
      <c r="AM322" s="1624"/>
      <c r="AN322" s="1624"/>
      <c r="AO322" s="1624"/>
      <c r="AP322" s="213"/>
    </row>
    <row r="323" spans="33:42">
      <c r="AG323" s="1624"/>
      <c r="AH323" s="1624"/>
      <c r="AI323" s="1624"/>
      <c r="AJ323" s="1624"/>
      <c r="AK323" s="1624"/>
      <c r="AL323" s="1624"/>
      <c r="AM323" s="1624"/>
      <c r="AN323" s="1624"/>
      <c r="AO323" s="1624"/>
      <c r="AP323" s="213"/>
    </row>
    <row r="324" spans="33:42">
      <c r="AG324" s="1624"/>
      <c r="AH324" s="1624"/>
      <c r="AI324" s="1624"/>
      <c r="AJ324" s="1624"/>
      <c r="AK324" s="1624"/>
      <c r="AL324" s="1624"/>
      <c r="AM324" s="1624"/>
      <c r="AN324" s="1624"/>
      <c r="AO324" s="1624"/>
      <c r="AP324" s="213"/>
    </row>
    <row r="325" spans="33:42">
      <c r="AG325" s="1624"/>
      <c r="AH325" s="1624"/>
      <c r="AI325" s="1624"/>
      <c r="AJ325" s="1624"/>
      <c r="AK325" s="1624"/>
      <c r="AL325" s="1624"/>
      <c r="AM325" s="1624"/>
      <c r="AN325" s="1624"/>
      <c r="AO325" s="1624"/>
      <c r="AP325" s="213"/>
    </row>
    <row r="326" spans="33:42">
      <c r="AG326" s="1624"/>
      <c r="AH326" s="1624"/>
      <c r="AI326" s="1624"/>
      <c r="AJ326" s="1624"/>
      <c r="AK326" s="1624"/>
      <c r="AL326" s="1624"/>
      <c r="AM326" s="1624"/>
      <c r="AN326" s="1624"/>
    </row>
  </sheetData>
  <printOptions horizontalCentered="1" verticalCentered="1"/>
  <pageMargins left="0.7" right="0.7" top="0.75" bottom="0.75" header="0.3" footer="0.3"/>
  <pageSetup paperSize="9" scale="10" orientation="portrait" r:id="rId1"/>
  <customProperties>
    <customPr name="Qube.Worksheet.Visibility" r:id="rId2"/>
  </customProperties>
  <legacyDrawing r:id="rId3"/>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74AF64-4CC3-401E-BF87-903A5CFC49F7}">
  <sheetPr codeName="Sheet15">
    <tabColor theme="4" tint="0.89999084444715716"/>
  </sheetPr>
  <dimension ref="A1:AB45"/>
  <sheetViews>
    <sheetView showGridLines="0" workbookViewId="0"/>
  </sheetViews>
  <sheetFormatPr defaultRowHeight="14.25" outlineLevelCol="1"/>
  <cols>
    <col min="1" max="1" width="28.125" bestFit="1" customWidth="1"/>
    <col min="2" max="6" width="8.75" hidden="1" customWidth="1" outlineLevel="1"/>
    <col min="7" max="10" width="9" hidden="1" customWidth="1" outlineLevel="1"/>
    <col min="11" max="11" width="9" collapsed="1"/>
    <col min="22" max="22" width="13.625" customWidth="1"/>
  </cols>
  <sheetData>
    <row r="1" spans="1:28" ht="15">
      <c r="A1" s="1285">
        <f>'DCF Valuation'!D45</f>
        <v>340</v>
      </c>
    </row>
    <row r="2" spans="1:28">
      <c r="A2" s="305" t="s">
        <v>1546</v>
      </c>
      <c r="B2" s="305">
        <v>2012</v>
      </c>
      <c r="C2" s="305">
        <v>2013</v>
      </c>
      <c r="D2" s="305">
        <v>2014</v>
      </c>
      <c r="E2" s="305">
        <v>2015</v>
      </c>
      <c r="F2" s="305">
        <v>2016</v>
      </c>
      <c r="G2" s="305">
        <v>2017</v>
      </c>
      <c r="H2" s="305">
        <v>2018</v>
      </c>
      <c r="I2" s="305">
        <v>2019</v>
      </c>
      <c r="J2" s="305">
        <v>2020</v>
      </c>
      <c r="K2" s="305">
        <v>2021</v>
      </c>
      <c r="L2" s="305">
        <v>2022</v>
      </c>
      <c r="M2" s="305">
        <v>2023</v>
      </c>
      <c r="N2" s="305">
        <v>2024</v>
      </c>
      <c r="O2" s="195" t="s">
        <v>954</v>
      </c>
      <c r="P2" s="195" t="s">
        <v>1430</v>
      </c>
      <c r="Q2" s="196" t="s">
        <v>1450</v>
      </c>
      <c r="R2" s="196" t="s">
        <v>1451</v>
      </c>
      <c r="S2" s="196" t="s">
        <v>1452</v>
      </c>
      <c r="T2" s="196" t="s">
        <v>1453</v>
      </c>
      <c r="U2" s="197"/>
      <c r="V2" s="1381"/>
      <c r="W2" s="193"/>
      <c r="X2" s="193"/>
      <c r="Y2" s="193"/>
      <c r="Z2" s="193"/>
      <c r="AA2" s="193"/>
      <c r="AB2" s="193"/>
    </row>
    <row r="3" spans="1:28">
      <c r="A3" s="306" t="s">
        <v>1267</v>
      </c>
      <c r="B3" s="308"/>
      <c r="C3" s="308"/>
      <c r="D3" s="308"/>
      <c r="E3" s="308"/>
      <c r="F3" s="308"/>
      <c r="G3" s="308"/>
      <c r="H3" s="308"/>
      <c r="I3" s="308"/>
      <c r="J3" s="308"/>
      <c r="K3" s="308"/>
      <c r="L3" s="308"/>
      <c r="M3" s="308"/>
      <c r="N3" s="308"/>
      <c r="O3" s="308"/>
      <c r="P3" s="308"/>
      <c r="Q3" s="308"/>
      <c r="R3" s="308"/>
      <c r="S3" s="308"/>
      <c r="T3" s="308"/>
      <c r="U3" s="213"/>
      <c r="V3" s="263"/>
      <c r="W3" s="213"/>
      <c r="X3" s="213"/>
      <c r="Y3" s="213"/>
      <c r="Z3" s="213"/>
      <c r="AA3" s="213"/>
      <c r="AB3" s="213"/>
    </row>
    <row r="4" spans="1:28">
      <c r="A4" s="267" t="s">
        <v>1022</v>
      </c>
      <c r="B4" s="263"/>
      <c r="C4" s="263"/>
      <c r="D4" s="263"/>
      <c r="E4" s="263"/>
      <c r="F4" s="263"/>
      <c r="G4" s="319"/>
      <c r="H4" s="268">
        <v>1813</v>
      </c>
      <c r="I4" s="268">
        <v>2426</v>
      </c>
      <c r="J4" s="268">
        <v>1444</v>
      </c>
      <c r="K4" s="268">
        <v>1067</v>
      </c>
      <c r="L4" s="268">
        <v>1389</v>
      </c>
      <c r="M4" s="268">
        <v>1596</v>
      </c>
      <c r="N4" s="268">
        <v>1916</v>
      </c>
      <c r="O4" s="259">
        <f t="shared" ref="O4:T5" si="0">N4*(1+O15)</f>
        <v>2145.92</v>
      </c>
      <c r="P4" s="259">
        <f t="shared" si="0"/>
        <v>2339.0528000000004</v>
      </c>
      <c r="Q4" s="259">
        <f t="shared" si="0"/>
        <v>2502.7864960000006</v>
      </c>
      <c r="R4" s="259">
        <f t="shared" si="0"/>
        <v>2627.9258208000006</v>
      </c>
      <c r="S4" s="259">
        <f t="shared" si="0"/>
        <v>2680.4843372160008</v>
      </c>
      <c r="T4" s="259">
        <f t="shared" si="0"/>
        <v>2734.094023960321</v>
      </c>
      <c r="U4" s="213"/>
      <c r="V4" s="263"/>
      <c r="W4" s="213"/>
      <c r="X4" s="213"/>
      <c r="Y4" s="213"/>
      <c r="Z4" s="213"/>
      <c r="AA4" s="213"/>
      <c r="AB4" s="213"/>
    </row>
    <row r="5" spans="1:28">
      <c r="A5" s="267" t="s">
        <v>1023</v>
      </c>
      <c r="B5" s="263"/>
      <c r="C5" s="263"/>
      <c r="D5" s="263"/>
      <c r="E5" s="263"/>
      <c r="F5" s="263"/>
      <c r="G5" s="319"/>
      <c r="H5" s="268">
        <v>656</v>
      </c>
      <c r="I5" s="268">
        <v>895</v>
      </c>
      <c r="J5" s="268">
        <v>478</v>
      </c>
      <c r="K5" s="268">
        <v>408</v>
      </c>
      <c r="L5" s="268">
        <v>589</v>
      </c>
      <c r="M5" s="268">
        <v>881</v>
      </c>
      <c r="N5" s="268">
        <v>1121</v>
      </c>
      <c r="O5" s="259">
        <f t="shared" si="0"/>
        <v>1277.94</v>
      </c>
      <c r="P5" s="259">
        <f t="shared" si="0"/>
        <v>1444.0721999999998</v>
      </c>
      <c r="Q5" s="259">
        <f t="shared" si="0"/>
        <v>1631.8015859999996</v>
      </c>
      <c r="R5" s="259">
        <f t="shared" si="0"/>
        <v>1843.9357921799995</v>
      </c>
      <c r="S5" s="259">
        <f t="shared" si="0"/>
        <v>1936.1325817889995</v>
      </c>
      <c r="T5" s="259">
        <f t="shared" si="0"/>
        <v>2013.5778850605595</v>
      </c>
      <c r="U5" s="213"/>
      <c r="V5" s="263"/>
      <c r="W5" s="213"/>
      <c r="X5" s="213"/>
      <c r="Y5" s="213"/>
      <c r="Z5" s="213"/>
      <c r="AA5" s="213"/>
      <c r="AB5" s="213"/>
    </row>
    <row r="6" spans="1:28">
      <c r="A6" s="57" t="s">
        <v>1472</v>
      </c>
      <c r="B6" s="57"/>
      <c r="C6" s="57"/>
      <c r="D6" s="57"/>
      <c r="E6" s="57"/>
      <c r="F6" s="57"/>
      <c r="G6" s="273">
        <v>2718.5349211528001</v>
      </c>
      <c r="H6" s="275">
        <v>2511</v>
      </c>
      <c r="I6" s="275">
        <v>3321</v>
      </c>
      <c r="J6" s="275">
        <v>1922</v>
      </c>
      <c r="K6" s="275">
        <v>1475</v>
      </c>
      <c r="L6" s="275">
        <v>1978</v>
      </c>
      <c r="M6" s="275">
        <v>2477</v>
      </c>
      <c r="N6" s="275">
        <v>3037</v>
      </c>
      <c r="O6" s="273">
        <f t="shared" ref="O6:T6" si="1">SUM(O4:O5)</f>
        <v>3423.86</v>
      </c>
      <c r="P6" s="273">
        <f t="shared" si="1"/>
        <v>3783.125</v>
      </c>
      <c r="Q6" s="273">
        <f t="shared" si="1"/>
        <v>4134.5880820000002</v>
      </c>
      <c r="R6" s="273">
        <f t="shared" si="1"/>
        <v>4471.8616129800002</v>
      </c>
      <c r="S6" s="273">
        <f t="shared" si="1"/>
        <v>4616.6169190050005</v>
      </c>
      <c r="T6" s="273">
        <f t="shared" si="1"/>
        <v>4747.6719090208808</v>
      </c>
      <c r="U6" s="213"/>
      <c r="V6" s="263"/>
      <c r="W6" s="213"/>
      <c r="X6" s="213"/>
      <c r="Y6" s="213"/>
      <c r="Z6" s="213"/>
      <c r="AA6" s="213"/>
      <c r="AB6" s="213"/>
    </row>
    <row r="7" spans="1:28">
      <c r="A7" s="396" t="s">
        <v>1489</v>
      </c>
      <c r="B7" s="263"/>
      <c r="C7" s="263"/>
      <c r="D7" s="263"/>
      <c r="E7" s="263"/>
      <c r="F7" s="263"/>
      <c r="G7" s="263"/>
      <c r="H7" s="419">
        <f t="shared" ref="H7:T7" si="2">H6/G6-1</f>
        <v>-7.6340722915854475E-2</v>
      </c>
      <c r="I7" s="420">
        <f t="shared" si="2"/>
        <v>0.32258064516129026</v>
      </c>
      <c r="J7" s="419">
        <f t="shared" si="2"/>
        <v>-0.42125865703101473</v>
      </c>
      <c r="K7" s="419">
        <f t="shared" si="2"/>
        <v>-0.2325702393340271</v>
      </c>
      <c r="L7" s="419">
        <f t="shared" si="2"/>
        <v>0.34101694915254233</v>
      </c>
      <c r="M7" s="419">
        <f t="shared" si="2"/>
        <v>0.25227502527805856</v>
      </c>
      <c r="N7" s="419">
        <f t="shared" si="2"/>
        <v>0.22607993540573279</v>
      </c>
      <c r="O7" s="419">
        <f t="shared" si="2"/>
        <v>0.12738228514981897</v>
      </c>
      <c r="P7" s="419">
        <f t="shared" si="2"/>
        <v>0.10492981605556295</v>
      </c>
      <c r="Q7" s="419">
        <f t="shared" si="2"/>
        <v>9.2902846720634535E-2</v>
      </c>
      <c r="R7" s="419">
        <f t="shared" si="2"/>
        <v>8.1573671739713527E-2</v>
      </c>
      <c r="S7" s="419">
        <f t="shared" si="2"/>
        <v>3.2370256182533419E-2</v>
      </c>
      <c r="T7" s="419">
        <f t="shared" si="2"/>
        <v>2.8387668354368456E-2</v>
      </c>
      <c r="U7" s="213"/>
      <c r="V7" s="263"/>
      <c r="W7" s="213"/>
      <c r="X7" s="213"/>
      <c r="Y7" s="213"/>
      <c r="Z7" s="213"/>
      <c r="AA7" s="213"/>
      <c r="AB7" s="213"/>
    </row>
    <row r="8" spans="1:28">
      <c r="A8" s="396" t="s">
        <v>1541</v>
      </c>
      <c r="B8" s="263"/>
      <c r="C8" s="263"/>
      <c r="D8" s="263"/>
      <c r="E8" s="263"/>
      <c r="F8" s="263"/>
      <c r="G8" s="263"/>
      <c r="H8" s="419"/>
      <c r="I8" s="420"/>
      <c r="J8" s="453">
        <v>-0.40400000000000003</v>
      </c>
      <c r="K8" s="453">
        <v>-0.19900000000000001</v>
      </c>
      <c r="L8" s="453">
        <v>0.251</v>
      </c>
      <c r="M8" s="453">
        <v>0.32800000000000001</v>
      </c>
      <c r="N8" s="453">
        <v>0.252</v>
      </c>
      <c r="O8" s="420"/>
      <c r="P8" s="420"/>
      <c r="Q8" s="420"/>
      <c r="R8" s="420"/>
      <c r="S8" s="420"/>
      <c r="T8" s="420"/>
      <c r="U8" s="213"/>
      <c r="V8" s="263"/>
      <c r="W8" s="213"/>
      <c r="X8" s="213"/>
      <c r="Y8" s="213"/>
      <c r="Z8" s="213"/>
      <c r="AA8" s="213"/>
      <c r="AB8" s="213"/>
    </row>
    <row r="9" spans="1:28">
      <c r="A9" s="396"/>
      <c r="B9" s="263"/>
      <c r="C9" s="263"/>
      <c r="D9" s="263"/>
      <c r="E9" s="263"/>
      <c r="F9" s="263"/>
      <c r="G9" s="263"/>
      <c r="H9" s="419"/>
      <c r="I9" s="420"/>
      <c r="J9" s="453"/>
      <c r="K9" s="453"/>
      <c r="L9" s="420"/>
      <c r="M9" s="420"/>
      <c r="N9" s="420"/>
      <c r="O9" s="420"/>
      <c r="P9" s="420"/>
      <c r="Q9" s="420"/>
      <c r="R9" s="420"/>
      <c r="S9" s="420"/>
      <c r="T9" s="420"/>
      <c r="U9" s="213"/>
      <c r="V9" s="263"/>
      <c r="W9" s="213"/>
      <c r="X9" s="213"/>
      <c r="Y9" s="213"/>
      <c r="Z9" s="213"/>
      <c r="AA9" s="213"/>
      <c r="AB9" s="213"/>
    </row>
    <row r="10" spans="1:28">
      <c r="A10" s="214" t="s">
        <v>1528</v>
      </c>
      <c r="B10" s="213"/>
      <c r="C10" s="213"/>
      <c r="D10" s="213"/>
      <c r="E10" s="213"/>
      <c r="F10" s="213"/>
      <c r="G10" s="213"/>
      <c r="H10" s="454"/>
      <c r="I10" s="454"/>
      <c r="J10" s="454"/>
      <c r="K10" s="454"/>
      <c r="L10" s="454"/>
      <c r="M10" s="454"/>
      <c r="N10" s="454"/>
      <c r="O10" s="454"/>
      <c r="P10" s="454"/>
      <c r="Q10" s="454"/>
      <c r="R10" s="454"/>
      <c r="S10" s="454"/>
      <c r="T10" s="454"/>
      <c r="U10" s="213"/>
      <c r="V10" s="263"/>
      <c r="W10" s="213"/>
      <c r="X10" s="213"/>
      <c r="Y10" s="213"/>
      <c r="Z10" s="213"/>
      <c r="AA10" s="213"/>
      <c r="AB10" s="213"/>
    </row>
    <row r="11" spans="1:28">
      <c r="A11" s="267" t="s">
        <v>1022</v>
      </c>
      <c r="B11" s="263"/>
      <c r="C11" s="263"/>
      <c r="D11" s="263"/>
      <c r="E11" s="263"/>
      <c r="F11" s="263"/>
      <c r="G11" s="263"/>
      <c r="H11" s="322">
        <f>H4/(H4+H5)</f>
        <v>0.73430538679627377</v>
      </c>
      <c r="I11" s="322">
        <f t="shared" ref="I11:T11" si="3">I4/I6</f>
        <v>0.73050286058416136</v>
      </c>
      <c r="J11" s="322">
        <f t="shared" si="3"/>
        <v>0.7513007284079084</v>
      </c>
      <c r="K11" s="322">
        <f t="shared" si="3"/>
        <v>0.72338983050847461</v>
      </c>
      <c r="L11" s="322">
        <f t="shared" si="3"/>
        <v>0.70222446916076842</v>
      </c>
      <c r="M11" s="322">
        <f t="shared" si="3"/>
        <v>0.64432781590633836</v>
      </c>
      <c r="N11" s="322">
        <f t="shared" si="3"/>
        <v>0.63088574250905494</v>
      </c>
      <c r="O11" s="322">
        <f t="shared" si="3"/>
        <v>0.62675459861092453</v>
      </c>
      <c r="P11" s="322">
        <f t="shared" si="3"/>
        <v>0.61828588798942685</v>
      </c>
      <c r="Q11" s="322">
        <f t="shared" si="3"/>
        <v>0.60532910325358025</v>
      </c>
      <c r="R11" s="322">
        <f t="shared" si="3"/>
        <v>0.587658127248884</v>
      </c>
      <c r="S11" s="322">
        <f t="shared" si="3"/>
        <v>0.58061658228157986</v>
      </c>
      <c r="T11" s="322">
        <f t="shared" si="3"/>
        <v>0.57588099522323077</v>
      </c>
      <c r="U11" s="213"/>
      <c r="V11" s="263"/>
      <c r="W11" s="213"/>
      <c r="X11" s="213"/>
      <c r="Y11" s="213"/>
      <c r="Z11" s="213"/>
      <c r="AA11" s="213"/>
      <c r="AB11" s="213"/>
    </row>
    <row r="12" spans="1:28">
      <c r="A12" s="267" t="s">
        <v>1023</v>
      </c>
      <c r="B12" s="263"/>
      <c r="C12" s="263"/>
      <c r="D12" s="263"/>
      <c r="E12" s="263"/>
      <c r="F12" s="263"/>
      <c r="G12" s="263"/>
      <c r="H12" s="322">
        <f t="shared" ref="H12:T12" si="4">1-H11</f>
        <v>0.26569461320372623</v>
      </c>
      <c r="I12" s="322">
        <f t="shared" si="4"/>
        <v>0.26949713941583864</v>
      </c>
      <c r="J12" s="322">
        <f t="shared" si="4"/>
        <v>0.2486992715920916</v>
      </c>
      <c r="K12" s="322">
        <f t="shared" si="4"/>
        <v>0.27661016949152539</v>
      </c>
      <c r="L12" s="322">
        <f t="shared" si="4"/>
        <v>0.29777553083923158</v>
      </c>
      <c r="M12" s="322">
        <f t="shared" si="4"/>
        <v>0.35567218409366164</v>
      </c>
      <c r="N12" s="322">
        <f t="shared" si="4"/>
        <v>0.36911425749094506</v>
      </c>
      <c r="O12" s="322">
        <f t="shared" si="4"/>
        <v>0.37324540138907547</v>
      </c>
      <c r="P12" s="322">
        <f t="shared" si="4"/>
        <v>0.38171411201057315</v>
      </c>
      <c r="Q12" s="322">
        <f t="shared" si="4"/>
        <v>0.39467089674641975</v>
      </c>
      <c r="R12" s="322">
        <f t="shared" si="4"/>
        <v>0.412341872751116</v>
      </c>
      <c r="S12" s="322">
        <f t="shared" si="4"/>
        <v>0.41938341771842014</v>
      </c>
      <c r="T12" s="322">
        <f t="shared" si="4"/>
        <v>0.42411900477676923</v>
      </c>
      <c r="U12" s="213"/>
      <c r="V12" s="263"/>
      <c r="W12" s="213"/>
      <c r="X12" s="213"/>
      <c r="Y12" s="213"/>
      <c r="Z12" s="213"/>
      <c r="AA12" s="213"/>
      <c r="AB12" s="213"/>
    </row>
    <row r="13" spans="1:28">
      <c r="A13" s="267"/>
      <c r="B13" s="263"/>
      <c r="C13" s="263"/>
      <c r="D13" s="263"/>
      <c r="E13" s="263"/>
      <c r="F13" s="263"/>
      <c r="G13" s="263"/>
      <c r="H13" s="322"/>
      <c r="I13" s="322"/>
      <c r="J13" s="322"/>
      <c r="K13" s="322"/>
      <c r="L13" s="276"/>
      <c r="M13" s="276"/>
      <c r="N13" s="276"/>
      <c r="O13" s="276"/>
      <c r="P13" s="276"/>
      <c r="Q13" s="276"/>
      <c r="R13" s="276"/>
      <c r="S13" s="276"/>
      <c r="T13" s="276"/>
      <c r="U13" s="213"/>
      <c r="V13" s="263"/>
      <c r="W13" s="213"/>
      <c r="X13" s="213"/>
      <c r="Y13" s="213"/>
      <c r="Z13" s="213"/>
      <c r="AA13" s="213"/>
      <c r="AB13" s="213"/>
    </row>
    <row r="14" spans="1:28">
      <c r="A14" s="214" t="s">
        <v>1527</v>
      </c>
      <c r="B14" s="263"/>
      <c r="C14" s="263"/>
      <c r="D14" s="263"/>
      <c r="E14" s="263"/>
      <c r="F14" s="263"/>
      <c r="G14" s="263"/>
      <c r="H14" s="322"/>
      <c r="I14" s="322"/>
      <c r="J14" s="322"/>
      <c r="K14" s="322"/>
      <c r="L14" s="276"/>
      <c r="M14" s="276"/>
      <c r="N14" s="276"/>
      <c r="O14" s="276"/>
      <c r="P14" s="276"/>
      <c r="Q14" s="276"/>
      <c r="R14" s="276"/>
      <c r="S14" s="276"/>
      <c r="T14" s="276"/>
      <c r="U14" s="213"/>
      <c r="V14" s="263"/>
      <c r="W14" s="213"/>
      <c r="X14" s="213"/>
      <c r="Y14" s="213"/>
      <c r="Z14" s="213"/>
      <c r="AA14" s="213"/>
      <c r="AB14" s="213"/>
    </row>
    <row r="15" spans="1:28">
      <c r="A15" s="267" t="s">
        <v>1022</v>
      </c>
      <c r="B15" s="263"/>
      <c r="C15" s="263"/>
      <c r="D15" s="263"/>
      <c r="E15" s="263"/>
      <c r="F15" s="263"/>
      <c r="G15" s="263"/>
      <c r="H15" s="276"/>
      <c r="I15" s="276">
        <f t="shared" ref="I15:N16" si="5">I4/H4-1</f>
        <v>0.33811362382790944</v>
      </c>
      <c r="J15" s="276">
        <f t="shared" si="5"/>
        <v>-0.40478153338829348</v>
      </c>
      <c r="K15" s="276">
        <f t="shared" si="5"/>
        <v>-0.2610803324099723</v>
      </c>
      <c r="L15" s="276">
        <f t="shared" si="5"/>
        <v>0.30178069353327075</v>
      </c>
      <c r="M15" s="276">
        <f t="shared" si="5"/>
        <v>0.1490280777537798</v>
      </c>
      <c r="N15" s="276">
        <f t="shared" si="5"/>
        <v>0.20050125313283207</v>
      </c>
      <c r="O15" s="1306">
        <v>0.12</v>
      </c>
      <c r="P15" s="1306">
        <v>0.09</v>
      </c>
      <c r="Q15" s="1306">
        <v>7.0000000000000007E-2</v>
      </c>
      <c r="R15" s="1306">
        <v>0.05</v>
      </c>
      <c r="S15" s="1306">
        <v>0.02</v>
      </c>
      <c r="T15" s="1306">
        <v>0.02</v>
      </c>
      <c r="U15" s="213"/>
      <c r="V15" s="263"/>
      <c r="W15" s="213"/>
      <c r="X15" s="213"/>
      <c r="Y15" s="213"/>
      <c r="Z15" s="213"/>
      <c r="AA15" s="213"/>
      <c r="AB15" s="213"/>
    </row>
    <row r="16" spans="1:28">
      <c r="A16" s="267" t="s">
        <v>1023</v>
      </c>
      <c r="B16" s="263"/>
      <c r="C16" s="263"/>
      <c r="D16" s="263"/>
      <c r="E16" s="263"/>
      <c r="F16" s="263"/>
      <c r="G16" s="263"/>
      <c r="H16" s="276"/>
      <c r="I16" s="276">
        <f t="shared" si="5"/>
        <v>0.36432926829268286</v>
      </c>
      <c r="J16" s="276">
        <f t="shared" si="5"/>
        <v>-0.46592178770949721</v>
      </c>
      <c r="K16" s="276">
        <f t="shared" si="5"/>
        <v>-0.14644351464435146</v>
      </c>
      <c r="L16" s="276">
        <f t="shared" si="5"/>
        <v>0.44362745098039214</v>
      </c>
      <c r="M16" s="276">
        <f t="shared" si="5"/>
        <v>0.49575551782682514</v>
      </c>
      <c r="N16" s="276">
        <f t="shared" si="5"/>
        <v>0.27241770715096481</v>
      </c>
      <c r="O16" s="1306">
        <v>0.14000000000000001</v>
      </c>
      <c r="P16" s="1306">
        <v>0.13</v>
      </c>
      <c r="Q16" s="1306">
        <v>0.13</v>
      </c>
      <c r="R16" s="1306">
        <v>0.13</v>
      </c>
      <c r="S16" s="1306">
        <v>0.05</v>
      </c>
      <c r="T16" s="1306">
        <v>0.04</v>
      </c>
      <c r="U16" s="213"/>
      <c r="V16" s="263"/>
      <c r="W16" s="213"/>
      <c r="X16" s="213"/>
      <c r="Y16" s="213"/>
      <c r="Z16" s="213"/>
      <c r="AA16" s="213"/>
      <c r="AB16" s="213"/>
    </row>
    <row r="17" spans="1:28">
      <c r="A17" s="421"/>
      <c r="B17" s="263"/>
      <c r="C17" s="263"/>
      <c r="D17" s="263"/>
      <c r="E17" s="263"/>
      <c r="F17" s="263"/>
      <c r="G17" s="263"/>
      <c r="H17" s="412"/>
      <c r="I17" s="412"/>
      <c r="J17" s="412"/>
      <c r="K17" s="412"/>
      <c r="L17" s="412"/>
      <c r="M17" s="412"/>
      <c r="N17" s="412"/>
      <c r="O17" s="412"/>
      <c r="P17" s="412"/>
      <c r="Q17" s="412"/>
      <c r="R17" s="412"/>
      <c r="S17" s="412"/>
      <c r="T17" s="412"/>
      <c r="U17" s="213"/>
      <c r="V17" s="263"/>
      <c r="W17" s="213"/>
      <c r="X17" s="213"/>
      <c r="Y17" s="213"/>
      <c r="Z17" s="213"/>
      <c r="AA17" s="213"/>
      <c r="AB17" s="213"/>
    </row>
    <row r="18" spans="1:28">
      <c r="A18" s="306" t="s">
        <v>1294</v>
      </c>
      <c r="B18" s="308"/>
      <c r="C18" s="308"/>
      <c r="D18" s="308"/>
      <c r="E18" s="308"/>
      <c r="F18" s="308"/>
      <c r="G18" s="308"/>
      <c r="H18" s="308"/>
      <c r="I18" s="308"/>
      <c r="J18" s="308"/>
      <c r="K18" s="308"/>
      <c r="L18" s="308"/>
      <c r="M18" s="308"/>
      <c r="N18" s="308"/>
      <c r="O18" s="308"/>
      <c r="P18" s="308"/>
      <c r="Q18" s="308"/>
      <c r="R18" s="308"/>
      <c r="S18" s="308"/>
      <c r="T18" s="308"/>
      <c r="U18" s="213"/>
      <c r="V18" s="263"/>
      <c r="W18" s="213"/>
      <c r="X18" s="213"/>
      <c r="Y18" s="213"/>
      <c r="Z18" s="213"/>
      <c r="AA18" s="213"/>
      <c r="AB18" s="213"/>
    </row>
    <row r="19" spans="1:28">
      <c r="A19" s="405" t="s">
        <v>1529</v>
      </c>
      <c r="B19" s="213"/>
      <c r="C19" s="213"/>
      <c r="D19" s="213"/>
      <c r="E19" s="213"/>
      <c r="F19" s="213"/>
      <c r="G19" s="430">
        <v>-129.30516188818871</v>
      </c>
      <c r="H19" s="430">
        <v>81</v>
      </c>
      <c r="I19" s="430">
        <v>188</v>
      </c>
      <c r="J19" s="430">
        <v>-174</v>
      </c>
      <c r="K19" s="430">
        <v>-167</v>
      </c>
      <c r="L19" s="430">
        <v>-140</v>
      </c>
      <c r="M19" s="430">
        <v>-116</v>
      </c>
      <c r="N19" s="430">
        <v>27</v>
      </c>
      <c r="O19" s="371">
        <f t="shared" ref="O19:T19" si="6">N19+O30</f>
        <v>106.69281550872572</v>
      </c>
      <c r="P19" s="371">
        <f t="shared" si="6"/>
        <v>200.53140626440566</v>
      </c>
      <c r="Q19" s="371">
        <f t="shared" si="6"/>
        <v>309.38033969793548</v>
      </c>
      <c r="R19" s="371">
        <f t="shared" si="6"/>
        <v>401.1613011765312</v>
      </c>
      <c r="S19" s="371">
        <f t="shared" si="6"/>
        <v>431.91275843864673</v>
      </c>
      <c r="T19" s="371">
        <f t="shared" si="6"/>
        <v>446.20993327077423</v>
      </c>
      <c r="U19" s="213"/>
      <c r="V19" s="263"/>
      <c r="W19" s="213"/>
      <c r="X19" s="213"/>
      <c r="Y19" s="213"/>
      <c r="Z19" s="213"/>
      <c r="AA19" s="213"/>
      <c r="AB19" s="213"/>
    </row>
    <row r="20" spans="1:28">
      <c r="A20" s="266" t="s">
        <v>985</v>
      </c>
      <c r="B20" s="263"/>
      <c r="C20" s="263"/>
      <c r="D20" s="263"/>
      <c r="E20" s="263"/>
      <c r="F20" s="263"/>
      <c r="G20" s="323">
        <f t="shared" ref="G20:T20" si="7">G19/G6</f>
        <v>-4.7564282099917483E-2</v>
      </c>
      <c r="H20" s="323">
        <f t="shared" si="7"/>
        <v>3.2258064516129031E-2</v>
      </c>
      <c r="I20" s="323">
        <f t="shared" si="7"/>
        <v>5.6609454983438723E-2</v>
      </c>
      <c r="J20" s="323">
        <f t="shared" si="7"/>
        <v>-9.053069719042664E-2</v>
      </c>
      <c r="K20" s="323">
        <f t="shared" si="7"/>
        <v>-0.11322033898305085</v>
      </c>
      <c r="L20" s="323">
        <f t="shared" si="7"/>
        <v>-7.0778564206268962E-2</v>
      </c>
      <c r="M20" s="323">
        <f t="shared" si="7"/>
        <v>-4.6830843762616065E-2</v>
      </c>
      <c r="N20" s="323">
        <f t="shared" si="7"/>
        <v>8.8903523213697735E-3</v>
      </c>
      <c r="O20" s="323">
        <f t="shared" si="7"/>
        <v>3.1161559032415378E-2</v>
      </c>
      <c r="P20" s="323">
        <f t="shared" si="7"/>
        <v>5.3006814806385111E-2</v>
      </c>
      <c r="Q20" s="323">
        <f t="shared" si="7"/>
        <v>7.4827366973950343E-2</v>
      </c>
      <c r="R20" s="323">
        <f t="shared" si="7"/>
        <v>8.9707897044962806E-2</v>
      </c>
      <c r="S20" s="323">
        <f t="shared" si="7"/>
        <v>9.3556118260671076E-2</v>
      </c>
      <c r="T20" s="323">
        <f t="shared" si="7"/>
        <v>9.3984997662316716E-2</v>
      </c>
      <c r="U20" s="213"/>
      <c r="V20" s="263"/>
      <c r="W20" s="213"/>
      <c r="X20" s="213"/>
      <c r="Y20" s="213"/>
      <c r="Z20" s="213"/>
      <c r="AA20" s="213"/>
      <c r="AB20" s="213"/>
    </row>
    <row r="21" spans="1:28">
      <c r="A21" s="1380" t="s">
        <v>1542</v>
      </c>
      <c r="B21" s="1379"/>
      <c r="C21" s="1379"/>
      <c r="D21" s="1379"/>
      <c r="E21" s="1379"/>
      <c r="F21" s="1379"/>
      <c r="G21" s="1379"/>
      <c r="H21" s="1379"/>
      <c r="I21" s="1379"/>
      <c r="J21" s="1379"/>
      <c r="K21" s="1379"/>
      <c r="L21" s="1379"/>
      <c r="M21" s="1379"/>
      <c r="N21" s="1379"/>
      <c r="O21" s="1379"/>
      <c r="P21" s="1379"/>
      <c r="Q21" s="1379"/>
      <c r="R21" s="1379"/>
      <c r="S21" s="1379"/>
      <c r="T21" s="1379"/>
      <c r="U21" s="213"/>
      <c r="V21" s="263"/>
      <c r="W21" s="213"/>
      <c r="X21" s="213"/>
      <c r="Y21" s="213"/>
      <c r="Z21" s="213"/>
      <c r="AA21" s="213"/>
      <c r="AB21" s="213"/>
    </row>
    <row r="22" spans="1:28">
      <c r="A22" s="263" t="s">
        <v>1241</v>
      </c>
      <c r="B22" s="213"/>
      <c r="C22" s="213"/>
      <c r="D22" s="213"/>
      <c r="E22" s="213"/>
      <c r="F22" s="213"/>
      <c r="G22" s="263"/>
      <c r="H22" s="455">
        <v>-98.852513165540699</v>
      </c>
      <c r="I22" s="455">
        <v>46.705778586230487</v>
      </c>
      <c r="J22" s="455">
        <v>-268.33680000000004</v>
      </c>
      <c r="K22" s="455">
        <v>-97.768000000000001</v>
      </c>
      <c r="L22" s="455">
        <v>89.195326820457453</v>
      </c>
      <c r="M22" s="455">
        <v>97.788856674430633</v>
      </c>
      <c r="N22" s="234">
        <v>90.536227677135088</v>
      </c>
      <c r="O22" s="234">
        <f t="shared" ref="O22:T22" si="8">(O6-N6)*O33</f>
        <v>46.423200000000016</v>
      </c>
      <c r="P22" s="234">
        <f t="shared" si="8"/>
        <v>53.889749999999978</v>
      </c>
      <c r="Q22" s="234">
        <f t="shared" si="8"/>
        <v>63.263354760000034</v>
      </c>
      <c r="R22" s="234">
        <f t="shared" si="8"/>
        <v>40.472823717600001</v>
      </c>
      <c r="S22" s="234">
        <f t="shared" si="8"/>
        <v>2.8951061205000044</v>
      </c>
      <c r="T22" s="234">
        <f t="shared" si="8"/>
        <v>2.6210998003176065</v>
      </c>
      <c r="U22" s="213"/>
      <c r="V22" s="263"/>
      <c r="W22" s="213"/>
      <c r="X22" s="213"/>
      <c r="Y22" s="213"/>
      <c r="Z22" s="213"/>
      <c r="AA22" s="213"/>
      <c r="AB22" s="213"/>
    </row>
    <row r="23" spans="1:28">
      <c r="A23" s="263" t="s">
        <v>1027</v>
      </c>
      <c r="B23" s="213"/>
      <c r="C23" s="213"/>
      <c r="D23" s="213"/>
      <c r="E23" s="213"/>
      <c r="F23" s="213"/>
      <c r="G23" s="234"/>
      <c r="H23" s="234">
        <v>25.11</v>
      </c>
      <c r="I23" s="234">
        <v>33.21</v>
      </c>
      <c r="J23" s="234">
        <v>0</v>
      </c>
      <c r="K23" s="234">
        <v>29.5</v>
      </c>
      <c r="L23" s="234">
        <v>39.56</v>
      </c>
      <c r="M23" s="234">
        <v>49.54</v>
      </c>
      <c r="N23" s="234">
        <v>60.74</v>
      </c>
      <c r="O23" s="234">
        <f t="shared" ref="O23:T23" si="9">O34*O6</f>
        <v>68.477200000000011</v>
      </c>
      <c r="P23" s="234">
        <f t="shared" si="9"/>
        <v>75.662500000000009</v>
      </c>
      <c r="Q23" s="234">
        <f t="shared" si="9"/>
        <v>82.69176164000001</v>
      </c>
      <c r="R23" s="234">
        <f t="shared" si="9"/>
        <v>89.437232259600009</v>
      </c>
      <c r="S23" s="234">
        <f t="shared" si="9"/>
        <v>46.166169190050006</v>
      </c>
      <c r="T23" s="234">
        <f t="shared" si="9"/>
        <v>23.738359545104405</v>
      </c>
      <c r="U23" s="213"/>
      <c r="V23" s="263"/>
      <c r="W23" s="213"/>
      <c r="X23" s="213"/>
      <c r="Y23" s="213"/>
      <c r="Z23" s="213"/>
      <c r="AA23" s="213"/>
      <c r="AB23" s="213"/>
    </row>
    <row r="24" spans="1:28">
      <c r="A24" s="263" t="s">
        <v>1034</v>
      </c>
      <c r="B24" s="213"/>
      <c r="C24" s="213"/>
      <c r="D24" s="213"/>
      <c r="E24" s="213"/>
      <c r="F24" s="213"/>
      <c r="G24" s="234"/>
      <c r="H24" s="234">
        <v>-25.11</v>
      </c>
      <c r="I24" s="234">
        <v>-33.21</v>
      </c>
      <c r="J24" s="234">
        <v>0</v>
      </c>
      <c r="K24" s="234">
        <v>-7.375</v>
      </c>
      <c r="L24" s="234">
        <v>-9.89</v>
      </c>
      <c r="M24" s="234">
        <v>-12.385</v>
      </c>
      <c r="N24" s="234">
        <v>-15.185</v>
      </c>
      <c r="O24" s="234">
        <f t="shared" ref="O24:T24" si="10">-O23*0.25</f>
        <v>-17.119300000000003</v>
      </c>
      <c r="P24" s="234">
        <f t="shared" si="10"/>
        <v>-18.915625000000002</v>
      </c>
      <c r="Q24" s="234">
        <f t="shared" si="10"/>
        <v>-20.672940410000002</v>
      </c>
      <c r="R24" s="234">
        <f t="shared" si="10"/>
        <v>-22.359308064900002</v>
      </c>
      <c r="S24" s="234">
        <f t="shared" si="10"/>
        <v>-11.541542297512501</v>
      </c>
      <c r="T24" s="234">
        <f t="shared" si="10"/>
        <v>-5.9345898862761013</v>
      </c>
      <c r="U24" s="213"/>
      <c r="V24" s="263"/>
      <c r="W24" s="213"/>
      <c r="X24" s="213"/>
      <c r="Y24" s="213"/>
      <c r="Z24" s="213"/>
      <c r="AA24" s="213"/>
      <c r="AB24" s="213"/>
    </row>
    <row r="25" spans="1:28">
      <c r="A25" s="263" t="s">
        <v>999</v>
      </c>
      <c r="B25" s="213"/>
      <c r="C25" s="213"/>
      <c r="D25" s="213"/>
      <c r="E25" s="213"/>
      <c r="F25" s="213"/>
      <c r="G25" s="213"/>
      <c r="H25" s="213">
        <v>35</v>
      </c>
      <c r="I25" s="213">
        <v>50</v>
      </c>
      <c r="J25" s="213">
        <v>20</v>
      </c>
      <c r="K25" s="213">
        <v>10</v>
      </c>
      <c r="L25" s="213">
        <v>10</v>
      </c>
      <c r="M25" s="213">
        <v>0</v>
      </c>
      <c r="N25" s="213">
        <v>0</v>
      </c>
      <c r="O25" s="213"/>
      <c r="P25" s="213"/>
      <c r="Q25" s="213"/>
      <c r="R25" s="213"/>
      <c r="S25" s="213"/>
      <c r="T25" s="213"/>
      <c r="U25" s="213"/>
      <c r="V25" s="263"/>
      <c r="W25" s="213"/>
      <c r="X25" s="213"/>
      <c r="Y25" s="213"/>
      <c r="Z25" s="213"/>
      <c r="AA25" s="213"/>
      <c r="AB25" s="213"/>
    </row>
    <row r="26" spans="1:28">
      <c r="A26" s="263" t="s">
        <v>1266</v>
      </c>
      <c r="B26" s="213"/>
      <c r="C26" s="213"/>
      <c r="D26" s="213"/>
      <c r="E26" s="213"/>
      <c r="F26" s="213"/>
      <c r="G26" s="213"/>
      <c r="H26" s="213">
        <v>-37.5</v>
      </c>
      <c r="I26" s="213">
        <v>0</v>
      </c>
      <c r="J26" s="213">
        <v>-25</v>
      </c>
      <c r="K26" s="213">
        <v>0</v>
      </c>
      <c r="L26" s="213">
        <v>-5</v>
      </c>
      <c r="M26" s="213">
        <v>0</v>
      </c>
      <c r="N26" s="213">
        <v>0</v>
      </c>
      <c r="O26" s="213"/>
      <c r="P26" s="213"/>
      <c r="Q26" s="213"/>
      <c r="R26" s="213"/>
      <c r="S26" s="213"/>
      <c r="T26" s="213"/>
      <c r="U26" s="213"/>
      <c r="V26" s="263"/>
      <c r="W26" s="213"/>
      <c r="X26" s="213"/>
      <c r="Y26" s="213"/>
      <c r="Z26" s="213"/>
      <c r="AA26" s="213"/>
      <c r="AB26" s="213"/>
    </row>
    <row r="27" spans="1:28">
      <c r="A27" s="263" t="s">
        <v>794</v>
      </c>
      <c r="B27" s="213"/>
      <c r="C27" s="213"/>
      <c r="D27" s="213"/>
      <c r="E27" s="213"/>
      <c r="F27" s="213"/>
      <c r="G27" s="213"/>
      <c r="H27" s="234">
        <f t="shared" ref="H27:N27" si="11">H43-G43</f>
        <v>-1.2338820846849785</v>
      </c>
      <c r="I27" s="234">
        <f t="shared" si="11"/>
        <v>-39</v>
      </c>
      <c r="J27" s="234">
        <f t="shared" si="11"/>
        <v>39</v>
      </c>
      <c r="K27" s="234">
        <f t="shared" si="11"/>
        <v>63</v>
      </c>
      <c r="L27" s="234">
        <f t="shared" si="11"/>
        <v>-23</v>
      </c>
      <c r="M27" s="234">
        <f t="shared" si="11"/>
        <v>-14</v>
      </c>
      <c r="N27" s="234">
        <f t="shared" si="11"/>
        <v>-25</v>
      </c>
      <c r="O27" s="234">
        <f t="shared" ref="O27:T27" si="12">O43-N43</f>
        <v>-18.088284491274294</v>
      </c>
      <c r="P27" s="234">
        <f t="shared" si="12"/>
        <v>-16.798034244320036</v>
      </c>
      <c r="Q27" s="234">
        <f t="shared" si="12"/>
        <v>-16.433242556470219</v>
      </c>
      <c r="R27" s="234">
        <f t="shared" si="12"/>
        <v>-15.769786433704297</v>
      </c>
      <c r="S27" s="234">
        <f t="shared" si="12"/>
        <v>-6.7682757509219869</v>
      </c>
      <c r="T27" s="234">
        <f t="shared" si="12"/>
        <v>-6.1276946270184283</v>
      </c>
      <c r="U27" s="213"/>
      <c r="V27" s="263"/>
      <c r="W27" s="213"/>
      <c r="X27" s="213"/>
      <c r="Y27" s="213"/>
      <c r="Z27" s="213"/>
      <c r="AA27" s="213"/>
      <c r="AB27" s="213"/>
    </row>
    <row r="28" spans="1:28">
      <c r="A28" s="263" t="s">
        <v>777</v>
      </c>
      <c r="B28" s="213"/>
      <c r="C28" s="213"/>
      <c r="D28" s="213"/>
      <c r="E28" s="213"/>
      <c r="F28" s="213"/>
      <c r="G28" s="213"/>
      <c r="H28" s="213"/>
      <c r="I28" s="213"/>
      <c r="J28" s="213"/>
      <c r="K28" s="213"/>
      <c r="L28" s="213"/>
      <c r="M28" s="213"/>
      <c r="N28" s="213"/>
      <c r="O28" s="213"/>
      <c r="P28" s="213"/>
      <c r="Q28" s="213"/>
      <c r="R28" s="213"/>
      <c r="S28" s="213"/>
      <c r="T28" s="213"/>
      <c r="U28" s="213"/>
      <c r="V28" s="263"/>
      <c r="W28" s="213"/>
      <c r="X28" s="213"/>
      <c r="Y28" s="213"/>
      <c r="Z28" s="213"/>
      <c r="AA28" s="213"/>
      <c r="AB28" s="213"/>
    </row>
    <row r="29" spans="1:28">
      <c r="A29" s="263" t="s">
        <v>776</v>
      </c>
      <c r="B29" s="263"/>
      <c r="C29" s="263"/>
      <c r="D29" s="263"/>
      <c r="E29" s="263"/>
      <c r="F29" s="263"/>
      <c r="G29" s="263"/>
      <c r="H29" s="269">
        <v>130</v>
      </c>
      <c r="I29" s="409">
        <f>(2/12*H19)</f>
        <v>13.5</v>
      </c>
      <c r="J29" s="269">
        <v>-120</v>
      </c>
      <c r="K29" s="269">
        <v>70</v>
      </c>
      <c r="L29" s="269">
        <v>-84</v>
      </c>
      <c r="M29" s="269">
        <f>-10-10-33-20</f>
        <v>-73</v>
      </c>
      <c r="N29" s="302">
        <f>33+20</f>
        <v>53</v>
      </c>
      <c r="O29" s="302"/>
      <c r="P29" s="302"/>
      <c r="Q29" s="213"/>
      <c r="R29" s="213"/>
      <c r="S29" s="213"/>
      <c r="T29" s="213"/>
      <c r="U29" s="213"/>
      <c r="V29" s="263"/>
      <c r="W29" s="213"/>
      <c r="X29" s="213"/>
      <c r="Y29" s="213"/>
      <c r="Z29" s="213"/>
      <c r="AA29" s="213"/>
      <c r="AB29" s="213"/>
    </row>
    <row r="30" spans="1:28">
      <c r="A30" s="57" t="s">
        <v>1035</v>
      </c>
      <c r="B30" s="57"/>
      <c r="C30" s="57"/>
      <c r="D30" s="57"/>
      <c r="E30" s="57"/>
      <c r="F30" s="57"/>
      <c r="G30" s="57"/>
      <c r="H30" s="277">
        <f t="shared" ref="H30:N30" si="13">SUM(H22:H29)</f>
        <v>27.413604749774322</v>
      </c>
      <c r="I30" s="277">
        <f t="shared" si="13"/>
        <v>71.20577858623048</v>
      </c>
      <c r="J30" s="277">
        <f t="shared" si="13"/>
        <v>-354.33680000000004</v>
      </c>
      <c r="K30" s="277">
        <f t="shared" si="13"/>
        <v>67.356999999999999</v>
      </c>
      <c r="L30" s="277">
        <f t="shared" si="13"/>
        <v>16.865326820457483</v>
      </c>
      <c r="M30" s="277">
        <f t="shared" si="13"/>
        <v>47.943856674430634</v>
      </c>
      <c r="N30" s="277">
        <f t="shared" si="13"/>
        <v>164.09122767713509</v>
      </c>
      <c r="O30" s="277">
        <f t="shared" ref="O30:T30" si="14">SUM(O22:O29)</f>
        <v>79.692815508725715</v>
      </c>
      <c r="P30" s="277">
        <f t="shared" si="14"/>
        <v>93.838590755679945</v>
      </c>
      <c r="Q30" s="277">
        <f t="shared" si="14"/>
        <v>108.84893343352982</v>
      </c>
      <c r="R30" s="277">
        <f t="shared" si="14"/>
        <v>91.780961478595714</v>
      </c>
      <c r="S30" s="277">
        <f t="shared" si="14"/>
        <v>30.751457262115522</v>
      </c>
      <c r="T30" s="277">
        <f t="shared" si="14"/>
        <v>14.297174832127482</v>
      </c>
      <c r="U30" s="213"/>
      <c r="V30" s="263"/>
      <c r="W30" s="213"/>
      <c r="X30" s="213"/>
      <c r="Y30" s="213"/>
      <c r="Z30" s="213"/>
      <c r="AA30" s="213"/>
      <c r="AB30" s="213"/>
    </row>
    <row r="31" spans="1:28">
      <c r="A31" s="263"/>
      <c r="B31" s="213"/>
      <c r="C31" s="213"/>
      <c r="D31" s="213"/>
      <c r="E31" s="213"/>
      <c r="F31" s="213"/>
      <c r="G31" s="213"/>
      <c r="H31" s="213"/>
      <c r="I31" s="456"/>
      <c r="J31" s="456"/>
      <c r="K31" s="456"/>
      <c r="L31" s="456"/>
      <c r="M31" s="456"/>
      <c r="N31" s="456"/>
      <c r="O31" s="456"/>
      <c r="P31" s="456"/>
      <c r="Q31" s="456"/>
      <c r="R31" s="456"/>
      <c r="S31" s="456"/>
      <c r="T31" s="456"/>
      <c r="U31" s="213"/>
      <c r="V31" s="263"/>
      <c r="W31" s="213"/>
      <c r="X31" s="213"/>
      <c r="Y31" s="213"/>
      <c r="Z31" s="213"/>
      <c r="AA31" s="213"/>
      <c r="AB31" s="213"/>
    </row>
    <row r="32" spans="1:28">
      <c r="A32" s="306" t="s">
        <v>1540</v>
      </c>
      <c r="B32" s="308"/>
      <c r="C32" s="308"/>
      <c r="D32" s="308"/>
      <c r="E32" s="308"/>
      <c r="F32" s="308"/>
      <c r="G32" s="308"/>
      <c r="H32" s="308"/>
      <c r="I32" s="308"/>
      <c r="J32" s="308"/>
      <c r="K32" s="308"/>
      <c r="L32" s="308"/>
      <c r="M32" s="308"/>
      <c r="N32" s="308"/>
      <c r="O32" s="308"/>
      <c r="P32" s="308"/>
      <c r="Q32" s="308"/>
      <c r="R32" s="308"/>
      <c r="S32" s="308"/>
      <c r="T32" s="308"/>
      <c r="U32" s="213"/>
      <c r="V32" s="263"/>
      <c r="W32" s="213"/>
      <c r="X32" s="213"/>
      <c r="Y32" s="213"/>
      <c r="Z32" s="213"/>
      <c r="AA32" s="213"/>
      <c r="AB32" s="213"/>
    </row>
    <row r="33" spans="1:28">
      <c r="A33" s="263" t="s">
        <v>1547</v>
      </c>
      <c r="B33" s="213"/>
      <c r="C33" s="213"/>
      <c r="D33" s="213"/>
      <c r="E33" s="213"/>
      <c r="F33" s="213"/>
      <c r="G33" s="264">
        <v>0.14000000000000001</v>
      </c>
      <c r="H33" s="276">
        <f>G33</f>
        <v>0.14000000000000001</v>
      </c>
      <c r="I33" s="264">
        <v>0.18</v>
      </c>
      <c r="J33" s="264">
        <v>0.2</v>
      </c>
      <c r="K33" s="264">
        <v>0.22</v>
      </c>
      <c r="L33" s="264">
        <v>0.24</v>
      </c>
      <c r="M33" s="264">
        <v>0.24</v>
      </c>
      <c r="N33" s="265">
        <v>0.24</v>
      </c>
      <c r="O33" s="1306">
        <v>0.12</v>
      </c>
      <c r="P33" s="1306">
        <v>0.15</v>
      </c>
      <c r="Q33" s="1306">
        <v>0.18</v>
      </c>
      <c r="R33" s="1306">
        <v>0.12</v>
      </c>
      <c r="S33" s="1306">
        <v>0.02</v>
      </c>
      <c r="T33" s="1306">
        <v>0.02</v>
      </c>
      <c r="U33" s="213"/>
      <c r="V33" s="263"/>
      <c r="W33" s="213"/>
      <c r="X33" s="213"/>
      <c r="Y33" s="213"/>
      <c r="Z33" s="213"/>
      <c r="AA33" s="213"/>
      <c r="AB33" s="213"/>
    </row>
    <row r="34" spans="1:28">
      <c r="A34" s="263" t="s">
        <v>1027</v>
      </c>
      <c r="B34" s="213"/>
      <c r="C34" s="213"/>
      <c r="D34" s="213"/>
      <c r="E34" s="213"/>
      <c r="F34" s="213"/>
      <c r="G34" s="264"/>
      <c r="H34" s="264">
        <v>0.01</v>
      </c>
      <c r="I34" s="264">
        <v>0.01</v>
      </c>
      <c r="J34" s="264">
        <v>0</v>
      </c>
      <c r="K34" s="264">
        <v>0.02</v>
      </c>
      <c r="L34" s="264">
        <v>0.02</v>
      </c>
      <c r="M34" s="264">
        <v>0.02</v>
      </c>
      <c r="N34" s="265">
        <v>0.02</v>
      </c>
      <c r="O34" s="1306">
        <v>0.02</v>
      </c>
      <c r="P34" s="1306">
        <v>0.02</v>
      </c>
      <c r="Q34" s="1306">
        <v>0.02</v>
      </c>
      <c r="R34" s="1306">
        <v>0.02</v>
      </c>
      <c r="S34" s="1306">
        <v>0.01</v>
      </c>
      <c r="T34" s="1306">
        <v>5.0000000000000001E-3</v>
      </c>
      <c r="U34" s="213"/>
      <c r="V34" s="263"/>
      <c r="W34" s="213"/>
      <c r="X34" s="213"/>
      <c r="Y34" s="213"/>
      <c r="Z34" s="213"/>
      <c r="AA34" s="213"/>
      <c r="AB34" s="213"/>
    </row>
    <row r="35" spans="1:28">
      <c r="A35" s="263"/>
      <c r="B35" s="213"/>
      <c r="C35" s="213"/>
      <c r="D35" s="213"/>
      <c r="E35" s="213"/>
      <c r="F35" s="213"/>
      <c r="G35" s="213"/>
      <c r="H35" s="213"/>
      <c r="I35" s="213"/>
      <c r="J35" s="213"/>
      <c r="K35" s="213"/>
      <c r="L35" s="213"/>
      <c r="M35" s="213"/>
      <c r="N35" s="213"/>
      <c r="O35" s="213"/>
      <c r="P35" s="213"/>
      <c r="Q35" s="213"/>
      <c r="R35" s="213"/>
      <c r="S35" s="213"/>
      <c r="T35" s="213"/>
      <c r="U35" s="213"/>
      <c r="V35" s="263"/>
      <c r="W35" s="213"/>
      <c r="X35" s="213"/>
      <c r="Y35" s="213"/>
      <c r="Z35" s="213"/>
      <c r="AA35" s="213"/>
      <c r="AB35" s="213"/>
    </row>
    <row r="36" spans="1:28">
      <c r="A36" s="306" t="s">
        <v>794</v>
      </c>
      <c r="B36" s="308"/>
      <c r="C36" s="308"/>
      <c r="D36" s="308"/>
      <c r="E36" s="308"/>
      <c r="F36" s="308"/>
      <c r="G36" s="308"/>
      <c r="H36" s="308"/>
      <c r="I36" s="308"/>
      <c r="J36" s="308"/>
      <c r="K36" s="308"/>
      <c r="L36" s="308"/>
      <c r="M36" s="308"/>
      <c r="N36" s="308"/>
      <c r="O36" s="308"/>
      <c r="P36" s="308"/>
      <c r="Q36" s="308"/>
      <c r="R36" s="308"/>
      <c r="S36" s="308"/>
      <c r="T36" s="308"/>
      <c r="U36" s="213"/>
      <c r="V36" s="263"/>
      <c r="W36" s="213"/>
      <c r="X36" s="213"/>
      <c r="Y36" s="213"/>
      <c r="Z36" s="213"/>
      <c r="AA36" s="213"/>
      <c r="AB36" s="213"/>
    </row>
    <row r="37" spans="1:28">
      <c r="A37" s="405" t="s">
        <v>1029</v>
      </c>
      <c r="B37" s="213"/>
      <c r="C37" s="213"/>
      <c r="D37" s="213"/>
      <c r="E37" s="213"/>
      <c r="F37" s="213"/>
      <c r="G37" s="234">
        <v>-151.21326806267876</v>
      </c>
      <c r="H37" s="234">
        <f t="shared" ref="H37:T37" si="15">H40-H39</f>
        <v>-178</v>
      </c>
      <c r="I37" s="234">
        <f t="shared" si="15"/>
        <v>-237</v>
      </c>
      <c r="J37" s="234">
        <f t="shared" si="15"/>
        <v>-173</v>
      </c>
      <c r="K37" s="234">
        <f t="shared" si="15"/>
        <v>-148</v>
      </c>
      <c r="L37" s="234">
        <f t="shared" si="15"/>
        <v>-137</v>
      </c>
      <c r="M37" s="234">
        <f t="shared" si="15"/>
        <v>-162</v>
      </c>
      <c r="N37" s="234">
        <f t="shared" si="15"/>
        <v>-193</v>
      </c>
      <c r="O37" s="234">
        <f t="shared" si="15"/>
        <v>-211.08828449127429</v>
      </c>
      <c r="P37" s="234">
        <f t="shared" si="15"/>
        <v>-227.88631873559433</v>
      </c>
      <c r="Q37" s="234">
        <f t="shared" si="15"/>
        <v>-244.31956129206455</v>
      </c>
      <c r="R37" s="234">
        <f t="shared" si="15"/>
        <v>-260.08934772576885</v>
      </c>
      <c r="S37" s="234">
        <f t="shared" si="15"/>
        <v>-266.85762347669083</v>
      </c>
      <c r="T37" s="234">
        <f t="shared" si="15"/>
        <v>-272.98531810370923</v>
      </c>
      <c r="U37" s="213"/>
      <c r="V37" s="263"/>
      <c r="W37" s="213"/>
      <c r="X37" s="213"/>
      <c r="Y37" s="213"/>
      <c r="Z37" s="213"/>
      <c r="AA37" s="213"/>
      <c r="AB37" s="213"/>
    </row>
    <row r="38" spans="1:28">
      <c r="A38" s="410" t="s">
        <v>781</v>
      </c>
      <c r="B38" s="213"/>
      <c r="C38" s="213"/>
      <c r="D38" s="213"/>
      <c r="E38" s="213"/>
      <c r="F38" s="213"/>
      <c r="G38" s="340">
        <v>-5.5623073621786139E-2</v>
      </c>
      <c r="H38" s="265">
        <v>-7.0000000000000007E-2</v>
      </c>
      <c r="I38" s="262">
        <f t="shared" ref="I38:T38" si="16">I37/I6</f>
        <v>-7.1364046973803066E-2</v>
      </c>
      <c r="J38" s="262">
        <f t="shared" si="16"/>
        <v>-9.0010405827263273E-2</v>
      </c>
      <c r="K38" s="262">
        <f t="shared" si="16"/>
        <v>-0.10033898305084746</v>
      </c>
      <c r="L38" s="262">
        <f t="shared" si="16"/>
        <v>-6.9261880687563199E-2</v>
      </c>
      <c r="M38" s="262">
        <f t="shared" si="16"/>
        <v>-6.5401695599515544E-2</v>
      </c>
      <c r="N38" s="262">
        <f t="shared" si="16"/>
        <v>-6.3549555482383932E-2</v>
      </c>
      <c r="O38" s="262">
        <f t="shared" si="16"/>
        <v>-6.1652136621028399E-2</v>
      </c>
      <c r="P38" s="262">
        <f t="shared" si="16"/>
        <v>-6.023758631702477E-2</v>
      </c>
      <c r="Q38" s="262">
        <f t="shared" si="16"/>
        <v>-5.9091632938167146E-2</v>
      </c>
      <c r="R38" s="262">
        <f t="shared" si="16"/>
        <v>-5.816131406455758E-2</v>
      </c>
      <c r="S38" s="262">
        <f t="shared" si="16"/>
        <v>-5.7803718211517863E-2</v>
      </c>
      <c r="T38" s="262">
        <f t="shared" si="16"/>
        <v>-5.7498774838467596E-2</v>
      </c>
      <c r="U38" s="213"/>
      <c r="V38" s="263"/>
      <c r="W38" s="213"/>
      <c r="X38" s="213"/>
      <c r="Y38" s="213"/>
      <c r="Z38" s="213"/>
      <c r="AA38" s="213"/>
      <c r="AB38" s="213"/>
    </row>
    <row r="39" spans="1:28">
      <c r="A39" s="267" t="s">
        <v>971</v>
      </c>
      <c r="B39" s="213"/>
      <c r="C39" s="213"/>
      <c r="D39" s="213"/>
      <c r="E39" s="213"/>
      <c r="F39" s="213"/>
      <c r="G39" s="340"/>
      <c r="H39" s="302">
        <v>3</v>
      </c>
      <c r="I39" s="302">
        <v>6</v>
      </c>
      <c r="J39" s="302">
        <v>7</v>
      </c>
      <c r="K39" s="302">
        <v>6</v>
      </c>
      <c r="L39" s="302">
        <v>7</v>
      </c>
      <c r="M39" s="302">
        <v>5</v>
      </c>
      <c r="N39" s="302">
        <v>5</v>
      </c>
      <c r="O39" s="213">
        <f t="shared" ref="O39:T39" si="17">N39</f>
        <v>5</v>
      </c>
      <c r="P39" s="213">
        <f t="shared" si="17"/>
        <v>5</v>
      </c>
      <c r="Q39" s="213">
        <f t="shared" si="17"/>
        <v>5</v>
      </c>
      <c r="R39" s="213">
        <f t="shared" si="17"/>
        <v>5</v>
      </c>
      <c r="S39" s="213">
        <f t="shared" si="17"/>
        <v>5</v>
      </c>
      <c r="T39" s="213">
        <f t="shared" si="17"/>
        <v>5</v>
      </c>
      <c r="U39" s="213"/>
      <c r="V39" s="263"/>
      <c r="W39" s="213"/>
      <c r="X39" s="213"/>
      <c r="Y39" s="213"/>
      <c r="Z39" s="213"/>
      <c r="AA39" s="213"/>
      <c r="AB39" s="213"/>
    </row>
    <row r="40" spans="1:28">
      <c r="A40" s="266" t="s">
        <v>1030</v>
      </c>
      <c r="B40" s="213"/>
      <c r="C40" s="213"/>
      <c r="D40" s="213"/>
      <c r="E40" s="213"/>
      <c r="F40" s="213"/>
      <c r="G40" s="340"/>
      <c r="H40" s="234">
        <f t="shared" ref="H40:T40" si="18">H43-H42-H41</f>
        <v>-175</v>
      </c>
      <c r="I40" s="234">
        <f t="shared" si="18"/>
        <v>-231</v>
      </c>
      <c r="J40" s="234">
        <f t="shared" si="18"/>
        <v>-166</v>
      </c>
      <c r="K40" s="234">
        <f t="shared" si="18"/>
        <v>-142</v>
      </c>
      <c r="L40" s="234">
        <f t="shared" si="18"/>
        <v>-130</v>
      </c>
      <c r="M40" s="234">
        <f t="shared" si="18"/>
        <v>-157</v>
      </c>
      <c r="N40" s="234">
        <f t="shared" si="18"/>
        <v>-188</v>
      </c>
      <c r="O40" s="234">
        <f t="shared" si="18"/>
        <v>-206.08828449127429</v>
      </c>
      <c r="P40" s="234">
        <f t="shared" si="18"/>
        <v>-222.88631873559433</v>
      </c>
      <c r="Q40" s="234">
        <f t="shared" si="18"/>
        <v>-239.31956129206455</v>
      </c>
      <c r="R40" s="234">
        <f t="shared" si="18"/>
        <v>-255.08934772576885</v>
      </c>
      <c r="S40" s="234">
        <f t="shared" si="18"/>
        <v>-261.85762347669083</v>
      </c>
      <c r="T40" s="234">
        <f t="shared" si="18"/>
        <v>-267.98531810370923</v>
      </c>
      <c r="U40" s="213"/>
      <c r="V40" s="263"/>
      <c r="W40" s="213"/>
      <c r="X40" s="213"/>
      <c r="Y40" s="213"/>
      <c r="Z40" s="213"/>
      <c r="AA40" s="213"/>
      <c r="AB40" s="213"/>
    </row>
    <row r="41" spans="1:28">
      <c r="A41" s="267" t="s">
        <v>1031</v>
      </c>
      <c r="B41" s="213"/>
      <c r="C41" s="213"/>
      <c r="D41" s="213"/>
      <c r="E41" s="213"/>
      <c r="F41" s="213"/>
      <c r="G41" s="234">
        <v>29.504445854304574</v>
      </c>
      <c r="H41" s="377">
        <v>45</v>
      </c>
      <c r="I41" s="377">
        <v>68</v>
      </c>
      <c r="J41" s="377">
        <v>93</v>
      </c>
      <c r="K41" s="377">
        <v>79</v>
      </c>
      <c r="L41" s="377">
        <v>60</v>
      </c>
      <c r="M41" s="377">
        <v>74</v>
      </c>
      <c r="N41" s="377">
        <v>94</v>
      </c>
      <c r="O41" s="234">
        <f t="shared" ref="O41:T42" si="19">N41</f>
        <v>94</v>
      </c>
      <c r="P41" s="234">
        <f t="shared" si="19"/>
        <v>94</v>
      </c>
      <c r="Q41" s="234">
        <f t="shared" si="19"/>
        <v>94</v>
      </c>
      <c r="R41" s="234">
        <f t="shared" si="19"/>
        <v>94</v>
      </c>
      <c r="S41" s="234">
        <f t="shared" si="19"/>
        <v>94</v>
      </c>
      <c r="T41" s="234">
        <f t="shared" si="19"/>
        <v>94</v>
      </c>
      <c r="U41" s="213"/>
      <c r="V41" s="263"/>
      <c r="W41" s="213"/>
      <c r="X41" s="213"/>
      <c r="Y41" s="213"/>
      <c r="Z41" s="213"/>
      <c r="AA41" s="213"/>
      <c r="AB41" s="213"/>
    </row>
    <row r="42" spans="1:28">
      <c r="A42" s="267" t="s">
        <v>1043</v>
      </c>
      <c r="B42" s="213"/>
      <c r="C42" s="213"/>
      <c r="D42" s="213"/>
      <c r="E42" s="213"/>
      <c r="F42" s="213"/>
      <c r="G42" s="234">
        <v>-20.057295706940831</v>
      </c>
      <c r="H42" s="377">
        <v>-13</v>
      </c>
      <c r="I42" s="377">
        <v>-19</v>
      </c>
      <c r="J42" s="377">
        <v>-70</v>
      </c>
      <c r="K42" s="377">
        <v>-17</v>
      </c>
      <c r="L42" s="377">
        <v>-33</v>
      </c>
      <c r="M42" s="377">
        <v>-34</v>
      </c>
      <c r="N42" s="377">
        <v>-48</v>
      </c>
      <c r="O42" s="234">
        <f t="shared" si="19"/>
        <v>-48</v>
      </c>
      <c r="P42" s="234">
        <f t="shared" si="19"/>
        <v>-48</v>
      </c>
      <c r="Q42" s="234">
        <f t="shared" si="19"/>
        <v>-48</v>
      </c>
      <c r="R42" s="234">
        <f t="shared" si="19"/>
        <v>-48</v>
      </c>
      <c r="S42" s="234">
        <f t="shared" si="19"/>
        <v>-48</v>
      </c>
      <c r="T42" s="234">
        <f t="shared" si="19"/>
        <v>-48</v>
      </c>
      <c r="U42" s="213"/>
      <c r="V42" s="263"/>
      <c r="W42" s="213"/>
      <c r="X42" s="213"/>
      <c r="Y42" s="213"/>
      <c r="Z42" s="213"/>
      <c r="AA42" s="213"/>
      <c r="AB42" s="213"/>
    </row>
    <row r="43" spans="1:28">
      <c r="A43" s="267" t="s">
        <v>1324</v>
      </c>
      <c r="B43" s="213"/>
      <c r="C43" s="213"/>
      <c r="D43" s="213"/>
      <c r="E43" s="213"/>
      <c r="F43" s="213"/>
      <c r="G43" s="234">
        <f>G37+G41+G42</f>
        <v>-141.76611791531502</v>
      </c>
      <c r="H43" s="377">
        <v>-143</v>
      </c>
      <c r="I43" s="377">
        <v>-182</v>
      </c>
      <c r="J43" s="377">
        <v>-143</v>
      </c>
      <c r="K43" s="377">
        <v>-80</v>
      </c>
      <c r="L43" s="377">
        <v>-103</v>
      </c>
      <c r="M43" s="377">
        <v>-117</v>
      </c>
      <c r="N43" s="377">
        <v>-142</v>
      </c>
      <c r="O43" s="234">
        <f t="shared" ref="O43:T43" si="20">O44*O6</f>
        <v>-160.08828449127429</v>
      </c>
      <c r="P43" s="234">
        <f t="shared" si="20"/>
        <v>-176.88631873559433</v>
      </c>
      <c r="Q43" s="234">
        <f t="shared" si="20"/>
        <v>-193.31956129206455</v>
      </c>
      <c r="R43" s="234">
        <f t="shared" si="20"/>
        <v>-209.08934772576885</v>
      </c>
      <c r="S43" s="234">
        <f t="shared" si="20"/>
        <v>-215.85762347669083</v>
      </c>
      <c r="T43" s="234">
        <f t="shared" si="20"/>
        <v>-221.98531810370926</v>
      </c>
      <c r="U43" s="213"/>
      <c r="V43" s="263"/>
      <c r="W43" s="213"/>
      <c r="X43" s="213"/>
      <c r="Y43" s="213"/>
      <c r="Z43" s="213"/>
      <c r="AA43" s="213"/>
      <c r="AB43" s="213"/>
    </row>
    <row r="44" spans="1:28">
      <c r="A44" s="410" t="s">
        <v>781</v>
      </c>
      <c r="B44" s="213"/>
      <c r="C44" s="213"/>
      <c r="D44" s="213"/>
      <c r="E44" s="213"/>
      <c r="F44" s="213"/>
      <c r="G44" s="340">
        <f t="shared" ref="G44:N44" si="21">G43/G6</f>
        <v>-5.2147984862081088E-2</v>
      </c>
      <c r="H44" s="340">
        <f t="shared" si="21"/>
        <v>-5.6949422540820388E-2</v>
      </c>
      <c r="I44" s="340">
        <f t="shared" si="21"/>
        <v>-5.480277024992472E-2</v>
      </c>
      <c r="J44" s="340">
        <f t="shared" si="21"/>
        <v>-7.4401664932362124E-2</v>
      </c>
      <c r="K44" s="340">
        <f t="shared" si="21"/>
        <v>-5.4237288135593219E-2</v>
      </c>
      <c r="L44" s="340">
        <f t="shared" si="21"/>
        <v>-5.2072800808897875E-2</v>
      </c>
      <c r="M44" s="340">
        <f t="shared" si="21"/>
        <v>-4.7234557932983451E-2</v>
      </c>
      <c r="N44" s="340">
        <f t="shared" si="21"/>
        <v>-4.6756667764241026E-2</v>
      </c>
      <c r="O44" s="1305">
        <f t="shared" ref="O44:T44" si="22">N44</f>
        <v>-4.6756667764241026E-2</v>
      </c>
      <c r="P44" s="1305">
        <f t="shared" si="22"/>
        <v>-4.6756667764241026E-2</v>
      </c>
      <c r="Q44" s="1305">
        <f t="shared" si="22"/>
        <v>-4.6756667764241026E-2</v>
      </c>
      <c r="R44" s="1305">
        <f t="shared" si="22"/>
        <v>-4.6756667764241026E-2</v>
      </c>
      <c r="S44" s="1305">
        <f t="shared" si="22"/>
        <v>-4.6756667764241026E-2</v>
      </c>
      <c r="T44" s="1305">
        <f t="shared" si="22"/>
        <v>-4.6756667764241026E-2</v>
      </c>
      <c r="U44" s="213"/>
      <c r="V44" s="263"/>
      <c r="W44" s="213"/>
      <c r="X44" s="213"/>
      <c r="Y44" s="213"/>
      <c r="Z44" s="213"/>
      <c r="AA44" s="213"/>
      <c r="AB44" s="213"/>
    </row>
    <row r="45" spans="1:28">
      <c r="A45" s="213"/>
      <c r="B45" s="213"/>
      <c r="C45" s="213"/>
      <c r="D45" s="213"/>
      <c r="E45" s="213"/>
      <c r="F45" s="213"/>
      <c r="G45" s="340"/>
      <c r="H45" s="340"/>
      <c r="I45" s="340"/>
      <c r="J45" s="340"/>
      <c r="K45" s="457"/>
      <c r="L45" s="265"/>
      <c r="M45" s="262"/>
      <c r="N45" s="262"/>
      <c r="O45" s="262"/>
      <c r="P45" s="262"/>
      <c r="Q45" s="262"/>
      <c r="R45" s="262"/>
      <c r="S45" s="262"/>
      <c r="T45" s="262"/>
      <c r="U45" s="213"/>
      <c r="V45" s="263"/>
      <c r="W45" s="213"/>
      <c r="X45" s="213"/>
      <c r="Y45" s="213"/>
      <c r="Z45" s="213"/>
      <c r="AA45" s="213"/>
      <c r="AB45" s="213"/>
    </row>
  </sheetData>
  <pageMargins left="0.7" right="0.7" top="0.75" bottom="0.75" header="0.3" footer="0.3"/>
  <customProperties>
    <customPr name="Qube.Worksheet.Visibility" r:id="rId1"/>
  </customProperties>
  <legacy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43EBA2-CFF7-48D6-B6FA-AD6348B9E0BB}">
  <sheetPr codeName="Sheet14">
    <tabColor theme="4" tint="0.89999084444715716"/>
  </sheetPr>
  <dimension ref="A1:AO141"/>
  <sheetViews>
    <sheetView showGridLines="0" zoomScaleNormal="100" workbookViewId="0">
      <pane ySplit="2" topLeftCell="A3" activePane="bottomLeft" state="frozen"/>
      <selection pane="bottomLeft" activeCell="A3" sqref="A3"/>
    </sheetView>
  </sheetViews>
  <sheetFormatPr defaultRowHeight="14.25" outlineLevelCol="1"/>
  <cols>
    <col min="1" max="1" width="28.125" bestFit="1" customWidth="1"/>
    <col min="2" max="22" width="9" hidden="1" customWidth="1" outlineLevel="1"/>
    <col min="23" max="23" width="9" collapsed="1"/>
    <col min="33" max="36" width="9" style="1622"/>
  </cols>
  <sheetData>
    <row r="1" spans="1:41" ht="15">
      <c r="A1" s="1285">
        <f>'DCF Valuation'!D45</f>
        <v>340</v>
      </c>
    </row>
    <row r="2" spans="1:41">
      <c r="A2" s="305" t="s">
        <v>1978</v>
      </c>
      <c r="B2" s="305">
        <v>2000</v>
      </c>
      <c r="C2" s="305">
        <v>2001</v>
      </c>
      <c r="D2" s="305">
        <v>2002</v>
      </c>
      <c r="E2" s="305">
        <v>2003</v>
      </c>
      <c r="F2" s="305">
        <v>2004</v>
      </c>
      <c r="G2" s="305">
        <v>2005</v>
      </c>
      <c r="H2" s="305">
        <v>2006</v>
      </c>
      <c r="I2" s="305">
        <v>2007</v>
      </c>
      <c r="J2" s="305">
        <v>2008</v>
      </c>
      <c r="K2" s="305">
        <v>2009</v>
      </c>
      <c r="L2" s="305">
        <v>2010</v>
      </c>
      <c r="M2" s="305">
        <v>2011</v>
      </c>
      <c r="N2" s="305">
        <v>2012</v>
      </c>
      <c r="O2" s="305">
        <v>2013</v>
      </c>
      <c r="P2" s="305">
        <v>2014</v>
      </c>
      <c r="Q2" s="305">
        <v>2015</v>
      </c>
      <c r="R2" s="305">
        <v>2016</v>
      </c>
      <c r="S2" s="305">
        <v>2017</v>
      </c>
      <c r="T2" s="305">
        <v>2018</v>
      </c>
      <c r="U2" s="305">
        <v>2019</v>
      </c>
      <c r="V2" s="305">
        <v>2020</v>
      </c>
      <c r="W2" s="305">
        <v>2021</v>
      </c>
      <c r="X2" s="305">
        <v>2022</v>
      </c>
      <c r="Y2" s="305">
        <v>2023</v>
      </c>
      <c r="Z2" s="305">
        <v>2024</v>
      </c>
      <c r="AA2" s="195" t="s">
        <v>954</v>
      </c>
      <c r="AB2" s="195" t="s">
        <v>1430</v>
      </c>
      <c r="AC2" s="196" t="s">
        <v>1450</v>
      </c>
      <c r="AD2" s="196" t="s">
        <v>1451</v>
      </c>
      <c r="AE2" s="196" t="s">
        <v>1452</v>
      </c>
      <c r="AF2" s="196" t="s">
        <v>1453</v>
      </c>
      <c r="AG2" s="1625" t="s">
        <v>1980</v>
      </c>
      <c r="AH2" s="1623" t="s">
        <v>1379</v>
      </c>
      <c r="AI2" s="1626"/>
      <c r="AJ2" s="1626"/>
      <c r="AK2" s="193"/>
      <c r="AL2" s="193"/>
      <c r="AM2" s="193"/>
      <c r="AN2" s="193"/>
      <c r="AO2" s="193"/>
    </row>
    <row r="3" spans="1:41">
      <c r="A3" s="306" t="s">
        <v>1267</v>
      </c>
      <c r="B3" s="307"/>
      <c r="C3" s="307"/>
      <c r="D3" s="307"/>
      <c r="E3" s="307"/>
      <c r="F3" s="307"/>
      <c r="G3" s="307"/>
      <c r="H3" s="307"/>
      <c r="I3" s="307"/>
      <c r="J3" s="307"/>
      <c r="K3" s="307"/>
      <c r="L3" s="307"/>
      <c r="M3" s="308"/>
      <c r="N3" s="308"/>
      <c r="O3" s="308"/>
      <c r="P3" s="308"/>
      <c r="Q3" s="308"/>
      <c r="R3" s="308"/>
      <c r="S3" s="308"/>
      <c r="T3" s="308"/>
      <c r="U3" s="308"/>
      <c r="V3" s="308"/>
      <c r="W3" s="308"/>
      <c r="X3" s="384"/>
      <c r="Y3" s="384"/>
      <c r="Z3" s="384"/>
      <c r="AA3" s="308"/>
      <c r="AB3" s="308"/>
      <c r="AC3" s="308"/>
      <c r="AD3" s="308"/>
      <c r="AE3" s="308"/>
      <c r="AF3" s="308"/>
      <c r="AG3" s="1624"/>
      <c r="AH3" s="1624"/>
      <c r="AI3" s="1624"/>
      <c r="AJ3" s="1624"/>
      <c r="AK3" s="213"/>
      <c r="AL3" s="213"/>
      <c r="AM3" s="213"/>
      <c r="AN3" s="213"/>
      <c r="AO3" s="213"/>
    </row>
    <row r="4" spans="1:41">
      <c r="A4" s="267" t="s">
        <v>1022</v>
      </c>
      <c r="B4" s="263"/>
      <c r="C4" s="263"/>
      <c r="D4" s="263"/>
      <c r="E4" s="263"/>
      <c r="F4" s="263"/>
      <c r="G4" s="263"/>
      <c r="H4" s="263"/>
      <c r="I4" s="263"/>
      <c r="J4" s="263"/>
      <c r="K4" s="263"/>
      <c r="L4" s="263"/>
      <c r="M4" s="263"/>
      <c r="N4" s="263"/>
      <c r="O4" s="263"/>
      <c r="P4" s="263"/>
      <c r="Q4" s="263"/>
      <c r="R4" s="263"/>
      <c r="S4" s="263"/>
      <c r="T4" s="268">
        <v>5360</v>
      </c>
      <c r="U4" s="268">
        <v>6254</v>
      </c>
      <c r="V4" s="268">
        <v>4779</v>
      </c>
      <c r="W4" s="268">
        <v>4187</v>
      </c>
      <c r="X4" s="268">
        <v>4710</v>
      </c>
      <c r="Y4" s="268">
        <v>5369</v>
      </c>
      <c r="Z4" s="268">
        <v>6478</v>
      </c>
      <c r="AA4" s="319">
        <f>SUM(AA41+AA86+AA96)</f>
        <v>7783.7986836865439</v>
      </c>
      <c r="AB4" s="319">
        <f>SUM(AB41+AB86+AB96)</f>
        <v>8503.1889637941131</v>
      </c>
      <c r="AC4" s="319">
        <f t="shared" ref="AC4:AF4" si="0">SUM(AC41+AC86+AC96)</f>
        <v>9332.8203374036639</v>
      </c>
      <c r="AD4" s="319">
        <f t="shared" si="0"/>
        <v>10124.036750841404</v>
      </c>
      <c r="AE4" s="319">
        <f t="shared" si="0"/>
        <v>10798.04457253168</v>
      </c>
      <c r="AF4" s="319">
        <f t="shared" si="0"/>
        <v>11510.981411170424</v>
      </c>
      <c r="AG4" s="1624"/>
      <c r="AH4" s="1624"/>
      <c r="AI4" s="1624"/>
      <c r="AJ4" s="1624"/>
      <c r="AK4" s="213"/>
      <c r="AL4" s="213"/>
      <c r="AM4" s="213"/>
      <c r="AN4" s="213"/>
      <c r="AO4" s="213"/>
    </row>
    <row r="5" spans="1:41">
      <c r="A5" s="267" t="s">
        <v>1023</v>
      </c>
      <c r="B5" s="263"/>
      <c r="C5" s="263"/>
      <c r="D5" s="263"/>
      <c r="E5" s="263"/>
      <c r="F5" s="263"/>
      <c r="G5" s="263"/>
      <c r="H5" s="263"/>
      <c r="I5" s="263"/>
      <c r="J5" s="263"/>
      <c r="K5" s="263"/>
      <c r="L5" s="263"/>
      <c r="M5" s="263"/>
      <c r="N5" s="263"/>
      <c r="O5" s="263"/>
      <c r="P5" s="263"/>
      <c r="Q5" s="263"/>
      <c r="R5" s="263"/>
      <c r="S5" s="263"/>
      <c r="T5" s="268">
        <v>2582</v>
      </c>
      <c r="U5" s="268">
        <v>3002</v>
      </c>
      <c r="V5" s="268">
        <v>2114</v>
      </c>
      <c r="W5" s="268">
        <v>2138</v>
      </c>
      <c r="X5" s="268">
        <v>2825</v>
      </c>
      <c r="Y5" s="268">
        <v>3466</v>
      </c>
      <c r="Z5" s="268">
        <v>4140</v>
      </c>
      <c r="AA5" s="319">
        <f t="shared" ref="AA5:AF5" si="1">AA42+AA87+AA97</f>
        <v>4407.6780909628878</v>
      </c>
      <c r="AB5" s="319">
        <f t="shared" si="1"/>
        <v>4987.2585821552702</v>
      </c>
      <c r="AC5" s="319">
        <f t="shared" si="1"/>
        <v>5549.1516423332314</v>
      </c>
      <c r="AD5" s="319">
        <f t="shared" si="1"/>
        <v>6097.8396469270701</v>
      </c>
      <c r="AE5" s="319">
        <f>AE42+AE87+AE97</f>
        <v>6284.2586278302442</v>
      </c>
      <c r="AF5" s="319">
        <f t="shared" si="1"/>
        <v>6461.940037895627</v>
      </c>
      <c r="AG5" s="1624"/>
      <c r="AH5" s="1624"/>
      <c r="AI5" s="1624"/>
      <c r="AJ5" s="1624"/>
      <c r="AK5" s="213"/>
      <c r="AL5" s="213"/>
      <c r="AM5" s="213"/>
      <c r="AN5" s="213"/>
      <c r="AO5" s="213"/>
    </row>
    <row r="6" spans="1:41">
      <c r="A6" s="57" t="s">
        <v>1472</v>
      </c>
      <c r="B6" s="57"/>
      <c r="C6" s="57"/>
      <c r="D6" s="57"/>
      <c r="E6" s="57"/>
      <c r="F6" s="57"/>
      <c r="G6" s="57"/>
      <c r="H6" s="57"/>
      <c r="I6" s="57"/>
      <c r="J6" s="57"/>
      <c r="K6" s="57"/>
      <c r="L6" s="57"/>
      <c r="M6" s="57"/>
      <c r="N6" s="57"/>
      <c r="O6" s="57"/>
      <c r="P6" s="57"/>
      <c r="Q6" s="57"/>
      <c r="R6" s="57"/>
      <c r="S6" s="57"/>
      <c r="T6" s="273">
        <f>T43+T88+T98</f>
        <v>7942</v>
      </c>
      <c r="U6" s="275">
        <v>9256</v>
      </c>
      <c r="V6" s="275">
        <v>6893</v>
      </c>
      <c r="W6" s="275">
        <v>6325</v>
      </c>
      <c r="X6" s="275">
        <v>7535</v>
      </c>
      <c r="Y6" s="275">
        <v>8835</v>
      </c>
      <c r="Z6" s="275">
        <v>10618</v>
      </c>
      <c r="AA6" s="273">
        <f t="shared" ref="AA6:AF6" si="2">SUM(AA4:AA5)</f>
        <v>12191.476774649433</v>
      </c>
      <c r="AB6" s="273">
        <f t="shared" si="2"/>
        <v>13490.447545949384</v>
      </c>
      <c r="AC6" s="273">
        <f t="shared" si="2"/>
        <v>14881.971979736896</v>
      </c>
      <c r="AD6" s="273">
        <f t="shared" si="2"/>
        <v>16221.876397768474</v>
      </c>
      <c r="AE6" s="273">
        <f t="shared" si="2"/>
        <v>17082.303200361923</v>
      </c>
      <c r="AF6" s="273">
        <f t="shared" si="2"/>
        <v>17972.921449066052</v>
      </c>
      <c r="AG6" s="1627">
        <f>(AF6/AA6)^(1/5)-1</f>
        <v>8.0718216880279581E-2</v>
      </c>
      <c r="AH6" s="1624"/>
      <c r="AI6" s="1624"/>
      <c r="AJ6" s="1624"/>
      <c r="AK6" s="213"/>
      <c r="AL6" s="213"/>
      <c r="AM6" s="213"/>
      <c r="AN6" s="213"/>
      <c r="AO6" s="213"/>
    </row>
    <row r="7" spans="1:41">
      <c r="A7" s="396" t="s">
        <v>1489</v>
      </c>
      <c r="B7" s="397"/>
      <c r="C7" s="397"/>
      <c r="D7" s="397"/>
      <c r="E7" s="397"/>
      <c r="F7" s="397"/>
      <c r="G7" s="397"/>
      <c r="H7" s="397"/>
      <c r="I7" s="397"/>
      <c r="J7" s="397"/>
      <c r="K7" s="397"/>
      <c r="L7" s="397"/>
      <c r="M7" s="397"/>
      <c r="N7" s="397"/>
      <c r="O7" s="397"/>
      <c r="P7" s="397"/>
      <c r="Q7" s="397"/>
      <c r="R7" s="397"/>
      <c r="S7" s="397"/>
      <c r="T7" s="397"/>
      <c r="U7" s="398">
        <f t="shared" ref="U7:AF7" si="3">U6/T6-1</f>
        <v>0.16544950893981358</v>
      </c>
      <c r="V7" s="398">
        <f t="shared" si="3"/>
        <v>-0.25529386343993088</v>
      </c>
      <c r="W7" s="398">
        <f t="shared" si="3"/>
        <v>-8.2402437255186367E-2</v>
      </c>
      <c r="X7" s="398">
        <f t="shared" si="3"/>
        <v>0.19130434782608696</v>
      </c>
      <c r="Y7" s="398">
        <f t="shared" si="3"/>
        <v>0.17252820172528205</v>
      </c>
      <c r="Z7" s="398">
        <f t="shared" si="3"/>
        <v>0.20181097906055467</v>
      </c>
      <c r="AA7" s="398">
        <f t="shared" si="3"/>
        <v>0.14818956250230109</v>
      </c>
      <c r="AB7" s="398">
        <f t="shared" si="3"/>
        <v>0.10654745075682626</v>
      </c>
      <c r="AC7" s="398">
        <f t="shared" si="3"/>
        <v>0.10314887101023773</v>
      </c>
      <c r="AD7" s="398">
        <f t="shared" si="3"/>
        <v>9.003540793222653E-2</v>
      </c>
      <c r="AE7" s="398">
        <f t="shared" si="3"/>
        <v>5.3041139107175672E-2</v>
      </c>
      <c r="AF7" s="398">
        <f t="shared" si="3"/>
        <v>5.2136895022754315E-2</v>
      </c>
      <c r="AG7" s="1624"/>
      <c r="AH7" s="1624"/>
      <c r="AI7" s="1624"/>
      <c r="AJ7" s="1624"/>
      <c r="AK7" s="213"/>
      <c r="AL7" s="213"/>
      <c r="AM7" s="213"/>
      <c r="AN7" s="213"/>
      <c r="AO7" s="213"/>
    </row>
    <row r="8" spans="1:41">
      <c r="A8" s="396" t="s">
        <v>1541</v>
      </c>
      <c r="B8" s="397"/>
      <c r="C8" s="397"/>
      <c r="D8" s="397"/>
      <c r="E8" s="397"/>
      <c r="F8" s="397"/>
      <c r="G8" s="397"/>
      <c r="H8" s="397"/>
      <c r="I8" s="397"/>
      <c r="J8" s="397"/>
      <c r="K8" s="397"/>
      <c r="L8" s="397"/>
      <c r="M8" s="397"/>
      <c r="N8" s="397"/>
      <c r="O8" s="397"/>
      <c r="P8" s="397"/>
      <c r="Q8" s="397"/>
      <c r="R8" s="397"/>
      <c r="S8" s="397"/>
      <c r="T8" s="397"/>
      <c r="U8" s="399">
        <v>7.3999999999999996E-2</v>
      </c>
      <c r="V8" s="400">
        <v>-0.25</v>
      </c>
      <c r="W8" s="400">
        <v>-6.3E-2</v>
      </c>
      <c r="X8" s="400">
        <v>0.106</v>
      </c>
      <c r="Y8" s="400">
        <v>0.17299999999999999</v>
      </c>
      <c r="Z8" s="400">
        <v>0.17699999999999999</v>
      </c>
      <c r="AA8" s="398"/>
      <c r="AB8" s="398"/>
      <c r="AC8" s="398"/>
      <c r="AD8" s="398"/>
      <c r="AE8" s="398"/>
      <c r="AF8" s="398"/>
      <c r="AG8" s="1624"/>
      <c r="AH8" s="1624"/>
      <c r="AI8" s="1624"/>
      <c r="AJ8" s="1624"/>
      <c r="AK8" s="213"/>
      <c r="AL8" s="213"/>
      <c r="AM8" s="213"/>
      <c r="AN8" s="213"/>
      <c r="AO8" s="213"/>
    </row>
    <row r="9" spans="1:41">
      <c r="A9" s="214" t="s">
        <v>1527</v>
      </c>
      <c r="B9" s="263"/>
      <c r="C9" s="263"/>
      <c r="D9" s="263"/>
      <c r="E9" s="263"/>
      <c r="F9" s="263"/>
      <c r="G9" s="263"/>
      <c r="H9" s="263"/>
      <c r="I9" s="263"/>
      <c r="J9" s="263"/>
      <c r="K9" s="263"/>
      <c r="L9" s="263"/>
      <c r="M9" s="263"/>
      <c r="N9" s="263"/>
      <c r="O9" s="263"/>
      <c r="P9" s="263"/>
      <c r="Q9" s="263"/>
      <c r="R9" s="263"/>
      <c r="S9" s="263"/>
      <c r="T9" s="263"/>
      <c r="U9" s="401"/>
      <c r="V9" s="402"/>
      <c r="W9" s="402"/>
      <c r="X9" s="323"/>
      <c r="Y9" s="323"/>
      <c r="Z9" s="323"/>
      <c r="AA9" s="323"/>
      <c r="AB9" s="323"/>
      <c r="AC9" s="323"/>
      <c r="AD9" s="323"/>
      <c r="AE9" s="323"/>
      <c r="AF9" s="323"/>
      <c r="AG9" s="1624"/>
      <c r="AH9" s="1624"/>
      <c r="AI9" s="1624"/>
      <c r="AJ9" s="1624"/>
      <c r="AK9" s="213"/>
      <c r="AL9" s="213"/>
      <c r="AM9" s="213"/>
      <c r="AN9" s="213"/>
      <c r="AO9" s="213"/>
    </row>
    <row r="10" spans="1:41">
      <c r="A10" s="267" t="s">
        <v>1022</v>
      </c>
      <c r="B10" s="263"/>
      <c r="C10" s="263"/>
      <c r="D10" s="263"/>
      <c r="E10" s="263"/>
      <c r="F10" s="263"/>
      <c r="G10" s="263"/>
      <c r="H10" s="263"/>
      <c r="I10" s="263"/>
      <c r="J10" s="263"/>
      <c r="K10" s="263"/>
      <c r="L10" s="263"/>
      <c r="M10" s="263"/>
      <c r="N10" s="263"/>
      <c r="O10" s="263"/>
      <c r="P10" s="263"/>
      <c r="Q10" s="263"/>
      <c r="R10" s="263"/>
      <c r="S10" s="263"/>
      <c r="T10" s="263"/>
      <c r="U10" s="322">
        <f t="shared" ref="U10:Z11" si="4">U4/T4-1</f>
        <v>0.16679104477611939</v>
      </c>
      <c r="V10" s="322">
        <f t="shared" si="4"/>
        <v>-0.23584905660377353</v>
      </c>
      <c r="W10" s="322">
        <f t="shared" si="4"/>
        <v>-0.12387528771709566</v>
      </c>
      <c r="X10" s="322">
        <f t="shared" si="4"/>
        <v>0.12491043706711258</v>
      </c>
      <c r="Y10" s="322">
        <f t="shared" si="4"/>
        <v>0.13991507430997885</v>
      </c>
      <c r="Z10" s="322">
        <f t="shared" si="4"/>
        <v>0.20655615570869812</v>
      </c>
      <c r="AA10" s="457">
        <f t="shared" ref="AA10:AF11" si="5">(AA41+AA86+AA96)/(Z41+Z86+Z96)-1</f>
        <v>7.8673440044451315E-2</v>
      </c>
      <c r="AB10" s="457">
        <f t="shared" si="5"/>
        <v>9.2421491015085344E-2</v>
      </c>
      <c r="AC10" s="457">
        <f t="shared" si="5"/>
        <v>9.7567086553298266E-2</v>
      </c>
      <c r="AD10" s="457">
        <f t="shared" si="5"/>
        <v>8.4777846870869089E-2</v>
      </c>
      <c r="AE10" s="457">
        <f t="shared" si="5"/>
        <v>6.6575007408409492E-2</v>
      </c>
      <c r="AF10" s="457">
        <f t="shared" si="5"/>
        <v>6.6024624537328602E-2</v>
      </c>
      <c r="AG10" s="1624"/>
      <c r="AH10" s="1624"/>
      <c r="AI10" s="1624"/>
      <c r="AJ10" s="1624"/>
      <c r="AK10" s="213"/>
      <c r="AL10" s="213"/>
      <c r="AM10" s="213"/>
      <c r="AN10" s="213"/>
      <c r="AO10" s="213"/>
    </row>
    <row r="11" spans="1:41">
      <c r="A11" s="267" t="s">
        <v>1023</v>
      </c>
      <c r="B11" s="263"/>
      <c r="C11" s="263"/>
      <c r="D11" s="263"/>
      <c r="E11" s="263"/>
      <c r="F11" s="263"/>
      <c r="G11" s="263"/>
      <c r="H11" s="263"/>
      <c r="I11" s="263"/>
      <c r="J11" s="263"/>
      <c r="K11" s="263"/>
      <c r="L11" s="263"/>
      <c r="M11" s="263"/>
      <c r="N11" s="263"/>
      <c r="O11" s="263"/>
      <c r="P11" s="263"/>
      <c r="Q11" s="263"/>
      <c r="R11" s="263"/>
      <c r="S11" s="263"/>
      <c r="T11" s="263"/>
      <c r="U11" s="322">
        <f t="shared" si="4"/>
        <v>0.16266460108443059</v>
      </c>
      <c r="V11" s="322">
        <f t="shared" si="4"/>
        <v>-0.29580279813457699</v>
      </c>
      <c r="W11" s="322">
        <f t="shared" si="4"/>
        <v>1.1352885525070855E-2</v>
      </c>
      <c r="X11" s="322">
        <f t="shared" si="4"/>
        <v>0.32132834424695988</v>
      </c>
      <c r="Y11" s="322">
        <f t="shared" si="4"/>
        <v>0.22690265486725658</v>
      </c>
      <c r="Z11" s="322">
        <f t="shared" si="4"/>
        <v>0.19446047316791693</v>
      </c>
      <c r="AA11" s="457">
        <f t="shared" si="5"/>
        <v>0.10858971132689743</v>
      </c>
      <c r="AB11" s="457">
        <f t="shared" si="5"/>
        <v>0.131493380240427</v>
      </c>
      <c r="AC11" s="457">
        <f t="shared" si="5"/>
        <v>0.11266571622904231</v>
      </c>
      <c r="AD11" s="457">
        <f t="shared" si="5"/>
        <v>9.8877817720464112E-2</v>
      </c>
      <c r="AE11" s="457">
        <f t="shared" si="5"/>
        <v>3.0571315694914558E-2</v>
      </c>
      <c r="AF11" s="457">
        <f t="shared" si="5"/>
        <v>2.8274044813895616E-2</v>
      </c>
      <c r="AG11" s="1624"/>
      <c r="AH11" s="1624"/>
      <c r="AI11" s="1624"/>
      <c r="AJ11" s="1624"/>
      <c r="AK11" s="213"/>
      <c r="AL11" s="213"/>
      <c r="AM11" s="213"/>
      <c r="AN11" s="213"/>
      <c r="AO11" s="213"/>
    </row>
    <row r="12" spans="1:41">
      <c r="A12" s="267"/>
      <c r="B12" s="263"/>
      <c r="C12" s="263"/>
      <c r="D12" s="263"/>
      <c r="E12" s="263"/>
      <c r="F12" s="263"/>
      <c r="G12" s="263"/>
      <c r="H12" s="263"/>
      <c r="I12" s="263"/>
      <c r="J12" s="263"/>
      <c r="K12" s="263"/>
      <c r="L12" s="263"/>
      <c r="M12" s="263"/>
      <c r="N12" s="263"/>
      <c r="O12" s="263"/>
      <c r="P12" s="263"/>
      <c r="Q12" s="263"/>
      <c r="R12" s="263"/>
      <c r="S12" s="263"/>
      <c r="T12" s="263"/>
      <c r="U12" s="401"/>
      <c r="V12" s="402"/>
      <c r="W12" s="402"/>
      <c r="X12" s="323"/>
      <c r="Y12" s="323"/>
      <c r="Z12" s="323"/>
      <c r="AA12" s="323"/>
      <c r="AB12" s="323"/>
      <c r="AC12" s="323"/>
      <c r="AD12" s="323"/>
      <c r="AE12" s="323"/>
      <c r="AF12" s="323"/>
      <c r="AG12" s="1624"/>
      <c r="AH12" s="1624"/>
      <c r="AI12" s="1624"/>
      <c r="AJ12" s="1624"/>
      <c r="AK12" s="213"/>
      <c r="AL12" s="213"/>
      <c r="AM12" s="213"/>
      <c r="AN12" s="213"/>
      <c r="AO12" s="213"/>
    </row>
    <row r="13" spans="1:41">
      <c r="A13" s="403" t="s">
        <v>1294</v>
      </c>
      <c r="B13" s="404"/>
      <c r="C13" s="404"/>
      <c r="D13" s="404"/>
      <c r="E13" s="404"/>
      <c r="F13" s="404"/>
      <c r="G13" s="404"/>
      <c r="H13" s="404"/>
      <c r="I13" s="404"/>
      <c r="J13" s="404"/>
      <c r="K13" s="404"/>
      <c r="L13" s="404"/>
      <c r="M13" s="404"/>
      <c r="N13" s="404"/>
      <c r="O13" s="404"/>
      <c r="P13" s="404"/>
      <c r="Q13" s="404"/>
      <c r="R13" s="404"/>
      <c r="S13" s="404"/>
      <c r="T13" s="404"/>
      <c r="U13" s="404"/>
      <c r="V13" s="404"/>
      <c r="W13" s="404"/>
      <c r="X13" s="404"/>
      <c r="Y13" s="404"/>
      <c r="Z13" s="404"/>
      <c r="AA13" s="404"/>
      <c r="AB13" s="404"/>
      <c r="AC13" s="404"/>
      <c r="AD13" s="404"/>
      <c r="AE13" s="404"/>
      <c r="AF13" s="404"/>
      <c r="AG13" s="1624"/>
      <c r="AH13" s="1624"/>
      <c r="AI13" s="1624"/>
      <c r="AJ13" s="1624"/>
      <c r="AK13" s="213"/>
      <c r="AL13" s="213"/>
      <c r="AM13" s="213"/>
      <c r="AN13" s="213"/>
      <c r="AO13" s="213"/>
    </row>
    <row r="14" spans="1:41">
      <c r="A14" s="405" t="s">
        <v>1529</v>
      </c>
      <c r="B14" s="213"/>
      <c r="C14" s="213"/>
      <c r="D14" s="213"/>
      <c r="E14" s="213"/>
      <c r="F14" s="213"/>
      <c r="G14" s="213"/>
      <c r="H14" s="213"/>
      <c r="I14" s="213"/>
      <c r="J14" s="213"/>
      <c r="K14" s="213"/>
      <c r="L14" s="213"/>
      <c r="M14" s="213"/>
      <c r="N14" s="213"/>
      <c r="O14" s="213"/>
      <c r="P14" s="213"/>
      <c r="Q14" s="213"/>
      <c r="R14" s="213"/>
      <c r="S14" s="213"/>
      <c r="T14" s="259">
        <v>992</v>
      </c>
      <c r="U14" s="260">
        <v>1209</v>
      </c>
      <c r="V14" s="260">
        <v>687</v>
      </c>
      <c r="W14" s="260">
        <v>650</v>
      </c>
      <c r="X14" s="260">
        <v>874</v>
      </c>
      <c r="Y14" s="260">
        <v>992</v>
      </c>
      <c r="Z14" s="260">
        <v>1298</v>
      </c>
      <c r="AA14" s="259">
        <f t="shared" ref="AA14:AF14" si="6">Z14+AA24</f>
        <v>1601.943770022559</v>
      </c>
      <c r="AB14" s="259">
        <f t="shared" si="6"/>
        <v>1858.4702757019843</v>
      </c>
      <c r="AC14" s="259">
        <f t="shared" si="6"/>
        <v>2134.7102122690167</v>
      </c>
      <c r="AD14" s="259">
        <f t="shared" si="6"/>
        <v>2389.6484999709573</v>
      </c>
      <c r="AE14" s="259">
        <f t="shared" si="6"/>
        <v>2524.2429106702775</v>
      </c>
      <c r="AF14" s="259">
        <f t="shared" si="6"/>
        <v>2640.3034115715395</v>
      </c>
      <c r="AG14" s="1627">
        <f>(AF14/AA14)^(1/5)-1</f>
        <v>0.10509932543566025</v>
      </c>
      <c r="AH14" s="1624"/>
      <c r="AI14" s="1624"/>
      <c r="AJ14" s="1624"/>
      <c r="AK14" s="213"/>
      <c r="AL14" s="213"/>
      <c r="AM14" s="213"/>
      <c r="AN14" s="213"/>
      <c r="AO14" s="213"/>
    </row>
    <row r="15" spans="1:41">
      <c r="A15" s="266" t="s">
        <v>985</v>
      </c>
      <c r="B15" s="263"/>
      <c r="C15" s="263"/>
      <c r="D15" s="263"/>
      <c r="E15" s="263"/>
      <c r="F15" s="263"/>
      <c r="G15" s="263"/>
      <c r="H15" s="263"/>
      <c r="I15" s="263"/>
      <c r="J15" s="263"/>
      <c r="K15" s="263"/>
      <c r="L15" s="263"/>
      <c r="M15" s="263"/>
      <c r="N15" s="263"/>
      <c r="O15" s="263"/>
      <c r="P15" s="263"/>
      <c r="Q15" s="263"/>
      <c r="R15" s="263"/>
      <c r="S15" s="263"/>
      <c r="T15" s="323">
        <f t="shared" ref="T15:AF15" si="7">T14/T6</f>
        <v>0.12490556534877864</v>
      </c>
      <c r="U15" s="323">
        <f t="shared" si="7"/>
        <v>0.1306179775280899</v>
      </c>
      <c r="V15" s="323">
        <f t="shared" si="7"/>
        <v>9.966632815900188E-2</v>
      </c>
      <c r="W15" s="323">
        <f t="shared" si="7"/>
        <v>0.10276679841897234</v>
      </c>
      <c r="X15" s="323">
        <f t="shared" si="7"/>
        <v>0.11599203715992037</v>
      </c>
      <c r="Y15" s="323">
        <f t="shared" si="7"/>
        <v>0.11228070175438597</v>
      </c>
      <c r="Z15" s="323">
        <f t="shared" si="7"/>
        <v>0.12224524392540968</v>
      </c>
      <c r="AA15" s="323">
        <f t="shared" si="7"/>
        <v>0.13139866479125725</v>
      </c>
      <c r="AB15" s="323">
        <f t="shared" si="7"/>
        <v>0.13776194372884279</v>
      </c>
      <c r="AC15" s="323">
        <f t="shared" si="7"/>
        <v>0.14344269799564272</v>
      </c>
      <c r="AD15" s="323">
        <f t="shared" si="7"/>
        <v>0.14731023966498005</v>
      </c>
      <c r="AE15" s="323">
        <f t="shared" si="7"/>
        <v>0.14776947119266659</v>
      </c>
      <c r="AF15" s="323">
        <f t="shared" si="7"/>
        <v>0.14690452072880675</v>
      </c>
      <c r="AG15" s="1624"/>
      <c r="AH15" s="1624"/>
      <c r="AI15" s="1624"/>
      <c r="AJ15" s="1624"/>
      <c r="AK15" s="213"/>
      <c r="AL15" s="213"/>
      <c r="AM15" s="213"/>
      <c r="AN15" s="213"/>
      <c r="AO15" s="213"/>
    </row>
    <row r="16" spans="1:41">
      <c r="A16" s="306" t="s">
        <v>1542</v>
      </c>
      <c r="B16" s="307"/>
      <c r="C16" s="307"/>
      <c r="D16" s="307"/>
      <c r="E16" s="307"/>
      <c r="F16" s="307"/>
      <c r="G16" s="307"/>
      <c r="H16" s="307"/>
      <c r="I16" s="307"/>
      <c r="J16" s="307"/>
      <c r="K16" s="307"/>
      <c r="L16" s="307"/>
      <c r="M16" s="308"/>
      <c r="N16" s="308"/>
      <c r="O16" s="308"/>
      <c r="P16" s="308"/>
      <c r="Q16" s="308"/>
      <c r="R16" s="308"/>
      <c r="S16" s="308"/>
      <c r="T16" s="308"/>
      <c r="U16" s="308"/>
      <c r="V16" s="308"/>
      <c r="W16" s="308"/>
      <c r="X16" s="308"/>
      <c r="Y16" s="308"/>
      <c r="Z16" s="308"/>
      <c r="AA16" s="308"/>
      <c r="AB16" s="308"/>
      <c r="AC16" s="308"/>
      <c r="AD16" s="308"/>
      <c r="AE16" s="308"/>
      <c r="AF16" s="308"/>
      <c r="AG16" s="1624"/>
      <c r="AH16" s="1624"/>
      <c r="AI16" s="1624"/>
      <c r="AJ16" s="1624"/>
      <c r="AK16" s="213"/>
      <c r="AL16" s="213"/>
      <c r="AM16" s="213"/>
      <c r="AN16" s="213"/>
      <c r="AO16" s="213"/>
    </row>
    <row r="17" spans="1:41">
      <c r="A17" s="263" t="s">
        <v>1036</v>
      </c>
      <c r="B17" s="263"/>
      <c r="C17" s="263"/>
      <c r="D17" s="263"/>
      <c r="E17" s="263"/>
      <c r="F17" s="263"/>
      <c r="G17" s="263"/>
      <c r="H17" s="263"/>
      <c r="I17" s="263"/>
      <c r="J17" s="263"/>
      <c r="K17" s="263"/>
      <c r="L17" s="263"/>
      <c r="M17" s="263"/>
      <c r="N17" s="263"/>
      <c r="O17" s="319">
        <f t="shared" ref="O17:U18" si="8">(O41-N41)*O27</f>
        <v>24</v>
      </c>
      <c r="P17" s="319">
        <f t="shared" si="8"/>
        <v>28.900000000000002</v>
      </c>
      <c r="Q17" s="319">
        <f t="shared" si="8"/>
        <v>14.850000000000001</v>
      </c>
      <c r="R17" s="319">
        <f t="shared" si="8"/>
        <v>4.7</v>
      </c>
      <c r="S17" s="319">
        <f t="shared" si="8"/>
        <v>3.8265000000000327</v>
      </c>
      <c r="T17" s="319">
        <f t="shared" si="8"/>
        <v>-2.7546000000000048</v>
      </c>
      <c r="U17" s="319">
        <f t="shared" si="8"/>
        <v>106.60884802693458</v>
      </c>
      <c r="V17" s="259">
        <f t="shared" ref="V17:AF17" si="9">(V4-U4)*V27</f>
        <v>-221.25</v>
      </c>
      <c r="W17" s="259">
        <f t="shared" si="9"/>
        <v>-59.2</v>
      </c>
      <c r="X17" s="259">
        <f t="shared" si="9"/>
        <v>52.300000000000004</v>
      </c>
      <c r="Y17" s="259">
        <f t="shared" si="9"/>
        <v>65.900000000000006</v>
      </c>
      <c r="Z17" s="259">
        <f t="shared" si="9"/>
        <v>110.9</v>
      </c>
      <c r="AA17" s="259">
        <f t="shared" si="9"/>
        <v>156.69584204238527</v>
      </c>
      <c r="AB17" s="259">
        <f t="shared" si="9"/>
        <v>93.520736413983997</v>
      </c>
      <c r="AC17" s="259">
        <f t="shared" si="9"/>
        <v>116.14839230533713</v>
      </c>
      <c r="AD17" s="259">
        <f t="shared" si="9"/>
        <v>102.85813374690619</v>
      </c>
      <c r="AE17" s="259">
        <f t="shared" si="9"/>
        <v>80.880938602833197</v>
      </c>
      <c r="AF17" s="259">
        <f t="shared" si="9"/>
        <v>71.293683863874321</v>
      </c>
      <c r="AG17" s="1624"/>
      <c r="AH17" s="1624"/>
      <c r="AI17" s="1624"/>
      <c r="AJ17" s="1624"/>
      <c r="AK17" s="213"/>
      <c r="AL17" s="213"/>
      <c r="AM17" s="213"/>
      <c r="AN17" s="213"/>
      <c r="AO17" s="213"/>
    </row>
    <row r="18" spans="1:41">
      <c r="A18" s="263" t="s">
        <v>1037</v>
      </c>
      <c r="B18" s="263"/>
      <c r="C18" s="263"/>
      <c r="D18" s="263"/>
      <c r="E18" s="263"/>
      <c r="F18" s="263"/>
      <c r="G18" s="263"/>
      <c r="H18" s="263"/>
      <c r="I18" s="263"/>
      <c r="J18" s="263"/>
      <c r="K18" s="263"/>
      <c r="L18" s="263"/>
      <c r="M18" s="263"/>
      <c r="N18" s="263"/>
      <c r="O18" s="319">
        <f t="shared" si="8"/>
        <v>40</v>
      </c>
      <c r="P18" s="319">
        <f t="shared" si="8"/>
        <v>16.5</v>
      </c>
      <c r="Q18" s="319">
        <f t="shared" si="8"/>
        <v>30</v>
      </c>
      <c r="R18" s="319">
        <f t="shared" si="8"/>
        <v>38.75</v>
      </c>
      <c r="S18" s="319">
        <f t="shared" si="8"/>
        <v>15.995000000000005</v>
      </c>
      <c r="T18" s="319">
        <f t="shared" si="8"/>
        <v>11.181999999999903</v>
      </c>
      <c r="U18" s="319">
        <f t="shared" si="8"/>
        <v>140.65781244410684</v>
      </c>
      <c r="V18" s="259">
        <f t="shared" ref="V18:AF18" si="10">(V5-U5)*V28</f>
        <v>-266.39999999999998</v>
      </c>
      <c r="W18" s="259">
        <f t="shared" si="10"/>
        <v>7.1999999999999993</v>
      </c>
      <c r="X18" s="259">
        <f t="shared" si="10"/>
        <v>206.1</v>
      </c>
      <c r="Y18" s="259">
        <f t="shared" si="10"/>
        <v>192.29999999999998</v>
      </c>
      <c r="Z18" s="259">
        <f t="shared" si="10"/>
        <v>202.2</v>
      </c>
      <c r="AA18" s="259">
        <f t="shared" si="10"/>
        <v>82.980208198495234</v>
      </c>
      <c r="AB18" s="259">
        <f t="shared" si="10"/>
        <v>179.66995226963854</v>
      </c>
      <c r="AC18" s="259">
        <f t="shared" si="10"/>
        <v>179.80577925694757</v>
      </c>
      <c r="AD18" s="259">
        <f t="shared" si="10"/>
        <v>170.09328142409001</v>
      </c>
      <c r="AE18" s="259">
        <f t="shared" si="10"/>
        <v>55.925694270952228</v>
      </c>
      <c r="AF18" s="259">
        <f t="shared" si="10"/>
        <v>47.973980717653362</v>
      </c>
      <c r="AG18" s="1624"/>
      <c r="AH18" s="1624"/>
      <c r="AI18" s="1624"/>
      <c r="AJ18" s="1624"/>
      <c r="AK18" s="213"/>
      <c r="AL18" s="213"/>
      <c r="AM18" s="213"/>
      <c r="AN18" s="213"/>
      <c r="AO18" s="213"/>
    </row>
    <row r="19" spans="1:41">
      <c r="A19" s="263" t="s">
        <v>1027</v>
      </c>
      <c r="B19" s="263"/>
      <c r="C19" s="263"/>
      <c r="D19" s="263"/>
      <c r="E19" s="263"/>
      <c r="F19" s="263"/>
      <c r="G19" s="263"/>
      <c r="H19" s="263"/>
      <c r="I19" s="263"/>
      <c r="J19" s="263"/>
      <c r="K19" s="263"/>
      <c r="L19" s="263"/>
      <c r="M19" s="263"/>
      <c r="N19" s="263"/>
      <c r="O19" s="319">
        <f t="shared" ref="O19:U19" si="11">(0.02*N41)+(0.025*N42)</f>
        <v>79.09</v>
      </c>
      <c r="P19" s="319">
        <f t="shared" si="11"/>
        <v>87.89</v>
      </c>
      <c r="Q19" s="319">
        <f t="shared" si="11"/>
        <v>95.32</v>
      </c>
      <c r="R19" s="319">
        <f t="shared" si="11"/>
        <v>106.26</v>
      </c>
      <c r="S19" s="319">
        <f t="shared" si="11"/>
        <v>111.075</v>
      </c>
      <c r="T19" s="319">
        <f t="shared" si="11"/>
        <v>113.69490000000002</v>
      </c>
      <c r="U19" s="319">
        <f t="shared" si="11"/>
        <v>114.07854</v>
      </c>
      <c r="V19" s="319">
        <f>(U6*V8*0.02)</f>
        <v>-46.28</v>
      </c>
      <c r="W19" s="319">
        <f>(V6*W8*0.02)</f>
        <v>-8.6851800000000008</v>
      </c>
      <c r="X19" s="319">
        <f>(W6*X8*0.02)</f>
        <v>13.408999999999999</v>
      </c>
      <c r="Y19" s="319">
        <f>(X6*Y8*0.02)</f>
        <v>26.071099999999998</v>
      </c>
      <c r="Z19" s="319">
        <f>(Y6*Z8*0.02)</f>
        <v>31.275899999999996</v>
      </c>
      <c r="AA19" s="259">
        <f t="shared" ref="AA19:AF19" si="12">(Z6*AA7*0.02)</f>
        <v>31.469535492988658</v>
      </c>
      <c r="AB19" s="259">
        <f t="shared" si="12"/>
        <v>25.979415425999029</v>
      </c>
      <c r="AC19" s="259">
        <f t="shared" si="12"/>
        <v>27.830488675750225</v>
      </c>
      <c r="AD19" s="259">
        <f t="shared" si="12"/>
        <v>26.798088360631528</v>
      </c>
      <c r="AE19" s="259">
        <f t="shared" si="12"/>
        <v>17.208536051868947</v>
      </c>
      <c r="AF19" s="259">
        <f t="shared" si="12"/>
        <v>17.812364974082595</v>
      </c>
      <c r="AG19" s="1624"/>
      <c r="AH19" s="1624"/>
      <c r="AI19" s="1624"/>
      <c r="AJ19" s="1624"/>
      <c r="AK19" s="213"/>
      <c r="AL19" s="213"/>
      <c r="AM19" s="213"/>
      <c r="AN19" s="213"/>
      <c r="AO19" s="213"/>
    </row>
    <row r="20" spans="1:41">
      <c r="A20" s="263" t="s">
        <v>1034</v>
      </c>
      <c r="B20" s="263"/>
      <c r="C20" s="263"/>
      <c r="D20" s="263"/>
      <c r="E20" s="263"/>
      <c r="F20" s="263"/>
      <c r="G20" s="263"/>
      <c r="H20" s="263"/>
      <c r="I20" s="263"/>
      <c r="J20" s="263"/>
      <c r="K20" s="263"/>
      <c r="L20" s="263"/>
      <c r="M20" s="263"/>
      <c r="N20" s="263"/>
      <c r="O20" s="319">
        <f>0.9*-O19</f>
        <v>-71.181000000000012</v>
      </c>
      <c r="P20" s="319">
        <f>0.95*-P19</f>
        <v>-83.495499999999993</v>
      </c>
      <c r="Q20" s="319">
        <f>1*-Q19</f>
        <v>-95.32</v>
      </c>
      <c r="R20" s="319">
        <f>1*-R19</f>
        <v>-106.26</v>
      </c>
      <c r="S20" s="319">
        <f>1*-S19</f>
        <v>-111.075</v>
      </c>
      <c r="T20" s="319">
        <f>1*-T19</f>
        <v>-113.69490000000002</v>
      </c>
      <c r="U20" s="319">
        <f>1*-U19</f>
        <v>-114.07854</v>
      </c>
      <c r="V20" s="319">
        <f t="shared" ref="V20:AF20" si="13">-0.75*V19</f>
        <v>34.71</v>
      </c>
      <c r="W20" s="319">
        <f t="shared" si="13"/>
        <v>6.5138850000000001</v>
      </c>
      <c r="X20" s="319">
        <f t="shared" si="13"/>
        <v>-10.056749999999999</v>
      </c>
      <c r="Y20" s="319">
        <f t="shared" si="13"/>
        <v>-19.553324999999997</v>
      </c>
      <c r="Z20" s="319">
        <f t="shared" si="13"/>
        <v>-23.456924999999998</v>
      </c>
      <c r="AA20" s="259">
        <f t="shared" si="13"/>
        <v>-23.602151619741495</v>
      </c>
      <c r="AB20" s="259">
        <f t="shared" si="13"/>
        <v>-19.48456156949927</v>
      </c>
      <c r="AC20" s="259">
        <f t="shared" si="13"/>
        <v>-20.87286650681267</v>
      </c>
      <c r="AD20" s="259">
        <f t="shared" si="13"/>
        <v>-20.098566270473647</v>
      </c>
      <c r="AE20" s="259">
        <f t="shared" si="13"/>
        <v>-12.90640203890171</v>
      </c>
      <c r="AF20" s="259">
        <f t="shared" si="13"/>
        <v>-13.359273730561945</v>
      </c>
      <c r="AG20" s="1624"/>
      <c r="AH20" s="1624"/>
      <c r="AI20" s="1624"/>
      <c r="AJ20" s="1624"/>
      <c r="AK20" s="213"/>
      <c r="AL20" s="213"/>
      <c r="AM20" s="213"/>
      <c r="AN20" s="213"/>
      <c r="AO20" s="213"/>
    </row>
    <row r="21" spans="1:41">
      <c r="A21" s="263" t="s">
        <v>794</v>
      </c>
      <c r="B21" s="263"/>
      <c r="C21" s="263"/>
      <c r="D21" s="263"/>
      <c r="E21" s="263"/>
      <c r="F21" s="263"/>
      <c r="G21" s="263"/>
      <c r="H21" s="263"/>
      <c r="I21" s="263"/>
      <c r="J21" s="263"/>
      <c r="K21" s="263"/>
      <c r="L21" s="263"/>
      <c r="M21" s="263"/>
      <c r="N21" s="263"/>
      <c r="O21" s="319">
        <v>-33</v>
      </c>
      <c r="P21" s="319">
        <v>-54</v>
      </c>
      <c r="Q21" s="319">
        <v>52</v>
      </c>
      <c r="R21" s="319">
        <v>-8</v>
      </c>
      <c r="S21" s="319">
        <v>-25</v>
      </c>
      <c r="T21" s="319">
        <v>9</v>
      </c>
      <c r="U21" s="319"/>
      <c r="V21" s="319">
        <f t="shared" ref="V21:AF21" si="14">(V36-U36)</f>
        <v>130</v>
      </c>
      <c r="W21" s="319">
        <f t="shared" si="14"/>
        <v>33</v>
      </c>
      <c r="X21" s="319">
        <f t="shared" si="14"/>
        <v>-50</v>
      </c>
      <c r="Y21" s="319">
        <f t="shared" si="14"/>
        <v>-47</v>
      </c>
      <c r="Z21" s="319">
        <f t="shared" si="14"/>
        <v>-58</v>
      </c>
      <c r="AA21" s="259">
        <f t="shared" si="14"/>
        <v>-59.720393688427293</v>
      </c>
      <c r="AB21" s="259">
        <f t="shared" si="14"/>
        <v>-49.301678360696997</v>
      </c>
      <c r="AC21" s="259">
        <f t="shared" si="14"/>
        <v>-52.814498664189728</v>
      </c>
      <c r="AD21" s="259">
        <f t="shared" si="14"/>
        <v>-50.8552910592133</v>
      </c>
      <c r="AE21" s="259">
        <f t="shared" si="14"/>
        <v>-32.656997687432636</v>
      </c>
      <c r="AF21" s="259">
        <f t="shared" si="14"/>
        <v>-33.802896423786365</v>
      </c>
      <c r="AG21" s="1624"/>
      <c r="AH21" s="1624"/>
      <c r="AI21" s="1624"/>
      <c r="AJ21" s="1624"/>
      <c r="AK21" s="213"/>
      <c r="AL21" s="213"/>
      <c r="AM21" s="213"/>
      <c r="AN21" s="213"/>
      <c r="AO21" s="213"/>
    </row>
    <row r="22" spans="1:41">
      <c r="A22" s="263" t="s">
        <v>777</v>
      </c>
      <c r="B22" s="263"/>
      <c r="C22" s="263"/>
      <c r="D22" s="263"/>
      <c r="E22" s="263"/>
      <c r="F22" s="263"/>
      <c r="G22" s="263"/>
      <c r="H22" s="263"/>
      <c r="I22" s="263"/>
      <c r="J22" s="263"/>
      <c r="K22" s="263"/>
      <c r="L22" s="263"/>
      <c r="M22" s="263"/>
      <c r="N22" s="263"/>
      <c r="O22" s="319">
        <v>41.25</v>
      </c>
      <c r="P22" s="319">
        <v>39.402985074626862</v>
      </c>
      <c r="Q22" s="319">
        <v>14.883000000000001</v>
      </c>
      <c r="R22" s="319">
        <v>15.967741935483756</v>
      </c>
      <c r="S22" s="319">
        <v>50.323893727841828</v>
      </c>
      <c r="T22" s="319">
        <v>55.780419934227297</v>
      </c>
      <c r="U22" s="319"/>
      <c r="V22" s="319">
        <v>40.301124418817459</v>
      </c>
      <c r="W22" s="319">
        <f>'Aerospace Propulsion Division'!W72</f>
        <v>1.1713242788461544</v>
      </c>
      <c r="X22" s="319">
        <f>'Aerospace Propulsion Division'!X72</f>
        <v>1.1065795550914248</v>
      </c>
      <c r="Y22" s="319">
        <f>'Aerospace Propulsion Division'!Y72</f>
        <v>1.1105369302909465</v>
      </c>
      <c r="Z22" s="319">
        <f>'Aerospace Propulsion Division'!Z72</f>
        <v>1.1083231112074399</v>
      </c>
      <c r="AA22" s="320">
        <f>'Aerospace Propulsion Division'!AA72</f>
        <v>1.1207295968584789</v>
      </c>
      <c r="AB22" s="320">
        <f>'Aerospace Propulsion Division'!AB72</f>
        <v>1.1426415000000001</v>
      </c>
      <c r="AC22" s="320">
        <f>'Aerospace Propulsion Division'!AC72</f>
        <v>1.1426415000000001</v>
      </c>
      <c r="AD22" s="320">
        <f>'Aerospace Propulsion Division'!AD72</f>
        <v>1.1426415000000001</v>
      </c>
      <c r="AE22" s="320">
        <f>'Aerospace Propulsion Division'!AE72</f>
        <v>1.1426415000000001</v>
      </c>
      <c r="AF22" s="320">
        <f>'Aerospace Propulsion Division'!AF72</f>
        <v>1.1426415000000001</v>
      </c>
      <c r="AG22" s="1624"/>
      <c r="AH22" s="1624"/>
      <c r="AI22" s="1624"/>
      <c r="AJ22" s="1624"/>
      <c r="AK22" s="213"/>
      <c r="AL22" s="213"/>
      <c r="AM22" s="213"/>
      <c r="AN22" s="213"/>
      <c r="AO22" s="213"/>
    </row>
    <row r="23" spans="1:41">
      <c r="A23" s="263" t="s">
        <v>776</v>
      </c>
      <c r="B23" s="263"/>
      <c r="C23" s="263"/>
      <c r="D23" s="263"/>
      <c r="E23" s="263"/>
      <c r="F23" s="263"/>
      <c r="G23" s="263"/>
      <c r="H23" s="263"/>
      <c r="I23" s="263"/>
      <c r="J23" s="263"/>
      <c r="K23" s="263"/>
      <c r="L23" s="263"/>
      <c r="M23" s="263"/>
      <c r="N23" s="263"/>
      <c r="O23" s="319">
        <f>O24-SUM(O17:O22)</f>
        <v>9.8410000000000082</v>
      </c>
      <c r="P23" s="319">
        <f>P24-SUM(P17:P22)</f>
        <v>14.80251492537311</v>
      </c>
      <c r="Q23" s="319"/>
      <c r="R23" s="319"/>
      <c r="S23" s="319"/>
      <c r="T23" s="268">
        <v>-20</v>
      </c>
      <c r="U23" s="319"/>
      <c r="V23" s="319">
        <f>(V106-V107)/2-110</f>
        <v>-115</v>
      </c>
      <c r="W23" s="268">
        <v>15</v>
      </c>
      <c r="X23" s="268">
        <v>20</v>
      </c>
      <c r="Y23" s="268">
        <f>-170-15</f>
        <v>-185</v>
      </c>
      <c r="Z23" s="260">
        <f>50</f>
        <v>50</v>
      </c>
      <c r="AA23" s="260">
        <v>115</v>
      </c>
      <c r="AB23" s="260">
        <v>25</v>
      </c>
      <c r="AC23" s="260">
        <v>25</v>
      </c>
      <c r="AD23" s="260">
        <v>25</v>
      </c>
      <c r="AE23" s="260">
        <v>25</v>
      </c>
      <c r="AF23" s="260">
        <v>25</v>
      </c>
      <c r="AG23" s="1624"/>
      <c r="AH23" s="1624"/>
      <c r="AI23" s="1624"/>
      <c r="AJ23" s="1624"/>
      <c r="AK23" s="213"/>
      <c r="AL23" s="213"/>
      <c r="AM23" s="213"/>
      <c r="AN23" s="213"/>
      <c r="AO23" s="213"/>
    </row>
    <row r="24" spans="1:41">
      <c r="A24" s="57" t="s">
        <v>1035</v>
      </c>
      <c r="B24" s="57"/>
      <c r="C24" s="57"/>
      <c r="D24" s="57"/>
      <c r="E24" s="57"/>
      <c r="F24" s="57"/>
      <c r="G24" s="57"/>
      <c r="H24" s="57"/>
      <c r="I24" s="57"/>
      <c r="J24" s="57"/>
      <c r="K24" s="57"/>
      <c r="L24" s="57"/>
      <c r="M24" s="57"/>
      <c r="N24" s="57"/>
      <c r="O24" s="273">
        <v>90</v>
      </c>
      <c r="P24" s="273">
        <v>50</v>
      </c>
      <c r="Q24" s="273">
        <f>SUM(Q17:Q23)</f>
        <v>111.73299999999999</v>
      </c>
      <c r="R24" s="273">
        <v>111.41774193548376</v>
      </c>
      <c r="S24" s="273">
        <f t="shared" ref="S24:AF24" si="15">SUM(S17:S23)</f>
        <v>45.145393727841856</v>
      </c>
      <c r="T24" s="273">
        <f t="shared" si="15"/>
        <v>53.207819934227189</v>
      </c>
      <c r="U24" s="273">
        <f t="shared" si="15"/>
        <v>247.26666047104138</v>
      </c>
      <c r="V24" s="273">
        <f t="shared" si="15"/>
        <v>-443.91887558118253</v>
      </c>
      <c r="W24" s="273">
        <f t="shared" si="15"/>
        <v>-4.9999707211538471</v>
      </c>
      <c r="X24" s="273">
        <f t="shared" si="15"/>
        <v>232.85882955509138</v>
      </c>
      <c r="Y24" s="273">
        <f t="shared" si="15"/>
        <v>33.828311930290965</v>
      </c>
      <c r="Z24" s="273">
        <f t="shared" si="15"/>
        <v>314.02729811120741</v>
      </c>
      <c r="AA24" s="273">
        <f t="shared" si="15"/>
        <v>303.94377002255885</v>
      </c>
      <c r="AB24" s="273">
        <f t="shared" si="15"/>
        <v>256.52650567942533</v>
      </c>
      <c r="AC24" s="273">
        <f t="shared" si="15"/>
        <v>276.2399365670326</v>
      </c>
      <c r="AD24" s="273">
        <f t="shared" si="15"/>
        <v>254.93828770194077</v>
      </c>
      <c r="AE24" s="273">
        <f t="shared" si="15"/>
        <v>134.59441069932001</v>
      </c>
      <c r="AF24" s="273">
        <f t="shared" si="15"/>
        <v>116.06050090126197</v>
      </c>
      <c r="AG24" s="1624"/>
      <c r="AH24" s="1624"/>
      <c r="AI24" s="1624"/>
      <c r="AJ24" s="1624"/>
      <c r="AK24" s="213"/>
      <c r="AL24" s="213"/>
      <c r="AM24" s="213"/>
      <c r="AN24" s="213"/>
      <c r="AO24" s="213"/>
    </row>
    <row r="25" spans="1:41">
      <c r="A25" s="267"/>
      <c r="B25" s="263"/>
      <c r="C25" s="263"/>
      <c r="D25" s="263"/>
      <c r="E25" s="263"/>
      <c r="F25" s="263"/>
      <c r="G25" s="263"/>
      <c r="H25" s="263"/>
      <c r="I25" s="263"/>
      <c r="J25" s="263"/>
      <c r="K25" s="263"/>
      <c r="L25" s="263"/>
      <c r="M25" s="263"/>
      <c r="N25" s="263"/>
      <c r="O25" s="263"/>
      <c r="P25" s="263"/>
      <c r="Q25" s="263"/>
      <c r="R25" s="263"/>
      <c r="S25" s="263"/>
      <c r="T25" s="263"/>
      <c r="U25" s="263"/>
      <c r="V25" s="263"/>
      <c r="W25" s="263"/>
      <c r="X25" s="263"/>
      <c r="Y25" s="263"/>
      <c r="Z25" s="263"/>
      <c r="AA25" s="263"/>
      <c r="AB25" s="263"/>
      <c r="AC25" s="263"/>
      <c r="AD25" s="263"/>
      <c r="AE25" s="263"/>
      <c r="AF25" s="263"/>
      <c r="AG25" s="1624"/>
      <c r="AH25" s="1624"/>
      <c r="AI25" s="1624"/>
      <c r="AJ25" s="1624"/>
      <c r="AK25" s="213"/>
      <c r="AL25" s="213"/>
      <c r="AM25" s="213"/>
      <c r="AN25" s="213"/>
      <c r="AO25" s="213"/>
    </row>
    <row r="26" spans="1:41">
      <c r="A26" s="306" t="s">
        <v>1132</v>
      </c>
      <c r="B26" s="307"/>
      <c r="C26" s="307"/>
      <c r="D26" s="307"/>
      <c r="E26" s="307"/>
      <c r="F26" s="307"/>
      <c r="G26" s="307"/>
      <c r="H26" s="307"/>
      <c r="I26" s="307"/>
      <c r="J26" s="307"/>
      <c r="K26" s="307"/>
      <c r="L26" s="307"/>
      <c r="M26" s="308"/>
      <c r="N26" s="308"/>
      <c r="O26" s="308"/>
      <c r="P26" s="308"/>
      <c r="Q26" s="308"/>
      <c r="R26" s="308"/>
      <c r="S26" s="308"/>
      <c r="T26" s="308"/>
      <c r="U26" s="308"/>
      <c r="V26" s="308"/>
      <c r="W26" s="308"/>
      <c r="X26" s="308"/>
      <c r="Y26" s="308"/>
      <c r="Z26" s="308"/>
      <c r="AA26" s="308"/>
      <c r="AB26" s="308"/>
      <c r="AC26" s="308"/>
      <c r="AD26" s="308"/>
      <c r="AE26" s="308"/>
      <c r="AF26" s="308"/>
      <c r="AG26" s="1624"/>
      <c r="AH26" s="1624"/>
      <c r="AI26" s="1624"/>
      <c r="AJ26" s="1624"/>
      <c r="AK26" s="213"/>
      <c r="AL26" s="213"/>
      <c r="AM26" s="213"/>
      <c r="AN26" s="213"/>
      <c r="AO26" s="213"/>
    </row>
    <row r="27" spans="1:41">
      <c r="A27" s="374" t="s">
        <v>1022</v>
      </c>
      <c r="B27" s="259"/>
      <c r="C27" s="259"/>
      <c r="D27" s="259"/>
      <c r="E27" s="259"/>
      <c r="F27" s="259"/>
      <c r="G27" s="259"/>
      <c r="H27" s="259"/>
      <c r="I27" s="259"/>
      <c r="J27" s="259"/>
      <c r="K27" s="259"/>
      <c r="L27" s="259"/>
      <c r="M27" s="259"/>
      <c r="N27" s="259"/>
      <c r="O27" s="406">
        <v>0.1</v>
      </c>
      <c r="P27" s="406">
        <v>0.1</v>
      </c>
      <c r="Q27" s="406">
        <v>0.05</v>
      </c>
      <c r="R27" s="406">
        <v>0.1</v>
      </c>
      <c r="S27" s="406">
        <v>7.4999999999999997E-2</v>
      </c>
      <c r="T27" s="406">
        <v>7.4999999999999997E-2</v>
      </c>
      <c r="U27" s="406">
        <v>0.15</v>
      </c>
      <c r="V27" s="406">
        <v>0.15</v>
      </c>
      <c r="W27" s="406">
        <v>0.1</v>
      </c>
      <c r="X27" s="406">
        <v>0.1</v>
      </c>
      <c r="Y27" s="406">
        <v>0.1</v>
      </c>
      <c r="Z27" s="406">
        <v>0.1</v>
      </c>
      <c r="AA27" s="1303">
        <v>0.12</v>
      </c>
      <c r="AB27" s="1303">
        <v>0.13</v>
      </c>
      <c r="AC27" s="1303">
        <v>0.14000000000000001</v>
      </c>
      <c r="AD27" s="1303">
        <v>0.13</v>
      </c>
      <c r="AE27" s="1303">
        <v>0.12</v>
      </c>
      <c r="AF27" s="1303">
        <v>0.1</v>
      </c>
      <c r="AG27" s="1624"/>
      <c r="AH27" s="1624"/>
      <c r="AI27" s="1624"/>
      <c r="AJ27" s="1624"/>
      <c r="AK27" s="213"/>
      <c r="AL27" s="213"/>
      <c r="AM27" s="213"/>
      <c r="AN27" s="213"/>
      <c r="AO27" s="213"/>
    </row>
    <row r="28" spans="1:41">
      <c r="A28" s="374" t="s">
        <v>1023</v>
      </c>
      <c r="B28" s="259"/>
      <c r="C28" s="259"/>
      <c r="D28" s="259"/>
      <c r="E28" s="259"/>
      <c r="F28" s="259"/>
      <c r="G28" s="259"/>
      <c r="H28" s="259"/>
      <c r="I28" s="259"/>
      <c r="J28" s="259"/>
      <c r="K28" s="259"/>
      <c r="L28" s="259"/>
      <c r="M28" s="259"/>
      <c r="N28" s="259"/>
      <c r="O28" s="406">
        <v>0.25</v>
      </c>
      <c r="P28" s="406">
        <v>0.25</v>
      </c>
      <c r="Q28" s="406">
        <v>0.15</v>
      </c>
      <c r="R28" s="406">
        <v>0.25</v>
      </c>
      <c r="S28" s="406">
        <v>0.25</v>
      </c>
      <c r="T28" s="406">
        <v>0.25</v>
      </c>
      <c r="U28" s="406">
        <v>0.4</v>
      </c>
      <c r="V28" s="406">
        <v>0.3</v>
      </c>
      <c r="W28" s="406">
        <v>0.3</v>
      </c>
      <c r="X28" s="406">
        <v>0.3</v>
      </c>
      <c r="Y28" s="406">
        <v>0.3</v>
      </c>
      <c r="Z28" s="406">
        <v>0.3</v>
      </c>
      <c r="AA28" s="1303">
        <v>0.31</v>
      </c>
      <c r="AB28" s="1303">
        <v>0.31</v>
      </c>
      <c r="AC28" s="1303">
        <v>0.32</v>
      </c>
      <c r="AD28" s="1303">
        <v>0.31</v>
      </c>
      <c r="AE28" s="1303">
        <v>0.3</v>
      </c>
      <c r="AF28" s="1303">
        <v>0.27</v>
      </c>
      <c r="AG28" s="1624"/>
      <c r="AH28" s="1624"/>
      <c r="AI28" s="1624"/>
      <c r="AJ28" s="1624"/>
      <c r="AK28" s="213"/>
      <c r="AL28" s="213"/>
      <c r="AM28" s="213"/>
      <c r="AN28" s="213"/>
      <c r="AO28" s="213"/>
    </row>
    <row r="29" spans="1:41">
      <c r="A29" s="349"/>
      <c r="B29" s="259"/>
      <c r="C29" s="259"/>
      <c r="D29" s="259"/>
      <c r="E29" s="259"/>
      <c r="F29" s="259"/>
      <c r="G29" s="259"/>
      <c r="H29" s="259"/>
      <c r="I29" s="259"/>
      <c r="J29" s="259"/>
      <c r="K29" s="259"/>
      <c r="L29" s="259"/>
      <c r="M29" s="259"/>
      <c r="N29" s="259"/>
      <c r="O29" s="259"/>
      <c r="P29" s="259"/>
      <c r="Q29" s="259"/>
      <c r="R29" s="259"/>
      <c r="S29" s="259"/>
      <c r="T29" s="259"/>
      <c r="U29" s="259"/>
      <c r="V29" s="259"/>
      <c r="W29" s="259"/>
      <c r="X29" s="259"/>
      <c r="Y29" s="259"/>
      <c r="Z29" s="259"/>
      <c r="AA29" s="259"/>
      <c r="AB29" s="259"/>
      <c r="AC29" s="259"/>
      <c r="AD29" s="259"/>
      <c r="AE29" s="259"/>
      <c r="AF29" s="259"/>
      <c r="AG29" s="1624"/>
      <c r="AH29" s="1624"/>
      <c r="AI29" s="1624"/>
      <c r="AJ29" s="1624"/>
      <c r="AK29" s="213"/>
      <c r="AL29" s="213"/>
      <c r="AM29" s="213"/>
      <c r="AN29" s="213"/>
      <c r="AO29" s="213"/>
    </row>
    <row r="30" spans="1:41">
      <c r="A30" s="306" t="s">
        <v>794</v>
      </c>
      <c r="B30" s="307"/>
      <c r="C30" s="307"/>
      <c r="D30" s="307"/>
      <c r="E30" s="307"/>
      <c r="F30" s="307"/>
      <c r="G30" s="307"/>
      <c r="H30" s="307"/>
      <c r="I30" s="307"/>
      <c r="J30" s="307"/>
      <c r="K30" s="307"/>
      <c r="L30" s="307"/>
      <c r="M30" s="308"/>
      <c r="N30" s="308"/>
      <c r="O30" s="308"/>
      <c r="P30" s="308"/>
      <c r="Q30" s="308"/>
      <c r="R30" s="308"/>
      <c r="S30" s="308"/>
      <c r="T30" s="308"/>
      <c r="U30" s="308"/>
      <c r="V30" s="308"/>
      <c r="W30" s="308"/>
      <c r="X30" s="308"/>
      <c r="Y30" s="308"/>
      <c r="Z30" s="308"/>
      <c r="AA30" s="308"/>
      <c r="AB30" s="308"/>
      <c r="AC30" s="308"/>
      <c r="AD30" s="308"/>
      <c r="AE30" s="308"/>
      <c r="AF30" s="308"/>
      <c r="AG30" s="1624"/>
      <c r="AH30" s="1624"/>
      <c r="AI30" s="1624"/>
      <c r="AJ30" s="1624"/>
      <c r="AK30" s="213"/>
      <c r="AL30" s="213"/>
      <c r="AM30" s="213"/>
      <c r="AN30" s="213"/>
      <c r="AO30" s="213"/>
    </row>
    <row r="31" spans="1:41">
      <c r="A31" s="405" t="s">
        <v>1029</v>
      </c>
      <c r="B31" s="405"/>
      <c r="C31" s="405"/>
      <c r="D31" s="405"/>
      <c r="E31" s="405"/>
      <c r="F31" s="405"/>
      <c r="G31" s="405"/>
      <c r="H31" s="405"/>
      <c r="I31" s="405"/>
      <c r="J31" s="405"/>
      <c r="K31" s="405"/>
      <c r="L31" s="405"/>
      <c r="M31" s="405"/>
      <c r="N31" s="405"/>
      <c r="O31" s="405"/>
      <c r="P31" s="405"/>
      <c r="Q31" s="405"/>
      <c r="R31" s="405"/>
      <c r="S31" s="405"/>
      <c r="T31" s="407">
        <f t="shared" ref="T31:AF31" si="16">T33-T32</f>
        <v>-502</v>
      </c>
      <c r="U31" s="407">
        <f t="shared" si="16"/>
        <v>-527</v>
      </c>
      <c r="V31" s="408">
        <f t="shared" si="16"/>
        <v>-357</v>
      </c>
      <c r="W31" s="408">
        <f t="shared" si="16"/>
        <v>-379</v>
      </c>
      <c r="X31" s="408">
        <f t="shared" si="16"/>
        <v>-425</v>
      </c>
      <c r="Y31" s="408">
        <f t="shared" si="16"/>
        <v>-484</v>
      </c>
      <c r="Z31" s="408">
        <f t="shared" si="16"/>
        <v>-511</v>
      </c>
      <c r="AA31" s="408">
        <f t="shared" si="16"/>
        <v>-570.72039368842729</v>
      </c>
      <c r="AB31" s="408">
        <f t="shared" si="16"/>
        <v>-620.02207204912429</v>
      </c>
      <c r="AC31" s="408">
        <f t="shared" si="16"/>
        <v>-672.83657071331402</v>
      </c>
      <c r="AD31" s="408">
        <f t="shared" si="16"/>
        <v>-723.69186177252732</v>
      </c>
      <c r="AE31" s="408">
        <f t="shared" si="16"/>
        <v>-756.34885945995995</v>
      </c>
      <c r="AF31" s="408">
        <f t="shared" si="16"/>
        <v>-790.15175588374632</v>
      </c>
      <c r="AG31" s="1624"/>
      <c r="AH31" s="1624"/>
      <c r="AI31" s="1624"/>
      <c r="AJ31" s="1624"/>
      <c r="AK31" s="213"/>
      <c r="AL31" s="213"/>
      <c r="AM31" s="213"/>
      <c r="AN31" s="213"/>
      <c r="AO31" s="213"/>
    </row>
    <row r="32" spans="1:41">
      <c r="A32" s="267" t="s">
        <v>971</v>
      </c>
      <c r="B32" s="263"/>
      <c r="C32" s="263"/>
      <c r="D32" s="263"/>
      <c r="E32" s="263"/>
      <c r="F32" s="263"/>
      <c r="G32" s="263"/>
      <c r="H32" s="263"/>
      <c r="I32" s="263"/>
      <c r="J32" s="263"/>
      <c r="K32" s="263"/>
      <c r="L32" s="263"/>
      <c r="M32" s="263"/>
      <c r="N32" s="263"/>
      <c r="O32" s="263"/>
      <c r="P32" s="263"/>
      <c r="Q32" s="263"/>
      <c r="R32" s="263"/>
      <c r="S32" s="263"/>
      <c r="T32" s="269">
        <v>86</v>
      </c>
      <c r="U32" s="269">
        <v>95</v>
      </c>
      <c r="V32" s="269">
        <v>85</v>
      </c>
      <c r="W32" s="269">
        <v>93</v>
      </c>
      <c r="X32" s="269">
        <v>87</v>
      </c>
      <c r="Y32" s="269">
        <v>87</v>
      </c>
      <c r="Z32" s="269">
        <v>99</v>
      </c>
      <c r="AA32" s="213">
        <f t="shared" ref="AA32:AF32" si="17">Z32</f>
        <v>99</v>
      </c>
      <c r="AB32" s="213">
        <f t="shared" si="17"/>
        <v>99</v>
      </c>
      <c r="AC32" s="213">
        <f t="shared" si="17"/>
        <v>99</v>
      </c>
      <c r="AD32" s="213">
        <f t="shared" si="17"/>
        <v>99</v>
      </c>
      <c r="AE32" s="213">
        <f t="shared" si="17"/>
        <v>99</v>
      </c>
      <c r="AF32" s="213">
        <f t="shared" si="17"/>
        <v>99</v>
      </c>
      <c r="AG32" s="1624"/>
      <c r="AH32" s="1624"/>
      <c r="AI32" s="1624"/>
      <c r="AJ32" s="1624"/>
      <c r="AK32" s="213"/>
      <c r="AL32" s="213"/>
      <c r="AM32" s="213"/>
      <c r="AN32" s="213"/>
      <c r="AO32" s="213"/>
    </row>
    <row r="33" spans="1:41">
      <c r="A33" s="266" t="s">
        <v>1030</v>
      </c>
      <c r="B33" s="263"/>
      <c r="C33" s="263"/>
      <c r="D33" s="263"/>
      <c r="E33" s="263"/>
      <c r="F33" s="263"/>
      <c r="G33" s="263"/>
      <c r="H33" s="263"/>
      <c r="I33" s="263"/>
      <c r="J33" s="263"/>
      <c r="K33" s="263"/>
      <c r="L33" s="263"/>
      <c r="M33" s="263"/>
      <c r="N33" s="263"/>
      <c r="O33" s="263"/>
      <c r="P33" s="263"/>
      <c r="Q33" s="263"/>
      <c r="R33" s="263"/>
      <c r="S33" s="263"/>
      <c r="T33" s="263">
        <f t="shared" ref="T33:AF33" si="18">T36-T35-T34</f>
        <v>-416</v>
      </c>
      <c r="U33" s="263">
        <f t="shared" si="18"/>
        <v>-432</v>
      </c>
      <c r="V33" s="263">
        <f t="shared" si="18"/>
        <v>-272</v>
      </c>
      <c r="W33" s="409">
        <f t="shared" si="18"/>
        <v>-286</v>
      </c>
      <c r="X33" s="409">
        <f t="shared" si="18"/>
        <v>-338</v>
      </c>
      <c r="Y33" s="409">
        <f t="shared" si="18"/>
        <v>-397</v>
      </c>
      <c r="Z33" s="409">
        <f t="shared" si="18"/>
        <v>-412</v>
      </c>
      <c r="AA33" s="371">
        <f t="shared" si="18"/>
        <v>-471.72039368842729</v>
      </c>
      <c r="AB33" s="371">
        <f t="shared" si="18"/>
        <v>-521.02207204912429</v>
      </c>
      <c r="AC33" s="371">
        <f t="shared" si="18"/>
        <v>-573.83657071331402</v>
      </c>
      <c r="AD33" s="371">
        <f t="shared" si="18"/>
        <v>-624.69186177252732</v>
      </c>
      <c r="AE33" s="371">
        <f t="shared" si="18"/>
        <v>-657.34885945995995</v>
      </c>
      <c r="AF33" s="371">
        <f t="shared" si="18"/>
        <v>-691.15175588374632</v>
      </c>
      <c r="AG33" s="1624"/>
      <c r="AH33" s="1624"/>
      <c r="AI33" s="1624"/>
      <c r="AJ33" s="1624"/>
      <c r="AK33" s="213"/>
      <c r="AL33" s="213"/>
      <c r="AM33" s="213"/>
      <c r="AN33" s="213"/>
      <c r="AO33" s="213"/>
    </row>
    <row r="34" spans="1:41">
      <c r="A34" s="267" t="s">
        <v>1031</v>
      </c>
      <c r="B34" s="263"/>
      <c r="C34" s="263"/>
      <c r="D34" s="263"/>
      <c r="E34" s="263"/>
      <c r="F34" s="263"/>
      <c r="G34" s="263"/>
      <c r="H34" s="263"/>
      <c r="I34" s="263"/>
      <c r="J34" s="263"/>
      <c r="K34" s="263"/>
      <c r="L34" s="263"/>
      <c r="M34" s="263"/>
      <c r="N34" s="263"/>
      <c r="O34" s="263"/>
      <c r="P34" s="263"/>
      <c r="Q34" s="263"/>
      <c r="R34" s="263"/>
      <c r="S34" s="263"/>
      <c r="T34" s="269">
        <v>172</v>
      </c>
      <c r="U34" s="269">
        <v>161</v>
      </c>
      <c r="V34" s="269">
        <v>124</v>
      </c>
      <c r="W34" s="269">
        <v>127</v>
      </c>
      <c r="X34" s="269">
        <v>126</v>
      </c>
      <c r="Y34" s="269">
        <v>149</v>
      </c>
      <c r="Z34" s="269">
        <v>121</v>
      </c>
      <c r="AA34" s="213">
        <f t="shared" ref="AA34:AF35" si="19">Z34</f>
        <v>121</v>
      </c>
      <c r="AB34" s="213">
        <f t="shared" si="19"/>
        <v>121</v>
      </c>
      <c r="AC34" s="213">
        <f t="shared" si="19"/>
        <v>121</v>
      </c>
      <c r="AD34" s="213">
        <f t="shared" si="19"/>
        <v>121</v>
      </c>
      <c r="AE34" s="213">
        <f t="shared" si="19"/>
        <v>121</v>
      </c>
      <c r="AF34" s="213">
        <f t="shared" si="19"/>
        <v>121</v>
      </c>
      <c r="AG34" s="1624"/>
      <c r="AH34" s="1624"/>
      <c r="AI34" s="1624"/>
      <c r="AJ34" s="1624"/>
      <c r="AK34" s="213"/>
      <c r="AL34" s="213"/>
      <c r="AM34" s="213"/>
      <c r="AN34" s="213"/>
      <c r="AO34" s="213"/>
    </row>
    <row r="35" spans="1:41">
      <c r="A35" s="267" t="s">
        <v>1043</v>
      </c>
      <c r="B35" s="263"/>
      <c r="C35" s="263"/>
      <c r="D35" s="263"/>
      <c r="E35" s="263"/>
      <c r="F35" s="263"/>
      <c r="G35" s="263"/>
      <c r="H35" s="263"/>
      <c r="I35" s="263"/>
      <c r="J35" s="263"/>
      <c r="K35" s="263"/>
      <c r="L35" s="263"/>
      <c r="M35" s="263"/>
      <c r="N35" s="263"/>
      <c r="O35" s="263"/>
      <c r="P35" s="263"/>
      <c r="Q35" s="263"/>
      <c r="R35" s="263"/>
      <c r="S35" s="263"/>
      <c r="T35" s="269">
        <v>-99</v>
      </c>
      <c r="U35" s="269">
        <v>-140</v>
      </c>
      <c r="V35" s="269">
        <v>-133</v>
      </c>
      <c r="W35" s="269">
        <v>-89</v>
      </c>
      <c r="X35" s="269">
        <v>-86</v>
      </c>
      <c r="Y35" s="269">
        <v>-97</v>
      </c>
      <c r="Z35" s="269">
        <v>-112</v>
      </c>
      <c r="AA35" s="213">
        <f t="shared" si="19"/>
        <v>-112</v>
      </c>
      <c r="AB35" s="213">
        <f t="shared" si="19"/>
        <v>-112</v>
      </c>
      <c r="AC35" s="213">
        <f t="shared" si="19"/>
        <v>-112</v>
      </c>
      <c r="AD35" s="213">
        <f t="shared" si="19"/>
        <v>-112</v>
      </c>
      <c r="AE35" s="213">
        <f t="shared" si="19"/>
        <v>-112</v>
      </c>
      <c r="AF35" s="213">
        <f t="shared" si="19"/>
        <v>-112</v>
      </c>
      <c r="AG35" s="1624"/>
      <c r="AH35" s="1624"/>
      <c r="AI35" s="1624"/>
      <c r="AJ35" s="1624"/>
      <c r="AK35" s="213"/>
      <c r="AL35" s="213"/>
      <c r="AM35" s="213"/>
      <c r="AN35" s="213"/>
      <c r="AO35" s="213"/>
    </row>
    <row r="36" spans="1:41">
      <c r="A36" s="267" t="s">
        <v>1324</v>
      </c>
      <c r="B36" s="263"/>
      <c r="C36" s="263"/>
      <c r="D36" s="263"/>
      <c r="E36" s="263"/>
      <c r="F36" s="263"/>
      <c r="G36" s="263"/>
      <c r="H36" s="263"/>
      <c r="I36" s="263"/>
      <c r="J36" s="263"/>
      <c r="K36" s="263"/>
      <c r="L36" s="263"/>
      <c r="M36" s="263"/>
      <c r="N36" s="263"/>
      <c r="O36" s="263"/>
      <c r="P36" s="263"/>
      <c r="Q36" s="263"/>
      <c r="R36" s="263"/>
      <c r="S36" s="263"/>
      <c r="T36" s="269">
        <v>-343</v>
      </c>
      <c r="U36" s="269">
        <v>-411</v>
      </c>
      <c r="V36" s="269">
        <v>-281</v>
      </c>
      <c r="W36" s="269">
        <v>-248</v>
      </c>
      <c r="X36" s="269">
        <v>-298</v>
      </c>
      <c r="Y36" s="269">
        <v>-345</v>
      </c>
      <c r="Z36" s="269">
        <v>-403</v>
      </c>
      <c r="AA36" s="371">
        <f t="shared" ref="AA36:AF36" si="20">AA37*AA6</f>
        <v>-462.72039368842729</v>
      </c>
      <c r="AB36" s="371">
        <f t="shared" si="20"/>
        <v>-512.02207204912429</v>
      </c>
      <c r="AC36" s="371">
        <f t="shared" si="20"/>
        <v>-564.83657071331402</v>
      </c>
      <c r="AD36" s="371">
        <f t="shared" si="20"/>
        <v>-615.69186177252732</v>
      </c>
      <c r="AE36" s="371">
        <f t="shared" si="20"/>
        <v>-648.34885945995995</v>
      </c>
      <c r="AF36" s="371">
        <f t="shared" si="20"/>
        <v>-682.15175588374632</v>
      </c>
      <c r="AG36" s="1624"/>
      <c r="AH36" s="1624"/>
      <c r="AI36" s="1624"/>
      <c r="AJ36" s="1624"/>
      <c r="AK36" s="213"/>
      <c r="AL36" s="213"/>
      <c r="AM36" s="213"/>
      <c r="AN36" s="213"/>
      <c r="AO36" s="213"/>
    </row>
    <row r="37" spans="1:41">
      <c r="A37" s="410" t="s">
        <v>781</v>
      </c>
      <c r="B37" s="263"/>
      <c r="C37" s="263"/>
      <c r="D37" s="263"/>
      <c r="E37" s="263"/>
      <c r="F37" s="263"/>
      <c r="G37" s="263"/>
      <c r="H37" s="263"/>
      <c r="I37" s="263"/>
      <c r="J37" s="263"/>
      <c r="K37" s="263"/>
      <c r="L37" s="263"/>
      <c r="M37" s="263"/>
      <c r="N37" s="263"/>
      <c r="O37" s="263"/>
      <c r="P37" s="263"/>
      <c r="Q37" s="263"/>
      <c r="R37" s="263"/>
      <c r="S37" s="263"/>
      <c r="T37" s="323">
        <f t="shared" ref="T37:Z37" si="21">T36/T6</f>
        <v>-4.3188113825232938E-2</v>
      </c>
      <c r="U37" s="323">
        <f t="shared" si="21"/>
        <v>-4.440363007778738E-2</v>
      </c>
      <c r="V37" s="323">
        <f t="shared" si="21"/>
        <v>-4.0765994487160888E-2</v>
      </c>
      <c r="W37" s="323">
        <f t="shared" si="21"/>
        <v>-3.9209486166007904E-2</v>
      </c>
      <c r="X37" s="323">
        <f t="shared" si="21"/>
        <v>-3.9548772395487722E-2</v>
      </c>
      <c r="Y37" s="323">
        <f t="shared" si="21"/>
        <v>-3.9049235993208829E-2</v>
      </c>
      <c r="Z37" s="323">
        <f t="shared" si="21"/>
        <v>-3.7954417027688828E-2</v>
      </c>
      <c r="AA37" s="1304">
        <f t="shared" ref="AA37:AF37" si="22">Z37</f>
        <v>-3.7954417027688828E-2</v>
      </c>
      <c r="AB37" s="1304">
        <f t="shared" si="22"/>
        <v>-3.7954417027688828E-2</v>
      </c>
      <c r="AC37" s="1304">
        <f t="shared" si="22"/>
        <v>-3.7954417027688828E-2</v>
      </c>
      <c r="AD37" s="1304">
        <f t="shared" si="22"/>
        <v>-3.7954417027688828E-2</v>
      </c>
      <c r="AE37" s="1304">
        <f t="shared" si="22"/>
        <v>-3.7954417027688828E-2</v>
      </c>
      <c r="AF37" s="1304">
        <f t="shared" si="22"/>
        <v>-3.7954417027688828E-2</v>
      </c>
      <c r="AG37" s="1624"/>
      <c r="AH37" s="1624"/>
      <c r="AI37" s="1624"/>
      <c r="AJ37" s="1624"/>
      <c r="AK37" s="213"/>
      <c r="AL37" s="213"/>
      <c r="AM37" s="213"/>
      <c r="AN37" s="213"/>
      <c r="AO37" s="213"/>
    </row>
    <row r="38" spans="1:41">
      <c r="A38" s="421" t="s">
        <v>1935</v>
      </c>
      <c r="B38" s="263"/>
      <c r="C38" s="263"/>
      <c r="D38" s="263"/>
      <c r="E38" s="263"/>
      <c r="F38" s="263"/>
      <c r="G38" s="263"/>
      <c r="H38" s="263"/>
      <c r="I38" s="263"/>
      <c r="J38" s="263"/>
      <c r="K38" s="263"/>
      <c r="L38" s="263"/>
      <c r="M38" s="263"/>
      <c r="N38" s="263"/>
      <c r="O38" s="263"/>
      <c r="P38" s="263"/>
      <c r="Q38" s="263"/>
      <c r="R38" s="263"/>
      <c r="S38" s="263"/>
      <c r="T38" s="263"/>
      <c r="U38" s="263"/>
      <c r="V38" s="263"/>
      <c r="W38" s="263"/>
      <c r="X38" s="263"/>
      <c r="Y38" s="263"/>
      <c r="Z38" s="263"/>
      <c r="AA38" s="263"/>
      <c r="AB38" s="263"/>
      <c r="AC38" s="263"/>
      <c r="AD38" s="263"/>
      <c r="AE38" s="263"/>
      <c r="AF38" s="263"/>
      <c r="AG38" s="1624"/>
      <c r="AH38" s="1624"/>
      <c r="AI38" s="1624"/>
      <c r="AJ38" s="1624"/>
      <c r="AK38" s="213"/>
      <c r="AL38" s="213"/>
      <c r="AM38" s="213"/>
      <c r="AN38" s="213"/>
      <c r="AO38" s="213"/>
    </row>
    <row r="39" spans="1:41">
      <c r="A39" s="470" t="s">
        <v>1044</v>
      </c>
      <c r="B39" s="505"/>
      <c r="C39" s="505"/>
      <c r="D39" s="505"/>
      <c r="E39" s="505"/>
      <c r="F39" s="505"/>
      <c r="G39" s="505"/>
      <c r="H39" s="505"/>
      <c r="I39" s="506"/>
      <c r="J39" s="506"/>
      <c r="K39" s="506"/>
      <c r="L39" s="506"/>
      <c r="M39" s="506"/>
      <c r="N39" s="506"/>
      <c r="O39" s="506"/>
      <c r="P39" s="506"/>
      <c r="Q39" s="506"/>
      <c r="R39" s="506"/>
      <c r="S39" s="506"/>
      <c r="T39" s="506"/>
      <c r="U39" s="506"/>
      <c r="V39" s="471"/>
      <c r="W39" s="507"/>
      <c r="X39" s="507"/>
      <c r="Y39" s="507"/>
      <c r="Z39" s="507"/>
      <c r="AA39" s="395"/>
      <c r="AB39" s="395"/>
      <c r="AC39" s="395"/>
      <c r="AD39" s="395"/>
      <c r="AE39" s="395"/>
      <c r="AF39" s="395"/>
      <c r="AG39" s="1624"/>
      <c r="AH39" s="1624"/>
      <c r="AI39" s="1624"/>
      <c r="AJ39" s="1624"/>
      <c r="AK39" s="213"/>
      <c r="AL39" s="213"/>
      <c r="AM39" s="213"/>
      <c r="AN39" s="213"/>
      <c r="AO39" s="213"/>
    </row>
    <row r="40" spans="1:41">
      <c r="A40" s="306" t="s">
        <v>1267</v>
      </c>
      <c r="B40" s="307"/>
      <c r="C40" s="307"/>
      <c r="D40" s="307"/>
      <c r="E40" s="307"/>
      <c r="F40" s="307"/>
      <c r="G40" s="307"/>
      <c r="H40" s="307"/>
      <c r="I40" s="307"/>
      <c r="J40" s="307"/>
      <c r="K40" s="307"/>
      <c r="L40" s="307"/>
      <c r="M40" s="308"/>
      <c r="N40" s="308"/>
      <c r="O40" s="308"/>
      <c r="P40" s="308"/>
      <c r="Q40" s="308"/>
      <c r="R40" s="308"/>
      <c r="S40" s="308"/>
      <c r="T40" s="308"/>
      <c r="U40" s="308"/>
      <c r="V40" s="308"/>
      <c r="W40" s="308"/>
      <c r="X40" s="308"/>
      <c r="Y40" s="308"/>
      <c r="Z40" s="308"/>
      <c r="AA40" s="308"/>
      <c r="AB40" s="308"/>
      <c r="AC40" s="308"/>
      <c r="AD40" s="308"/>
      <c r="AE40" s="308"/>
      <c r="AF40" s="308"/>
      <c r="AG40" s="1624"/>
      <c r="AH40" s="1624"/>
      <c r="AI40" s="1624"/>
      <c r="AJ40" s="1624"/>
      <c r="AK40" s="213"/>
      <c r="AL40" s="213"/>
      <c r="AM40" s="213"/>
      <c r="AN40" s="213"/>
      <c r="AO40" s="213"/>
    </row>
    <row r="41" spans="1:41">
      <c r="A41" s="267" t="s">
        <v>1022</v>
      </c>
      <c r="B41" s="263"/>
      <c r="C41" s="263"/>
      <c r="D41" s="263"/>
      <c r="E41" s="263"/>
      <c r="F41" s="263"/>
      <c r="G41" s="263"/>
      <c r="H41" s="319"/>
      <c r="I41" s="319"/>
      <c r="J41" s="319">
        <v>1964.9279999999999</v>
      </c>
      <c r="K41" s="319">
        <v>1887.0940000000001</v>
      </c>
      <c r="L41" s="319">
        <v>1947</v>
      </c>
      <c r="M41" s="319">
        <v>2138</v>
      </c>
      <c r="N41" s="319">
        <v>2637</v>
      </c>
      <c r="O41" s="319">
        <v>2877</v>
      </c>
      <c r="P41" s="268">
        <v>3166</v>
      </c>
      <c r="Q41" s="268">
        <v>3463</v>
      </c>
      <c r="R41" s="268">
        <v>3510</v>
      </c>
      <c r="S41" s="259">
        <v>3561.0200000000004</v>
      </c>
      <c r="T41" s="319">
        <v>3524.2920000000004</v>
      </c>
      <c r="U41" s="259">
        <v>4235.0176535128976</v>
      </c>
      <c r="V41" s="319">
        <v>3078.8510119612729</v>
      </c>
      <c r="W41" s="319">
        <f t="shared" ref="W41:Y41" si="23">(W51+W54+W58+W63+W66)*(1+W82)</f>
        <v>2754.7051436716501</v>
      </c>
      <c r="X41" s="319">
        <f t="shared" si="23"/>
        <v>3566.8419219637672</v>
      </c>
      <c r="Y41" s="319">
        <f t="shared" si="23"/>
        <v>4029.2131421268518</v>
      </c>
      <c r="Z41" s="319">
        <f>(Z51+Z54+Z58+Z63+Z66)*(1+Z82)</f>
        <v>4862.0393244824918</v>
      </c>
      <c r="AA41" s="319">
        <f>(AA51+AA54+AA58+AA63+AA66)*(1+AA82)-5.3</f>
        <v>5173.7108127855381</v>
      </c>
      <c r="AB41" s="319">
        <f t="shared" ref="AB41:AF41" si="24">(AB51+AB54+AB58+AB63+AB66)*(1+AB82)-5.3</f>
        <v>5553.7896696759763</v>
      </c>
      <c r="AC41" s="319">
        <f t="shared" si="24"/>
        <v>6144.966987636958</v>
      </c>
      <c r="AD41" s="319">
        <f t="shared" si="24"/>
        <v>6685.3546480244013</v>
      </c>
      <c r="AE41" s="319">
        <f>(AE51+AE54+AE58+AE63+AE66)*(1+AE82)-5.3</f>
        <v>7290.5888276583382</v>
      </c>
      <c r="AF41" s="319">
        <f t="shared" si="24"/>
        <v>7968.4511088483468</v>
      </c>
      <c r="AG41" s="1624"/>
      <c r="AH41" s="1624"/>
      <c r="AI41" s="1624"/>
      <c r="AJ41" s="1624"/>
      <c r="AK41" s="213"/>
      <c r="AL41" s="213"/>
      <c r="AM41" s="213"/>
      <c r="AN41" s="213"/>
      <c r="AO41" s="213"/>
    </row>
    <row r="42" spans="1:41">
      <c r="A42" s="267" t="s">
        <v>1023</v>
      </c>
      <c r="B42" s="263"/>
      <c r="C42" s="263"/>
      <c r="D42" s="263"/>
      <c r="E42" s="263"/>
      <c r="F42" s="263"/>
      <c r="G42" s="263"/>
      <c r="H42" s="319"/>
      <c r="I42" s="319"/>
      <c r="J42" s="268">
        <v>891.07200000000012</v>
      </c>
      <c r="K42" s="268">
        <v>879.90599999999995</v>
      </c>
      <c r="L42" s="268">
        <v>887</v>
      </c>
      <c r="M42" s="268">
        <v>959</v>
      </c>
      <c r="N42" s="268">
        <v>1054</v>
      </c>
      <c r="O42" s="268">
        <v>1214</v>
      </c>
      <c r="P42" s="268">
        <v>1280</v>
      </c>
      <c r="Q42" s="268">
        <v>1480</v>
      </c>
      <c r="R42" s="268">
        <v>1635</v>
      </c>
      <c r="S42" s="259">
        <v>1698.98</v>
      </c>
      <c r="T42" s="319">
        <v>1743.7079999999996</v>
      </c>
      <c r="U42" s="259">
        <v>2095.3525311102667</v>
      </c>
      <c r="V42" s="319">
        <v>1092.948687587713</v>
      </c>
      <c r="W42" s="319">
        <f t="shared" ref="W42:Z42" si="25">(W52+W55+W59+W64+W67)*(1+W82)</f>
        <v>941.04834100584355</v>
      </c>
      <c r="X42" s="319">
        <f t="shared" si="25"/>
        <v>1407.5960275905006</v>
      </c>
      <c r="Y42" s="319">
        <f t="shared" si="25"/>
        <v>2011.5242019385796</v>
      </c>
      <c r="Z42" s="319">
        <f t="shared" si="25"/>
        <v>2506.2811291109965</v>
      </c>
      <c r="AA42" s="319">
        <f>(AA52+AA55+AA59+AA64+AA67)*(1+AA82)</f>
        <v>2771.1463068968601</v>
      </c>
      <c r="AB42" s="319">
        <f t="shared" ref="AB42:AF42" si="26">(AB52+AB55+AB59+AB64+AB67)*(1+AB82)</f>
        <v>3137.9776661606584</v>
      </c>
      <c r="AC42" s="319">
        <f t="shared" si="26"/>
        <v>3529.5783095814531</v>
      </c>
      <c r="AD42" s="319">
        <f t="shared" si="26"/>
        <v>3899.6211843549027</v>
      </c>
      <c r="AE42" s="319">
        <f t="shared" si="26"/>
        <v>4042.0757960066321</v>
      </c>
      <c r="AF42" s="319">
        <f t="shared" si="26"/>
        <v>4197.3353777537786</v>
      </c>
      <c r="AG42" s="1624"/>
      <c r="AH42" s="1624"/>
      <c r="AI42" s="1624"/>
      <c r="AJ42" s="1624"/>
      <c r="AK42" s="213"/>
      <c r="AL42" s="213"/>
      <c r="AM42" s="213"/>
      <c r="AN42" s="213"/>
      <c r="AO42" s="213"/>
    </row>
    <row r="43" spans="1:41">
      <c r="A43" s="57" t="s">
        <v>1543</v>
      </c>
      <c r="B43" s="274"/>
      <c r="C43" s="274"/>
      <c r="D43" s="274"/>
      <c r="E43" s="274"/>
      <c r="F43" s="274"/>
      <c r="G43" s="274"/>
      <c r="H43" s="275">
        <v>2644</v>
      </c>
      <c r="I43" s="275">
        <v>2703</v>
      </c>
      <c r="J43" s="273">
        <f t="shared" ref="J43:Z43" si="27">J41+J42</f>
        <v>2856</v>
      </c>
      <c r="K43" s="273">
        <f t="shared" si="27"/>
        <v>2767</v>
      </c>
      <c r="L43" s="273">
        <f t="shared" si="27"/>
        <v>2834</v>
      </c>
      <c r="M43" s="273">
        <f t="shared" si="27"/>
        <v>3097</v>
      </c>
      <c r="N43" s="273">
        <f t="shared" si="27"/>
        <v>3691</v>
      </c>
      <c r="O43" s="273">
        <f t="shared" si="27"/>
        <v>4091</v>
      </c>
      <c r="P43" s="273">
        <f t="shared" si="27"/>
        <v>4446</v>
      </c>
      <c r="Q43" s="273">
        <f t="shared" si="27"/>
        <v>4943</v>
      </c>
      <c r="R43" s="273">
        <f t="shared" si="27"/>
        <v>5145</v>
      </c>
      <c r="S43" s="273">
        <f t="shared" si="27"/>
        <v>5260</v>
      </c>
      <c r="T43" s="273">
        <f t="shared" si="27"/>
        <v>5268</v>
      </c>
      <c r="U43" s="273">
        <f t="shared" si="27"/>
        <v>6330.3701846231643</v>
      </c>
      <c r="V43" s="273">
        <f t="shared" si="27"/>
        <v>4171.7996995489857</v>
      </c>
      <c r="W43" s="273">
        <f t="shared" si="27"/>
        <v>3695.7534846774938</v>
      </c>
      <c r="X43" s="273">
        <f t="shared" si="27"/>
        <v>4974.437949554268</v>
      </c>
      <c r="Y43" s="273">
        <f t="shared" si="27"/>
        <v>6040.7373440654319</v>
      </c>
      <c r="Z43" s="273">
        <f t="shared" si="27"/>
        <v>7368.3204535934883</v>
      </c>
      <c r="AA43" s="273">
        <f t="shared" ref="AA43:AF43" si="28">AA41+AA42</f>
        <v>7944.8571196823978</v>
      </c>
      <c r="AB43" s="273">
        <f t="shared" si="28"/>
        <v>8691.7673358366337</v>
      </c>
      <c r="AC43" s="273">
        <f t="shared" si="28"/>
        <v>9674.5452972184103</v>
      </c>
      <c r="AD43" s="273">
        <f t="shared" si="28"/>
        <v>10584.975832379303</v>
      </c>
      <c r="AE43" s="273">
        <f t="shared" si="28"/>
        <v>11332.66462366497</v>
      </c>
      <c r="AF43" s="273">
        <f t="shared" si="28"/>
        <v>12165.786486602126</v>
      </c>
      <c r="AG43" s="1624"/>
      <c r="AH43" s="1624"/>
      <c r="AI43" s="1624"/>
      <c r="AJ43" s="1624"/>
      <c r="AK43" s="213"/>
      <c r="AL43" s="213"/>
      <c r="AM43" s="213"/>
      <c r="AN43" s="213"/>
      <c r="AO43" s="213"/>
    </row>
    <row r="44" spans="1:41">
      <c r="A44" s="396" t="s">
        <v>1489</v>
      </c>
      <c r="B44" s="412"/>
      <c r="C44" s="412"/>
      <c r="D44" s="412"/>
      <c r="E44" s="412"/>
      <c r="F44" s="412"/>
      <c r="G44" s="412"/>
      <c r="H44" s="412"/>
      <c r="I44" s="412">
        <f t="shared" ref="I44:AF44" si="29">I43/H43-1</f>
        <v>2.2314674735249618E-2</v>
      </c>
      <c r="J44" s="412">
        <f t="shared" si="29"/>
        <v>5.6603773584905648E-2</v>
      </c>
      <c r="K44" s="412">
        <f t="shared" si="29"/>
        <v>-3.1162464985994398E-2</v>
      </c>
      <c r="L44" s="412">
        <f t="shared" si="29"/>
        <v>2.4213950126490857E-2</v>
      </c>
      <c r="M44" s="412">
        <f t="shared" si="29"/>
        <v>9.2801693719124945E-2</v>
      </c>
      <c r="N44" s="412">
        <f t="shared" si="29"/>
        <v>0.191798514691637</v>
      </c>
      <c r="O44" s="412">
        <f t="shared" si="29"/>
        <v>0.10837171498238951</v>
      </c>
      <c r="P44" s="412">
        <f t="shared" si="29"/>
        <v>8.6775849425568374E-2</v>
      </c>
      <c r="Q44" s="412">
        <f t="shared" si="29"/>
        <v>0.11178587494376968</v>
      </c>
      <c r="R44" s="412">
        <f t="shared" si="29"/>
        <v>4.0865870928585846E-2</v>
      </c>
      <c r="S44" s="412">
        <f t="shared" si="29"/>
        <v>2.2351797862002032E-2</v>
      </c>
      <c r="T44" s="412">
        <f t="shared" si="29"/>
        <v>1.5209125475286189E-3</v>
      </c>
      <c r="U44" s="412">
        <f t="shared" si="29"/>
        <v>0.20166480345921878</v>
      </c>
      <c r="V44" s="412">
        <f t="shared" si="29"/>
        <v>-0.34098645452322385</v>
      </c>
      <c r="W44" s="412">
        <f t="shared" si="29"/>
        <v>-0.11411051564219565</v>
      </c>
      <c r="X44" s="412">
        <f t="shared" si="29"/>
        <v>0.3459874881206686</v>
      </c>
      <c r="Y44" s="412">
        <f t="shared" si="29"/>
        <v>0.21435575341867708</v>
      </c>
      <c r="Z44" s="412">
        <f t="shared" si="29"/>
        <v>0.21977169903477201</v>
      </c>
      <c r="AA44" s="412">
        <f t="shared" si="29"/>
        <v>7.8245330088451359E-2</v>
      </c>
      <c r="AB44" s="412">
        <f t="shared" si="29"/>
        <v>9.4011787109910205E-2</v>
      </c>
      <c r="AC44" s="412">
        <f t="shared" si="29"/>
        <v>0.11306998029384996</v>
      </c>
      <c r="AD44" s="412">
        <f t="shared" si="29"/>
        <v>9.4105770058532601E-2</v>
      </c>
      <c r="AE44" s="412">
        <f t="shared" si="29"/>
        <v>7.0636797204439272E-2</v>
      </c>
      <c r="AF44" s="412">
        <f t="shared" si="29"/>
        <v>7.3515090281364603E-2</v>
      </c>
      <c r="AG44" s="1624"/>
      <c r="AH44" s="1624"/>
      <c r="AI44" s="1624"/>
      <c r="AJ44" s="1624"/>
      <c r="AK44" s="213"/>
      <c r="AL44" s="213"/>
      <c r="AM44" s="213"/>
      <c r="AN44" s="213"/>
      <c r="AO44" s="213"/>
    </row>
    <row r="45" spans="1:41">
      <c r="A45" s="306" t="s">
        <v>1936</v>
      </c>
      <c r="B45" s="307"/>
      <c r="C45" s="307"/>
      <c r="D45" s="307"/>
      <c r="E45" s="307"/>
      <c r="F45" s="307"/>
      <c r="G45" s="307"/>
      <c r="H45" s="307"/>
      <c r="I45" s="307"/>
      <c r="J45" s="307"/>
      <c r="K45" s="307"/>
      <c r="L45" s="307"/>
      <c r="M45" s="308"/>
      <c r="N45" s="308"/>
      <c r="O45" s="308"/>
      <c r="P45" s="308"/>
      <c r="Q45" s="308"/>
      <c r="R45" s="308"/>
      <c r="S45" s="308"/>
      <c r="T45" s="308"/>
      <c r="U45" s="308"/>
      <c r="V45" s="308"/>
      <c r="W45" s="308"/>
      <c r="X45" s="308"/>
      <c r="Y45" s="308"/>
      <c r="Z45" s="308"/>
      <c r="AA45" s="308"/>
      <c r="AB45" s="308"/>
      <c r="AC45" s="308"/>
      <c r="AD45" s="308"/>
      <c r="AE45" s="308"/>
      <c r="AF45" s="308"/>
      <c r="AG45" s="1624"/>
      <c r="AH45" s="1624"/>
      <c r="AI45" s="1624"/>
      <c r="AJ45" s="1624"/>
      <c r="AK45" s="213"/>
      <c r="AL45" s="213"/>
      <c r="AM45" s="213"/>
      <c r="AN45" s="213"/>
      <c r="AO45" s="213"/>
    </row>
    <row r="46" spans="1:41">
      <c r="A46" s="266" t="s">
        <v>1022</v>
      </c>
      <c r="B46" s="263"/>
      <c r="C46" s="263"/>
      <c r="D46" s="263"/>
      <c r="E46" s="263"/>
      <c r="F46" s="263"/>
      <c r="G46" s="263"/>
      <c r="H46" s="263"/>
      <c r="I46" s="263"/>
      <c r="J46" s="263"/>
      <c r="K46" s="1382">
        <f t="shared" ref="K46:AF46" si="30">K41/J41-1</f>
        <v>-3.9611629535535098E-2</v>
      </c>
      <c r="L46" s="1382">
        <f t="shared" si="30"/>
        <v>3.1745106497079512E-2</v>
      </c>
      <c r="M46" s="1382">
        <f t="shared" si="30"/>
        <v>9.8099640472521843E-2</v>
      </c>
      <c r="N46" s="1382">
        <f t="shared" si="30"/>
        <v>0.23339569691300288</v>
      </c>
      <c r="O46" s="1382">
        <f t="shared" si="30"/>
        <v>9.1012514220705443E-2</v>
      </c>
      <c r="P46" s="1382">
        <f t="shared" si="30"/>
        <v>0.10045185957594716</v>
      </c>
      <c r="Q46" s="1382">
        <f t="shared" si="30"/>
        <v>9.3809222994314601E-2</v>
      </c>
      <c r="R46" s="1382">
        <f t="shared" si="30"/>
        <v>1.357204735778228E-2</v>
      </c>
      <c r="S46" s="1382">
        <f t="shared" si="30"/>
        <v>1.4535612535612641E-2</v>
      </c>
      <c r="T46" s="1382">
        <f t="shared" si="30"/>
        <v>-1.0313898826740719E-2</v>
      </c>
      <c r="U46" s="1382">
        <f t="shared" si="30"/>
        <v>0.20166480345921878</v>
      </c>
      <c r="V46" s="1382">
        <f t="shared" si="30"/>
        <v>-0.27300161088882313</v>
      </c>
      <c r="W46" s="1382">
        <f t="shared" si="30"/>
        <v>-0.10528144006654516</v>
      </c>
      <c r="X46" s="1382">
        <f t="shared" si="30"/>
        <v>0.29481804256177058</v>
      </c>
      <c r="Y46" s="1382">
        <f t="shared" si="30"/>
        <v>0.12963042105003653</v>
      </c>
      <c r="Z46" s="1382">
        <f t="shared" si="30"/>
        <v>0.20669697853611835</v>
      </c>
      <c r="AA46" s="1382">
        <f t="shared" si="30"/>
        <v>6.4103037327083001E-2</v>
      </c>
      <c r="AB46" s="1382">
        <f t="shared" si="30"/>
        <v>7.3463490837402112E-2</v>
      </c>
      <c r="AC46" s="1382">
        <f t="shared" si="30"/>
        <v>0.10644575202205542</v>
      </c>
      <c r="AD46" s="1382">
        <f t="shared" si="30"/>
        <v>8.7939880144945803E-2</v>
      </c>
      <c r="AE46" s="1382">
        <f t="shared" si="30"/>
        <v>9.0531349718715459E-2</v>
      </c>
      <c r="AF46" s="1382">
        <f t="shared" si="30"/>
        <v>9.2977713764133885E-2</v>
      </c>
      <c r="AG46" s="1624"/>
      <c r="AH46" s="1624"/>
      <c r="AI46" s="1624"/>
      <c r="AJ46" s="1624"/>
      <c r="AK46" s="213"/>
      <c r="AL46" s="213"/>
      <c r="AM46" s="213"/>
      <c r="AN46" s="213"/>
      <c r="AO46" s="213"/>
    </row>
    <row r="47" spans="1:41">
      <c r="A47" s="266" t="s">
        <v>1023</v>
      </c>
      <c r="B47" s="263"/>
      <c r="C47" s="263"/>
      <c r="D47" s="263"/>
      <c r="E47" s="263"/>
      <c r="F47" s="263"/>
      <c r="G47" s="263"/>
      <c r="H47" s="263"/>
      <c r="I47" s="263"/>
      <c r="J47" s="263"/>
      <c r="K47" s="1382">
        <f t="shared" ref="K47:AF47" si="31">K42/J42-1</f>
        <v>-1.2530973928032929E-2</v>
      </c>
      <c r="L47" s="1382">
        <f t="shared" si="31"/>
        <v>8.0622248285613374E-3</v>
      </c>
      <c r="M47" s="1382">
        <f t="shared" si="31"/>
        <v>8.117249154453221E-2</v>
      </c>
      <c r="N47" s="1382">
        <f t="shared" si="31"/>
        <v>9.9061522419186643E-2</v>
      </c>
      <c r="O47" s="1382">
        <f t="shared" si="31"/>
        <v>0.15180265654648961</v>
      </c>
      <c r="P47" s="1382">
        <f t="shared" si="31"/>
        <v>5.4365733113673764E-2</v>
      </c>
      <c r="Q47" s="1382">
        <f t="shared" si="31"/>
        <v>0.15625</v>
      </c>
      <c r="R47" s="1382">
        <f t="shared" si="31"/>
        <v>0.10472972972972983</v>
      </c>
      <c r="S47" s="1382">
        <f t="shared" si="31"/>
        <v>3.9131498470948101E-2</v>
      </c>
      <c r="T47" s="1382">
        <f t="shared" si="31"/>
        <v>2.6326384065733288E-2</v>
      </c>
      <c r="U47" s="1382">
        <f t="shared" si="31"/>
        <v>0.20166480345921856</v>
      </c>
      <c r="V47" s="1382">
        <f t="shared" si="31"/>
        <v>-0.47839388772991287</v>
      </c>
      <c r="W47" s="1382">
        <f t="shared" si="31"/>
        <v>-0.13898213914976587</v>
      </c>
      <c r="X47" s="1382">
        <f t="shared" si="31"/>
        <v>0.49577441057489735</v>
      </c>
      <c r="Y47" s="1382">
        <f t="shared" si="31"/>
        <v>0.42904935969581648</v>
      </c>
      <c r="Z47" s="1382">
        <f t="shared" si="31"/>
        <v>0.24596121025817208</v>
      </c>
      <c r="AA47" s="1382">
        <f t="shared" si="31"/>
        <v>0.1056805538330865</v>
      </c>
      <c r="AB47" s="1382">
        <f t="shared" si="31"/>
        <v>0.13237531282661763</v>
      </c>
      <c r="AC47" s="1382">
        <f t="shared" si="31"/>
        <v>0.12479395492317868</v>
      </c>
      <c r="AD47" s="1382">
        <f t="shared" si="31"/>
        <v>0.10484053400059845</v>
      </c>
      <c r="AE47" s="1382">
        <f t="shared" si="31"/>
        <v>3.6530371776430703E-2</v>
      </c>
      <c r="AF47" s="1382">
        <f t="shared" si="31"/>
        <v>3.8410853626380526E-2</v>
      </c>
      <c r="AG47" s="1624"/>
      <c r="AH47" s="1624"/>
      <c r="AI47" s="1624"/>
      <c r="AJ47" s="1624"/>
      <c r="AK47" s="213"/>
      <c r="AL47" s="213"/>
      <c r="AM47" s="213"/>
      <c r="AN47" s="213"/>
      <c r="AO47" s="213"/>
    </row>
    <row r="48" spans="1:41">
      <c r="A48" s="266"/>
      <c r="B48" s="263"/>
      <c r="C48" s="263"/>
      <c r="D48" s="263"/>
      <c r="E48" s="263"/>
      <c r="F48" s="263"/>
      <c r="G48" s="263"/>
      <c r="H48" s="263"/>
      <c r="I48" s="263"/>
      <c r="J48" s="263"/>
      <c r="K48" s="1382"/>
      <c r="L48" s="1382"/>
      <c r="M48" s="1382"/>
      <c r="N48" s="1382"/>
      <c r="O48" s="1382"/>
      <c r="P48" s="1382"/>
      <c r="Q48" s="1382"/>
      <c r="R48" s="1382"/>
      <c r="S48" s="1382"/>
      <c r="T48" s="1382"/>
      <c r="U48" s="1382"/>
      <c r="V48" s="1382"/>
      <c r="W48" s="1382"/>
      <c r="X48" s="1382"/>
      <c r="Y48" s="1382"/>
      <c r="Z48" s="1382"/>
      <c r="AA48" s="418"/>
      <c r="AB48" s="418"/>
      <c r="AC48" s="418"/>
      <c r="AD48" s="418"/>
      <c r="AE48" s="418"/>
      <c r="AF48" s="418"/>
      <c r="AG48" s="1624"/>
      <c r="AH48" s="1624"/>
      <c r="AI48" s="1624"/>
      <c r="AJ48" s="1624"/>
      <c r="AK48" s="213"/>
      <c r="AL48" s="213"/>
      <c r="AM48" s="213"/>
      <c r="AN48" s="213"/>
      <c r="AO48" s="213"/>
    </row>
    <row r="49" spans="1:41">
      <c r="A49" s="306" t="s">
        <v>1939</v>
      </c>
      <c r="B49" s="307"/>
      <c r="C49" s="307"/>
      <c r="D49" s="307"/>
      <c r="E49" s="307"/>
      <c r="F49" s="307"/>
      <c r="G49" s="307"/>
      <c r="H49" s="307"/>
      <c r="I49" s="307"/>
      <c r="J49" s="307"/>
      <c r="K49" s="307"/>
      <c r="L49" s="307"/>
      <c r="M49" s="308"/>
      <c r="N49" s="308"/>
      <c r="O49" s="308"/>
      <c r="P49" s="308"/>
      <c r="Q49" s="308"/>
      <c r="R49" s="308"/>
      <c r="S49" s="308"/>
      <c r="T49" s="308"/>
      <c r="U49" s="308"/>
      <c r="V49" s="308"/>
      <c r="W49" s="308"/>
      <c r="X49" s="308"/>
      <c r="Y49" s="308"/>
      <c r="Z49" s="308"/>
      <c r="AA49" s="308"/>
      <c r="AB49" s="308"/>
      <c r="AC49" s="308"/>
      <c r="AD49" s="308"/>
      <c r="AE49" s="308"/>
      <c r="AF49" s="308"/>
      <c r="AG49" s="1624"/>
      <c r="AH49" s="1624"/>
      <c r="AI49" s="1624"/>
      <c r="AJ49" s="1624"/>
      <c r="AK49" s="213"/>
      <c r="AL49" s="213"/>
      <c r="AM49" s="213"/>
      <c r="AN49" s="213"/>
      <c r="AO49" s="213"/>
    </row>
    <row r="50" spans="1:41">
      <c r="A50" s="416" t="s">
        <v>1940</v>
      </c>
      <c r="B50" s="409"/>
      <c r="C50" s="409"/>
      <c r="D50" s="409"/>
      <c r="E50" s="409"/>
      <c r="F50" s="409"/>
      <c r="G50" s="409"/>
      <c r="H50" s="409"/>
      <c r="I50" s="409"/>
      <c r="J50" s="409"/>
      <c r="K50" s="409"/>
      <c r="L50" s="409"/>
      <c r="M50" s="409"/>
      <c r="N50" s="409"/>
      <c r="O50" s="409"/>
      <c r="P50" s="409"/>
      <c r="Q50" s="409"/>
      <c r="R50" s="319">
        <f>R51/0.57</f>
        <v>1739.0508771929822</v>
      </c>
      <c r="S50" s="319">
        <f>S51/57%</f>
        <v>1998.2</v>
      </c>
      <c r="T50" s="319">
        <f>T51/57%</f>
        <v>1930.8301754385964</v>
      </c>
      <c r="U50" s="319">
        <f>U56-U53</f>
        <v>2089.0221609256441</v>
      </c>
      <c r="V50" s="319">
        <f t="shared" ref="V50:AA50" si="32">SUM(V51:V52)</f>
        <v>1368.3095154062969</v>
      </c>
      <c r="W50" s="319">
        <f t="shared" si="32"/>
        <v>1234.716548215102</v>
      </c>
      <c r="X50" s="319">
        <f t="shared" si="32"/>
        <v>1525.6076615685956</v>
      </c>
      <c r="Y50" s="319">
        <f t="shared" si="32"/>
        <v>1949.3882639005924</v>
      </c>
      <c r="Z50" s="319">
        <f t="shared" si="32"/>
        <v>2351.1318236825387</v>
      </c>
      <c r="AA50" s="319">
        <f t="shared" si="32"/>
        <v>2618.7912359822139</v>
      </c>
      <c r="AB50" s="319">
        <f t="shared" ref="AB50:AE50" si="33">SUM(AB51:AB52)</f>
        <v>2933.0461843000799</v>
      </c>
      <c r="AC50" s="319">
        <f t="shared" si="33"/>
        <v>3249.3418606960349</v>
      </c>
      <c r="AD50" s="319">
        <f t="shared" si="33"/>
        <v>3600.739429001901</v>
      </c>
      <c r="AE50" s="319">
        <f t="shared" si="33"/>
        <v>3918.4134991984829</v>
      </c>
      <c r="AF50" s="319">
        <f t="shared" ref="AF50" si="34">SUM(AF51:AF52)</f>
        <v>4273.0643112058178</v>
      </c>
      <c r="AG50" s="1624"/>
      <c r="AH50" s="1624"/>
      <c r="AI50" s="1624"/>
      <c r="AJ50" s="1624"/>
      <c r="AK50" s="213"/>
      <c r="AL50" s="213"/>
      <c r="AM50" s="213"/>
      <c r="AN50" s="213"/>
      <c r="AO50" s="213"/>
    </row>
    <row r="51" spans="1:41">
      <c r="A51" s="1398" t="s">
        <v>1022</v>
      </c>
      <c r="B51" s="409"/>
      <c r="C51" s="409"/>
      <c r="D51" s="409"/>
      <c r="E51" s="409"/>
      <c r="F51" s="409"/>
      <c r="G51" s="409"/>
      <c r="H51" s="409"/>
      <c r="I51" s="409"/>
      <c r="J51" s="409"/>
      <c r="K51" s="409"/>
      <c r="L51" s="409"/>
      <c r="M51" s="409"/>
      <c r="N51" s="409"/>
      <c r="O51" s="409"/>
      <c r="P51" s="409"/>
      <c r="Q51" s="409"/>
      <c r="R51" s="259">
        <v>991.25899999999979</v>
      </c>
      <c r="S51" s="319">
        <v>1138.9739999999999</v>
      </c>
      <c r="T51" s="319">
        <v>1100.5731999999998</v>
      </c>
      <c r="U51" s="319">
        <f>0.7*U50</f>
        <v>1462.3155126479508</v>
      </c>
      <c r="V51" s="319">
        <f t="shared" ref="V51:AA51" si="35">U51*(1+V73)</f>
        <v>1023.6208588535654</v>
      </c>
      <c r="W51" s="319">
        <f t="shared" si="35"/>
        <v>941.73119014528027</v>
      </c>
      <c r="X51" s="319">
        <f t="shared" si="35"/>
        <v>1130.0774281743363</v>
      </c>
      <c r="Y51" s="319">
        <f t="shared" si="35"/>
        <v>1356.0929138092035</v>
      </c>
      <c r="Z51" s="319">
        <f t="shared" si="35"/>
        <v>1627.3114965710442</v>
      </c>
      <c r="AA51" s="319">
        <f t="shared" si="35"/>
        <v>1822.5888761595697</v>
      </c>
      <c r="AB51" s="259">
        <f>AA51*(AA51/Z51)</f>
        <v>2041.2995412987184</v>
      </c>
      <c r="AC51" s="259">
        <f>AB51*(AB51/AA51)</f>
        <v>2286.2554862545649</v>
      </c>
      <c r="AD51" s="259">
        <f>AC51*(AC51/AB51)</f>
        <v>2560.6061446051131</v>
      </c>
      <c r="AE51" s="259">
        <f>AD51*(AD51/AC51)</f>
        <v>2867.8788819577271</v>
      </c>
      <c r="AF51" s="259">
        <f>AE51*(AE51/AD51)</f>
        <v>3212.0243477926547</v>
      </c>
      <c r="AG51" s="1624"/>
      <c r="AH51" s="1624"/>
      <c r="AI51" s="1624"/>
      <c r="AJ51" s="1624"/>
      <c r="AK51" s="213"/>
      <c r="AL51" s="213"/>
      <c r="AM51" s="213"/>
      <c r="AN51" s="213"/>
      <c r="AO51" s="213"/>
    </row>
    <row r="52" spans="1:41">
      <c r="A52" s="1398" t="s">
        <v>1941</v>
      </c>
      <c r="B52" s="409"/>
      <c r="C52" s="409"/>
      <c r="D52" s="409"/>
      <c r="E52" s="409"/>
      <c r="F52" s="409"/>
      <c r="G52" s="409"/>
      <c r="H52" s="409"/>
      <c r="I52" s="409"/>
      <c r="J52" s="409"/>
      <c r="K52" s="409"/>
      <c r="L52" s="409"/>
      <c r="M52" s="409"/>
      <c r="N52" s="409"/>
      <c r="O52" s="409"/>
      <c r="P52" s="409"/>
      <c r="Q52" s="409"/>
      <c r="R52" s="319">
        <f>R50-R51</f>
        <v>747.79187719298238</v>
      </c>
      <c r="S52" s="319">
        <f>S50-S51</f>
        <v>859.22600000000011</v>
      </c>
      <c r="T52" s="319">
        <f>T50-T51</f>
        <v>830.25697543859656</v>
      </c>
      <c r="U52" s="319">
        <f>U50-U51</f>
        <v>626.70664827769338</v>
      </c>
      <c r="V52" s="319">
        <f>U52*(1+V72)</f>
        <v>344.6886565527314</v>
      </c>
      <c r="W52" s="319">
        <f>V52*(1+W72)</f>
        <v>292.9853580698217</v>
      </c>
      <c r="X52" s="319">
        <f t="shared" ref="X52:AF52" si="36">W52*(1+X71)</f>
        <v>395.53023339425931</v>
      </c>
      <c r="Y52" s="319">
        <f t="shared" si="36"/>
        <v>593.29535009138897</v>
      </c>
      <c r="Z52" s="319">
        <f t="shared" si="36"/>
        <v>723.82032711149452</v>
      </c>
      <c r="AA52" s="319">
        <f t="shared" si="36"/>
        <v>796.20235982264398</v>
      </c>
      <c r="AB52" s="319">
        <f t="shared" si="36"/>
        <v>891.74664300136135</v>
      </c>
      <c r="AC52" s="319">
        <f t="shared" si="36"/>
        <v>963.0863744414703</v>
      </c>
      <c r="AD52" s="319">
        <f t="shared" si="36"/>
        <v>1040.133284396788</v>
      </c>
      <c r="AE52" s="319">
        <f t="shared" si="36"/>
        <v>1050.5346172407558</v>
      </c>
      <c r="AF52" s="319">
        <f t="shared" si="36"/>
        <v>1061.0399634131634</v>
      </c>
      <c r="AG52" s="1624"/>
      <c r="AH52" s="1624"/>
      <c r="AI52" s="1624"/>
      <c r="AJ52" s="1624"/>
      <c r="AK52" s="213"/>
      <c r="AL52" s="213"/>
      <c r="AM52" s="213"/>
      <c r="AN52" s="213"/>
      <c r="AO52" s="213"/>
    </row>
    <row r="53" spans="1:41">
      <c r="A53" s="416" t="s">
        <v>1942</v>
      </c>
      <c r="B53" s="409"/>
      <c r="C53" s="409"/>
      <c r="D53" s="409"/>
      <c r="E53" s="409"/>
      <c r="F53" s="409"/>
      <c r="G53" s="409"/>
      <c r="H53" s="409"/>
      <c r="I53" s="409"/>
      <c r="J53" s="409"/>
      <c r="K53" s="409"/>
      <c r="L53" s="409"/>
      <c r="M53" s="409"/>
      <c r="N53" s="409"/>
      <c r="O53" s="409"/>
      <c r="P53" s="409"/>
      <c r="Q53" s="409"/>
      <c r="R53" s="319">
        <f>R56-R50</f>
        <v>730.54912280701774</v>
      </c>
      <c r="S53" s="319">
        <f>S56-S50</f>
        <v>526.59999999999968</v>
      </c>
      <c r="T53" s="319">
        <f>T56-T50</f>
        <v>597.8098245614035</v>
      </c>
      <c r="U53" s="319">
        <f>0.25*U56</f>
        <v>696.34072030854804</v>
      </c>
      <c r="V53" s="319">
        <f t="shared" ref="V53:AA53" si="37">SUM(V54:V55)</f>
        <v>382.98739616970147</v>
      </c>
      <c r="W53" s="319">
        <f t="shared" si="37"/>
        <v>363.83802636121641</v>
      </c>
      <c r="X53" s="319">
        <f t="shared" si="37"/>
        <v>509.37323690570304</v>
      </c>
      <c r="Y53" s="319">
        <f t="shared" si="37"/>
        <v>764.05985535855461</v>
      </c>
      <c r="Z53" s="319">
        <f t="shared" si="37"/>
        <v>932.15302353743664</v>
      </c>
      <c r="AA53" s="319">
        <f t="shared" si="37"/>
        <v>1025.3683258911803</v>
      </c>
      <c r="AB53" s="319">
        <f t="shared" ref="AB53:AE53" si="38">SUM(AB54:AB55)</f>
        <v>1148.4125249981221</v>
      </c>
      <c r="AC53" s="319">
        <f t="shared" si="38"/>
        <v>1240.2855269979718</v>
      </c>
      <c r="AD53" s="319">
        <f t="shared" si="38"/>
        <v>1339.5083691578097</v>
      </c>
      <c r="AE53" s="319">
        <f t="shared" si="38"/>
        <v>1352.9034528493878</v>
      </c>
      <c r="AF53" s="319">
        <f t="shared" ref="AF53" si="39">SUM(AF54:AF55)</f>
        <v>1366.4324873778817</v>
      </c>
      <c r="AG53" s="1624"/>
      <c r="AH53" s="1624"/>
      <c r="AI53" s="1624"/>
      <c r="AJ53" s="1624"/>
      <c r="AK53" s="213"/>
      <c r="AL53" s="213"/>
      <c r="AM53" s="213"/>
      <c r="AN53" s="213"/>
      <c r="AO53" s="213"/>
    </row>
    <row r="54" spans="1:41">
      <c r="A54" s="1398" t="s">
        <v>1943</v>
      </c>
      <c r="B54" s="409"/>
      <c r="C54" s="409"/>
      <c r="D54" s="409"/>
      <c r="E54" s="409"/>
      <c r="F54" s="409"/>
      <c r="G54" s="409"/>
      <c r="H54" s="409"/>
      <c r="I54" s="409"/>
      <c r="J54" s="409"/>
      <c r="K54" s="409"/>
      <c r="L54" s="409"/>
      <c r="M54" s="409"/>
      <c r="N54" s="409"/>
      <c r="O54" s="409"/>
      <c r="P54" s="409"/>
      <c r="Q54" s="409"/>
      <c r="R54" s="268">
        <v>0</v>
      </c>
      <c r="S54" s="268">
        <v>0</v>
      </c>
      <c r="T54" s="268">
        <v>0</v>
      </c>
      <c r="U54" s="268">
        <v>0</v>
      </c>
      <c r="V54" s="319">
        <f t="shared" ref="V54:AF54" si="40">U54</f>
        <v>0</v>
      </c>
      <c r="W54" s="319">
        <f t="shared" si="40"/>
        <v>0</v>
      </c>
      <c r="X54" s="319">
        <f t="shared" si="40"/>
        <v>0</v>
      </c>
      <c r="Y54" s="319">
        <f t="shared" si="40"/>
        <v>0</v>
      </c>
      <c r="Z54" s="319">
        <f t="shared" si="40"/>
        <v>0</v>
      </c>
      <c r="AA54" s="319">
        <f t="shared" si="40"/>
        <v>0</v>
      </c>
      <c r="AB54" s="319">
        <f t="shared" si="40"/>
        <v>0</v>
      </c>
      <c r="AC54" s="319">
        <f t="shared" si="40"/>
        <v>0</v>
      </c>
      <c r="AD54" s="319">
        <f t="shared" si="40"/>
        <v>0</v>
      </c>
      <c r="AE54" s="319">
        <f t="shared" si="40"/>
        <v>0</v>
      </c>
      <c r="AF54" s="319">
        <f t="shared" si="40"/>
        <v>0</v>
      </c>
      <c r="AG54" s="1624"/>
      <c r="AH54" s="1624"/>
      <c r="AI54" s="1624"/>
      <c r="AJ54" s="1624"/>
      <c r="AK54" s="213"/>
      <c r="AL54" s="213"/>
      <c r="AM54" s="213"/>
      <c r="AN54" s="213"/>
      <c r="AO54" s="213"/>
    </row>
    <row r="55" spans="1:41">
      <c r="A55" s="1398" t="s">
        <v>1944</v>
      </c>
      <c r="B55" s="409"/>
      <c r="C55" s="409"/>
      <c r="D55" s="409"/>
      <c r="E55" s="409"/>
      <c r="F55" s="409"/>
      <c r="G55" s="409"/>
      <c r="H55" s="409"/>
      <c r="I55" s="409"/>
      <c r="J55" s="409"/>
      <c r="K55" s="409"/>
      <c r="L55" s="409"/>
      <c r="M55" s="409"/>
      <c r="N55" s="409"/>
      <c r="O55" s="409"/>
      <c r="P55" s="409"/>
      <c r="Q55" s="409"/>
      <c r="R55" s="319">
        <f>R53</f>
        <v>730.54912280701774</v>
      </c>
      <c r="S55" s="319">
        <f>S53</f>
        <v>526.59999999999968</v>
      </c>
      <c r="T55" s="319">
        <f>T53</f>
        <v>597.8098245614035</v>
      </c>
      <c r="U55" s="319">
        <f>U53</f>
        <v>696.34072030854804</v>
      </c>
      <c r="V55" s="319">
        <f>U55*(1+V72)</f>
        <v>382.98739616970147</v>
      </c>
      <c r="W55" s="319">
        <f>V55*(1+W72+0.1)</f>
        <v>363.83802636121641</v>
      </c>
      <c r="X55" s="319">
        <f>W55*(1+X72+5%)</f>
        <v>509.37323690570304</v>
      </c>
      <c r="Y55" s="319">
        <f t="shared" ref="Y55:AF55" si="41">X55*(1+Y71)</f>
        <v>764.05985535855461</v>
      </c>
      <c r="Z55" s="319">
        <f t="shared" si="41"/>
        <v>932.15302353743664</v>
      </c>
      <c r="AA55" s="319">
        <f t="shared" si="41"/>
        <v>1025.3683258911803</v>
      </c>
      <c r="AB55" s="319">
        <f t="shared" si="41"/>
        <v>1148.4125249981221</v>
      </c>
      <c r="AC55" s="319">
        <f t="shared" si="41"/>
        <v>1240.2855269979718</v>
      </c>
      <c r="AD55" s="319">
        <f t="shared" si="41"/>
        <v>1339.5083691578097</v>
      </c>
      <c r="AE55" s="319">
        <f t="shared" si="41"/>
        <v>1352.9034528493878</v>
      </c>
      <c r="AF55" s="319">
        <f t="shared" si="41"/>
        <v>1366.4324873778817</v>
      </c>
      <c r="AG55" s="1624"/>
      <c r="AH55" s="1624"/>
      <c r="AI55" s="1624"/>
      <c r="AJ55" s="1624"/>
      <c r="AK55" s="213"/>
      <c r="AL55" s="213"/>
      <c r="AM55" s="213"/>
      <c r="AN55" s="213"/>
      <c r="AO55" s="213"/>
    </row>
    <row r="56" spans="1:41">
      <c r="A56" s="373" t="s">
        <v>1945</v>
      </c>
      <c r="B56" s="373"/>
      <c r="C56" s="373"/>
      <c r="D56" s="373"/>
      <c r="E56" s="373"/>
      <c r="F56" s="373"/>
      <c r="G56" s="373"/>
      <c r="H56" s="373"/>
      <c r="I56" s="373"/>
      <c r="J56" s="373"/>
      <c r="K56" s="373"/>
      <c r="L56" s="373"/>
      <c r="M56" s="373"/>
      <c r="N56" s="373"/>
      <c r="O56" s="373"/>
      <c r="P56" s="373"/>
      <c r="Q56" s="373"/>
      <c r="R56" s="273">
        <f>R43*R76</f>
        <v>2469.6</v>
      </c>
      <c r="S56" s="273">
        <f t="shared" ref="S56:U56" si="42">S43*S76</f>
        <v>2524.7999999999997</v>
      </c>
      <c r="T56" s="273">
        <f t="shared" si="42"/>
        <v>2528.64</v>
      </c>
      <c r="U56" s="273">
        <f t="shared" si="42"/>
        <v>2785.3628812341922</v>
      </c>
      <c r="V56" s="273">
        <f t="shared" ref="V56:AB56" si="43">SUM(V50+V53)</f>
        <v>1751.2969115759984</v>
      </c>
      <c r="W56" s="273">
        <f t="shared" si="43"/>
        <v>1598.5545745763184</v>
      </c>
      <c r="X56" s="273">
        <f t="shared" si="43"/>
        <v>2034.9808984742986</v>
      </c>
      <c r="Y56" s="273">
        <f t="shared" si="43"/>
        <v>2713.448119259147</v>
      </c>
      <c r="Z56" s="273">
        <f t="shared" si="43"/>
        <v>3283.2848472199753</v>
      </c>
      <c r="AA56" s="273">
        <f t="shared" si="43"/>
        <v>3644.1595618733945</v>
      </c>
      <c r="AB56" s="273">
        <f t="shared" si="43"/>
        <v>4081.4587092982019</v>
      </c>
      <c r="AC56" s="273">
        <f t="shared" ref="AC56:AE56" si="44">SUM(AC50+AC53)</f>
        <v>4489.6273876940068</v>
      </c>
      <c r="AD56" s="273">
        <f t="shared" si="44"/>
        <v>4940.2477981597112</v>
      </c>
      <c r="AE56" s="273">
        <f t="shared" si="44"/>
        <v>5271.3169520478705</v>
      </c>
      <c r="AF56" s="273">
        <f t="shared" ref="AF56" si="45">SUM(AF50+AF53)</f>
        <v>5639.4967985836993</v>
      </c>
      <c r="AG56" s="1624"/>
      <c r="AH56" s="1624"/>
      <c r="AI56" s="1624"/>
      <c r="AJ56" s="1624"/>
      <c r="AK56" s="213"/>
      <c r="AL56" s="213"/>
      <c r="AM56" s="213"/>
      <c r="AN56" s="213"/>
      <c r="AO56" s="213"/>
    </row>
    <row r="57" spans="1:41">
      <c r="A57" s="416"/>
      <c r="B57" s="409"/>
      <c r="C57" s="409"/>
      <c r="D57" s="409"/>
      <c r="E57" s="409"/>
      <c r="F57" s="409"/>
      <c r="G57" s="409"/>
      <c r="H57" s="409"/>
      <c r="I57" s="409"/>
      <c r="J57" s="409"/>
      <c r="K57" s="409"/>
      <c r="L57" s="409"/>
      <c r="M57" s="409"/>
      <c r="N57" s="409"/>
      <c r="O57" s="409"/>
      <c r="P57" s="409"/>
      <c r="Q57" s="409"/>
      <c r="R57" s="319"/>
      <c r="S57" s="319"/>
      <c r="T57" s="319"/>
      <c r="U57" s="319"/>
      <c r="V57" s="319"/>
      <c r="W57" s="319"/>
      <c r="X57" s="319"/>
      <c r="Y57" s="319"/>
      <c r="Z57" s="319"/>
      <c r="AA57" s="319"/>
      <c r="AB57" s="319"/>
      <c r="AC57" s="319"/>
      <c r="AD57" s="319"/>
      <c r="AE57" s="319"/>
      <c r="AF57" s="319"/>
      <c r="AG57" s="1624"/>
      <c r="AH57" s="1624"/>
      <c r="AI57" s="1624"/>
      <c r="AJ57" s="1624"/>
      <c r="AK57" s="213"/>
      <c r="AL57" s="213"/>
      <c r="AM57" s="213"/>
      <c r="AN57" s="213"/>
      <c r="AO57" s="213"/>
    </row>
    <row r="58" spans="1:41">
      <c r="A58" s="416" t="s">
        <v>1022</v>
      </c>
      <c r="B58" s="409"/>
      <c r="C58" s="409"/>
      <c r="D58" s="409"/>
      <c r="E58" s="409"/>
      <c r="F58" s="409"/>
      <c r="G58" s="409"/>
      <c r="H58" s="409"/>
      <c r="I58" s="409"/>
      <c r="J58" s="409"/>
      <c r="K58" s="409"/>
      <c r="L58" s="409"/>
      <c r="M58" s="409"/>
      <c r="N58" s="409"/>
      <c r="O58" s="409"/>
      <c r="P58" s="409"/>
      <c r="Q58" s="409"/>
      <c r="R58" s="319">
        <f>80%*R60</f>
        <v>987.84</v>
      </c>
      <c r="S58" s="319">
        <f>80%*S60</f>
        <v>1094.0800000000002</v>
      </c>
      <c r="T58" s="319">
        <f>80%*T60</f>
        <v>1095.7440000000001</v>
      </c>
      <c r="U58" s="319">
        <f>80%*U60</f>
        <v>1418.002921355589</v>
      </c>
      <c r="V58" s="319">
        <f t="shared" ref="V58:AA58" si="46">U58*(1+V73)</f>
        <v>992.60204494891229</v>
      </c>
      <c r="W58" s="319">
        <f t="shared" si="46"/>
        <v>913.19388135299937</v>
      </c>
      <c r="X58" s="319">
        <f t="shared" si="46"/>
        <v>1095.8326576235993</v>
      </c>
      <c r="Y58" s="319">
        <f t="shared" si="46"/>
        <v>1314.9991891483191</v>
      </c>
      <c r="Z58" s="319">
        <f t="shared" si="46"/>
        <v>1577.999026977983</v>
      </c>
      <c r="AA58" s="319">
        <f t="shared" si="46"/>
        <v>1767.3589102153412</v>
      </c>
      <c r="AB58" s="259">
        <f>AA58*(AA58/Z58)</f>
        <v>1979.4419794411824</v>
      </c>
      <c r="AC58" s="259">
        <f>AB58*(AB58/AA58)</f>
        <v>2216.9750169741246</v>
      </c>
      <c r="AD58" s="259">
        <f>AC58*(AC58/AB58)</f>
        <v>2483.0120190110197</v>
      </c>
      <c r="AE58" s="259">
        <f>AD58*(AD58/AC58)</f>
        <v>2780.9734612923421</v>
      </c>
      <c r="AF58" s="259">
        <f>AE58*(AE58/AD58)</f>
        <v>3114.6902766474236</v>
      </c>
      <c r="AG58" s="1624"/>
      <c r="AH58" s="1624"/>
      <c r="AI58" s="1624"/>
      <c r="AJ58" s="1624"/>
      <c r="AK58" s="213"/>
      <c r="AL58" s="213"/>
      <c r="AM58" s="213"/>
      <c r="AN58" s="213"/>
      <c r="AO58" s="213"/>
    </row>
    <row r="59" spans="1:41">
      <c r="A59" s="416" t="s">
        <v>1941</v>
      </c>
      <c r="B59" s="409"/>
      <c r="C59" s="409"/>
      <c r="D59" s="409"/>
      <c r="E59" s="409"/>
      <c r="F59" s="409"/>
      <c r="G59" s="409"/>
      <c r="H59" s="409"/>
      <c r="I59" s="409"/>
      <c r="J59" s="409"/>
      <c r="K59" s="409"/>
      <c r="L59" s="409"/>
      <c r="M59" s="409"/>
      <c r="N59" s="409"/>
      <c r="O59" s="409"/>
      <c r="P59" s="409"/>
      <c r="Q59" s="409"/>
      <c r="R59" s="319">
        <f>20%*R60</f>
        <v>246.96</v>
      </c>
      <c r="S59" s="319">
        <f>20%*S60</f>
        <v>273.52000000000004</v>
      </c>
      <c r="T59" s="319">
        <f>20%*T60</f>
        <v>273.93600000000004</v>
      </c>
      <c r="U59" s="319">
        <f>20%*U60</f>
        <v>354.50073033889726</v>
      </c>
      <c r="V59" s="319">
        <f>U59*(1+V72)</f>
        <v>194.9754016863935</v>
      </c>
      <c r="W59" s="319">
        <f>V59*(1+W72)</f>
        <v>165.72909143343446</v>
      </c>
      <c r="X59" s="319">
        <f t="shared" ref="X59:AF59" si="47">W59*(1+X71+10%)</f>
        <v>240.30718257848</v>
      </c>
      <c r="Y59" s="319">
        <f t="shared" si="47"/>
        <v>384.49149212556802</v>
      </c>
      <c r="Z59" s="319">
        <f t="shared" si="47"/>
        <v>507.5287696057498</v>
      </c>
      <c r="AA59" s="319">
        <f t="shared" si="47"/>
        <v>609.03452352689987</v>
      </c>
      <c r="AB59" s="319">
        <f t="shared" si="47"/>
        <v>743.02211870281792</v>
      </c>
      <c r="AC59" s="319">
        <f t="shared" si="47"/>
        <v>876.76610006932526</v>
      </c>
      <c r="AD59" s="319">
        <f t="shared" si="47"/>
        <v>1034.5839980818039</v>
      </c>
      <c r="AE59" s="319">
        <f t="shared" si="47"/>
        <v>1148.3882378708024</v>
      </c>
      <c r="AF59" s="319">
        <f t="shared" si="47"/>
        <v>1274.7109440365907</v>
      </c>
      <c r="AG59" s="1624"/>
      <c r="AH59" s="1624"/>
      <c r="AI59" s="1624"/>
      <c r="AJ59" s="1624"/>
      <c r="AK59" s="213"/>
      <c r="AL59" s="213"/>
      <c r="AM59" s="213"/>
      <c r="AN59" s="213"/>
      <c r="AO59" s="213"/>
    </row>
    <row r="60" spans="1:41">
      <c r="A60" s="1399" t="s">
        <v>1946</v>
      </c>
      <c r="B60" s="373"/>
      <c r="C60" s="373"/>
      <c r="D60" s="373"/>
      <c r="E60" s="373"/>
      <c r="F60" s="373"/>
      <c r="G60" s="373"/>
      <c r="H60" s="373"/>
      <c r="I60" s="373"/>
      <c r="J60" s="373"/>
      <c r="K60" s="373"/>
      <c r="L60" s="373"/>
      <c r="M60" s="373"/>
      <c r="N60" s="373"/>
      <c r="O60" s="373"/>
      <c r="P60" s="373"/>
      <c r="Q60" s="373"/>
      <c r="R60" s="273">
        <f>R77*R43</f>
        <v>1234.8</v>
      </c>
      <c r="S60" s="273">
        <f t="shared" ref="S60:U60" si="48">S77*S43</f>
        <v>1367.6000000000001</v>
      </c>
      <c r="T60" s="273">
        <f t="shared" si="48"/>
        <v>1369.68</v>
      </c>
      <c r="U60" s="273">
        <f t="shared" si="48"/>
        <v>1772.5036516944863</v>
      </c>
      <c r="V60" s="273">
        <f t="shared" ref="V60:AB60" si="49">SUM(V58:V59)</f>
        <v>1187.5774466353057</v>
      </c>
      <c r="W60" s="273">
        <f t="shared" si="49"/>
        <v>1078.9229727864338</v>
      </c>
      <c r="X60" s="273">
        <f t="shared" si="49"/>
        <v>1336.1398402020793</v>
      </c>
      <c r="Y60" s="273">
        <f t="shared" si="49"/>
        <v>1699.4906812738873</v>
      </c>
      <c r="Z60" s="273">
        <f t="shared" si="49"/>
        <v>2085.5277965837327</v>
      </c>
      <c r="AA60" s="273">
        <f t="shared" si="49"/>
        <v>2376.3934337422411</v>
      </c>
      <c r="AB60" s="273">
        <f t="shared" si="49"/>
        <v>2722.4640981440002</v>
      </c>
      <c r="AC60" s="273">
        <f t="shared" ref="AC60:AE60" si="50">SUM(AC58:AC59)</f>
        <v>3093.7411170434498</v>
      </c>
      <c r="AD60" s="273">
        <f t="shared" si="50"/>
        <v>3517.5960170928238</v>
      </c>
      <c r="AE60" s="273">
        <f t="shared" si="50"/>
        <v>3929.3616991631443</v>
      </c>
      <c r="AF60" s="273">
        <f t="shared" ref="AF60" si="51">SUM(AF58:AF59)</f>
        <v>4389.4012206840143</v>
      </c>
      <c r="AG60" s="1624"/>
      <c r="AH60" s="1624"/>
      <c r="AI60" s="1624"/>
      <c r="AJ60" s="1624"/>
      <c r="AK60" s="213"/>
      <c r="AL60" s="213"/>
      <c r="AM60" s="213"/>
      <c r="AN60" s="213"/>
      <c r="AO60" s="213"/>
    </row>
    <row r="61" spans="1:41">
      <c r="A61" s="416"/>
      <c r="B61" s="409"/>
      <c r="C61" s="409"/>
      <c r="D61" s="409"/>
      <c r="E61" s="409"/>
      <c r="F61" s="409"/>
      <c r="G61" s="409"/>
      <c r="H61" s="409"/>
      <c r="I61" s="409"/>
      <c r="J61" s="409"/>
      <c r="K61" s="409"/>
      <c r="L61" s="409"/>
      <c r="M61" s="409"/>
      <c r="N61" s="409"/>
      <c r="O61" s="409"/>
      <c r="P61" s="409"/>
      <c r="Q61" s="409"/>
      <c r="R61" s="409"/>
      <c r="S61" s="409"/>
      <c r="T61" s="409"/>
      <c r="U61" s="322"/>
      <c r="V61" s="322"/>
      <c r="W61" s="322"/>
      <c r="X61" s="322"/>
      <c r="Y61" s="322"/>
      <c r="Z61" s="322"/>
      <c r="AA61" s="322"/>
      <c r="AB61" s="322"/>
      <c r="AC61" s="322"/>
      <c r="AD61" s="322"/>
      <c r="AE61" s="322"/>
      <c r="AF61" s="322"/>
      <c r="AG61" s="1624"/>
      <c r="AH61" s="1624"/>
      <c r="AI61" s="1624"/>
      <c r="AJ61" s="1624"/>
      <c r="AK61" s="213"/>
      <c r="AL61" s="213"/>
      <c r="AM61" s="213"/>
      <c r="AN61" s="213"/>
      <c r="AO61" s="213"/>
    </row>
    <row r="62" spans="1:41">
      <c r="A62" s="416" t="s">
        <v>1947</v>
      </c>
      <c r="B62" s="409"/>
      <c r="C62" s="409"/>
      <c r="D62" s="409"/>
      <c r="E62" s="409"/>
      <c r="F62" s="409"/>
      <c r="G62" s="409"/>
      <c r="H62" s="409"/>
      <c r="I62" s="409"/>
      <c r="J62" s="409"/>
      <c r="K62" s="409"/>
      <c r="L62" s="409"/>
      <c r="M62" s="409"/>
      <c r="N62" s="409"/>
      <c r="O62" s="409"/>
      <c r="P62" s="409"/>
      <c r="Q62" s="409"/>
      <c r="R62" s="319">
        <f>R68*75%</f>
        <v>1080.45</v>
      </c>
      <c r="S62" s="319">
        <f>S68*75%</f>
        <v>1025.7</v>
      </c>
      <c r="T62" s="319">
        <f>T68*75%</f>
        <v>1027.26</v>
      </c>
      <c r="U62" s="319">
        <f>U68*75%</f>
        <v>1329.3777387708647</v>
      </c>
      <c r="V62" s="319">
        <f t="shared" ref="V62:AE62" si="52">SUM(V63:V64)</f>
        <v>916.60595088251114</v>
      </c>
      <c r="W62" s="319">
        <f t="shared" si="52"/>
        <v>839.69480180592268</v>
      </c>
      <c r="X62" s="319">
        <f t="shared" si="52"/>
        <v>1014.1593451422987</v>
      </c>
      <c r="Y62" s="319">
        <f t="shared" si="52"/>
        <v>1234.6102882037756</v>
      </c>
      <c r="Z62" s="319">
        <f t="shared" si="52"/>
        <v>1483.2942532478323</v>
      </c>
      <c r="AA62" s="319">
        <f t="shared" si="52"/>
        <v>1494.0418884079727</v>
      </c>
      <c r="AB62" s="319">
        <f t="shared" si="52"/>
        <v>1508.2287668193578</v>
      </c>
      <c r="AC62" s="319">
        <f t="shared" si="52"/>
        <v>1518.8216360331924</v>
      </c>
      <c r="AD62" s="319">
        <f t="shared" si="52"/>
        <v>1530.2619347841335</v>
      </c>
      <c r="AE62" s="319">
        <f t="shared" si="52"/>
        <v>1531.8063751155105</v>
      </c>
      <c r="AF62" s="319">
        <f t="shared" ref="AF62" si="53">SUM(AF63:AF64)</f>
        <v>1533.3662598502012</v>
      </c>
      <c r="AG62" s="1624"/>
      <c r="AH62" s="1624"/>
      <c r="AI62" s="1624"/>
      <c r="AJ62" s="1624"/>
      <c r="AK62" s="213"/>
      <c r="AL62" s="213"/>
      <c r="AM62" s="213"/>
      <c r="AN62" s="213"/>
      <c r="AO62" s="213"/>
    </row>
    <row r="63" spans="1:41">
      <c r="A63" s="1398" t="s">
        <v>1022</v>
      </c>
      <c r="B63" s="409"/>
      <c r="C63" s="409"/>
      <c r="D63" s="409"/>
      <c r="E63" s="409"/>
      <c r="F63" s="409"/>
      <c r="G63" s="409"/>
      <c r="H63" s="409"/>
      <c r="I63" s="409"/>
      <c r="J63" s="409"/>
      <c r="K63" s="409"/>
      <c r="L63" s="409"/>
      <c r="M63" s="409"/>
      <c r="N63" s="409"/>
      <c r="O63" s="409"/>
      <c r="P63" s="409"/>
      <c r="Q63" s="409"/>
      <c r="R63" s="319">
        <f>93%*R62</f>
        <v>1004.8185000000001</v>
      </c>
      <c r="S63" s="319">
        <f>93%*S62</f>
        <v>953.90100000000007</v>
      </c>
      <c r="T63" s="319">
        <f>93%*T62</f>
        <v>955.35180000000003</v>
      </c>
      <c r="U63" s="319">
        <f>93%*U62</f>
        <v>1236.3212970569041</v>
      </c>
      <c r="V63" s="319">
        <f>U63*(1+V73)</f>
        <v>865.42490793983279</v>
      </c>
      <c r="W63" s="319">
        <f>V63*(1+W73)</f>
        <v>796.19091530464618</v>
      </c>
      <c r="X63" s="319">
        <f>W63*(1+X73)</f>
        <v>955.42909836557533</v>
      </c>
      <c r="Y63" s="319">
        <f>X63*(1+Y73)</f>
        <v>1146.5149180386904</v>
      </c>
      <c r="Z63" s="319">
        <f>Y63*(1+Z73)</f>
        <v>1375.8179016464285</v>
      </c>
      <c r="AA63" s="319">
        <f>Z63</f>
        <v>1375.8179016464285</v>
      </c>
      <c r="AB63" s="319">
        <f t="shared" ref="AB63:AE63" si="54">AA63</f>
        <v>1375.8179016464285</v>
      </c>
      <c r="AC63" s="319">
        <f t="shared" si="54"/>
        <v>1375.8179016464285</v>
      </c>
      <c r="AD63" s="319">
        <f t="shared" si="54"/>
        <v>1375.8179016464285</v>
      </c>
      <c r="AE63" s="319">
        <f t="shared" si="54"/>
        <v>1375.8179016464285</v>
      </c>
      <c r="AF63" s="319">
        <f t="shared" ref="AF63" si="55">AE63</f>
        <v>1375.8179016464285</v>
      </c>
      <c r="AG63" s="1624"/>
      <c r="AH63" s="1624"/>
      <c r="AI63" s="1624"/>
      <c r="AJ63" s="1624"/>
      <c r="AK63" s="213"/>
      <c r="AL63" s="213"/>
      <c r="AM63" s="213"/>
      <c r="AN63" s="213"/>
      <c r="AO63" s="213"/>
    </row>
    <row r="64" spans="1:41">
      <c r="A64" s="1398" t="s">
        <v>1941</v>
      </c>
      <c r="B64" s="409"/>
      <c r="C64" s="409"/>
      <c r="D64" s="409"/>
      <c r="E64" s="409"/>
      <c r="F64" s="409"/>
      <c r="G64" s="409"/>
      <c r="H64" s="409"/>
      <c r="I64" s="409"/>
      <c r="J64" s="409"/>
      <c r="K64" s="409"/>
      <c r="L64" s="409"/>
      <c r="M64" s="409"/>
      <c r="N64" s="409"/>
      <c r="O64" s="409"/>
      <c r="P64" s="409"/>
      <c r="Q64" s="409"/>
      <c r="R64" s="319">
        <f>7%*R62</f>
        <v>75.631500000000017</v>
      </c>
      <c r="S64" s="319">
        <f>7%*S62</f>
        <v>71.799000000000007</v>
      </c>
      <c r="T64" s="319">
        <f>7%*T62</f>
        <v>71.908200000000008</v>
      </c>
      <c r="U64" s="319">
        <f>7%*U62</f>
        <v>93.056441713960538</v>
      </c>
      <c r="V64" s="319">
        <f>U64*(1+V72)</f>
        <v>51.181042942678303</v>
      </c>
      <c r="W64" s="319">
        <f>V64*(1+W72)</f>
        <v>43.503886501276554</v>
      </c>
      <c r="X64" s="319">
        <f t="shared" ref="X64:AF64" si="56">W64*(1+X71)</f>
        <v>58.730246776723355</v>
      </c>
      <c r="Y64" s="319">
        <f t="shared" si="56"/>
        <v>88.095370165085029</v>
      </c>
      <c r="Z64" s="319">
        <f t="shared" si="56"/>
        <v>107.47635160140374</v>
      </c>
      <c r="AA64" s="319">
        <f t="shared" si="56"/>
        <v>118.22398676154411</v>
      </c>
      <c r="AB64" s="319">
        <f t="shared" si="56"/>
        <v>132.41086517292942</v>
      </c>
      <c r="AC64" s="319">
        <f t="shared" si="56"/>
        <v>143.0037343867638</v>
      </c>
      <c r="AD64" s="319">
        <f t="shared" si="56"/>
        <v>154.44403313770491</v>
      </c>
      <c r="AE64" s="319">
        <f t="shared" si="56"/>
        <v>155.98847346908195</v>
      </c>
      <c r="AF64" s="319">
        <f t="shared" si="56"/>
        <v>157.54835820377278</v>
      </c>
      <c r="AG64" s="1624"/>
      <c r="AH64" s="1624"/>
      <c r="AI64" s="1624"/>
      <c r="AJ64" s="1624"/>
      <c r="AK64" s="213"/>
      <c r="AL64" s="213"/>
      <c r="AM64" s="213"/>
      <c r="AN64" s="213"/>
      <c r="AO64" s="213"/>
    </row>
    <row r="65" spans="1:41">
      <c r="A65" s="416" t="s">
        <v>1948</v>
      </c>
      <c r="B65" s="409"/>
      <c r="C65" s="409"/>
      <c r="D65" s="409"/>
      <c r="E65" s="409"/>
      <c r="F65" s="409"/>
      <c r="G65" s="409"/>
      <c r="H65" s="409"/>
      <c r="I65" s="409"/>
      <c r="J65" s="409"/>
      <c r="K65" s="409"/>
      <c r="L65" s="409"/>
      <c r="M65" s="409"/>
      <c r="N65" s="409"/>
      <c r="O65" s="409"/>
      <c r="P65" s="409"/>
      <c r="Q65" s="409"/>
      <c r="R65" s="319">
        <f>R68*25%</f>
        <v>360.15000000000003</v>
      </c>
      <c r="S65" s="319">
        <f>S68*25%</f>
        <v>341.90000000000003</v>
      </c>
      <c r="T65" s="319">
        <f>T68*25%</f>
        <v>342.42</v>
      </c>
      <c r="U65" s="319">
        <f>U68*25%</f>
        <v>443.12591292362157</v>
      </c>
      <c r="V65" s="319">
        <f t="shared" ref="V65:AA65" si="57">SUM(V66:V67)</f>
        <v>280.27713992419069</v>
      </c>
      <c r="W65" s="319">
        <f t="shared" si="57"/>
        <v>250.17781228885366</v>
      </c>
      <c r="X65" s="319">
        <f t="shared" si="57"/>
        <v>314.19676683632042</v>
      </c>
      <c r="Y65" s="319">
        <f t="shared" si="57"/>
        <v>414.79127884576383</v>
      </c>
      <c r="Z65" s="319">
        <f t="shared" si="57"/>
        <v>501.52505047913451</v>
      </c>
      <c r="AA65" s="319">
        <f t="shared" si="57"/>
        <v>524.55569725086389</v>
      </c>
      <c r="AB65" s="319">
        <f t="shared" ref="AB65:AE65" si="58">SUM(AB66:AB67)</f>
        <v>554.9561509895467</v>
      </c>
      <c r="AC65" s="319">
        <f t="shared" si="58"/>
        <v>577.65515644776315</v>
      </c>
      <c r="AD65" s="319">
        <f t="shared" si="58"/>
        <v>602.17008234263699</v>
      </c>
      <c r="AE65" s="319">
        <f t="shared" si="58"/>
        <v>605.47959733844505</v>
      </c>
      <c r="AF65" s="319">
        <f t="shared" ref="AF65" si="59">SUM(AF66:AF67)</f>
        <v>608.82220748421105</v>
      </c>
      <c r="AG65" s="1624"/>
      <c r="AH65" s="1624"/>
      <c r="AI65" s="1624"/>
      <c r="AJ65" s="1624"/>
      <c r="AK65" s="213"/>
      <c r="AL65" s="213"/>
      <c r="AM65" s="213"/>
      <c r="AN65" s="213"/>
      <c r="AO65" s="213"/>
    </row>
    <row r="66" spans="1:41">
      <c r="A66" s="1398" t="s">
        <v>1022</v>
      </c>
      <c r="B66" s="409"/>
      <c r="C66" s="409"/>
      <c r="D66" s="409"/>
      <c r="E66" s="409"/>
      <c r="F66" s="409"/>
      <c r="G66" s="409"/>
      <c r="H66" s="409"/>
      <c r="I66" s="409"/>
      <c r="J66" s="409"/>
      <c r="K66" s="409"/>
      <c r="L66" s="409"/>
      <c r="M66" s="409"/>
      <c r="N66" s="409"/>
      <c r="O66" s="409"/>
      <c r="P66" s="409"/>
      <c r="Q66" s="409"/>
      <c r="R66" s="319">
        <f>55%*R65</f>
        <v>198.08250000000004</v>
      </c>
      <c r="S66" s="319">
        <f>55%*S65</f>
        <v>188.04500000000004</v>
      </c>
      <c r="T66" s="319">
        <f>55%*T65</f>
        <v>188.33100000000002</v>
      </c>
      <c r="U66" s="319">
        <f>55%*U65</f>
        <v>243.71925210799188</v>
      </c>
      <c r="V66" s="319">
        <f>U66*(1+V73)</f>
        <v>170.60347647559431</v>
      </c>
      <c r="W66" s="319">
        <f>V66*(1+W73)</f>
        <v>156.95519835754678</v>
      </c>
      <c r="X66" s="319">
        <f>W66*(1+X73)</f>
        <v>188.34623802905614</v>
      </c>
      <c r="Y66" s="319">
        <f>X66*(1+Y73)</f>
        <v>226.01548563486736</v>
      </c>
      <c r="Z66" s="319">
        <f>Y66*(1+Z73)</f>
        <v>271.21858276184082</v>
      </c>
      <c r="AA66" s="319">
        <f>Z66</f>
        <v>271.21858276184082</v>
      </c>
      <c r="AB66" s="319">
        <f t="shared" ref="AB66:AE66" si="60">AA66</f>
        <v>271.21858276184082</v>
      </c>
      <c r="AC66" s="319">
        <f t="shared" si="60"/>
        <v>271.21858276184082</v>
      </c>
      <c r="AD66" s="319">
        <f t="shared" si="60"/>
        <v>271.21858276184082</v>
      </c>
      <c r="AE66" s="319">
        <f t="shared" si="60"/>
        <v>271.21858276184082</v>
      </c>
      <c r="AF66" s="319">
        <f t="shared" ref="AF66" si="61">AE66</f>
        <v>271.21858276184082</v>
      </c>
      <c r="AG66" s="1624"/>
      <c r="AH66" s="1624"/>
      <c r="AI66" s="1624"/>
      <c r="AJ66" s="1624"/>
      <c r="AK66" s="213"/>
      <c r="AL66" s="213"/>
      <c r="AM66" s="213"/>
      <c r="AN66" s="213"/>
      <c r="AO66" s="213"/>
    </row>
    <row r="67" spans="1:41">
      <c r="A67" s="1398" t="s">
        <v>1941</v>
      </c>
      <c r="B67" s="409"/>
      <c r="C67" s="409"/>
      <c r="D67" s="409"/>
      <c r="E67" s="409"/>
      <c r="F67" s="409"/>
      <c r="G67" s="409"/>
      <c r="H67" s="409"/>
      <c r="I67" s="409"/>
      <c r="J67" s="409"/>
      <c r="K67" s="409"/>
      <c r="L67" s="409"/>
      <c r="M67" s="409"/>
      <c r="N67" s="409"/>
      <c r="O67" s="409"/>
      <c r="P67" s="409"/>
      <c r="Q67" s="409"/>
      <c r="R67" s="319">
        <f>45%*R65</f>
        <v>162.06750000000002</v>
      </c>
      <c r="S67" s="319">
        <f>45%*S65</f>
        <v>153.85500000000002</v>
      </c>
      <c r="T67" s="319">
        <f>45%*T65</f>
        <v>154.089</v>
      </c>
      <c r="U67" s="319">
        <f>45%*U65</f>
        <v>199.40666081562972</v>
      </c>
      <c r="V67" s="319">
        <f>U67*(V72+1)</f>
        <v>109.67366344859636</v>
      </c>
      <c r="W67" s="319">
        <f>V67*(W72+1)</f>
        <v>93.222613931306896</v>
      </c>
      <c r="X67" s="319">
        <f t="shared" ref="X67:AF67" si="62">W67*(X71+1)</f>
        <v>125.85052880726431</v>
      </c>
      <c r="Y67" s="319">
        <f t="shared" si="62"/>
        <v>188.77579321089647</v>
      </c>
      <c r="Z67" s="319">
        <f t="shared" si="62"/>
        <v>230.30646771729369</v>
      </c>
      <c r="AA67" s="319">
        <f t="shared" si="62"/>
        <v>253.33711448902307</v>
      </c>
      <c r="AB67" s="319">
        <f t="shared" si="62"/>
        <v>283.73756822770588</v>
      </c>
      <c r="AC67" s="319">
        <f t="shared" si="62"/>
        <v>306.43657368592238</v>
      </c>
      <c r="AD67" s="319">
        <f t="shared" si="62"/>
        <v>330.95149958079622</v>
      </c>
      <c r="AE67" s="319">
        <f t="shared" si="62"/>
        <v>334.26101457660417</v>
      </c>
      <c r="AF67" s="319">
        <f t="shared" si="62"/>
        <v>337.60362472237023</v>
      </c>
      <c r="AG67" s="1624"/>
      <c r="AH67" s="1624"/>
      <c r="AI67" s="1624"/>
      <c r="AJ67" s="1624"/>
      <c r="AK67" s="213"/>
      <c r="AL67" s="213"/>
      <c r="AM67" s="213"/>
      <c r="AN67" s="213"/>
      <c r="AO67" s="213"/>
    </row>
    <row r="68" spans="1:41">
      <c r="A68" s="1399" t="s">
        <v>1949</v>
      </c>
      <c r="B68" s="373"/>
      <c r="C68" s="373"/>
      <c r="D68" s="373"/>
      <c r="E68" s="373"/>
      <c r="F68" s="373"/>
      <c r="G68" s="373"/>
      <c r="H68" s="373"/>
      <c r="I68" s="373"/>
      <c r="J68" s="373"/>
      <c r="K68" s="373"/>
      <c r="L68" s="373"/>
      <c r="M68" s="373"/>
      <c r="N68" s="373"/>
      <c r="O68" s="373"/>
      <c r="P68" s="373"/>
      <c r="Q68" s="373"/>
      <c r="R68" s="273">
        <f>R78*R43</f>
        <v>1440.6000000000001</v>
      </c>
      <c r="S68" s="273">
        <f t="shared" ref="S68:U68" si="63">S78*S43</f>
        <v>1367.6000000000001</v>
      </c>
      <c r="T68" s="273">
        <f t="shared" si="63"/>
        <v>1369.68</v>
      </c>
      <c r="U68" s="273">
        <f t="shared" si="63"/>
        <v>1772.5036516944863</v>
      </c>
      <c r="V68" s="273">
        <f t="shared" ref="V68:AB68" si="64">SUM(V62+V65)</f>
        <v>1196.8830908067018</v>
      </c>
      <c r="W68" s="273">
        <f t="shared" si="64"/>
        <v>1089.8726140947763</v>
      </c>
      <c r="X68" s="273">
        <f t="shared" si="64"/>
        <v>1328.3561119786191</v>
      </c>
      <c r="Y68" s="273">
        <f t="shared" si="64"/>
        <v>1649.4015670495394</v>
      </c>
      <c r="Z68" s="273">
        <f t="shared" si="64"/>
        <v>1984.8193037269668</v>
      </c>
      <c r="AA68" s="273">
        <f t="shared" si="64"/>
        <v>2018.5975856588366</v>
      </c>
      <c r="AB68" s="273">
        <f t="shared" si="64"/>
        <v>2063.1849178089046</v>
      </c>
      <c r="AC68" s="273">
        <f t="shared" ref="AC68:AE68" si="65">SUM(AC62+AC65)</f>
        <v>2096.4767924809557</v>
      </c>
      <c r="AD68" s="273">
        <f t="shared" si="65"/>
        <v>2132.4320171267705</v>
      </c>
      <c r="AE68" s="273">
        <f t="shared" si="65"/>
        <v>2137.2859724539558</v>
      </c>
      <c r="AF68" s="273">
        <f t="shared" ref="AF68" si="66">SUM(AF62+AF65)</f>
        <v>2142.1884673344121</v>
      </c>
      <c r="AG68" s="1624"/>
      <c r="AH68" s="1624"/>
      <c r="AI68" s="1624"/>
      <c r="AJ68" s="1624"/>
      <c r="AK68" s="213"/>
      <c r="AL68" s="213"/>
      <c r="AM68" s="213"/>
      <c r="AN68" s="213"/>
      <c r="AO68" s="213"/>
    </row>
    <row r="69" spans="1:41">
      <c r="A69" s="1400"/>
      <c r="B69" s="409"/>
      <c r="C69" s="409"/>
      <c r="D69" s="409"/>
      <c r="E69" s="409"/>
      <c r="F69" s="409"/>
      <c r="G69" s="409"/>
      <c r="H69" s="409"/>
      <c r="I69" s="409"/>
      <c r="J69" s="409"/>
      <c r="K69" s="409"/>
      <c r="L69" s="409"/>
      <c r="M69" s="409"/>
      <c r="N69" s="409"/>
      <c r="O69" s="409"/>
      <c r="P69" s="409"/>
      <c r="Q69" s="409"/>
      <c r="R69" s="409"/>
      <c r="S69" s="409"/>
      <c r="T69" s="409"/>
      <c r="U69" s="409"/>
      <c r="V69" s="409"/>
      <c r="W69" s="409"/>
      <c r="X69" s="409"/>
      <c r="Y69" s="409"/>
      <c r="Z69" s="409"/>
      <c r="AA69" s="409"/>
      <c r="AB69" s="409"/>
      <c r="AC69" s="409"/>
      <c r="AD69" s="409"/>
      <c r="AE69" s="409"/>
      <c r="AF69" s="409"/>
      <c r="AG69" s="1624"/>
      <c r="AH69" s="1624"/>
      <c r="AI69" s="1624"/>
      <c r="AJ69" s="1624"/>
      <c r="AK69" s="213"/>
      <c r="AL69" s="213"/>
      <c r="AM69" s="213"/>
      <c r="AN69" s="213"/>
      <c r="AO69" s="213"/>
    </row>
    <row r="70" spans="1:41">
      <c r="A70" s="1401" t="s">
        <v>1540</v>
      </c>
      <c r="B70" s="409"/>
      <c r="C70" s="409"/>
      <c r="D70" s="409"/>
      <c r="E70" s="409"/>
      <c r="F70" s="409"/>
      <c r="G70" s="409"/>
      <c r="H70" s="409"/>
      <c r="I70" s="409"/>
      <c r="J70" s="409"/>
      <c r="K70" s="409"/>
      <c r="L70" s="409"/>
      <c r="M70" s="409"/>
      <c r="N70" s="409"/>
      <c r="O70" s="409"/>
      <c r="P70" s="409"/>
      <c r="Q70" s="409"/>
      <c r="R70" s="409"/>
      <c r="S70" s="409"/>
      <c r="T70" s="409"/>
      <c r="U70" s="409"/>
      <c r="V70" s="409"/>
      <c r="W70" s="409"/>
      <c r="X70" s="409"/>
      <c r="Y70" s="409"/>
      <c r="Z70" s="409"/>
      <c r="AA70" s="409"/>
      <c r="AB70" s="409"/>
      <c r="AC70" s="409"/>
      <c r="AD70" s="409"/>
      <c r="AE70" s="409"/>
      <c r="AF70" s="409"/>
      <c r="AG70" s="1624"/>
      <c r="AH70" s="1624"/>
      <c r="AI70" s="1624"/>
      <c r="AJ70" s="1624"/>
      <c r="AK70" s="213"/>
      <c r="AL70" s="213"/>
      <c r="AM70" s="213"/>
      <c r="AN70" s="213"/>
      <c r="AO70" s="213"/>
    </row>
    <row r="71" spans="1:41">
      <c r="A71" s="416" t="s">
        <v>1950</v>
      </c>
      <c r="B71" s="409"/>
      <c r="C71" s="409"/>
      <c r="D71" s="409"/>
      <c r="E71" s="409"/>
      <c r="F71" s="409"/>
      <c r="G71" s="409"/>
      <c r="H71" s="409"/>
      <c r="I71" s="409"/>
      <c r="J71" s="409"/>
      <c r="K71" s="409"/>
      <c r="L71" s="409"/>
      <c r="M71" s="409"/>
      <c r="N71" s="409"/>
      <c r="O71" s="409"/>
      <c r="P71" s="409"/>
      <c r="Q71" s="409"/>
      <c r="R71" s="409"/>
      <c r="S71" s="409"/>
      <c r="T71" s="417">
        <v>0.06</v>
      </c>
      <c r="U71" s="417">
        <v>0.1</v>
      </c>
      <c r="V71" s="417">
        <v>-0.15</v>
      </c>
      <c r="W71" s="418">
        <v>0.1</v>
      </c>
      <c r="X71" s="418">
        <v>0.35</v>
      </c>
      <c r="Y71" s="418">
        <v>0.5</v>
      </c>
      <c r="Z71" s="418">
        <v>0.22</v>
      </c>
      <c r="AA71" s="1303">
        <v>0.1</v>
      </c>
      <c r="AB71" s="1303">
        <v>0.12</v>
      </c>
      <c r="AC71" s="1303">
        <v>0.08</v>
      </c>
      <c r="AD71" s="1303">
        <v>0.08</v>
      </c>
      <c r="AE71" s="1303">
        <v>0.01</v>
      </c>
      <c r="AF71" s="1303">
        <v>0.01</v>
      </c>
      <c r="AG71" s="1624"/>
      <c r="AH71" s="1624"/>
      <c r="AI71" s="1624"/>
      <c r="AJ71" s="1624"/>
      <c r="AK71" s="213"/>
      <c r="AL71" s="213"/>
      <c r="AM71" s="213"/>
      <c r="AN71" s="213"/>
      <c r="AO71" s="213"/>
    </row>
    <row r="72" spans="1:41">
      <c r="A72" s="416" t="s">
        <v>1951</v>
      </c>
      <c r="B72" s="409"/>
      <c r="C72" s="409"/>
      <c r="D72" s="409"/>
      <c r="E72" s="409"/>
      <c r="F72" s="409"/>
      <c r="G72" s="409"/>
      <c r="H72" s="409"/>
      <c r="I72" s="409"/>
      <c r="J72" s="409"/>
      <c r="K72" s="409"/>
      <c r="L72" s="409"/>
      <c r="M72" s="409"/>
      <c r="N72" s="409"/>
      <c r="O72" s="409"/>
      <c r="P72" s="409"/>
      <c r="Q72" s="409"/>
      <c r="R72" s="409"/>
      <c r="S72" s="276">
        <f>SUM(S67,S64,S59,S55,S52)/SUM(R67,R64,R59,R55,R52)-1</f>
        <v>-3.9735099337748436E-2</v>
      </c>
      <c r="T72" s="276">
        <f>SUM(T67,T64,T59,T55,T52)/SUM(S67,S64,S59,S55,S52)-1</f>
        <v>2.2811671087533236E-2</v>
      </c>
      <c r="U72" s="276">
        <f>SUM(U67,U64,U59,U55,U52)/SUM(T67,T64,T59,T55,T52)-1</f>
        <v>2.1790042248303276E-2</v>
      </c>
      <c r="V72" s="264">
        <v>-0.45</v>
      </c>
      <c r="W72" s="265">
        <v>-0.15</v>
      </c>
      <c r="X72" s="265">
        <v>0.35</v>
      </c>
      <c r="Y72" s="262">
        <f t="shared" ref="Y72:AF72" si="67">SUM(Y67,Y64,Y59,Y55,Y52)/SUM(X67,X64,X59,X55,X52)-1</f>
        <v>0.51807104313014962</v>
      </c>
      <c r="Z72" s="262">
        <f t="shared" si="67"/>
        <v>0.23904632140839843</v>
      </c>
      <c r="AA72" s="262">
        <f t="shared" si="67"/>
        <v>0.12029072184364242</v>
      </c>
      <c r="AB72" s="262">
        <f t="shared" si="67"/>
        <v>0.14173441744862481</v>
      </c>
      <c r="AC72" s="262">
        <f t="shared" si="67"/>
        <v>0.10322430582987585</v>
      </c>
      <c r="AD72" s="262">
        <f t="shared" si="67"/>
        <v>0.10484053400059845</v>
      </c>
      <c r="AE72" s="262">
        <f t="shared" si="67"/>
        <v>3.6530371776430703E-2</v>
      </c>
      <c r="AF72" s="262">
        <f t="shared" si="67"/>
        <v>3.8410853626380526E-2</v>
      </c>
      <c r="AG72" s="1624"/>
      <c r="AH72" s="1624"/>
      <c r="AI72" s="1624"/>
      <c r="AJ72" s="1624"/>
      <c r="AK72" s="213"/>
      <c r="AL72" s="213"/>
      <c r="AM72" s="213"/>
      <c r="AN72" s="213"/>
      <c r="AO72" s="213"/>
    </row>
    <row r="73" spans="1:41">
      <c r="A73" s="416" t="s">
        <v>1952</v>
      </c>
      <c r="B73" s="409"/>
      <c r="C73" s="409"/>
      <c r="D73" s="409"/>
      <c r="E73" s="409"/>
      <c r="F73" s="409"/>
      <c r="G73" s="409"/>
      <c r="H73" s="409"/>
      <c r="I73" s="409"/>
      <c r="J73" s="409"/>
      <c r="K73" s="409"/>
      <c r="L73" s="409"/>
      <c r="M73" s="409"/>
      <c r="N73" s="409"/>
      <c r="O73" s="409"/>
      <c r="P73" s="409"/>
      <c r="Q73" s="409"/>
      <c r="R73" s="409"/>
      <c r="S73" s="276"/>
      <c r="T73" s="276"/>
      <c r="U73" s="276"/>
      <c r="V73" s="264">
        <v>-0.3</v>
      </c>
      <c r="W73" s="265">
        <v>-0.08</v>
      </c>
      <c r="X73" s="265">
        <v>0.2</v>
      </c>
      <c r="Y73" s="265">
        <v>0.2</v>
      </c>
      <c r="Z73" s="265">
        <v>0.2</v>
      </c>
      <c r="AA73" s="1306">
        <v>0.12</v>
      </c>
      <c r="AB73" s="1306">
        <v>0.14000000000000001</v>
      </c>
      <c r="AC73" s="1306">
        <f>AB73-0.05</f>
        <v>9.0000000000000011E-2</v>
      </c>
      <c r="AD73" s="1306">
        <f>AC73-0.05</f>
        <v>4.0000000000000008E-2</v>
      </c>
      <c r="AE73" s="1306">
        <v>0.01</v>
      </c>
      <c r="AF73" s="1306">
        <v>0.01</v>
      </c>
      <c r="AG73" s="1624"/>
      <c r="AH73" s="1624"/>
      <c r="AI73" s="1624"/>
      <c r="AJ73" s="1624"/>
      <c r="AK73" s="213"/>
      <c r="AL73" s="213"/>
      <c r="AM73" s="213"/>
      <c r="AN73" s="213"/>
      <c r="AO73" s="213"/>
    </row>
    <row r="74" spans="1:41">
      <c r="A74" s="416"/>
      <c r="B74" s="409"/>
      <c r="C74" s="409"/>
      <c r="D74" s="409"/>
      <c r="E74" s="409"/>
      <c r="F74" s="409"/>
      <c r="G74" s="409"/>
      <c r="H74" s="409"/>
      <c r="I74" s="409"/>
      <c r="J74" s="409"/>
      <c r="K74" s="409"/>
      <c r="L74" s="409"/>
      <c r="M74" s="409"/>
      <c r="N74" s="409"/>
      <c r="O74" s="409"/>
      <c r="P74" s="409"/>
      <c r="Q74" s="409"/>
      <c r="R74" s="409"/>
      <c r="S74" s="276"/>
      <c r="T74" s="276"/>
      <c r="U74" s="276"/>
      <c r="V74" s="264"/>
      <c r="W74" s="264"/>
      <c r="X74" s="264"/>
      <c r="Y74" s="264"/>
      <c r="Z74" s="264"/>
      <c r="AA74" s="264"/>
      <c r="AB74" s="264"/>
      <c r="AC74" s="264"/>
      <c r="AD74" s="264"/>
      <c r="AE74" s="264"/>
      <c r="AF74" s="264"/>
      <c r="AG74" s="1624"/>
      <c r="AH74" s="1624"/>
      <c r="AI74" s="1624"/>
      <c r="AJ74" s="1624"/>
      <c r="AK74" s="213"/>
      <c r="AL74" s="213"/>
      <c r="AM74" s="213"/>
      <c r="AN74" s="213"/>
      <c r="AO74" s="213"/>
    </row>
    <row r="75" spans="1:41">
      <c r="A75" s="1402" t="s">
        <v>1953</v>
      </c>
      <c r="B75" s="1403"/>
      <c r="C75" s="1403"/>
      <c r="D75" s="1403"/>
      <c r="E75" s="1403"/>
      <c r="F75" s="1403"/>
      <c r="G75" s="1403"/>
      <c r="H75" s="1403"/>
      <c r="I75" s="1403"/>
      <c r="J75" s="1403"/>
      <c r="K75" s="1403"/>
      <c r="L75" s="1403"/>
      <c r="M75" s="1403"/>
      <c r="N75" s="1403"/>
      <c r="O75" s="1403"/>
      <c r="P75" s="1403"/>
      <c r="Q75" s="1403"/>
      <c r="R75" s="403"/>
      <c r="S75" s="403"/>
      <c r="T75" s="403"/>
      <c r="U75" s="403"/>
      <c r="V75" s="1404"/>
      <c r="W75" s="1404"/>
      <c r="X75" s="1405"/>
      <c r="Y75" s="1404"/>
      <c r="Z75" s="1404"/>
      <c r="AA75" s="1404"/>
      <c r="AB75" s="1404"/>
      <c r="AC75" s="1404"/>
      <c r="AD75" s="1404"/>
      <c r="AE75" s="1404"/>
      <c r="AF75" s="1404"/>
      <c r="AG75" s="1624"/>
      <c r="AH75" s="1624"/>
      <c r="AI75" s="1624"/>
      <c r="AJ75" s="1624"/>
      <c r="AK75" s="213"/>
      <c r="AL75" s="213"/>
      <c r="AM75" s="213"/>
      <c r="AN75" s="213"/>
      <c r="AO75" s="213"/>
    </row>
    <row r="76" spans="1:41">
      <c r="A76" s="263" t="s">
        <v>1954</v>
      </c>
      <c r="B76" s="263"/>
      <c r="C76" s="263"/>
      <c r="D76" s="263"/>
      <c r="E76" s="263"/>
      <c r="F76" s="263"/>
      <c r="G76" s="263"/>
      <c r="H76" s="263"/>
      <c r="I76" s="263"/>
      <c r="J76" s="263"/>
      <c r="K76" s="263"/>
      <c r="L76" s="263"/>
      <c r="M76" s="263"/>
      <c r="N76" s="1406">
        <v>0.47</v>
      </c>
      <c r="O76" s="1406">
        <v>0.46</v>
      </c>
      <c r="P76" s="1406">
        <v>0.45</v>
      </c>
      <c r="Q76" s="415">
        <v>0.48</v>
      </c>
      <c r="R76" s="415">
        <v>0.48</v>
      </c>
      <c r="S76" s="415">
        <v>0.48</v>
      </c>
      <c r="T76" s="415">
        <f t="shared" ref="T76:T78" si="68">S76</f>
        <v>0.48</v>
      </c>
      <c r="U76" s="415">
        <f>T76-4%</f>
        <v>0.44</v>
      </c>
      <c r="V76" s="413"/>
      <c r="W76" s="413"/>
      <c r="X76" s="413"/>
      <c r="Y76" s="413"/>
      <c r="Z76" s="413"/>
      <c r="AA76" s="413"/>
      <c r="AB76" s="413"/>
      <c r="AC76" s="413"/>
      <c r="AD76" s="413"/>
      <c r="AE76" s="413"/>
      <c r="AF76" s="413"/>
      <c r="AG76" s="1624"/>
      <c r="AH76" s="1624"/>
      <c r="AI76" s="1624"/>
      <c r="AJ76" s="1624"/>
      <c r="AK76" s="213"/>
      <c r="AL76" s="213"/>
      <c r="AM76" s="213"/>
      <c r="AN76" s="213"/>
      <c r="AO76" s="213"/>
    </row>
    <row r="77" spans="1:41">
      <c r="A77" s="263" t="s">
        <v>1955</v>
      </c>
      <c r="B77" s="263"/>
      <c r="C77" s="263"/>
      <c r="D77" s="263"/>
      <c r="E77" s="263"/>
      <c r="F77" s="263"/>
      <c r="G77" s="263"/>
      <c r="H77" s="263"/>
      <c r="I77" s="263"/>
      <c r="J77" s="263"/>
      <c r="K77" s="263"/>
      <c r="L77" s="263"/>
      <c r="M77" s="263"/>
      <c r="N77" s="1406">
        <v>0.27</v>
      </c>
      <c r="O77" s="1406">
        <v>0.28999999999999998</v>
      </c>
      <c r="P77" s="1406">
        <v>0.26</v>
      </c>
      <c r="Q77" s="415">
        <v>0.23</v>
      </c>
      <c r="R77" s="415">
        <v>0.24</v>
      </c>
      <c r="S77" s="415">
        <v>0.26</v>
      </c>
      <c r="T77" s="415">
        <f t="shared" si="68"/>
        <v>0.26</v>
      </c>
      <c r="U77" s="415">
        <f>T77+2%</f>
        <v>0.28000000000000003</v>
      </c>
      <c r="V77" s="413"/>
      <c r="W77" s="413"/>
      <c r="X77" s="413"/>
      <c r="Y77" s="413"/>
      <c r="Z77" s="413"/>
      <c r="AA77" s="413"/>
      <c r="AB77" s="413"/>
      <c r="AC77" s="413"/>
      <c r="AD77" s="413"/>
      <c r="AE77" s="413"/>
      <c r="AF77" s="413"/>
      <c r="AG77" s="1624"/>
      <c r="AH77" s="1624"/>
      <c r="AI77" s="1624"/>
      <c r="AJ77" s="1624"/>
      <c r="AK77" s="213"/>
      <c r="AL77" s="213"/>
      <c r="AM77" s="213"/>
      <c r="AN77" s="213"/>
      <c r="AO77" s="213"/>
    </row>
    <row r="78" spans="1:41">
      <c r="A78" s="263" t="s">
        <v>1956</v>
      </c>
      <c r="B78" s="263"/>
      <c r="C78" s="263"/>
      <c r="D78" s="263"/>
      <c r="E78" s="263"/>
      <c r="F78" s="263"/>
      <c r="G78" s="263"/>
      <c r="H78" s="263"/>
      <c r="I78" s="263"/>
      <c r="J78" s="263"/>
      <c r="K78" s="263"/>
      <c r="L78" s="263"/>
      <c r="M78" s="263"/>
      <c r="N78" s="1406">
        <v>0.24</v>
      </c>
      <c r="O78" s="1406">
        <v>0.23</v>
      </c>
      <c r="P78" s="1406">
        <v>0.28999999999999998</v>
      </c>
      <c r="Q78" s="415">
        <v>0.28999999999999998</v>
      </c>
      <c r="R78" s="415">
        <v>0.28000000000000003</v>
      </c>
      <c r="S78" s="415">
        <v>0.26</v>
      </c>
      <c r="T78" s="415">
        <f t="shared" si="68"/>
        <v>0.26</v>
      </c>
      <c r="U78" s="415">
        <f>T78+2%</f>
        <v>0.28000000000000003</v>
      </c>
      <c r="V78" s="413"/>
      <c r="W78" s="413"/>
      <c r="X78" s="413"/>
      <c r="Y78" s="413"/>
      <c r="Z78" s="413"/>
      <c r="AA78" s="413"/>
      <c r="AB78" s="413"/>
      <c r="AC78" s="413"/>
      <c r="AD78" s="413"/>
      <c r="AE78" s="413"/>
      <c r="AF78" s="413"/>
      <c r="AG78" s="1624"/>
      <c r="AH78" s="1624"/>
      <c r="AI78" s="1624"/>
      <c r="AJ78" s="1624"/>
      <c r="AK78" s="213"/>
      <c r="AL78" s="213"/>
      <c r="AM78" s="213"/>
      <c r="AN78" s="213"/>
      <c r="AO78" s="213"/>
    </row>
    <row r="79" spans="1:41">
      <c r="A79" s="263" t="s">
        <v>776</v>
      </c>
      <c r="B79" s="263"/>
      <c r="C79" s="263"/>
      <c r="D79" s="263"/>
      <c r="E79" s="263"/>
      <c r="F79" s="263"/>
      <c r="G79" s="263"/>
      <c r="H79" s="263"/>
      <c r="I79" s="263"/>
      <c r="J79" s="263"/>
      <c r="K79" s="263"/>
      <c r="L79" s="263"/>
      <c r="M79" s="263"/>
      <c r="N79" s="1406">
        <v>0.02</v>
      </c>
      <c r="O79" s="1406">
        <v>0.02</v>
      </c>
      <c r="P79" s="1406">
        <v>0</v>
      </c>
      <c r="Q79" s="1406">
        <v>0</v>
      </c>
      <c r="R79" s="1406">
        <v>0</v>
      </c>
      <c r="S79" s="1406">
        <v>0</v>
      </c>
      <c r="T79" s="1406">
        <v>0</v>
      </c>
      <c r="U79" s="1406">
        <v>0</v>
      </c>
      <c r="V79" s="1407"/>
      <c r="W79" s="1407"/>
      <c r="X79" s="1407"/>
      <c r="Y79" s="1407"/>
      <c r="Z79" s="1407"/>
      <c r="AA79" s="1407"/>
      <c r="AB79" s="1407"/>
      <c r="AC79" s="1407"/>
      <c r="AD79" s="1407"/>
      <c r="AE79" s="1407"/>
      <c r="AF79" s="1407"/>
      <c r="AG79" s="1624"/>
      <c r="AH79" s="1624"/>
      <c r="AI79" s="1624"/>
      <c r="AJ79" s="1624"/>
      <c r="AK79" s="213"/>
      <c r="AL79" s="213"/>
      <c r="AM79" s="213"/>
      <c r="AN79" s="213"/>
      <c r="AO79" s="213"/>
    </row>
    <row r="80" spans="1:41">
      <c r="A80" s="1400"/>
      <c r="B80" s="409"/>
      <c r="C80" s="409"/>
      <c r="D80" s="409"/>
      <c r="E80" s="409"/>
      <c r="F80" s="409"/>
      <c r="G80" s="409"/>
      <c r="H80" s="409"/>
      <c r="I80" s="409"/>
      <c r="J80" s="409"/>
      <c r="K80" s="409"/>
      <c r="L80" s="409"/>
      <c r="M80" s="409"/>
      <c r="N80" s="409"/>
      <c r="O80" s="409"/>
      <c r="P80" s="409"/>
      <c r="Q80" s="409"/>
      <c r="R80" s="409"/>
      <c r="S80" s="276"/>
      <c r="T80" s="276"/>
      <c r="U80" s="276"/>
      <c r="V80" s="276"/>
      <c r="W80" s="276"/>
      <c r="X80" s="276"/>
      <c r="Y80" s="276"/>
      <c r="Z80" s="276"/>
      <c r="AA80" s="276"/>
      <c r="AB80" s="276"/>
      <c r="AC80" s="276"/>
      <c r="AD80" s="276"/>
      <c r="AE80" s="276"/>
      <c r="AF80" s="276"/>
      <c r="AG80" s="1624"/>
      <c r="AH80" s="1624"/>
      <c r="AI80" s="1624"/>
      <c r="AJ80" s="1624"/>
      <c r="AK80" s="213"/>
      <c r="AL80" s="213"/>
      <c r="AM80" s="213"/>
      <c r="AN80" s="213"/>
      <c r="AO80" s="213"/>
    </row>
    <row r="81" spans="1:41">
      <c r="A81" s="263" t="s">
        <v>1957</v>
      </c>
      <c r="B81" s="263"/>
      <c r="C81" s="263"/>
      <c r="D81" s="263"/>
      <c r="E81" s="263"/>
      <c r="F81" s="263"/>
      <c r="G81" s="263"/>
      <c r="H81" s="263"/>
      <c r="I81" s="263"/>
      <c r="J81" s="263"/>
      <c r="K81" s="1408">
        <v>1.3942000000000001</v>
      </c>
      <c r="L81" s="1408">
        <v>1.3267</v>
      </c>
      <c r="M81" s="1408">
        <v>1.3924000000000001</v>
      </c>
      <c r="N81" s="1408">
        <v>1.2855785440613019</v>
      </c>
      <c r="O81" s="1408">
        <v>1.3283</v>
      </c>
      <c r="P81" s="1408">
        <v>1.2839400000000001</v>
      </c>
      <c r="Q81" s="1408">
        <v>1.20086</v>
      </c>
      <c r="R81" s="1408">
        <v>1.1933450000000001</v>
      </c>
      <c r="S81" s="1408">
        <v>1.1818949999999999</v>
      </c>
      <c r="T81" s="1408">
        <v>1.18028</v>
      </c>
      <c r="U81" s="1408">
        <v>1.159077672574627</v>
      </c>
      <c r="V81" s="1408">
        <v>1.1490638246268656</v>
      </c>
      <c r="W81" s="1408">
        <v>1.1713242788461544</v>
      </c>
      <c r="X81" s="1408">
        <v>1.1065795550914248</v>
      </c>
      <c r="Y81" s="1408">
        <v>1.1105369302909465</v>
      </c>
      <c r="Z81" s="1408">
        <v>1.1083231112074399</v>
      </c>
      <c r="AA81" s="1462">
        <f>'Income Statement'!AA155</f>
        <v>1.1207295968584789</v>
      </c>
      <c r="AB81" s="1462">
        <f>'Income Statement'!AB155</f>
        <v>1.1426415000000001</v>
      </c>
      <c r="AC81" s="1462">
        <f>'Income Statement'!AC155</f>
        <v>1.1426415000000001</v>
      </c>
      <c r="AD81" s="1462">
        <f>'Income Statement'!AD155</f>
        <v>1.1426415000000001</v>
      </c>
      <c r="AE81" s="1462">
        <f>'Income Statement'!AE155</f>
        <v>1.1426415000000001</v>
      </c>
      <c r="AF81" s="1462">
        <f>'Income Statement'!AF155</f>
        <v>1.1426415000000001</v>
      </c>
      <c r="AG81" s="1624"/>
      <c r="AH81" s="1624"/>
      <c r="AI81" s="1624"/>
      <c r="AJ81" s="1624"/>
      <c r="AK81" s="213"/>
      <c r="AL81" s="213"/>
      <c r="AM81" s="213"/>
      <c r="AN81" s="213"/>
      <c r="AO81" s="213"/>
    </row>
    <row r="82" spans="1:41">
      <c r="A82" s="263" t="s">
        <v>1958</v>
      </c>
      <c r="B82" s="263"/>
      <c r="C82" s="263"/>
      <c r="D82" s="263"/>
      <c r="E82" s="263"/>
      <c r="F82" s="263"/>
      <c r="G82" s="263"/>
      <c r="H82" s="263"/>
      <c r="I82" s="263"/>
      <c r="J82" s="263"/>
      <c r="K82" s="1409"/>
      <c r="L82" s="1410">
        <f t="shared" ref="L82:AF82" si="69">K81/L81-1</f>
        <v>5.087811864023517E-2</v>
      </c>
      <c r="M82" s="1410">
        <f t="shared" si="69"/>
        <v>-4.7184717035334778E-2</v>
      </c>
      <c r="N82" s="1410">
        <f t="shared" si="69"/>
        <v>8.3092127223309165E-2</v>
      </c>
      <c r="O82" s="1410">
        <f t="shared" si="69"/>
        <v>-3.2162505411953757E-2</v>
      </c>
      <c r="P82" s="1410">
        <f t="shared" si="69"/>
        <v>3.4549901085720425E-2</v>
      </c>
      <c r="Q82" s="1410">
        <f t="shared" si="69"/>
        <v>6.9183751644654734E-2</v>
      </c>
      <c r="R82" s="1410">
        <f t="shared" si="69"/>
        <v>6.2974244665205958E-3</v>
      </c>
      <c r="S82" s="1410">
        <f t="shared" si="69"/>
        <v>9.6878318293927013E-3</v>
      </c>
      <c r="T82" s="1410">
        <f t="shared" si="69"/>
        <v>1.3683193818414541E-3</v>
      </c>
      <c r="U82" s="1410">
        <f t="shared" si="69"/>
        <v>1.8292412947854331E-2</v>
      </c>
      <c r="V82" s="1410">
        <f t="shared" si="69"/>
        <v>8.7147882764591067E-3</v>
      </c>
      <c r="W82" s="1410">
        <f t="shared" si="69"/>
        <v>-1.9004518749681454E-2</v>
      </c>
      <c r="X82" s="1410">
        <f t="shared" si="69"/>
        <v>5.8508873995399613E-2</v>
      </c>
      <c r="Y82" s="1410">
        <f t="shared" si="69"/>
        <v>-3.5634791528138532E-3</v>
      </c>
      <c r="Z82" s="1410">
        <f t="shared" si="69"/>
        <v>1.9974491744512157E-3</v>
      </c>
      <c r="AA82" s="1410">
        <f t="shared" si="69"/>
        <v>-1.1070008042810442E-2</v>
      </c>
      <c r="AB82" s="1410">
        <f t="shared" si="69"/>
        <v>-1.9176533621018566E-2</v>
      </c>
      <c r="AC82" s="1410">
        <f t="shared" si="69"/>
        <v>0</v>
      </c>
      <c r="AD82" s="1410">
        <f t="shared" si="69"/>
        <v>0</v>
      </c>
      <c r="AE82" s="1410">
        <f t="shared" si="69"/>
        <v>0</v>
      </c>
      <c r="AF82" s="1410">
        <f t="shared" si="69"/>
        <v>0</v>
      </c>
      <c r="AG82" s="1624"/>
      <c r="AH82" s="1624"/>
      <c r="AI82" s="1624"/>
      <c r="AJ82" s="1624"/>
      <c r="AK82" s="213"/>
      <c r="AL82" s="213"/>
      <c r="AM82" s="213"/>
      <c r="AN82" s="213"/>
      <c r="AO82" s="213"/>
    </row>
    <row r="83" spans="1:41">
      <c r="A83" s="266"/>
      <c r="B83" s="263"/>
      <c r="C83" s="263"/>
      <c r="D83" s="263"/>
      <c r="E83" s="263"/>
      <c r="F83" s="263"/>
      <c r="G83" s="263"/>
      <c r="H83" s="263"/>
      <c r="I83" s="263"/>
      <c r="J83" s="263"/>
      <c r="K83" s="263"/>
      <c r="L83" s="263"/>
      <c r="M83" s="263"/>
      <c r="N83" s="263"/>
      <c r="O83" s="263"/>
      <c r="P83" s="263"/>
      <c r="Q83" s="263"/>
      <c r="R83" s="263"/>
      <c r="S83" s="263"/>
      <c r="T83" s="263"/>
      <c r="U83" s="263"/>
      <c r="V83" s="263"/>
      <c r="W83" s="263"/>
      <c r="X83" s="263"/>
      <c r="Y83" s="263"/>
      <c r="Z83" s="263"/>
      <c r="AA83" s="263"/>
      <c r="AB83" s="263"/>
      <c r="AC83" s="263"/>
      <c r="AD83" s="263"/>
      <c r="AE83" s="263"/>
      <c r="AF83" s="263"/>
      <c r="AG83" s="1624"/>
      <c r="AH83" s="1624"/>
      <c r="AI83" s="1624"/>
      <c r="AJ83" s="1624"/>
      <c r="AK83" s="213"/>
      <c r="AL83" s="213"/>
      <c r="AM83" s="213"/>
      <c r="AN83" s="213"/>
      <c r="AO83" s="213"/>
    </row>
    <row r="84" spans="1:41">
      <c r="A84" s="470" t="s">
        <v>744</v>
      </c>
      <c r="B84" s="505"/>
      <c r="C84" s="505"/>
      <c r="D84" s="505"/>
      <c r="E84" s="505"/>
      <c r="F84" s="505"/>
      <c r="G84" s="505"/>
      <c r="H84" s="505"/>
      <c r="I84" s="506"/>
      <c r="J84" s="506"/>
      <c r="K84" s="506"/>
      <c r="L84" s="506"/>
      <c r="M84" s="506"/>
      <c r="N84" s="506"/>
      <c r="O84" s="506"/>
      <c r="P84" s="506"/>
      <c r="Q84" s="506"/>
      <c r="R84" s="506"/>
      <c r="S84" s="506"/>
      <c r="T84" s="506"/>
      <c r="U84" s="506"/>
      <c r="V84" s="471"/>
      <c r="W84" s="507"/>
      <c r="X84" s="507"/>
      <c r="Y84" s="507"/>
      <c r="Z84" s="507"/>
      <c r="AA84" s="395"/>
      <c r="AB84" s="395"/>
      <c r="AC84" s="395"/>
      <c r="AD84" s="395"/>
      <c r="AE84" s="395"/>
      <c r="AF84" s="395"/>
      <c r="AG84" s="1624"/>
      <c r="AH84" s="1624"/>
      <c r="AI84" s="1624"/>
      <c r="AJ84" s="1624"/>
      <c r="AK84" s="213"/>
      <c r="AL84" s="213"/>
      <c r="AM84" s="213"/>
      <c r="AN84" s="213"/>
      <c r="AO84" s="213"/>
    </row>
    <row r="85" spans="1:41">
      <c r="A85" s="306" t="s">
        <v>1267</v>
      </c>
      <c r="B85" s="307"/>
      <c r="C85" s="307"/>
      <c r="D85" s="307"/>
      <c r="E85" s="307"/>
      <c r="F85" s="307"/>
      <c r="G85" s="307"/>
      <c r="H85" s="307"/>
      <c r="I85" s="307"/>
      <c r="J85" s="307"/>
      <c r="K85" s="307"/>
      <c r="L85" s="307"/>
      <c r="M85" s="308"/>
      <c r="N85" s="308"/>
      <c r="O85" s="308"/>
      <c r="P85" s="308"/>
      <c r="Q85" s="308"/>
      <c r="R85" s="308"/>
      <c r="S85" s="308"/>
      <c r="T85" s="308"/>
      <c r="U85" s="308"/>
      <c r="V85" s="308"/>
      <c r="W85" s="308"/>
      <c r="X85" s="308"/>
      <c r="Y85" s="308"/>
      <c r="Z85" s="308"/>
      <c r="AA85" s="308"/>
      <c r="AB85" s="308"/>
      <c r="AC85" s="308"/>
      <c r="AD85" s="308"/>
      <c r="AE85" s="308"/>
      <c r="AF85" s="308"/>
      <c r="AG85" s="1624"/>
      <c r="AH85" s="1624"/>
      <c r="AI85" s="1624"/>
      <c r="AJ85" s="1624"/>
      <c r="AK85" s="213"/>
      <c r="AL85" s="213"/>
      <c r="AM85" s="213"/>
      <c r="AN85" s="213"/>
      <c r="AO85" s="213"/>
    </row>
    <row r="86" spans="1:41">
      <c r="A86" s="261" t="s">
        <v>1022</v>
      </c>
      <c r="B86" s="213"/>
      <c r="C86" s="213"/>
      <c r="D86" s="213"/>
      <c r="E86" s="213"/>
      <c r="F86" s="213"/>
      <c r="G86" s="213"/>
      <c r="H86" s="213"/>
      <c r="I86" s="213"/>
      <c r="J86" s="213"/>
      <c r="K86" s="213"/>
      <c r="L86" s="213"/>
      <c r="M86" s="213"/>
      <c r="N86" s="213"/>
      <c r="O86" s="259"/>
      <c r="P86" s="259"/>
      <c r="Q86" s="260">
        <v>802</v>
      </c>
      <c r="R86" s="260">
        <v>799</v>
      </c>
      <c r="S86" s="260">
        <v>887</v>
      </c>
      <c r="T86" s="259">
        <v>934.18085106382978</v>
      </c>
      <c r="U86" s="259">
        <v>1287.1715244015957</v>
      </c>
      <c r="V86" s="259">
        <v>1287.1715244015957</v>
      </c>
      <c r="W86" s="259">
        <v>1300.0432396456117</v>
      </c>
      <c r="X86" s="259">
        <v>1322.3060712487686</v>
      </c>
      <c r="Y86" s="259">
        <v>1388.421374811207</v>
      </c>
      <c r="Z86" s="259">
        <v>1666.105649773448</v>
      </c>
      <c r="AA86" s="259">
        <f>Z86*(1+AA91)</f>
        <v>1832.7162147507929</v>
      </c>
      <c r="AB86" s="259">
        <f t="shared" ref="AB86:AF87" si="70">AA86*(1+AB91)</f>
        <v>2070.9693226683958</v>
      </c>
      <c r="AC86" s="259">
        <f t="shared" si="70"/>
        <v>2195.2274820284997</v>
      </c>
      <c r="AD86" s="259">
        <f t="shared" si="70"/>
        <v>2326.9411309502098</v>
      </c>
      <c r="AE86" s="259">
        <f t="shared" si="70"/>
        <v>2373.4799535692141</v>
      </c>
      <c r="AF86" s="259">
        <f t="shared" si="70"/>
        <v>2397.2147531049063</v>
      </c>
      <c r="AG86" s="1624"/>
      <c r="AH86" s="1624"/>
      <c r="AI86" s="1624"/>
      <c r="AJ86" s="1624"/>
      <c r="AK86" s="213"/>
      <c r="AL86" s="213"/>
      <c r="AM86" s="213"/>
      <c r="AN86" s="213"/>
      <c r="AO86" s="213"/>
    </row>
    <row r="87" spans="1:41">
      <c r="A87" s="261" t="s">
        <v>1334</v>
      </c>
      <c r="B87" s="213"/>
      <c r="C87" s="213"/>
      <c r="D87" s="213"/>
      <c r="E87" s="213"/>
      <c r="F87" s="213"/>
      <c r="G87" s="213"/>
      <c r="H87" s="213"/>
      <c r="I87" s="213"/>
      <c r="J87" s="213"/>
      <c r="K87" s="213"/>
      <c r="L87" s="213"/>
      <c r="M87" s="213"/>
      <c r="N87" s="213"/>
      <c r="O87" s="259"/>
      <c r="P87" s="259"/>
      <c r="Q87" s="260">
        <v>326</v>
      </c>
      <c r="R87" s="259">
        <v>439</v>
      </c>
      <c r="S87" s="259">
        <v>429</v>
      </c>
      <c r="T87" s="259">
        <v>451.81914893617022</v>
      </c>
      <c r="U87" s="259">
        <v>622.54406309840419</v>
      </c>
      <c r="V87" s="259">
        <v>622.54406309840419</v>
      </c>
      <c r="W87" s="259">
        <v>628.76950372938813</v>
      </c>
      <c r="X87" s="259">
        <v>639.53698372685631</v>
      </c>
      <c r="Y87" s="259">
        <v>671.51383291319917</v>
      </c>
      <c r="Z87" s="259">
        <v>805.816599495839</v>
      </c>
      <c r="AA87" s="259">
        <f>Z87*(1+AA92)</f>
        <v>886.39825944542292</v>
      </c>
      <c r="AB87" s="259">
        <f t="shared" si="70"/>
        <v>1001.6300331733278</v>
      </c>
      <c r="AC87" s="259">
        <f t="shared" si="70"/>
        <v>1061.7278351637276</v>
      </c>
      <c r="AD87" s="259">
        <f t="shared" si="70"/>
        <v>1125.4315052735512</v>
      </c>
      <c r="AE87" s="259">
        <f t="shared" si="70"/>
        <v>1147.9401353790222</v>
      </c>
      <c r="AF87" s="259">
        <f t="shared" si="70"/>
        <v>1159.4195367328125</v>
      </c>
      <c r="AG87" s="1624"/>
      <c r="AH87" s="1624"/>
      <c r="AI87" s="1624"/>
      <c r="AJ87" s="1624"/>
      <c r="AK87" s="213"/>
      <c r="AL87" s="213"/>
      <c r="AM87" s="213"/>
      <c r="AN87" s="213"/>
      <c r="AO87" s="213"/>
    </row>
    <row r="88" spans="1:41">
      <c r="A88" s="57" t="s">
        <v>1544</v>
      </c>
      <c r="B88" s="57"/>
      <c r="C88" s="57"/>
      <c r="D88" s="57"/>
      <c r="E88" s="57"/>
      <c r="F88" s="57"/>
      <c r="G88" s="57"/>
      <c r="H88" s="57"/>
      <c r="I88" s="57"/>
      <c r="J88" s="275">
        <v>1021</v>
      </c>
      <c r="K88" s="275">
        <v>1061</v>
      </c>
      <c r="L88" s="275">
        <v>1240</v>
      </c>
      <c r="M88" s="275">
        <v>1264</v>
      </c>
      <c r="N88" s="275">
        <v>1315</v>
      </c>
      <c r="O88" s="275">
        <v>1197</v>
      </c>
      <c r="P88" s="275">
        <v>1221</v>
      </c>
      <c r="Q88" s="273">
        <f t="shared" ref="Q88:Z88" si="71">SUM(Q86:Q87)</f>
        <v>1128</v>
      </c>
      <c r="R88" s="273">
        <f t="shared" si="71"/>
        <v>1238</v>
      </c>
      <c r="S88" s="273">
        <f t="shared" si="71"/>
        <v>1316</v>
      </c>
      <c r="T88" s="273">
        <f t="shared" si="71"/>
        <v>1386</v>
      </c>
      <c r="U88" s="273">
        <f t="shared" si="71"/>
        <v>1909.7155874999999</v>
      </c>
      <c r="V88" s="273">
        <f t="shared" si="71"/>
        <v>1909.7155874999999</v>
      </c>
      <c r="W88" s="273">
        <f t="shared" si="71"/>
        <v>1928.8127433749999</v>
      </c>
      <c r="X88" s="273">
        <f t="shared" si="71"/>
        <v>1961.8430549756249</v>
      </c>
      <c r="Y88" s="273">
        <f t="shared" si="71"/>
        <v>2059.9352077244062</v>
      </c>
      <c r="Z88" s="273">
        <f t="shared" si="71"/>
        <v>2471.922249269287</v>
      </c>
      <c r="AA88" s="273">
        <f>SUM(AA86:AA87)</f>
        <v>2719.1144741962157</v>
      </c>
      <c r="AB88" s="273">
        <f t="shared" ref="AB88:AF88" si="72">SUM(AB86:AB87)</f>
        <v>3072.5993558417235</v>
      </c>
      <c r="AC88" s="273">
        <f t="shared" si="72"/>
        <v>3256.9553171922271</v>
      </c>
      <c r="AD88" s="273">
        <f t="shared" si="72"/>
        <v>3452.3726362237612</v>
      </c>
      <c r="AE88" s="273">
        <f t="shared" si="72"/>
        <v>3521.4200889482363</v>
      </c>
      <c r="AF88" s="273">
        <f t="shared" si="72"/>
        <v>3556.6342898377188</v>
      </c>
      <c r="AG88" s="1624"/>
      <c r="AH88" s="1624"/>
      <c r="AI88" s="1624"/>
      <c r="AJ88" s="1624"/>
      <c r="AK88" s="213"/>
      <c r="AL88" s="213"/>
      <c r="AM88" s="213"/>
      <c r="AN88" s="213"/>
      <c r="AO88" s="213"/>
    </row>
    <row r="89" spans="1:41">
      <c r="A89" s="396" t="s">
        <v>1489</v>
      </c>
      <c r="B89" s="397"/>
      <c r="C89" s="397"/>
      <c r="D89" s="397"/>
      <c r="E89" s="397"/>
      <c r="F89" s="397"/>
      <c r="G89" s="397"/>
      <c r="H89" s="397"/>
      <c r="I89" s="397"/>
      <c r="J89" s="397"/>
      <c r="K89" s="412">
        <f t="shared" ref="K89:AF89" si="73">K88/J88-1</f>
        <v>3.9177277179236025E-2</v>
      </c>
      <c r="L89" s="412">
        <f t="shared" si="73"/>
        <v>0.16870876531573997</v>
      </c>
      <c r="M89" s="412">
        <f t="shared" si="73"/>
        <v>1.9354838709677358E-2</v>
      </c>
      <c r="N89" s="412">
        <f t="shared" si="73"/>
        <v>4.0348101265822889E-2</v>
      </c>
      <c r="O89" s="412">
        <f t="shared" si="73"/>
        <v>-8.9733840304182522E-2</v>
      </c>
      <c r="P89" s="412">
        <f t="shared" si="73"/>
        <v>2.0050125313283207E-2</v>
      </c>
      <c r="Q89" s="412">
        <f t="shared" si="73"/>
        <v>-7.6167076167076186E-2</v>
      </c>
      <c r="R89" s="412">
        <f t="shared" si="73"/>
        <v>9.7517730496453847E-2</v>
      </c>
      <c r="S89" s="412">
        <f t="shared" si="73"/>
        <v>6.3004846526655944E-2</v>
      </c>
      <c r="T89" s="412">
        <f t="shared" si="73"/>
        <v>5.3191489361702038E-2</v>
      </c>
      <c r="U89" s="412">
        <f t="shared" si="73"/>
        <v>0.37786117424242405</v>
      </c>
      <c r="V89" s="412">
        <f t="shared" si="73"/>
        <v>0</v>
      </c>
      <c r="W89" s="412">
        <f t="shared" si="73"/>
        <v>1.0000000000000009E-2</v>
      </c>
      <c r="X89" s="412">
        <f t="shared" si="73"/>
        <v>1.7124685490634617E-2</v>
      </c>
      <c r="Y89" s="412">
        <f t="shared" si="73"/>
        <v>5.0000000000000044E-2</v>
      </c>
      <c r="Z89" s="412">
        <f t="shared" si="73"/>
        <v>0.19999999999999973</v>
      </c>
      <c r="AA89" s="412">
        <f t="shared" si="73"/>
        <v>0.10000000000000009</v>
      </c>
      <c r="AB89" s="412">
        <f t="shared" si="73"/>
        <v>0.12999999999999989</v>
      </c>
      <c r="AC89" s="412">
        <f t="shared" si="73"/>
        <v>6.0000000000000053E-2</v>
      </c>
      <c r="AD89" s="412">
        <f t="shared" si="73"/>
        <v>6.0000000000000053E-2</v>
      </c>
      <c r="AE89" s="412">
        <f t="shared" si="73"/>
        <v>2.0000000000000018E-2</v>
      </c>
      <c r="AF89" s="412">
        <f t="shared" si="73"/>
        <v>1.0000000000000009E-2</v>
      </c>
      <c r="AG89" s="1624"/>
      <c r="AH89" s="1624"/>
      <c r="AI89" s="1624"/>
      <c r="AJ89" s="1624"/>
      <c r="AK89" s="213"/>
      <c r="AL89" s="213"/>
      <c r="AM89" s="213"/>
      <c r="AN89" s="213"/>
      <c r="AO89" s="213"/>
    </row>
    <row r="90" spans="1:41">
      <c r="A90" s="306" t="s">
        <v>1936</v>
      </c>
      <c r="B90" s="307"/>
      <c r="C90" s="307"/>
      <c r="D90" s="307"/>
      <c r="E90" s="307"/>
      <c r="F90" s="307"/>
      <c r="G90" s="307"/>
      <c r="H90" s="307"/>
      <c r="I90" s="307"/>
      <c r="J90" s="307"/>
      <c r="K90" s="307"/>
      <c r="L90" s="307"/>
      <c r="M90" s="308"/>
      <c r="N90" s="308"/>
      <c r="O90" s="308"/>
      <c r="P90" s="308"/>
      <c r="Q90" s="308"/>
      <c r="R90" s="308"/>
      <c r="S90" s="308"/>
      <c r="T90" s="308"/>
      <c r="U90" s="308"/>
      <c r="V90" s="308"/>
      <c r="W90" s="308"/>
      <c r="X90" s="308"/>
      <c r="Y90" s="308"/>
      <c r="Z90" s="308"/>
      <c r="AA90" s="308"/>
      <c r="AB90" s="308"/>
      <c r="AC90" s="308"/>
      <c r="AD90" s="308"/>
      <c r="AE90" s="308"/>
      <c r="AF90" s="308"/>
      <c r="AG90" s="1624"/>
      <c r="AH90" s="1624"/>
      <c r="AI90" s="1624"/>
      <c r="AJ90" s="1624"/>
      <c r="AK90" s="213"/>
      <c r="AL90" s="213"/>
      <c r="AM90" s="213"/>
      <c r="AN90" s="213"/>
      <c r="AO90" s="213"/>
    </row>
    <row r="91" spans="1:41">
      <c r="A91" s="266" t="s">
        <v>1022</v>
      </c>
      <c r="B91" s="263"/>
      <c r="C91" s="263"/>
      <c r="D91" s="263"/>
      <c r="E91" s="263"/>
      <c r="F91" s="263"/>
      <c r="G91" s="263"/>
      <c r="H91" s="263"/>
      <c r="I91" s="263"/>
      <c r="J91" s="263"/>
      <c r="K91" s="1382"/>
      <c r="L91" s="1382"/>
      <c r="M91" s="1382"/>
      <c r="N91" s="1382"/>
      <c r="O91" s="1382"/>
      <c r="P91" s="1382"/>
      <c r="Q91" s="1382"/>
      <c r="R91" s="1382">
        <f>R86/Q86-1</f>
        <v>-3.7406483790524137E-3</v>
      </c>
      <c r="S91" s="1382">
        <f t="shared" ref="S91:Z92" si="74">S86/R86-1</f>
        <v>0.1101376720901126</v>
      </c>
      <c r="T91" s="1382">
        <f t="shared" si="74"/>
        <v>5.3191489361702038E-2</v>
      </c>
      <c r="U91" s="1382">
        <f t="shared" si="74"/>
        <v>0.37786117424242427</v>
      </c>
      <c r="V91" s="1382">
        <f t="shared" si="74"/>
        <v>0</v>
      </c>
      <c r="W91" s="1382">
        <f t="shared" si="74"/>
        <v>1.0000000000000009E-2</v>
      </c>
      <c r="X91" s="1382">
        <f t="shared" si="74"/>
        <v>1.7124685490634617E-2</v>
      </c>
      <c r="Y91" s="1382">
        <f t="shared" si="74"/>
        <v>5.0000000000000044E-2</v>
      </c>
      <c r="Z91" s="1382">
        <f t="shared" si="74"/>
        <v>0.19999999999999973</v>
      </c>
      <c r="AA91" s="1306">
        <v>0.1</v>
      </c>
      <c r="AB91" s="1306">
        <v>0.13</v>
      </c>
      <c r="AC91" s="1306">
        <v>0.06</v>
      </c>
      <c r="AD91" s="1306">
        <f t="shared" ref="AD91:AD92" si="75">AC91</f>
        <v>0.06</v>
      </c>
      <c r="AE91" s="1306">
        <v>0.02</v>
      </c>
      <c r="AF91" s="1306">
        <v>0.01</v>
      </c>
      <c r="AG91" s="1624"/>
      <c r="AH91" s="1624"/>
      <c r="AI91" s="1624"/>
      <c r="AJ91" s="1624"/>
      <c r="AK91" s="213"/>
      <c r="AL91" s="213"/>
      <c r="AM91" s="213"/>
      <c r="AN91" s="213"/>
      <c r="AO91" s="213"/>
    </row>
    <row r="92" spans="1:41">
      <c r="A92" s="266" t="s">
        <v>1023</v>
      </c>
      <c r="B92" s="263"/>
      <c r="C92" s="263"/>
      <c r="D92" s="263"/>
      <c r="E92" s="263"/>
      <c r="F92" s="263"/>
      <c r="G92" s="263"/>
      <c r="H92" s="263"/>
      <c r="I92" s="263"/>
      <c r="J92" s="263"/>
      <c r="K92" s="1382"/>
      <c r="L92" s="1382"/>
      <c r="M92" s="1382"/>
      <c r="N92" s="1382"/>
      <c r="O92" s="1382"/>
      <c r="P92" s="1382"/>
      <c r="Q92" s="1382"/>
      <c r="R92" s="1382">
        <f>R87/Q87-1</f>
        <v>0.34662576687116564</v>
      </c>
      <c r="S92" s="1382">
        <f t="shared" si="74"/>
        <v>-2.277904328018221E-2</v>
      </c>
      <c r="T92" s="1382">
        <f t="shared" si="74"/>
        <v>5.319148936170226E-2</v>
      </c>
      <c r="U92" s="1382">
        <f t="shared" si="74"/>
        <v>0.37786117424242405</v>
      </c>
      <c r="V92" s="1382">
        <f t="shared" si="74"/>
        <v>0</v>
      </c>
      <c r="W92" s="1382">
        <f t="shared" si="74"/>
        <v>9.9999999999997868E-3</v>
      </c>
      <c r="X92" s="1382">
        <f t="shared" si="74"/>
        <v>1.7124685490634617E-2</v>
      </c>
      <c r="Y92" s="1382">
        <f t="shared" si="74"/>
        <v>5.0000000000000044E-2</v>
      </c>
      <c r="Z92" s="1382">
        <f t="shared" si="74"/>
        <v>0.19999999999999996</v>
      </c>
      <c r="AA92" s="1306">
        <v>0.1</v>
      </c>
      <c r="AB92" s="1306">
        <v>0.13</v>
      </c>
      <c r="AC92" s="1306">
        <v>0.06</v>
      </c>
      <c r="AD92" s="1306">
        <f t="shared" si="75"/>
        <v>0.06</v>
      </c>
      <c r="AE92" s="1306">
        <v>0.02</v>
      </c>
      <c r="AF92" s="1306">
        <v>0.01</v>
      </c>
      <c r="AG92" s="1624"/>
      <c r="AH92" s="1624"/>
      <c r="AI92" s="1624"/>
      <c r="AJ92" s="1624"/>
      <c r="AK92" s="213"/>
      <c r="AL92" s="213"/>
      <c r="AM92" s="213"/>
      <c r="AN92" s="213"/>
      <c r="AO92" s="213"/>
    </row>
    <row r="93" spans="1:41">
      <c r="A93" s="1383"/>
      <c r="B93" s="1384"/>
      <c r="C93" s="1384"/>
      <c r="D93" s="1384"/>
      <c r="E93" s="1384"/>
      <c r="F93" s="1384"/>
      <c r="G93" s="1384"/>
      <c r="H93" s="1384"/>
      <c r="I93" s="1384"/>
      <c r="J93" s="1384"/>
      <c r="K93" s="1384"/>
      <c r="L93" s="1384"/>
      <c r="M93" s="1384"/>
      <c r="N93" s="1384"/>
      <c r="O93" s="1384"/>
      <c r="P93" s="1384"/>
      <c r="Q93" s="1384"/>
      <c r="R93" s="1384"/>
      <c r="S93" s="1384"/>
      <c r="T93" s="1384"/>
      <c r="U93" s="1384"/>
      <c r="V93" s="1385"/>
      <c r="W93" s="1385"/>
      <c r="X93" s="1385"/>
      <c r="Y93" s="1385"/>
      <c r="Z93" s="1385"/>
      <c r="AA93" s="1386"/>
      <c r="AB93" s="1386"/>
      <c r="AC93" s="1386"/>
      <c r="AD93" s="1386"/>
      <c r="AE93" s="1386"/>
      <c r="AF93" s="1386"/>
      <c r="AG93" s="1624"/>
      <c r="AH93" s="1624"/>
      <c r="AI93" s="1624"/>
      <c r="AJ93" s="1624"/>
      <c r="AK93" s="213"/>
      <c r="AL93" s="213"/>
      <c r="AM93" s="213"/>
      <c r="AN93" s="213"/>
      <c r="AO93" s="213"/>
    </row>
    <row r="94" spans="1:41">
      <c r="A94" s="470" t="s">
        <v>1243</v>
      </c>
      <c r="B94" s="505"/>
      <c r="C94" s="505"/>
      <c r="D94" s="505"/>
      <c r="E94" s="505"/>
      <c r="F94" s="505"/>
      <c r="G94" s="505"/>
      <c r="H94" s="505"/>
      <c r="I94" s="506"/>
      <c r="J94" s="506"/>
      <c r="K94" s="506"/>
      <c r="L94" s="506"/>
      <c r="M94" s="506"/>
      <c r="N94" s="506"/>
      <c r="O94" s="506"/>
      <c r="P94" s="506"/>
      <c r="Q94" s="506"/>
      <c r="R94" s="506"/>
      <c r="S94" s="506"/>
      <c r="T94" s="506"/>
      <c r="U94" s="506"/>
      <c r="V94" s="471"/>
      <c r="W94" s="507"/>
      <c r="X94" s="507"/>
      <c r="Y94" s="507"/>
      <c r="Z94" s="507"/>
      <c r="AA94" s="395"/>
      <c r="AB94" s="395"/>
      <c r="AC94" s="395"/>
      <c r="AD94" s="395"/>
      <c r="AE94" s="395"/>
      <c r="AF94" s="395"/>
      <c r="AG94" s="1624"/>
      <c r="AH94" s="1624"/>
      <c r="AI94" s="1624"/>
      <c r="AJ94" s="1624"/>
      <c r="AK94" s="213"/>
      <c r="AL94" s="213"/>
      <c r="AM94" s="213"/>
      <c r="AN94" s="213"/>
      <c r="AO94" s="213"/>
    </row>
    <row r="95" spans="1:41">
      <c r="A95" s="306" t="s">
        <v>1267</v>
      </c>
      <c r="B95" s="307"/>
      <c r="C95" s="307"/>
      <c r="D95" s="307"/>
      <c r="E95" s="307"/>
      <c r="F95" s="307"/>
      <c r="G95" s="307"/>
      <c r="H95" s="307"/>
      <c r="I95" s="307"/>
      <c r="J95" s="307"/>
      <c r="K95" s="307"/>
      <c r="L95" s="307"/>
      <c r="M95" s="308"/>
      <c r="N95" s="308"/>
      <c r="O95" s="308"/>
      <c r="P95" s="308"/>
      <c r="Q95" s="308"/>
      <c r="R95" s="308"/>
      <c r="S95" s="308"/>
      <c r="T95" s="308"/>
      <c r="U95" s="308"/>
      <c r="V95" s="308"/>
      <c r="W95" s="308"/>
      <c r="X95" s="308"/>
      <c r="Y95" s="308"/>
      <c r="Z95" s="308"/>
      <c r="AA95" s="308"/>
      <c r="AB95" s="308"/>
      <c r="AC95" s="308"/>
      <c r="AD95" s="308"/>
      <c r="AE95" s="308"/>
      <c r="AF95" s="308"/>
      <c r="AG95" s="1624"/>
      <c r="AH95" s="1624"/>
      <c r="AI95" s="1624"/>
      <c r="AJ95" s="1624"/>
      <c r="AK95" s="213"/>
      <c r="AL95" s="213"/>
      <c r="AM95" s="213"/>
      <c r="AN95" s="213"/>
      <c r="AO95" s="213"/>
    </row>
    <row r="96" spans="1:41">
      <c r="A96" s="267" t="s">
        <v>1022</v>
      </c>
      <c r="B96" s="263"/>
      <c r="C96" s="263"/>
      <c r="D96" s="263"/>
      <c r="E96" s="263"/>
      <c r="F96" s="263"/>
      <c r="G96" s="263"/>
      <c r="H96" s="263"/>
      <c r="I96" s="263"/>
      <c r="J96" s="263"/>
      <c r="K96" s="263"/>
      <c r="L96" s="263"/>
      <c r="M96" s="263"/>
      <c r="N96" s="263"/>
      <c r="O96" s="263"/>
      <c r="P96" s="263"/>
      <c r="Q96" s="263"/>
      <c r="R96" s="263"/>
      <c r="S96" s="263"/>
      <c r="T96" s="319">
        <v>901.52714893616985</v>
      </c>
      <c r="U96" s="319">
        <v>731.81082208550674</v>
      </c>
      <c r="V96" s="319">
        <v>412.97746363713145</v>
      </c>
      <c r="W96" s="409">
        <v>356.46187533557588</v>
      </c>
      <c r="X96" s="409">
        <v>448.85240056738689</v>
      </c>
      <c r="Y96" s="409">
        <v>612.96689501126866</v>
      </c>
      <c r="Z96" s="409">
        <v>687.93951871700324</v>
      </c>
      <c r="AA96" s="409">
        <f>Z96*(1+AA101)</f>
        <v>777.37165615021354</v>
      </c>
      <c r="AB96" s="409">
        <f t="shared" ref="AB96:AF97" si="76">AA96*(1+AB101)</f>
        <v>878.42997144974117</v>
      </c>
      <c r="AC96" s="409">
        <f t="shared" si="76"/>
        <v>992.62586773820749</v>
      </c>
      <c r="AD96" s="409">
        <f t="shared" si="76"/>
        <v>1111.7409718667925</v>
      </c>
      <c r="AE96" s="409">
        <f t="shared" si="76"/>
        <v>1133.9757913041283</v>
      </c>
      <c r="AF96" s="409">
        <f t="shared" si="76"/>
        <v>1145.3155492171695</v>
      </c>
      <c r="AG96" s="1624"/>
      <c r="AH96" s="1624"/>
      <c r="AI96" s="1624"/>
      <c r="AJ96" s="1624"/>
      <c r="AK96" s="213"/>
      <c r="AL96" s="213"/>
      <c r="AM96" s="213"/>
      <c r="AN96" s="213"/>
      <c r="AO96" s="213"/>
    </row>
    <row r="97" spans="1:41">
      <c r="A97" s="267" t="s">
        <v>1023</v>
      </c>
      <c r="B97" s="263"/>
      <c r="C97" s="263"/>
      <c r="D97" s="263"/>
      <c r="E97" s="263"/>
      <c r="F97" s="263"/>
      <c r="G97" s="263"/>
      <c r="H97" s="263"/>
      <c r="I97" s="263"/>
      <c r="J97" s="263"/>
      <c r="K97" s="263"/>
      <c r="L97" s="263"/>
      <c r="M97" s="263"/>
      <c r="N97" s="263"/>
      <c r="O97" s="263"/>
      <c r="P97" s="263"/>
      <c r="Q97" s="263"/>
      <c r="R97" s="263"/>
      <c r="S97" s="263"/>
      <c r="T97" s="319">
        <v>386.47285106383015</v>
      </c>
      <c r="U97" s="319">
        <v>284.10340579132912</v>
      </c>
      <c r="V97" s="319">
        <v>398.50724931388277</v>
      </c>
      <c r="W97" s="319">
        <v>343.97189661193045</v>
      </c>
      <c r="X97" s="319">
        <v>433.12517327872888</v>
      </c>
      <c r="Y97" s="319">
        <v>591.48930089329338</v>
      </c>
      <c r="Z97" s="319">
        <v>663.83497754035875</v>
      </c>
      <c r="AA97" s="409">
        <f>Z97*(1+AA102)</f>
        <v>750.13352462060527</v>
      </c>
      <c r="AB97" s="409">
        <f t="shared" si="76"/>
        <v>847.65088282128386</v>
      </c>
      <c r="AC97" s="409">
        <f t="shared" si="76"/>
        <v>957.84549758805065</v>
      </c>
      <c r="AD97" s="409">
        <f t="shared" si="76"/>
        <v>1072.7869572986169</v>
      </c>
      <c r="AE97" s="409">
        <f t="shared" si="76"/>
        <v>1094.2426964445892</v>
      </c>
      <c r="AF97" s="409">
        <f t="shared" si="76"/>
        <v>1105.1851234090352</v>
      </c>
      <c r="AG97" s="1624"/>
      <c r="AH97" s="1624"/>
      <c r="AI97" s="1624"/>
      <c r="AJ97" s="1624"/>
      <c r="AK97" s="213"/>
      <c r="AL97" s="213"/>
      <c r="AM97" s="213"/>
      <c r="AN97" s="213"/>
      <c r="AO97" s="213"/>
    </row>
    <row r="98" spans="1:41">
      <c r="A98" s="57" t="s">
        <v>1545</v>
      </c>
      <c r="B98" s="57"/>
      <c r="C98" s="57"/>
      <c r="D98" s="57"/>
      <c r="E98" s="57"/>
      <c r="F98" s="57"/>
      <c r="G98" s="57"/>
      <c r="H98" s="57"/>
      <c r="I98" s="57"/>
      <c r="J98" s="57"/>
      <c r="K98" s="57"/>
      <c r="L98" s="57"/>
      <c r="M98" s="57"/>
      <c r="N98" s="57"/>
      <c r="O98" s="57"/>
      <c r="P98" s="57"/>
      <c r="Q98" s="57"/>
      <c r="R98" s="57"/>
      <c r="S98" s="273">
        <f>S110</f>
        <v>2249.5109999999995</v>
      </c>
      <c r="T98" s="273">
        <f t="shared" ref="T98:Z98" si="77">SUM(T96:T97)</f>
        <v>1288</v>
      </c>
      <c r="U98" s="273">
        <f t="shared" si="77"/>
        <v>1015.9142278768359</v>
      </c>
      <c r="V98" s="273">
        <f t="shared" si="77"/>
        <v>811.48471295101422</v>
      </c>
      <c r="W98" s="273">
        <f t="shared" si="77"/>
        <v>700.43377194750633</v>
      </c>
      <c r="X98" s="273">
        <f t="shared" si="77"/>
        <v>881.97757384611577</v>
      </c>
      <c r="Y98" s="273">
        <f t="shared" si="77"/>
        <v>1204.456195904562</v>
      </c>
      <c r="Z98" s="273">
        <f t="shared" si="77"/>
        <v>1351.774496257362</v>
      </c>
      <c r="AA98" s="273">
        <f>SUM(AA96:AA97)</f>
        <v>1527.5051807708187</v>
      </c>
      <c r="AB98" s="273">
        <f t="shared" ref="AB98:AF98" si="78">SUM(AB96:AB97)</f>
        <v>1726.0808542710251</v>
      </c>
      <c r="AC98" s="273">
        <f t="shared" si="78"/>
        <v>1950.4713653262581</v>
      </c>
      <c r="AD98" s="273">
        <f t="shared" si="78"/>
        <v>2184.5279291654097</v>
      </c>
      <c r="AE98" s="273">
        <f t="shared" si="78"/>
        <v>2228.2184877487175</v>
      </c>
      <c r="AF98" s="273">
        <f t="shared" si="78"/>
        <v>2250.5006726262045</v>
      </c>
      <c r="AG98" s="1624"/>
      <c r="AH98" s="1624"/>
      <c r="AI98" s="1624"/>
      <c r="AJ98" s="1624"/>
      <c r="AK98" s="213"/>
      <c r="AL98" s="213"/>
      <c r="AM98" s="213"/>
      <c r="AN98" s="213"/>
      <c r="AO98" s="213"/>
    </row>
    <row r="99" spans="1:41">
      <c r="A99" s="396" t="s">
        <v>1489</v>
      </c>
      <c r="B99" s="263"/>
      <c r="C99" s="263"/>
      <c r="D99" s="263"/>
      <c r="E99" s="263"/>
      <c r="F99" s="263"/>
      <c r="G99" s="263"/>
      <c r="H99" s="263"/>
      <c r="I99" s="263"/>
      <c r="J99" s="263"/>
      <c r="K99" s="263"/>
      <c r="L99" s="263"/>
      <c r="M99" s="263"/>
      <c r="N99" s="263"/>
      <c r="O99" s="263"/>
      <c r="P99" s="263"/>
      <c r="Q99" s="263"/>
      <c r="R99" s="263"/>
      <c r="S99" s="263"/>
      <c r="T99" s="419">
        <f t="shared" ref="T99:AF99" si="79">T98/S98-1</f>
        <v>-0.4274311172517048</v>
      </c>
      <c r="U99" s="420">
        <f t="shared" si="79"/>
        <v>-0.21124671748692869</v>
      </c>
      <c r="V99" s="419">
        <f t="shared" si="79"/>
        <v>-0.20122714035914224</v>
      </c>
      <c r="W99" s="419">
        <f t="shared" si="79"/>
        <v>-0.13684908567120668</v>
      </c>
      <c r="X99" s="419">
        <f t="shared" si="79"/>
        <v>0.25918767650771568</v>
      </c>
      <c r="Y99" s="419">
        <f t="shared" si="79"/>
        <v>0.36563131719119113</v>
      </c>
      <c r="Z99" s="419">
        <f t="shared" si="79"/>
        <v>0.12231104863233488</v>
      </c>
      <c r="AA99" s="419">
        <f t="shared" si="79"/>
        <v>0.12999999999999967</v>
      </c>
      <c r="AB99" s="419">
        <f t="shared" si="79"/>
        <v>0.13000000000000012</v>
      </c>
      <c r="AC99" s="419">
        <f t="shared" si="79"/>
        <v>0.12999999999999989</v>
      </c>
      <c r="AD99" s="419">
        <f t="shared" si="79"/>
        <v>0.12000000000000033</v>
      </c>
      <c r="AE99" s="419">
        <f t="shared" si="79"/>
        <v>1.9999999999999796E-2</v>
      </c>
      <c r="AF99" s="419">
        <f t="shared" si="79"/>
        <v>1.0000000000000009E-2</v>
      </c>
      <c r="AG99" s="1624"/>
      <c r="AH99" s="1624"/>
      <c r="AI99" s="1624"/>
      <c r="AJ99" s="1624"/>
      <c r="AK99" s="213"/>
      <c r="AL99" s="213"/>
      <c r="AM99" s="213"/>
      <c r="AN99" s="213"/>
      <c r="AO99" s="213"/>
    </row>
    <row r="100" spans="1:41">
      <c r="A100" s="306" t="s">
        <v>1936</v>
      </c>
      <c r="B100" s="307"/>
      <c r="C100" s="307"/>
      <c r="D100" s="307"/>
      <c r="E100" s="307"/>
      <c r="F100" s="307"/>
      <c r="G100" s="307"/>
      <c r="H100" s="307"/>
      <c r="I100" s="307"/>
      <c r="J100" s="307"/>
      <c r="K100" s="307"/>
      <c r="L100" s="307"/>
      <c r="M100" s="308"/>
      <c r="N100" s="308"/>
      <c r="O100" s="308"/>
      <c r="P100" s="308"/>
      <c r="Q100" s="308"/>
      <c r="R100" s="308"/>
      <c r="S100" s="308"/>
      <c r="T100" s="308"/>
      <c r="U100" s="308"/>
      <c r="V100" s="308"/>
      <c r="W100" s="308"/>
      <c r="X100" s="308"/>
      <c r="Y100" s="308"/>
      <c r="Z100" s="308"/>
      <c r="AA100" s="308"/>
      <c r="AB100" s="308"/>
      <c r="AC100" s="308"/>
      <c r="AD100" s="308"/>
      <c r="AE100" s="308"/>
      <c r="AF100" s="308"/>
      <c r="AG100" s="1624"/>
      <c r="AH100" s="1624"/>
      <c r="AI100" s="1624"/>
      <c r="AJ100" s="1624"/>
      <c r="AK100" s="213"/>
      <c r="AL100" s="213"/>
      <c r="AM100" s="213"/>
      <c r="AN100" s="213"/>
      <c r="AO100" s="213"/>
    </row>
    <row r="101" spans="1:41">
      <c r="A101" s="266" t="s">
        <v>1022</v>
      </c>
      <c r="B101" s="411"/>
      <c r="C101" s="411"/>
      <c r="D101" s="411"/>
      <c r="E101" s="411"/>
      <c r="F101" s="411"/>
      <c r="G101" s="411"/>
      <c r="H101" s="411"/>
      <c r="I101" s="411"/>
      <c r="J101" s="411"/>
      <c r="K101" s="411"/>
      <c r="L101" s="411"/>
      <c r="M101" s="411"/>
      <c r="N101" s="411"/>
      <c r="O101" s="411"/>
      <c r="P101" s="411"/>
      <c r="Q101" s="411"/>
      <c r="R101" s="411"/>
      <c r="S101" s="411"/>
      <c r="T101" s="411"/>
      <c r="U101" s="411">
        <f>U96/T96-1</f>
        <v>-0.18825426061869976</v>
      </c>
      <c r="V101" s="411">
        <f t="shared" ref="V101:Z101" si="80">V96/U96-1</f>
        <v>-0.43567729367511587</v>
      </c>
      <c r="W101" s="411">
        <f t="shared" si="80"/>
        <v>-0.13684908567120702</v>
      </c>
      <c r="X101" s="411">
        <f t="shared" si="80"/>
        <v>0.2591876765077159</v>
      </c>
      <c r="Y101" s="411">
        <f t="shared" si="80"/>
        <v>0.36563131719119113</v>
      </c>
      <c r="Z101" s="411">
        <f t="shared" si="80"/>
        <v>0.12231104863233488</v>
      </c>
      <c r="AA101" s="1304">
        <v>0.13</v>
      </c>
      <c r="AB101" s="1305">
        <f>AA101</f>
        <v>0.13</v>
      </c>
      <c r="AC101" s="1305">
        <f t="shared" ref="AC101" si="81">AB101</f>
        <v>0.13</v>
      </c>
      <c r="AD101" s="1305">
        <v>0.12</v>
      </c>
      <c r="AE101" s="1305">
        <v>0.02</v>
      </c>
      <c r="AF101" s="1305">
        <v>0.01</v>
      </c>
      <c r="AG101" s="1624"/>
      <c r="AH101" s="1624"/>
      <c r="AI101" s="1624"/>
      <c r="AJ101" s="1624"/>
      <c r="AK101" s="213"/>
      <c r="AL101" s="213"/>
      <c r="AM101" s="213"/>
      <c r="AN101" s="213"/>
      <c r="AO101" s="213"/>
    </row>
    <row r="102" spans="1:41">
      <c r="A102" s="266" t="s">
        <v>1023</v>
      </c>
      <c r="B102" s="411"/>
      <c r="C102" s="411"/>
      <c r="D102" s="411"/>
      <c r="E102" s="411"/>
      <c r="F102" s="411"/>
      <c r="G102" s="411"/>
      <c r="H102" s="411"/>
      <c r="I102" s="411"/>
      <c r="J102" s="413"/>
      <c r="K102" s="413"/>
      <c r="L102" s="413"/>
      <c r="M102" s="413"/>
      <c r="N102" s="413"/>
      <c r="O102" s="413"/>
      <c r="P102" s="413"/>
      <c r="Q102" s="413"/>
      <c r="R102" s="413"/>
      <c r="S102" s="414"/>
      <c r="T102" s="415"/>
      <c r="U102" s="411">
        <f>U97/T97-1</f>
        <v>-0.2648813364010234</v>
      </c>
      <c r="V102" s="411">
        <f t="shared" ref="V102:Z102" si="82">V97/U97-1</f>
        <v>0.40268381578847401</v>
      </c>
      <c r="W102" s="411">
        <f t="shared" si="82"/>
        <v>-0.13684908567120635</v>
      </c>
      <c r="X102" s="411">
        <f t="shared" si="82"/>
        <v>0.25918767650771568</v>
      </c>
      <c r="Y102" s="411">
        <f t="shared" si="82"/>
        <v>0.36563131719119113</v>
      </c>
      <c r="Z102" s="411">
        <f t="shared" si="82"/>
        <v>0.12231104863233488</v>
      </c>
      <c r="AA102" s="1304">
        <v>0.13</v>
      </c>
      <c r="AB102" s="1387">
        <f>AA102</f>
        <v>0.13</v>
      </c>
      <c r="AC102" s="1387">
        <f t="shared" ref="AC102" si="83">AB102</f>
        <v>0.13</v>
      </c>
      <c r="AD102" s="1387">
        <v>0.12</v>
      </c>
      <c r="AE102" s="1387">
        <v>0.02</v>
      </c>
      <c r="AF102" s="1387">
        <v>0.01</v>
      </c>
      <c r="AG102" s="1624"/>
      <c r="AH102" s="1624"/>
      <c r="AI102" s="1624"/>
      <c r="AJ102" s="1624"/>
      <c r="AK102" s="213"/>
      <c r="AL102" s="213"/>
      <c r="AM102" s="213"/>
      <c r="AN102" s="213"/>
      <c r="AO102" s="213"/>
    </row>
    <row r="103" spans="1:41">
      <c r="A103" s="267"/>
      <c r="B103" s="411"/>
      <c r="C103" s="411"/>
      <c r="D103" s="411"/>
      <c r="E103" s="411"/>
      <c r="F103" s="411"/>
      <c r="G103" s="411"/>
      <c r="H103" s="411"/>
      <c r="I103" s="411"/>
      <c r="J103" s="413"/>
      <c r="K103" s="413"/>
      <c r="L103" s="413"/>
      <c r="M103" s="413"/>
      <c r="N103" s="413"/>
      <c r="O103" s="413"/>
      <c r="P103" s="413"/>
      <c r="Q103" s="413"/>
      <c r="R103" s="413"/>
      <c r="S103" s="414"/>
      <c r="T103" s="415"/>
      <c r="U103" s="413"/>
      <c r="V103" s="413"/>
      <c r="W103" s="413"/>
      <c r="X103" s="413"/>
      <c r="Y103" s="413"/>
      <c r="Z103" s="413"/>
      <c r="AA103" s="413"/>
      <c r="AB103" s="413"/>
      <c r="AC103" s="413"/>
      <c r="AD103" s="413"/>
      <c r="AE103" s="413"/>
      <c r="AF103" s="413"/>
      <c r="AG103" s="1624"/>
      <c r="AH103" s="1624"/>
      <c r="AI103" s="1624"/>
      <c r="AJ103" s="1624"/>
      <c r="AK103" s="213"/>
      <c r="AL103" s="213"/>
      <c r="AM103" s="213"/>
      <c r="AN103" s="213"/>
      <c r="AO103" s="213"/>
    </row>
    <row r="104" spans="1:41">
      <c r="A104" s="306"/>
      <c r="B104" s="307"/>
      <c r="C104" s="307"/>
      <c r="D104" s="307"/>
      <c r="E104" s="307"/>
      <c r="F104" s="307"/>
      <c r="G104" s="307"/>
      <c r="H104" s="307"/>
      <c r="I104" s="307"/>
      <c r="J104" s="307"/>
      <c r="K104" s="307"/>
      <c r="L104" s="307"/>
      <c r="M104" s="308"/>
      <c r="N104" s="308"/>
      <c r="O104" s="308"/>
      <c r="P104" s="308"/>
      <c r="Q104" s="308"/>
      <c r="R104" s="308"/>
      <c r="S104" s="308"/>
      <c r="T104" s="308"/>
      <c r="U104" s="308"/>
      <c r="V104" s="308"/>
      <c r="W104" s="308"/>
      <c r="X104" s="308"/>
      <c r="Y104" s="308"/>
      <c r="Z104" s="308"/>
      <c r="AA104" s="308"/>
      <c r="AB104" s="308"/>
      <c r="AC104" s="308"/>
      <c r="AD104" s="308"/>
      <c r="AE104" s="308"/>
      <c r="AF104" s="308"/>
      <c r="AG104" s="1624"/>
      <c r="AH104" s="1624"/>
      <c r="AI104" s="1624"/>
      <c r="AJ104" s="1624"/>
      <c r="AK104" s="213"/>
      <c r="AL104" s="213"/>
      <c r="AM104" s="213"/>
      <c r="AN104" s="213"/>
      <c r="AO104" s="213"/>
    </row>
    <row r="105" spans="1:41">
      <c r="A105" s="470" t="s">
        <v>993</v>
      </c>
      <c r="B105" s="505"/>
      <c r="C105" s="505"/>
      <c r="D105" s="505"/>
      <c r="E105" s="505"/>
      <c r="F105" s="505"/>
      <c r="G105" s="505"/>
      <c r="H105" s="505"/>
      <c r="I105" s="506"/>
      <c r="J105" s="506"/>
      <c r="K105" s="506"/>
      <c r="L105" s="506"/>
      <c r="M105" s="506"/>
      <c r="N105" s="506"/>
      <c r="O105" s="506"/>
      <c r="P105" s="506"/>
      <c r="Q105" s="506"/>
      <c r="R105" s="506"/>
      <c r="S105" s="506"/>
      <c r="T105" s="506"/>
      <c r="U105" s="506"/>
      <c r="V105" s="471"/>
      <c r="W105" s="507"/>
      <c r="X105" s="507"/>
      <c r="Y105" s="507"/>
      <c r="Z105" s="507"/>
      <c r="AA105" s="395"/>
      <c r="AB105" s="395"/>
      <c r="AC105" s="395"/>
      <c r="AD105" s="395"/>
      <c r="AE105" s="395"/>
      <c r="AF105" s="395"/>
      <c r="AG105" s="1624"/>
      <c r="AH105" s="1624"/>
      <c r="AI105" s="1624"/>
      <c r="AJ105" s="1624"/>
      <c r="AK105" s="213"/>
      <c r="AL105" s="213"/>
      <c r="AM105" s="213"/>
      <c r="AN105" s="213"/>
      <c r="AO105" s="213"/>
    </row>
    <row r="106" spans="1:41">
      <c r="A106" s="263" t="s">
        <v>999</v>
      </c>
      <c r="B106" s="213"/>
      <c r="C106" s="213"/>
      <c r="D106" s="213"/>
      <c r="E106" s="213"/>
      <c r="F106" s="213"/>
      <c r="G106" s="213"/>
      <c r="H106" s="213"/>
      <c r="I106" s="213"/>
      <c r="J106" s="213"/>
      <c r="K106" s="213"/>
      <c r="L106" s="213"/>
      <c r="M106" s="213"/>
      <c r="N106" s="213"/>
      <c r="O106" s="213"/>
      <c r="P106" s="213"/>
      <c r="Q106" s="213"/>
      <c r="R106" s="213"/>
      <c r="S106" s="213"/>
      <c r="T106" s="302">
        <v>70</v>
      </c>
      <c r="U106" s="302">
        <v>100</v>
      </c>
      <c r="V106" s="302">
        <v>40</v>
      </c>
      <c r="W106" s="302">
        <v>20</v>
      </c>
      <c r="X106" s="302">
        <v>20</v>
      </c>
      <c r="Y106" s="302">
        <v>0</v>
      </c>
      <c r="Z106" s="302">
        <v>0</v>
      </c>
      <c r="AA106" s="302">
        <v>0</v>
      </c>
      <c r="AB106" s="302">
        <v>0</v>
      </c>
      <c r="AC106" s="302">
        <v>0</v>
      </c>
      <c r="AD106" s="302">
        <v>0</v>
      </c>
      <c r="AE106" s="302">
        <v>0</v>
      </c>
      <c r="AF106" s="302">
        <v>0</v>
      </c>
      <c r="AG106" s="1624"/>
      <c r="AH106" s="1624"/>
      <c r="AI106" s="1624"/>
      <c r="AJ106" s="1624"/>
      <c r="AK106" s="213"/>
      <c r="AL106" s="213"/>
      <c r="AM106" s="213"/>
      <c r="AN106" s="213"/>
      <c r="AO106" s="213"/>
    </row>
    <row r="107" spans="1:41">
      <c r="A107" s="213" t="s">
        <v>1266</v>
      </c>
      <c r="B107" s="213"/>
      <c r="C107" s="213"/>
      <c r="D107" s="213"/>
      <c r="E107" s="213"/>
      <c r="F107" s="213"/>
      <c r="G107" s="213"/>
      <c r="H107" s="213"/>
      <c r="I107" s="213"/>
      <c r="J107" s="213"/>
      <c r="K107" s="213"/>
      <c r="L107" s="213"/>
      <c r="M107" s="213"/>
      <c r="N107" s="213"/>
      <c r="O107" s="213"/>
      <c r="P107" s="213"/>
      <c r="Q107" s="213"/>
      <c r="R107" s="213"/>
      <c r="S107" s="213"/>
      <c r="T107" s="269">
        <v>-75</v>
      </c>
      <c r="U107" s="263">
        <f>75-75</f>
        <v>0</v>
      </c>
      <c r="V107" s="263">
        <f>75-25</f>
        <v>50</v>
      </c>
      <c r="W107" s="263">
        <f>25-25</f>
        <v>0</v>
      </c>
      <c r="X107" s="263">
        <f>25-15</f>
        <v>10</v>
      </c>
      <c r="Y107" s="263">
        <v>0</v>
      </c>
      <c r="Z107" s="269">
        <v>0</v>
      </c>
      <c r="AA107" s="269">
        <v>0</v>
      </c>
      <c r="AB107" s="269">
        <v>0</v>
      </c>
      <c r="AC107" s="269">
        <v>0</v>
      </c>
      <c r="AD107" s="269">
        <v>0</v>
      </c>
      <c r="AE107" s="269">
        <v>0</v>
      </c>
      <c r="AF107" s="269">
        <v>0</v>
      </c>
      <c r="AG107" s="1624"/>
      <c r="AH107" s="1624"/>
      <c r="AI107" s="1624"/>
      <c r="AJ107" s="1624"/>
      <c r="AK107" s="213"/>
      <c r="AL107" s="213"/>
      <c r="AM107" s="213"/>
      <c r="AN107" s="213"/>
      <c r="AO107" s="213"/>
    </row>
    <row r="108" spans="1:41">
      <c r="A108" s="213"/>
      <c r="B108" s="213"/>
      <c r="C108" s="213"/>
      <c r="D108" s="213"/>
      <c r="E108" s="213"/>
      <c r="F108" s="213"/>
      <c r="G108" s="213"/>
      <c r="H108" s="213"/>
      <c r="I108" s="213"/>
      <c r="J108" s="213"/>
      <c r="K108" s="213"/>
      <c r="L108" s="213"/>
      <c r="M108" s="213"/>
      <c r="N108" s="213"/>
      <c r="O108" s="213"/>
      <c r="P108" s="213"/>
      <c r="Q108" s="213"/>
      <c r="R108" s="213"/>
      <c r="S108" s="213"/>
      <c r="T108" s="213"/>
      <c r="U108" s="213"/>
      <c r="V108" s="213"/>
      <c r="W108" s="213"/>
      <c r="X108" s="213"/>
      <c r="Y108" s="213"/>
      <c r="Z108" s="213"/>
      <c r="AA108" s="213"/>
      <c r="AB108" s="213"/>
      <c r="AC108" s="213"/>
      <c r="AD108" s="213"/>
      <c r="AE108" s="213"/>
      <c r="AF108" s="213"/>
      <c r="AG108" s="1624"/>
      <c r="AH108" s="1624"/>
      <c r="AI108" s="1624"/>
      <c r="AJ108" s="1624"/>
      <c r="AK108" s="213"/>
      <c r="AL108" s="213"/>
      <c r="AM108" s="213"/>
      <c r="AN108" s="213"/>
      <c r="AO108" s="213"/>
    </row>
    <row r="109" spans="1:41">
      <c r="A109" s="263" t="s">
        <v>1296</v>
      </c>
      <c r="B109" s="263"/>
      <c r="C109" s="263"/>
      <c r="D109" s="263"/>
      <c r="E109" s="263"/>
      <c r="F109" s="263"/>
      <c r="G109" s="263"/>
      <c r="H109" s="263"/>
      <c r="I109" s="263"/>
      <c r="J109" s="263"/>
      <c r="K109" s="263"/>
      <c r="L109" s="263"/>
      <c r="M109" s="263"/>
      <c r="N109" s="263"/>
      <c r="O109" s="263"/>
      <c r="P109" s="263"/>
      <c r="Q109" s="263"/>
      <c r="R109" s="263"/>
      <c r="S109" s="259">
        <f>S110+S111</f>
        <v>4968.0459211527996</v>
      </c>
      <c r="T109" s="319">
        <f t="shared" ref="T109:AF109" si="84">SUM(T110:T111)</f>
        <v>3799</v>
      </c>
      <c r="U109" s="319">
        <f t="shared" si="84"/>
        <v>4336.9142278768359</v>
      </c>
      <c r="V109" s="319">
        <f t="shared" si="84"/>
        <v>2733.4847129510144</v>
      </c>
      <c r="W109" s="319">
        <f t="shared" si="84"/>
        <v>2175.4337719475061</v>
      </c>
      <c r="X109" s="319">
        <f t="shared" si="84"/>
        <v>2859.9775738461158</v>
      </c>
      <c r="Y109" s="319">
        <f t="shared" si="84"/>
        <v>3681.4561959045623</v>
      </c>
      <c r="Z109" s="319">
        <f t="shared" si="84"/>
        <v>4388.7744962573615</v>
      </c>
      <c r="AA109" s="319">
        <f t="shared" si="84"/>
        <v>4951.3651807708193</v>
      </c>
      <c r="AB109" s="319">
        <f t="shared" si="84"/>
        <v>5509.2058542710256</v>
      </c>
      <c r="AC109" s="319">
        <f t="shared" si="84"/>
        <v>6085.0594473262581</v>
      </c>
      <c r="AD109" s="319">
        <f t="shared" si="84"/>
        <v>6656.3895421454099</v>
      </c>
      <c r="AE109" s="319">
        <f t="shared" si="84"/>
        <v>6844.8354067537184</v>
      </c>
      <c r="AF109" s="319">
        <f t="shared" si="84"/>
        <v>6998.1725816470853</v>
      </c>
      <c r="AG109" s="1624"/>
      <c r="AH109" s="1624"/>
      <c r="AI109" s="1624"/>
      <c r="AJ109" s="1624"/>
      <c r="AK109" s="213"/>
      <c r="AL109" s="213"/>
      <c r="AM109" s="213"/>
      <c r="AN109" s="213"/>
      <c r="AO109" s="213"/>
    </row>
    <row r="110" spans="1:41">
      <c r="A110" s="267" t="s">
        <v>1240</v>
      </c>
      <c r="B110" s="263"/>
      <c r="C110" s="263"/>
      <c r="D110" s="263"/>
      <c r="E110" s="263"/>
      <c r="F110" s="263"/>
      <c r="G110" s="263"/>
      <c r="H110" s="263"/>
      <c r="I110" s="263"/>
      <c r="J110" s="263"/>
      <c r="K110" s="263"/>
      <c r="L110" s="263"/>
      <c r="M110" s="263"/>
      <c r="N110" s="263"/>
      <c r="O110" s="263"/>
      <c r="P110" s="263"/>
      <c r="Q110" s="263"/>
      <c r="R110" s="263"/>
      <c r="S110" s="260">
        <v>2249.5109999999995</v>
      </c>
      <c r="T110" s="268">
        <v>1288</v>
      </c>
      <c r="U110" s="268">
        <v>1015.9142278768363</v>
      </c>
      <c r="V110" s="268">
        <v>811.48471295101444</v>
      </c>
      <c r="W110" s="268">
        <v>700.43377194750633</v>
      </c>
      <c r="X110" s="319">
        <f t="shared" ref="X110:AF110" si="85">X98</f>
        <v>881.97757384611577</v>
      </c>
      <c r="Y110" s="319">
        <f t="shared" si="85"/>
        <v>1204.456195904562</v>
      </c>
      <c r="Z110" s="319">
        <f t="shared" si="85"/>
        <v>1351.774496257362</v>
      </c>
      <c r="AA110" s="319">
        <f t="shared" si="85"/>
        <v>1527.5051807708187</v>
      </c>
      <c r="AB110" s="319">
        <f t="shared" si="85"/>
        <v>1726.0808542710251</v>
      </c>
      <c r="AC110" s="319">
        <f t="shared" si="85"/>
        <v>1950.4713653262581</v>
      </c>
      <c r="AD110" s="319">
        <f t="shared" si="85"/>
        <v>2184.5279291654097</v>
      </c>
      <c r="AE110" s="319">
        <f t="shared" si="85"/>
        <v>2228.2184877487175</v>
      </c>
      <c r="AF110" s="319">
        <f t="shared" si="85"/>
        <v>2250.5006726262045</v>
      </c>
      <c r="AG110" s="1624"/>
      <c r="AH110" s="1624"/>
      <c r="AI110" s="1624"/>
      <c r="AJ110" s="1624"/>
      <c r="AK110" s="213"/>
      <c r="AL110" s="213"/>
      <c r="AM110" s="213"/>
      <c r="AN110" s="213"/>
      <c r="AO110" s="213"/>
    </row>
    <row r="111" spans="1:41">
      <c r="A111" s="267" t="s">
        <v>1239</v>
      </c>
      <c r="B111" s="263"/>
      <c r="C111" s="263"/>
      <c r="D111" s="263"/>
      <c r="E111" s="263"/>
      <c r="F111" s="263"/>
      <c r="G111" s="263"/>
      <c r="H111" s="263"/>
      <c r="I111" s="263"/>
      <c r="J111" s="263"/>
      <c r="K111" s="263"/>
      <c r="L111" s="263"/>
      <c r="M111" s="263"/>
      <c r="N111" s="263"/>
      <c r="O111" s="263"/>
      <c r="P111" s="263"/>
      <c r="Q111" s="263"/>
      <c r="R111" s="263"/>
      <c r="S111" s="260">
        <v>2718.5349211528001</v>
      </c>
      <c r="T111" s="268">
        <v>2511</v>
      </c>
      <c r="U111" s="268">
        <v>3321</v>
      </c>
      <c r="V111" s="268">
        <v>1922</v>
      </c>
      <c r="W111" s="268">
        <v>1475</v>
      </c>
      <c r="X111" s="319">
        <f>'Aircraft Interiors Division'!L6</f>
        <v>1978</v>
      </c>
      <c r="Y111" s="319">
        <f>'Aircraft Interiors Division'!M6</f>
        <v>2477</v>
      </c>
      <c r="Z111" s="319">
        <f>'Aircraft Interiors Division'!N6</f>
        <v>3037</v>
      </c>
      <c r="AA111" s="320">
        <f>'Aircraft Interiors Division'!O6</f>
        <v>3423.86</v>
      </c>
      <c r="AB111" s="320">
        <f>'Aircraft Interiors Division'!P6</f>
        <v>3783.125</v>
      </c>
      <c r="AC111" s="320">
        <f>'Aircraft Interiors Division'!Q6</f>
        <v>4134.5880820000002</v>
      </c>
      <c r="AD111" s="320">
        <f>'Aircraft Interiors Division'!R6</f>
        <v>4471.8616129800002</v>
      </c>
      <c r="AE111" s="320">
        <f>'Aircraft Interiors Division'!S6</f>
        <v>4616.6169190050005</v>
      </c>
      <c r="AF111" s="320">
        <f>'Aircraft Interiors Division'!T6</f>
        <v>4747.6719090208808</v>
      </c>
      <c r="AG111" s="1624"/>
      <c r="AH111" s="1624"/>
      <c r="AI111" s="1624"/>
      <c r="AJ111" s="1624"/>
      <c r="AK111" s="213"/>
      <c r="AL111" s="213"/>
      <c r="AM111" s="213"/>
      <c r="AN111" s="213"/>
      <c r="AO111" s="213"/>
    </row>
    <row r="112" spans="1:41">
      <c r="A112" s="416"/>
      <c r="B112" s="409"/>
      <c r="C112" s="409"/>
      <c r="D112" s="409"/>
      <c r="E112" s="409"/>
      <c r="F112" s="409"/>
      <c r="G112" s="409"/>
      <c r="H112" s="409"/>
      <c r="I112" s="409"/>
      <c r="J112" s="409"/>
      <c r="K112" s="409"/>
      <c r="L112" s="409"/>
      <c r="M112" s="409"/>
      <c r="N112" s="409"/>
      <c r="O112" s="409"/>
      <c r="P112" s="409"/>
      <c r="Q112" s="409"/>
      <c r="R112" s="319"/>
      <c r="S112" s="319"/>
      <c r="T112" s="319"/>
      <c r="U112" s="319"/>
      <c r="V112" s="319"/>
      <c r="W112" s="319"/>
      <c r="X112" s="319"/>
      <c r="Y112" s="319"/>
      <c r="Z112" s="319"/>
      <c r="AA112" s="319"/>
      <c r="AB112" s="319"/>
      <c r="AC112" s="319"/>
      <c r="AD112" s="319"/>
      <c r="AE112" s="319"/>
      <c r="AF112" s="319"/>
      <c r="AG112" s="1624"/>
      <c r="AH112" s="1624"/>
      <c r="AI112" s="1624"/>
      <c r="AJ112" s="1624"/>
      <c r="AK112" s="213"/>
      <c r="AL112" s="213"/>
      <c r="AM112" s="213"/>
      <c r="AN112" s="213"/>
      <c r="AO112" s="213"/>
    </row>
    <row r="113" spans="34:41">
      <c r="AH113" s="1624"/>
      <c r="AI113" s="1624"/>
      <c r="AJ113" s="1624"/>
      <c r="AK113" s="213"/>
      <c r="AL113" s="213"/>
      <c r="AM113" s="213"/>
      <c r="AN113" s="213"/>
      <c r="AO113" s="213"/>
    </row>
    <row r="114" spans="34:41">
      <c r="AH114" s="1624"/>
      <c r="AI114" s="1624"/>
      <c r="AJ114" s="1624"/>
      <c r="AK114" s="213"/>
      <c r="AL114" s="213"/>
      <c r="AM114" s="213"/>
      <c r="AN114" s="213"/>
      <c r="AO114" s="213"/>
    </row>
    <row r="115" spans="34:41">
      <c r="AH115" s="1624"/>
      <c r="AI115" s="1624"/>
      <c r="AJ115" s="1624"/>
      <c r="AK115" s="213"/>
      <c r="AL115" s="213"/>
      <c r="AM115" s="213"/>
      <c r="AN115" s="213"/>
      <c r="AO115" s="213"/>
    </row>
    <row r="116" spans="34:41">
      <c r="AH116" s="1624"/>
      <c r="AI116" s="1624"/>
      <c r="AJ116" s="1624"/>
      <c r="AK116" s="213"/>
      <c r="AL116" s="213"/>
      <c r="AM116" s="213"/>
      <c r="AN116" s="213"/>
      <c r="AO116" s="213"/>
    </row>
    <row r="117" spans="34:41">
      <c r="AH117" s="1624"/>
      <c r="AI117" s="1624"/>
      <c r="AJ117" s="1624"/>
      <c r="AK117" s="213"/>
      <c r="AL117" s="213"/>
      <c r="AM117" s="213"/>
      <c r="AN117" s="213"/>
      <c r="AO117" s="213"/>
    </row>
    <row r="118" spans="34:41">
      <c r="AH118" s="1624"/>
      <c r="AI118" s="1624"/>
      <c r="AJ118" s="1624"/>
      <c r="AK118" s="213"/>
      <c r="AL118" s="213"/>
      <c r="AM118" s="213"/>
      <c r="AN118" s="213"/>
      <c r="AO118" s="213"/>
    </row>
    <row r="119" spans="34:41">
      <c r="AH119" s="1624"/>
      <c r="AI119" s="1624"/>
      <c r="AJ119" s="1624"/>
      <c r="AK119" s="213"/>
      <c r="AL119" s="213"/>
      <c r="AM119" s="213"/>
      <c r="AN119" s="213"/>
      <c r="AO119" s="213"/>
    </row>
    <row r="120" spans="34:41">
      <c r="AH120" s="1624"/>
      <c r="AI120" s="1624"/>
      <c r="AJ120" s="1624"/>
      <c r="AK120" s="213"/>
      <c r="AL120" s="213"/>
      <c r="AM120" s="213"/>
      <c r="AN120" s="213"/>
      <c r="AO120" s="213"/>
    </row>
    <row r="121" spans="34:41">
      <c r="AH121" s="1624"/>
      <c r="AI121" s="1624"/>
      <c r="AJ121" s="1624"/>
      <c r="AK121" s="213"/>
      <c r="AL121" s="213"/>
      <c r="AM121" s="213"/>
      <c r="AN121" s="213"/>
      <c r="AO121" s="213"/>
    </row>
    <row r="122" spans="34:41">
      <c r="AH122" s="1624"/>
      <c r="AI122" s="1624"/>
      <c r="AJ122" s="1624"/>
      <c r="AK122" s="213"/>
      <c r="AL122" s="213"/>
      <c r="AM122" s="213"/>
      <c r="AN122" s="213"/>
      <c r="AO122" s="213"/>
    </row>
    <row r="123" spans="34:41">
      <c r="AH123" s="1624"/>
      <c r="AI123" s="1624"/>
      <c r="AJ123" s="1624"/>
      <c r="AK123" s="213"/>
      <c r="AL123" s="213"/>
      <c r="AM123" s="213"/>
      <c r="AN123" s="213"/>
      <c r="AO123" s="213"/>
    </row>
    <row r="124" spans="34:41">
      <c r="AH124" s="1624"/>
      <c r="AI124" s="1624"/>
      <c r="AJ124" s="1624"/>
      <c r="AK124" s="213"/>
      <c r="AL124" s="213"/>
      <c r="AM124" s="213"/>
      <c r="AN124" s="213"/>
      <c r="AO124" s="213"/>
    </row>
    <row r="125" spans="34:41">
      <c r="AH125" s="1624"/>
      <c r="AI125" s="1624"/>
      <c r="AJ125" s="1624"/>
      <c r="AK125" s="213"/>
      <c r="AL125" s="213"/>
      <c r="AM125" s="213"/>
      <c r="AN125" s="213"/>
      <c r="AO125" s="213"/>
    </row>
    <row r="126" spans="34:41">
      <c r="AH126" s="1624"/>
      <c r="AI126" s="1624"/>
      <c r="AJ126" s="1624"/>
      <c r="AK126" s="213"/>
      <c r="AL126" s="213"/>
      <c r="AM126" s="213"/>
      <c r="AN126" s="213"/>
      <c r="AO126" s="213"/>
    </row>
    <row r="127" spans="34:41">
      <c r="AH127" s="1624"/>
      <c r="AI127" s="1624"/>
      <c r="AJ127" s="1624"/>
      <c r="AK127" s="213"/>
      <c r="AL127" s="213"/>
      <c r="AM127" s="213"/>
      <c r="AN127" s="213"/>
      <c r="AO127" s="213"/>
    </row>
    <row r="128" spans="34:41">
      <c r="AH128" s="1624"/>
      <c r="AI128" s="1624"/>
      <c r="AJ128" s="1624"/>
      <c r="AK128" s="213"/>
      <c r="AL128" s="213"/>
      <c r="AM128" s="213"/>
      <c r="AN128" s="213"/>
      <c r="AO128" s="213"/>
    </row>
    <row r="129" spans="34:41">
      <c r="AH129" s="1624"/>
      <c r="AI129" s="1624"/>
      <c r="AJ129" s="1624"/>
      <c r="AK129" s="213"/>
      <c r="AL129" s="213"/>
      <c r="AM129" s="213"/>
      <c r="AN129" s="213"/>
      <c r="AO129" s="213"/>
    </row>
    <row r="130" spans="34:41">
      <c r="AH130" s="1624"/>
      <c r="AI130" s="1624"/>
      <c r="AJ130" s="1624"/>
      <c r="AK130" s="213"/>
      <c r="AL130" s="213"/>
      <c r="AM130" s="213"/>
      <c r="AN130" s="213"/>
      <c r="AO130" s="213"/>
    </row>
    <row r="131" spans="34:41">
      <c r="AH131" s="1624"/>
      <c r="AI131" s="1624"/>
      <c r="AJ131" s="1624"/>
      <c r="AK131" s="213"/>
      <c r="AL131" s="213"/>
      <c r="AM131" s="213"/>
      <c r="AN131" s="213"/>
      <c r="AO131" s="213"/>
    </row>
    <row r="132" spans="34:41">
      <c r="AH132" s="1624"/>
      <c r="AI132" s="1624"/>
      <c r="AJ132" s="1624"/>
      <c r="AK132" s="213"/>
      <c r="AL132" s="213"/>
      <c r="AM132" s="213"/>
      <c r="AN132" s="213"/>
      <c r="AO132" s="213"/>
    </row>
    <row r="133" spans="34:41">
      <c r="AH133" s="1624"/>
      <c r="AI133" s="1624"/>
      <c r="AJ133" s="1624"/>
      <c r="AK133" s="213"/>
      <c r="AL133" s="213"/>
      <c r="AM133" s="213"/>
      <c r="AN133" s="213"/>
      <c r="AO133" s="213"/>
    </row>
    <row r="134" spans="34:41">
      <c r="AH134" s="1624"/>
      <c r="AI134" s="1624"/>
      <c r="AJ134" s="1624"/>
      <c r="AK134" s="213"/>
      <c r="AL134" s="213"/>
      <c r="AM134" s="213"/>
      <c r="AN134" s="213"/>
      <c r="AO134" s="213"/>
    </row>
    <row r="135" spans="34:41">
      <c r="AH135" s="1624"/>
      <c r="AI135" s="1624"/>
      <c r="AJ135" s="1624"/>
      <c r="AK135" s="213"/>
      <c r="AL135" s="213"/>
      <c r="AM135" s="213"/>
      <c r="AN135" s="213"/>
      <c r="AO135" s="213"/>
    </row>
    <row r="136" spans="34:41">
      <c r="AH136" s="1624"/>
      <c r="AI136" s="1624"/>
      <c r="AJ136" s="1624"/>
      <c r="AK136" s="213"/>
      <c r="AL136" s="213"/>
      <c r="AM136" s="213"/>
      <c r="AN136" s="213"/>
      <c r="AO136" s="213"/>
    </row>
    <row r="137" spans="34:41">
      <c r="AH137" s="1624"/>
      <c r="AI137" s="1624"/>
      <c r="AJ137" s="1624"/>
      <c r="AK137" s="213"/>
      <c r="AL137" s="213"/>
      <c r="AM137" s="213"/>
      <c r="AN137" s="213"/>
      <c r="AO137" s="213"/>
    </row>
    <row r="138" spans="34:41">
      <c r="AH138" s="1624"/>
      <c r="AI138" s="1624"/>
      <c r="AJ138" s="1624"/>
      <c r="AK138" s="213"/>
      <c r="AL138" s="213"/>
      <c r="AM138" s="213"/>
      <c r="AN138" s="213"/>
      <c r="AO138" s="213"/>
    </row>
    <row r="139" spans="34:41">
      <c r="AH139" s="1624"/>
      <c r="AI139" s="1624"/>
      <c r="AJ139" s="1624"/>
      <c r="AK139" s="213"/>
      <c r="AL139" s="213"/>
      <c r="AM139" s="213"/>
      <c r="AN139" s="213"/>
      <c r="AO139" s="213"/>
    </row>
    <row r="140" spans="34:41">
      <c r="AH140" s="1624"/>
      <c r="AI140" s="1624"/>
      <c r="AJ140" s="1624"/>
      <c r="AK140" s="213"/>
      <c r="AL140" s="213"/>
      <c r="AM140" s="213"/>
      <c r="AN140" s="213"/>
      <c r="AO140" s="213"/>
    </row>
    <row r="141" spans="34:41">
      <c r="AH141" s="1624"/>
      <c r="AI141" s="1624"/>
      <c r="AJ141" s="1624"/>
      <c r="AK141" s="213"/>
      <c r="AL141" s="213"/>
      <c r="AM141" s="213"/>
      <c r="AN141" s="213"/>
      <c r="AO141" s="213"/>
    </row>
  </sheetData>
  <pageMargins left="0.7" right="0.7" top="0.75" bottom="0.75" header="0.3" footer="0.3"/>
  <customProperties>
    <customPr name="Qube.Worksheet.Visibility" r:id="rId1"/>
  </customProperties>
  <legacy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9">
    <pageSetUpPr autoPageBreaks="0" fitToPage="1"/>
  </sheetPr>
  <dimension ref="A1:EB79"/>
  <sheetViews>
    <sheetView showGridLines="0" zoomScale="110" zoomScaleNormal="110" workbookViewId="0">
      <selection activeCell="W54" sqref="W54"/>
    </sheetView>
  </sheetViews>
  <sheetFormatPr defaultColWidth="8" defaultRowHeight="14.25" outlineLevelRow="1" outlineLevelCol="1"/>
  <cols>
    <col min="1" max="1" width="11.375" style="84" customWidth="1"/>
    <col min="2" max="2" width="14.125" style="85" bestFit="1" customWidth="1"/>
    <col min="3" max="3" width="9.25" style="84" bestFit="1" customWidth="1"/>
    <col min="4" max="4" width="11.375" style="84" customWidth="1"/>
    <col min="5" max="5" width="47" style="119" customWidth="1"/>
    <col min="6" max="6" width="1.625" customWidth="1"/>
    <col min="7" max="7" width="25.625" style="84" customWidth="1"/>
    <col min="8" max="8" width="9.125" style="84" hidden="1" customWidth="1"/>
    <col min="9" max="9" width="1.125" style="84" hidden="1" customWidth="1"/>
    <col min="10" max="12" width="9.125" style="84" hidden="1" customWidth="1"/>
    <col min="13" max="13" width="9.375" style="84" hidden="1" customWidth="1"/>
    <col min="14" max="14" width="2.125" style="84" hidden="1" customWidth="1"/>
    <col min="15" max="15" width="10.625" style="84" hidden="1" customWidth="1" collapsed="1"/>
    <col min="16" max="17" width="9.125" style="84" hidden="1" customWidth="1"/>
    <col min="18" max="18" width="2.125" style="84" hidden="1" customWidth="1"/>
    <col min="19" max="19" width="10.875" style="84" hidden="1" customWidth="1"/>
    <col min="20" max="21" width="9.125" style="84" hidden="1" customWidth="1"/>
    <col min="22" max="22" width="2.125" style="84" hidden="1" customWidth="1"/>
    <col min="23" max="25" width="9.125" style="84" hidden="1" customWidth="1"/>
    <col min="26" max="26" width="2.125" style="84" hidden="1" customWidth="1"/>
    <col min="27" max="29" width="9.125" style="84" hidden="1" customWidth="1"/>
    <col min="30" max="30" width="2.125" style="84" hidden="1" customWidth="1"/>
    <col min="31" max="31" width="10.625" style="84" hidden="1" customWidth="1"/>
    <col min="32" max="32" width="9.125" style="84" hidden="1" customWidth="1"/>
    <col min="33" max="33" width="1.25" style="84" hidden="1" customWidth="1"/>
    <col min="34" max="36" width="9.125" style="84" hidden="1" customWidth="1"/>
    <col min="37" max="37" width="0.75" style="84" hidden="1" customWidth="1"/>
    <col min="38" max="39" width="9.125" style="84" hidden="1" customWidth="1"/>
    <col min="40" max="40" width="1" style="84" hidden="1" customWidth="1"/>
    <col min="41" max="41" width="10.625" style="84" hidden="1" customWidth="1"/>
    <col min="42" max="42" width="1" style="84" hidden="1" customWidth="1"/>
    <col min="43" max="43" width="10.625" style="84" hidden="1" customWidth="1"/>
    <col min="44" max="45" width="9.375" style="84" hidden="1" customWidth="1"/>
    <col min="46" max="46" width="1" style="84" hidden="1" customWidth="1"/>
    <col min="47" max="47" width="10.625" style="84" hidden="1" customWidth="1"/>
    <col min="48" max="49" width="9.375" style="84" hidden="1" customWidth="1"/>
    <col min="50" max="50" width="1" style="84" hidden="1" customWidth="1"/>
    <col min="51" max="51" width="10.625" style="84" hidden="1" customWidth="1"/>
    <col min="52" max="53" width="9.375" style="84" hidden="1" customWidth="1"/>
    <col min="54" max="54" width="1" style="84" hidden="1" customWidth="1"/>
    <col min="55" max="55" width="10.625" style="84" hidden="1" customWidth="1"/>
    <col min="56" max="57" width="9.375" style="84" hidden="1" customWidth="1"/>
    <col min="58" max="58" width="1.25" style="84" hidden="1" customWidth="1"/>
    <col min="59" max="61" width="8.625" style="84" hidden="1" customWidth="1"/>
    <col min="62" max="62" width="11.625" style="84" hidden="1" customWidth="1"/>
    <col min="63" max="63" width="15.625" style="84" hidden="1" customWidth="1"/>
    <col min="64" max="64" width="10.375" style="84" hidden="1" customWidth="1"/>
    <col min="65" max="65" width="8.125" style="84" hidden="1" customWidth="1"/>
    <col min="66" max="66" width="11.125" style="84" hidden="1" customWidth="1"/>
    <col min="67" max="67" width="17.375" style="84" customWidth="1"/>
    <col min="68" max="68" width="1.25" style="84" hidden="1" customWidth="1"/>
    <col min="69" max="71" width="8.375" style="84" hidden="1" customWidth="1"/>
    <col min="72" max="72" width="1.25" style="84" hidden="1" customWidth="1"/>
    <col min="73" max="73" width="22.25" style="552" hidden="1" customWidth="1"/>
    <col min="74" max="74" width="1.25" style="84" customWidth="1"/>
    <col min="75" max="77" width="8.375" style="84" customWidth="1"/>
    <col min="78" max="78" width="1.25" style="84" customWidth="1"/>
    <col min="79" max="79" width="7.25" style="84" bestFit="1" customWidth="1"/>
    <col min="80" max="81" width="8.375" style="84" customWidth="1"/>
    <col min="82" max="82" width="1.25" style="84" customWidth="1"/>
    <col min="83" max="83" width="7.25" style="84" bestFit="1" customWidth="1"/>
    <col min="84" max="85" width="8.375" style="84" customWidth="1"/>
    <col min="86" max="86" width="1.25" style="84" customWidth="1"/>
    <col min="87" max="89" width="8.375" style="84" customWidth="1"/>
    <col min="90" max="90" width="1.375" style="84" customWidth="1"/>
    <col min="91" max="92" width="7.375" style="84" bestFit="1" customWidth="1"/>
    <col min="93" max="93" width="8.625" style="84" bestFit="1" customWidth="1"/>
    <col min="94" max="94" width="0.75" style="84" customWidth="1"/>
    <col min="95" max="96" width="7.25" style="84" bestFit="1" customWidth="1"/>
    <col min="97" max="97" width="8.375" style="84" bestFit="1" customWidth="1"/>
    <col min="98" max="98" width="13.875" style="84" customWidth="1"/>
    <col min="99" max="99" width="28" style="552" bestFit="1" customWidth="1"/>
    <col min="100" max="100" width="8.125" style="84" customWidth="1"/>
    <col min="101" max="101" width="12.625" style="84" customWidth="1"/>
    <col min="102" max="102" width="12.25" style="84" customWidth="1"/>
    <col min="103" max="103" width="9.5" style="84" customWidth="1"/>
    <col min="104" max="104" width="0.5" style="84" customWidth="1"/>
    <col min="105" max="106" width="9.5" style="84" customWidth="1"/>
    <col min="107" max="107" width="8.625" style="84" customWidth="1"/>
    <col min="108" max="108" width="0.5" style="84" customWidth="1"/>
    <col min="109" max="110" width="7.5" style="84" customWidth="1"/>
    <col min="111" max="111" width="1.125" style="84" customWidth="1"/>
    <col min="112" max="112" width="22.375" style="84" customWidth="1"/>
    <col min="113" max="114" width="8" style="84"/>
    <col min="115" max="115" width="25.875" style="84" customWidth="1"/>
    <col min="116" max="116" width="1" style="84" hidden="1" customWidth="1" outlineLevel="1"/>
    <col min="117" max="118" width="11.625" style="84" hidden="1" customWidth="1" outlineLevel="1"/>
    <col min="119" max="119" width="1" style="84" customWidth="1" collapsed="1"/>
    <col min="120" max="120" width="21.875" style="84" customWidth="1"/>
    <col min="121" max="121" width="1" style="84" customWidth="1"/>
    <col min="122" max="123" width="11.625" style="84" customWidth="1"/>
    <col min="124" max="124" width="1" style="84" customWidth="1" outlineLevel="1"/>
    <col min="125" max="125" width="21.875" style="84" customWidth="1"/>
    <col min="126" max="126" width="1" style="84" customWidth="1"/>
    <col min="127" max="128" width="9.75" style="84" hidden="1" customWidth="1" outlineLevel="1"/>
    <col min="129" max="129" width="1" style="84" hidden="1" customWidth="1" outlineLevel="1"/>
    <col min="130" max="130" width="14.75" style="84" bestFit="1" customWidth="1" collapsed="1"/>
    <col min="131" max="131" width="1" style="84" customWidth="1"/>
    <col min="132" max="132" width="14" style="84" bestFit="1" customWidth="1"/>
    <col min="133" max="16384" width="8" style="84"/>
  </cols>
  <sheetData>
    <row r="1" spans="1:112" ht="16.5" customHeight="1">
      <c r="A1"/>
      <c r="B1"/>
      <c r="C1"/>
      <c r="D1"/>
      <c r="E1" s="126" t="s">
        <v>1418</v>
      </c>
      <c r="F1" s="84"/>
      <c r="G1" s="248" t="s">
        <v>1695</v>
      </c>
      <c r="H1" s="244" t="s">
        <v>1516</v>
      </c>
      <c r="I1" s="243"/>
      <c r="J1" s="243"/>
      <c r="K1" s="243"/>
      <c r="L1" s="243"/>
      <c r="M1" s="238"/>
      <c r="O1" s="235" t="s">
        <v>1514</v>
      </c>
      <c r="P1" s="236"/>
      <c r="Q1" s="236"/>
      <c r="R1" s="236"/>
      <c r="S1" s="236"/>
      <c r="T1" s="236"/>
      <c r="U1" s="236"/>
      <c r="V1" s="236"/>
      <c r="W1" s="236"/>
      <c r="X1" s="236"/>
      <c r="Y1" s="236"/>
      <c r="Z1" s="236"/>
      <c r="AA1" s="236"/>
      <c r="AB1" s="236"/>
      <c r="AC1" s="236"/>
      <c r="AE1" s="237" t="s">
        <v>1515</v>
      </c>
      <c r="AF1" s="237"/>
      <c r="AG1" s="238"/>
      <c r="AH1" s="237"/>
      <c r="AI1" s="237"/>
      <c r="AJ1" s="237"/>
      <c r="AK1" s="237"/>
      <c r="AL1" s="237"/>
      <c r="AM1" s="237"/>
      <c r="AO1" s="238"/>
      <c r="AQ1" s="238"/>
      <c r="AR1" s="238"/>
      <c r="AS1" s="238"/>
      <c r="AU1" s="238"/>
      <c r="AV1" s="238"/>
      <c r="AW1" s="238"/>
      <c r="AY1" s="238"/>
      <c r="AZ1" s="238"/>
      <c r="BA1" s="238"/>
      <c r="BC1" s="238"/>
      <c r="BD1" s="238"/>
      <c r="BE1" s="238"/>
      <c r="BF1" s="238"/>
      <c r="BG1" s="238"/>
      <c r="BH1" s="238"/>
      <c r="BI1" s="238"/>
      <c r="BJ1" s="238"/>
      <c r="BK1" s="237"/>
      <c r="BL1" s="237"/>
      <c r="BM1" s="237"/>
      <c r="BN1" s="238"/>
      <c r="BO1" s="238"/>
      <c r="BP1" s="238"/>
      <c r="BQ1" s="238"/>
      <c r="BR1" s="238"/>
      <c r="BS1" s="238"/>
      <c r="BT1" s="238"/>
      <c r="BU1" s="238"/>
      <c r="BV1" s="238"/>
      <c r="BW1" s="238"/>
      <c r="BX1" s="238"/>
      <c r="BY1" s="238"/>
      <c r="BZ1" s="238"/>
      <c r="CA1" s="238"/>
      <c r="CB1" s="238"/>
      <c r="CC1" s="238"/>
      <c r="CD1" s="238"/>
      <c r="CE1" s="238"/>
      <c r="CF1" s="238"/>
      <c r="CG1" s="238"/>
      <c r="CH1" s="238"/>
      <c r="CI1" s="238"/>
      <c r="CJ1" s="238"/>
      <c r="CK1" s="238"/>
      <c r="CL1" s="238"/>
      <c r="CM1" s="238"/>
      <c r="CN1" s="238"/>
      <c r="CO1" s="238"/>
      <c r="CP1" s="1545"/>
      <c r="CQ1" s="238"/>
      <c r="CR1" s="238"/>
      <c r="CS1" s="238"/>
      <c r="CT1" s="1545"/>
      <c r="CW1" s="84" t="s">
        <v>1854</v>
      </c>
      <c r="CX1" s="84" t="s">
        <v>1855</v>
      </c>
      <c r="CY1" s="84" t="s">
        <v>1856</v>
      </c>
      <c r="CZ1" s="84" t="s">
        <v>1857</v>
      </c>
      <c r="DA1" s="84" t="s">
        <v>1858</v>
      </c>
      <c r="DB1" s="84" t="s">
        <v>1859</v>
      </c>
      <c r="DC1" s="84" t="s">
        <v>1860</v>
      </c>
      <c r="DD1" s="84" t="s">
        <v>1861</v>
      </c>
      <c r="DE1" s="84" t="s">
        <v>1862</v>
      </c>
      <c r="DF1" s="84" t="s">
        <v>1863</v>
      </c>
      <c r="DG1" s="84" t="s">
        <v>1864</v>
      </c>
      <c r="DH1" s="84" t="s">
        <v>1865</v>
      </c>
    </row>
    <row r="2" spans="1:112">
      <c r="A2"/>
      <c r="B2" s="87" t="s">
        <v>736</v>
      </c>
      <c r="C2" s="240" t="s">
        <v>1385</v>
      </c>
      <c r="D2"/>
      <c r="E2" s="117"/>
    </row>
    <row r="3" spans="1:112">
      <c r="A3"/>
      <c r="B3" s="87" t="s">
        <v>1386</v>
      </c>
      <c r="C3" s="88" t="str">
        <f>_xll.VisibleAlpha.UDF.VADetail("Name",C2)</f>
        <v>Safran</v>
      </c>
      <c r="D3"/>
      <c r="E3" s="117"/>
    </row>
    <row r="4" spans="1:112">
      <c r="A4"/>
      <c r="B4" s="87" t="s">
        <v>1387</v>
      </c>
      <c r="C4" s="240" t="s">
        <v>1388</v>
      </c>
      <c r="D4"/>
      <c r="E4" s="117"/>
    </row>
    <row r="5" spans="1:112">
      <c r="A5"/>
      <c r="B5" s="87" t="s">
        <v>1389</v>
      </c>
      <c r="C5" s="240" t="s">
        <v>1390</v>
      </c>
      <c r="D5"/>
      <c r="E5" s="117"/>
    </row>
    <row r="6" spans="1:112" ht="15" thickBot="1">
      <c r="A6"/>
      <c r="B6" s="89" t="s">
        <v>1391</v>
      </c>
      <c r="C6" s="239">
        <f ca="1">TODAY()-1</f>
        <v>45921</v>
      </c>
      <c r="D6"/>
      <c r="E6" s="117"/>
      <c r="F6" s="84"/>
      <c r="H6" s="86"/>
      <c r="O6" s="127" t="s">
        <v>1506</v>
      </c>
      <c r="S6" s="127" t="s">
        <v>1508</v>
      </c>
      <c r="W6" s="127" t="s">
        <v>1510</v>
      </c>
      <c r="AA6" s="127" t="s">
        <v>1512</v>
      </c>
      <c r="AE6" s="127" t="s">
        <v>1479</v>
      </c>
      <c r="AH6" s="127" t="s">
        <v>1722</v>
      </c>
      <c r="AL6" s="127" t="s">
        <v>1722</v>
      </c>
      <c r="AM6" s="127" t="s">
        <v>1727</v>
      </c>
      <c r="AO6" s="127"/>
      <c r="AQ6" s="127" t="s">
        <v>1696</v>
      </c>
      <c r="AU6" s="127" t="s">
        <v>1696</v>
      </c>
      <c r="AY6" s="127" t="s">
        <v>1696</v>
      </c>
      <c r="BC6" s="127" t="s">
        <v>1393</v>
      </c>
      <c r="BG6" s="127" t="s">
        <v>1744</v>
      </c>
      <c r="BK6" s="127" t="s">
        <v>1845</v>
      </c>
      <c r="BQ6" s="127" t="s">
        <v>1420</v>
      </c>
      <c r="BW6" s="127" t="s">
        <v>1420</v>
      </c>
      <c r="CA6" s="127" t="s">
        <v>1429</v>
      </c>
      <c r="CE6" s="127" t="s">
        <v>1663</v>
      </c>
      <c r="CI6" s="127" t="s">
        <v>1714</v>
      </c>
      <c r="CM6" s="127" t="s">
        <v>1852</v>
      </c>
      <c r="CQ6" s="127" t="s">
        <v>2059</v>
      </c>
      <c r="CW6" s="127" t="s">
        <v>1852</v>
      </c>
    </row>
    <row r="7" spans="1:112" ht="11.25" customHeight="1">
      <c r="A7"/>
      <c r="B7"/>
      <c r="C7"/>
      <c r="D7"/>
      <c r="E7" s="117"/>
      <c r="CA7" s="133"/>
      <c r="CE7" s="133"/>
      <c r="CI7" s="133"/>
    </row>
    <row r="8" spans="1:112" ht="14.25" customHeight="1">
      <c r="A8"/>
      <c r="B8"/>
      <c r="C8"/>
      <c r="D8"/>
      <c r="E8" s="117"/>
      <c r="G8" s="652"/>
      <c r="H8" s="84">
        <v>2023</v>
      </c>
      <c r="BW8" s="784"/>
      <c r="BX8" s="128"/>
      <c r="BY8" s="128"/>
      <c r="CA8" s="784"/>
      <c r="CB8" s="128"/>
      <c r="CC8" s="128"/>
      <c r="CE8" s="784"/>
      <c r="CF8" s="128"/>
      <c r="CG8" s="128"/>
      <c r="CI8" s="784"/>
      <c r="CJ8" s="128"/>
      <c r="CK8" s="128"/>
      <c r="CW8" s="784"/>
      <c r="CX8" s="128"/>
      <c r="CY8" s="128"/>
    </row>
    <row r="9" spans="1:112" ht="3" customHeight="1">
      <c r="A9" s="91"/>
      <c r="B9" s="92"/>
      <c r="C9" s="92"/>
      <c r="D9" s="92"/>
      <c r="E9" s="118"/>
      <c r="Q9" s="93"/>
      <c r="U9" s="93"/>
      <c r="Y9" s="93"/>
      <c r="AC9" s="93"/>
      <c r="AF9" s="93"/>
      <c r="AJ9" s="93"/>
      <c r="AS9" s="93"/>
      <c r="AW9" s="93"/>
      <c r="BA9" s="93"/>
      <c r="BE9" s="93"/>
      <c r="BI9" s="93"/>
      <c r="BM9" s="93"/>
      <c r="BO9" s="898"/>
      <c r="BS9" s="93"/>
      <c r="BU9" s="1111"/>
      <c r="BY9" s="93"/>
      <c r="CC9" s="93"/>
      <c r="CG9" s="93"/>
      <c r="CK9" s="93"/>
      <c r="CU9" s="1111"/>
      <c r="CY9" s="93"/>
    </row>
    <row r="10" spans="1:112">
      <c r="A10" s="91"/>
      <c r="B10" s="92"/>
      <c r="C10" s="92"/>
      <c r="D10" s="92"/>
      <c r="G10" s="644" t="s">
        <v>732</v>
      </c>
      <c r="H10" s="783" t="s">
        <v>1396</v>
      </c>
      <c r="J10" s="120" t="s">
        <v>740</v>
      </c>
      <c r="K10" s="120" t="s">
        <v>740</v>
      </c>
      <c r="L10" s="120" t="s">
        <v>740</v>
      </c>
      <c r="M10" s="120" t="s">
        <v>740</v>
      </c>
      <c r="O10" s="120" t="s">
        <v>1521</v>
      </c>
      <c r="P10" s="120" t="s">
        <v>1396</v>
      </c>
      <c r="Q10" s="121" t="s">
        <v>1396</v>
      </c>
      <c r="S10" s="120" t="s">
        <v>1521</v>
      </c>
      <c r="T10" s="120" t="s">
        <v>1396</v>
      </c>
      <c r="U10" s="121" t="s">
        <v>1396</v>
      </c>
      <c r="W10" s="120" t="s">
        <v>1395</v>
      </c>
      <c r="X10" s="120" t="s">
        <v>1396</v>
      </c>
      <c r="Y10" s="121" t="s">
        <v>1396</v>
      </c>
      <c r="AA10" s="120" t="s">
        <v>1395</v>
      </c>
      <c r="AB10" s="120" t="s">
        <v>1396</v>
      </c>
      <c r="AC10" s="121" t="s">
        <v>1396</v>
      </c>
      <c r="AE10" s="120" t="s">
        <v>1521</v>
      </c>
      <c r="AF10" s="121" t="s">
        <v>1396</v>
      </c>
      <c r="AH10" s="648" t="s">
        <v>1703</v>
      </c>
      <c r="AI10" s="648" t="s">
        <v>1659</v>
      </c>
      <c r="AJ10" s="649" t="s">
        <v>1659</v>
      </c>
      <c r="AL10" s="648" t="s">
        <v>1395</v>
      </c>
      <c r="AM10" s="648" t="s">
        <v>1395</v>
      </c>
      <c r="AO10" s="673" t="s">
        <v>740</v>
      </c>
      <c r="AQ10" s="120" t="s">
        <v>1700</v>
      </c>
      <c r="AR10" s="120" t="s">
        <v>1659</v>
      </c>
      <c r="AS10" s="121" t="s">
        <v>1694</v>
      </c>
      <c r="AU10" s="120" t="s">
        <v>1682</v>
      </c>
      <c r="AV10" s="120" t="s">
        <v>1659</v>
      </c>
      <c r="AW10" s="121" t="s">
        <v>1694</v>
      </c>
      <c r="AY10" s="120" t="s">
        <v>1682</v>
      </c>
      <c r="AZ10" s="120" t="s">
        <v>1659</v>
      </c>
      <c r="BA10" s="121" t="s">
        <v>1694</v>
      </c>
      <c r="BC10" s="120" t="s">
        <v>1395</v>
      </c>
      <c r="BD10" s="120" t="s">
        <v>1659</v>
      </c>
      <c r="BE10" s="121" t="s">
        <v>1659</v>
      </c>
      <c r="BG10" s="648" t="s">
        <v>1703</v>
      </c>
      <c r="BH10" s="648" t="s">
        <v>1659</v>
      </c>
      <c r="BI10" s="649" t="s">
        <v>1659</v>
      </c>
      <c r="BK10" s="648" t="s">
        <v>1703</v>
      </c>
      <c r="BL10" s="648" t="s">
        <v>1659</v>
      </c>
      <c r="BM10" s="649" t="s">
        <v>1659</v>
      </c>
      <c r="BO10" s="747" t="s">
        <v>1397</v>
      </c>
      <c r="BQ10" s="120" t="s">
        <v>1703</v>
      </c>
      <c r="BR10" s="120" t="s">
        <v>1659</v>
      </c>
      <c r="BS10" s="121" t="s">
        <v>1659</v>
      </c>
      <c r="BU10" s="1116" t="s">
        <v>1761</v>
      </c>
      <c r="BW10" s="120" t="s">
        <v>1703</v>
      </c>
      <c r="BX10" s="120" t="s">
        <v>1659</v>
      </c>
      <c r="BY10" s="121" t="s">
        <v>1659</v>
      </c>
      <c r="CA10" s="120" t="s">
        <v>1703</v>
      </c>
      <c r="CB10" s="120" t="s">
        <v>1659</v>
      </c>
      <c r="CC10" s="121" t="s">
        <v>1659</v>
      </c>
      <c r="CE10" s="120" t="s">
        <v>1703</v>
      </c>
      <c r="CF10" s="120" t="s">
        <v>1659</v>
      </c>
      <c r="CG10" s="121" t="s">
        <v>1659</v>
      </c>
      <c r="CI10" s="120" t="s">
        <v>1703</v>
      </c>
      <c r="CJ10" s="120" t="s">
        <v>1659</v>
      </c>
      <c r="CK10" s="121" t="s">
        <v>1659</v>
      </c>
      <c r="CM10" s="120" t="s">
        <v>1703</v>
      </c>
      <c r="CN10" s="120" t="s">
        <v>1659</v>
      </c>
      <c r="CO10" s="121" t="s">
        <v>1659</v>
      </c>
      <c r="CP10" s="96"/>
      <c r="CQ10" s="120" t="s">
        <v>1703</v>
      </c>
      <c r="CR10" s="120" t="s">
        <v>1659</v>
      </c>
      <c r="CS10" s="121" t="s">
        <v>1659</v>
      </c>
      <c r="CT10" s="96"/>
      <c r="CU10" s="1116" t="s">
        <v>1761</v>
      </c>
      <c r="CW10" s="120" t="s">
        <v>1703</v>
      </c>
      <c r="CX10" s="120" t="s">
        <v>1659</v>
      </c>
      <c r="CY10" s="121" t="s">
        <v>1659</v>
      </c>
    </row>
    <row r="11" spans="1:112">
      <c r="A11" s="94"/>
      <c r="B11" s="92"/>
      <c r="C11" s="92"/>
      <c r="D11" s="92"/>
      <c r="E11" s="119" t="s">
        <v>1390</v>
      </c>
      <c r="G11" s="82" t="s">
        <v>1394</v>
      </c>
      <c r="H11" s="783" t="s">
        <v>1398</v>
      </c>
      <c r="J11" s="120" t="s">
        <v>1482</v>
      </c>
      <c r="K11" s="120" t="s">
        <v>1481</v>
      </c>
      <c r="L11" s="120" t="s">
        <v>1641</v>
      </c>
      <c r="M11" s="120" t="s">
        <v>1642</v>
      </c>
      <c r="O11" s="120" t="s">
        <v>1507</v>
      </c>
      <c r="P11" s="120" t="s">
        <v>1507</v>
      </c>
      <c r="Q11" s="121" t="s">
        <v>1399</v>
      </c>
      <c r="S11" s="120" t="s">
        <v>1509</v>
      </c>
      <c r="T11" s="120" t="s">
        <v>1509</v>
      </c>
      <c r="U11" s="121" t="s">
        <v>1399</v>
      </c>
      <c r="W11" s="120" t="s">
        <v>1511</v>
      </c>
      <c r="X11" s="120" t="s">
        <v>1511</v>
      </c>
      <c r="Y11" s="121" t="s">
        <v>1399</v>
      </c>
      <c r="AA11" s="120" t="s">
        <v>1513</v>
      </c>
      <c r="AB11" s="120" t="s">
        <v>1513</v>
      </c>
      <c r="AC11" s="121" t="s">
        <v>1399</v>
      </c>
      <c r="AE11" s="120" t="s">
        <v>1480</v>
      </c>
      <c r="AF11" s="121" t="s">
        <v>1399</v>
      </c>
      <c r="AH11" s="648" t="s">
        <v>1723</v>
      </c>
      <c r="AI11" s="648" t="s">
        <v>1723</v>
      </c>
      <c r="AJ11" s="649" t="s">
        <v>1399</v>
      </c>
      <c r="AL11" s="648" t="s">
        <v>1723</v>
      </c>
      <c r="AM11" s="648" t="s">
        <v>1728</v>
      </c>
      <c r="AO11" s="673" t="s">
        <v>1698</v>
      </c>
      <c r="AQ11" s="120" t="s">
        <v>1699</v>
      </c>
      <c r="AR11" s="120" t="s">
        <v>1668</v>
      </c>
      <c r="AS11" s="121" t="s">
        <v>1671</v>
      </c>
      <c r="AU11" s="120" t="s">
        <v>1701</v>
      </c>
      <c r="AV11" s="120" t="s">
        <v>1669</v>
      </c>
      <c r="AW11" s="121" t="s">
        <v>1671</v>
      </c>
      <c r="AY11" s="120" t="s">
        <v>1702</v>
      </c>
      <c r="AZ11" s="120" t="s">
        <v>1697</v>
      </c>
      <c r="BA11" s="121" t="s">
        <v>1671</v>
      </c>
      <c r="BC11" s="120" t="s">
        <v>1400</v>
      </c>
      <c r="BD11" s="120" t="s">
        <v>1400</v>
      </c>
      <c r="BE11" s="121" t="s">
        <v>1399</v>
      </c>
      <c r="BG11" s="648" t="s">
        <v>1743</v>
      </c>
      <c r="BH11" s="648" t="s">
        <v>1743</v>
      </c>
      <c r="BI11" s="649" t="s">
        <v>1399</v>
      </c>
      <c r="BK11" s="648" t="s">
        <v>1846</v>
      </c>
      <c r="BL11" s="648" t="s">
        <v>1846</v>
      </c>
      <c r="BM11" s="649" t="s">
        <v>1399</v>
      </c>
      <c r="BO11" s="747" t="s">
        <v>1785</v>
      </c>
      <c r="BQ11" s="120" t="s">
        <v>1422</v>
      </c>
      <c r="BR11" s="120" t="s">
        <v>1422</v>
      </c>
      <c r="BS11" s="121" t="s">
        <v>1399</v>
      </c>
      <c r="BU11" s="1116" t="s">
        <v>1785</v>
      </c>
      <c r="BW11" s="120" t="s">
        <v>1422</v>
      </c>
      <c r="BX11" s="120" t="s">
        <v>1422</v>
      </c>
      <c r="BY11" s="121" t="s">
        <v>1399</v>
      </c>
      <c r="CA11" s="120" t="s">
        <v>1433</v>
      </c>
      <c r="CB11" s="120" t="s">
        <v>1433</v>
      </c>
      <c r="CC11" s="121" t="s">
        <v>1399</v>
      </c>
      <c r="CE11" s="120" t="s">
        <v>1664</v>
      </c>
      <c r="CF11" s="120" t="s">
        <v>1664</v>
      </c>
      <c r="CG11" s="121" t="s">
        <v>1399</v>
      </c>
      <c r="CI11" s="120" t="s">
        <v>1715</v>
      </c>
      <c r="CJ11" s="120" t="s">
        <v>1715</v>
      </c>
      <c r="CK11" s="121" t="s">
        <v>1399</v>
      </c>
      <c r="CM11" s="120" t="s">
        <v>1937</v>
      </c>
      <c r="CN11" s="120" t="s">
        <v>1937</v>
      </c>
      <c r="CO11" s="121" t="s">
        <v>1399</v>
      </c>
      <c r="CP11" s="96"/>
      <c r="CQ11" s="120" t="s">
        <v>2060</v>
      </c>
      <c r="CR11" s="120" t="s">
        <v>2060</v>
      </c>
      <c r="CS11" s="121" t="s">
        <v>1399</v>
      </c>
      <c r="CT11" s="96"/>
      <c r="CU11" s="1116" t="s">
        <v>1762</v>
      </c>
      <c r="CW11" s="120" t="s">
        <v>1715</v>
      </c>
      <c r="CX11" s="120" t="s">
        <v>1715</v>
      </c>
      <c r="CY11" s="121" t="s">
        <v>1399</v>
      </c>
    </row>
    <row r="12" spans="1:112">
      <c r="A12" s="94"/>
      <c r="B12" s="92"/>
      <c r="C12" s="92"/>
      <c r="D12" s="92"/>
      <c r="G12" s="95" t="s">
        <v>1267</v>
      </c>
      <c r="H12" s="96"/>
      <c r="J12" s="96"/>
      <c r="K12" s="96"/>
      <c r="L12" s="96"/>
      <c r="M12" s="96"/>
      <c r="O12" s="96"/>
      <c r="P12" s="96"/>
      <c r="Q12" s="97"/>
      <c r="S12" s="96"/>
      <c r="T12" s="96"/>
      <c r="U12" s="97"/>
      <c r="W12" s="96"/>
      <c r="X12" s="96"/>
      <c r="Y12" s="97"/>
      <c r="AA12" s="96"/>
      <c r="AB12" s="96"/>
      <c r="AC12" s="97"/>
      <c r="AE12" s="96"/>
      <c r="AF12" s="97"/>
      <c r="AH12" s="96"/>
      <c r="AI12" s="96"/>
      <c r="AJ12" s="97"/>
      <c r="AL12" s="96"/>
      <c r="AM12" s="96"/>
      <c r="AO12" s="96"/>
      <c r="AQ12" s="96"/>
      <c r="AR12" s="96"/>
      <c r="AS12" s="97"/>
      <c r="AU12" s="96"/>
      <c r="AV12" s="96"/>
      <c r="AW12" s="97"/>
      <c r="AY12" s="96"/>
      <c r="AZ12" s="96"/>
      <c r="BA12" s="97"/>
      <c r="BC12" s="96"/>
      <c r="BD12" s="96"/>
      <c r="BE12" s="97"/>
      <c r="BG12" s="96"/>
      <c r="BH12" s="96"/>
      <c r="BI12" s="97"/>
      <c r="BK12" s="96"/>
      <c r="BL12" s="96"/>
      <c r="BM12" s="97"/>
      <c r="BO12" s="899"/>
      <c r="BQ12" s="96"/>
      <c r="BR12" s="96"/>
      <c r="BS12" s="97"/>
      <c r="BU12" s="1120"/>
      <c r="BW12" s="96"/>
      <c r="BX12" s="96"/>
      <c r="BY12" s="97"/>
      <c r="CA12" s="96"/>
      <c r="CB12" s="96"/>
      <c r="CC12" s="97"/>
      <c r="CE12" s="96"/>
      <c r="CF12" s="96"/>
      <c r="CG12" s="97"/>
      <c r="CI12" s="96"/>
      <c r="CJ12" s="96"/>
      <c r="CK12" s="97"/>
      <c r="CM12" s="96"/>
      <c r="CN12" s="96"/>
      <c r="CO12" s="97"/>
      <c r="CP12" s="1546"/>
      <c r="CQ12" s="96"/>
      <c r="CR12" s="96"/>
      <c r="CS12" s="97"/>
      <c r="CT12" s="1546"/>
      <c r="CU12" s="1120"/>
      <c r="CW12" s="96"/>
      <c r="CX12" s="96"/>
      <c r="CY12" s="97"/>
    </row>
    <row r="13" spans="1:112">
      <c r="A13" s="90"/>
      <c r="B13" s="98"/>
      <c r="C13" s="98"/>
      <c r="D13" s="98"/>
      <c r="E13" s="119" t="s">
        <v>1401</v>
      </c>
      <c r="G13" s="90" t="s">
        <v>1402</v>
      </c>
      <c r="H13" s="99">
        <f>'Income Statement'!$W$5</f>
        <v>7439</v>
      </c>
      <c r="J13" s="99">
        <f>Interim!$X$6</f>
        <v>3249</v>
      </c>
      <c r="K13" s="99">
        <f>Interim!$Y$6</f>
        <v>4190</v>
      </c>
      <c r="L13" s="99">
        <f>Interim!$Z$6</f>
        <v>4176</v>
      </c>
      <c r="M13" s="99">
        <f>'Income Statement'!$X$5</f>
        <v>9506</v>
      </c>
      <c r="O13" s="99" t="s">
        <v>1517</v>
      </c>
      <c r="P13" s="99">
        <f>Interim!CM6</f>
        <v>1942</v>
      </c>
      <c r="Q13" s="100" t="s">
        <v>1517</v>
      </c>
      <c r="S13" s="99" t="e">
        <f ca="1">_xll.VisibleAlpha.UDF.VAData($C$2,S$6,$E13,$E$11,"CD","IMPL",$C$6)</f>
        <v>#NAME?</v>
      </c>
      <c r="T13" s="99">
        <f>Interim!CN6</f>
        <v>2234</v>
      </c>
      <c r="U13" s="100" t="e">
        <f ca="1">T13/S13-1</f>
        <v>#NAME?</v>
      </c>
      <c r="W13" s="99" t="e">
        <f ca="1">_xll.VisibleAlpha.UDF.VAData($C$2,W$6,$E13,$E$11,"CD","IMPL",$C$6)</f>
        <v>#NAME?</v>
      </c>
      <c r="X13" s="99">
        <f>Interim!CO6</f>
        <v>2503</v>
      </c>
      <c r="Y13" s="100" t="e">
        <f ca="1">X13/W13-1</f>
        <v>#NAME?</v>
      </c>
      <c r="AA13" s="99" t="e">
        <f ca="1">_xll.VisibleAlpha.UDF.VAData($C$2,AA$6,$E13,$E$11,"CD","IMPL",$C$6)</f>
        <v>#NAME?</v>
      </c>
      <c r="AB13" s="99">
        <f>Interim!CP6</f>
        <v>2827</v>
      </c>
      <c r="AC13" s="100" t="e">
        <f ca="1">AB13/AA13-1</f>
        <v>#NAME?</v>
      </c>
      <c r="AE13" s="99" t="s">
        <v>1517</v>
      </c>
      <c r="AF13" s="100" t="s">
        <v>1517</v>
      </c>
      <c r="AH13" s="99" t="e">
        <f ca="1">_xll.VisibleAlpha.UDF.VAData($C$2,AH$6,$E13,$E$11,"CD","IMPL",$C$6)</f>
        <v>#NAME?</v>
      </c>
      <c r="AI13" s="99">
        <f>Interim!$AD$6</f>
        <v>6461</v>
      </c>
      <c r="AJ13" s="100" t="e">
        <f ca="1">AI13/AH13-1</f>
        <v>#NAME?</v>
      </c>
      <c r="AL13" s="99" t="e">
        <f ca="1">_xll.VisibleAlpha.UDF.VAData($C$2,AL$6,$E13,$E$11,"CD","IMPL",$C$6)</f>
        <v>#NAME?</v>
      </c>
      <c r="AM13" s="99" t="e">
        <f ca="1">_xll.VisibleAlpha.UDF.VAData($C$2,AM$6,$E13,$E$11,"CD","IMPL",$C$6)</f>
        <v>#NAME?</v>
      </c>
      <c r="AO13" s="99">
        <v>8760</v>
      </c>
      <c r="AQ13" s="99">
        <f>AU13-AO13</f>
        <v>3195</v>
      </c>
      <c r="AR13" s="99">
        <f>Interim!$CT$6</f>
        <v>3116</v>
      </c>
      <c r="AS13" s="100">
        <f>AR13/AQ13-1</f>
        <v>-2.4726134585289494E-2</v>
      </c>
      <c r="AU13" s="99">
        <v>11955</v>
      </c>
      <c r="AV13" s="99">
        <f>'Income Statement'!$Y$5</f>
        <v>11876</v>
      </c>
      <c r="AW13" s="100">
        <f>AV13/AU13-1</f>
        <v>-6.6081137599330875E-3</v>
      </c>
      <c r="AY13" s="99">
        <v>13754</v>
      </c>
      <c r="AZ13" s="99">
        <f>'Income Statement'!$Z$5</f>
        <v>13652</v>
      </c>
      <c r="BA13" s="100">
        <f>AZ13/AY13-1</f>
        <v>-7.4160244292569288E-3</v>
      </c>
      <c r="BC13" s="99" t="e">
        <f ca="1">_xll.VisibleAlpha.UDF.VAData($C$2,BC$6,$E13,$E$11,"CD","IMPL",$C$6)</f>
        <v>#NAME?</v>
      </c>
      <c r="BD13" s="99">
        <f>'Income Statement'!$Y$5</f>
        <v>11876</v>
      </c>
      <c r="BE13" s="100" t="e">
        <f ca="1">BD13/BC13-1</f>
        <v>#NAME?</v>
      </c>
      <c r="BG13" s="99" t="e">
        <f ca="1">_xll.VisibleAlpha.UDF.VAData($C$2,BG$6,$E13,$E$11,"CD","IMPL",$C$6)</f>
        <v>#NAME?</v>
      </c>
      <c r="BH13" s="99">
        <f>Interim!$CW$6</f>
        <v>3339</v>
      </c>
      <c r="BI13" s="100" t="e">
        <f ca="1">BH13/BG13-1</f>
        <v>#NAME?</v>
      </c>
      <c r="BK13" s="99" t="e">
        <f ca="1">_xll.VisibleAlpha.UDF.VAData($C$2,BK$6,$E13,$E$11,"CD","IMPL",$C$6)</f>
        <v>#NAME?</v>
      </c>
      <c r="BL13" s="99">
        <f>Interim!$AE$6</f>
        <v>7191</v>
      </c>
      <c r="BM13" s="100" t="e">
        <f ca="1">BL13/BK13-1</f>
        <v>#NAME?</v>
      </c>
      <c r="BO13" s="899"/>
      <c r="BQ13" s="99" t="e">
        <f ca="1">_xll.VisibleAlpha.UDF.VAData($C$2,BQ$6,$E13,$E$11,"CD","IMPL",$C$6)</f>
        <v>#NAME?</v>
      </c>
      <c r="BR13" s="99">
        <f>'Income Statement'!$AA$5</f>
        <v>15370.630147753953</v>
      </c>
      <c r="BS13" s="100" t="e">
        <f ca="1">BR13/BQ13-1</f>
        <v>#NAME?</v>
      </c>
      <c r="BU13" s="1120"/>
      <c r="BW13" s="99" t="e">
        <f ca="1">_xll.VisibleAlpha.UDF.VAData($C$2,BW$6,$E13,$E$11,"CD","IMPL",$C$6)</f>
        <v>#NAME?</v>
      </c>
      <c r="BX13" s="99">
        <f>'Income Statement'!$AA$5</f>
        <v>15370.630147753953</v>
      </c>
      <c r="BY13" s="100" t="e">
        <f ca="1">BX13/BW13-1</f>
        <v>#NAME?</v>
      </c>
      <c r="CA13" s="99" t="e">
        <f ca="1">_xll.VisibleAlpha.UDF.VAData($C$2,CA$6,$E13,$E$11,"CD","IMPL",$C$6)</f>
        <v>#NAME?</v>
      </c>
      <c r="CB13" s="99">
        <f>'Income Statement'!$AB$5</f>
        <v>17237.134137577486</v>
      </c>
      <c r="CC13" s="100" t="e">
        <f ca="1">CB13/CA13-1</f>
        <v>#NAME?</v>
      </c>
      <c r="CE13" s="99" t="e">
        <f ca="1">_xll.VisibleAlpha.UDF.VAData($C$2,CE$6,$E13,$E$11,"CD","IMPL",$C$6)</f>
        <v>#NAME?</v>
      </c>
      <c r="CF13" s="99">
        <f>'Income Statement'!$AC$5</f>
        <v>19144.030748250396</v>
      </c>
      <c r="CG13" s="100" t="e">
        <f ca="1">CF13/CE13-1</f>
        <v>#NAME?</v>
      </c>
      <c r="CI13" s="99" t="e">
        <f ca="1">_xll.VisibleAlpha.UDF.VAData($C$2,CI$6,$E13,$E$11,"CD","IMPL",$C$6)</f>
        <v>#NAME?</v>
      </c>
      <c r="CJ13" s="99">
        <f>'Income Statement'!$AD$5</f>
        <v>20696.68079515608</v>
      </c>
      <c r="CK13" s="100" t="e">
        <f ca="1">CJ13/CI13-1</f>
        <v>#NAME?</v>
      </c>
      <c r="CM13" s="99" t="e">
        <f ca="1">_xll.VisibleAlpha.UDF.VAData($C$2,CM$6,$E13,$E$11,"CD","IMPL",$C$6)</f>
        <v>#NAME?</v>
      </c>
      <c r="CN13" s="99">
        <f>'Income Statement'!$AE$5</f>
        <v>21724.521775313377</v>
      </c>
      <c r="CO13" s="100" t="e">
        <f ca="1">CN13/CM13-1</f>
        <v>#NAME?</v>
      </c>
      <c r="CP13" s="1547"/>
      <c r="CQ13" s="99" t="e">
        <f ca="1">_xll.VisibleAlpha.UDF.VAData($C$2,CQ$6,$E13,$E$11,"CD","IMPL",$C$6)</f>
        <v>#NAME?</v>
      </c>
      <c r="CR13" s="99">
        <f>'Income Statement'!$AF$5</f>
        <v>22805.290683049712</v>
      </c>
      <c r="CS13" s="100" t="e">
        <f ca="1">CR13/CQ13-1</f>
        <v>#NAME?</v>
      </c>
      <c r="CT13" s="1547"/>
      <c r="CU13" s="1120"/>
      <c r="CW13" s="99" t="e">
        <f ca="1">_xll.VisibleAlpha.UDF.VAData($C$2,CW$6,$E13,$E$11,"CD","IMPL",$C$6)</f>
        <v>#NAME?</v>
      </c>
      <c r="CX13" s="99">
        <f>'Income Statement'!$AE$5</f>
        <v>21724.521775313377</v>
      </c>
      <c r="CY13" s="100" t="e">
        <f ca="1">CX13/CW13-1</f>
        <v>#NAME?</v>
      </c>
    </row>
    <row r="14" spans="1:112" ht="12" customHeight="1">
      <c r="A14" s="90"/>
      <c r="B14" s="98"/>
      <c r="C14" s="98"/>
      <c r="D14" s="98"/>
      <c r="E14" s="119" t="s">
        <v>1403</v>
      </c>
      <c r="G14" s="90" t="s">
        <v>1404</v>
      </c>
      <c r="H14" s="99">
        <f>'Income Statement'!$W$6</f>
        <v>6325</v>
      </c>
      <c r="J14" s="99">
        <f>Interim!$X$10</f>
        <v>2972</v>
      </c>
      <c r="K14" s="99">
        <f>Interim!$Y$10</f>
        <v>3353</v>
      </c>
      <c r="L14" s="99">
        <f>Interim!$Z$10</f>
        <v>3506</v>
      </c>
      <c r="M14" s="99">
        <f>'Income Statement'!$X$6</f>
        <v>7535</v>
      </c>
      <c r="O14" s="99" t="s">
        <v>1517</v>
      </c>
      <c r="P14" s="99">
        <f>Interim!CM10</f>
        <v>1716</v>
      </c>
      <c r="Q14" s="100" t="s">
        <v>1517</v>
      </c>
      <c r="S14" s="99" t="e">
        <f ca="1">_xll.VisibleAlpha.UDF.VAData($C$2,S$6,$E14,$E$11,"CD","IMPL",$C$6)</f>
        <v>#NAME?</v>
      </c>
      <c r="T14" s="99">
        <f>Interim!CN10</f>
        <v>1790</v>
      </c>
      <c r="U14" s="100" t="e">
        <f t="shared" ref="U14:U16" ca="1" si="0">T14/S14-1</f>
        <v>#NAME?</v>
      </c>
      <c r="W14" s="99" t="e">
        <f ca="1">_xll.VisibleAlpha.UDF.VAData($C$2,W$6,$E14,$E$11,"CD","IMPL",$C$6)</f>
        <v>#NAME?</v>
      </c>
      <c r="X14" s="99">
        <f>Interim!CO10</f>
        <v>1820</v>
      </c>
      <c r="Y14" s="100" t="e">
        <f t="shared" ref="Y14:Y16" ca="1" si="1">X14/W14-1</f>
        <v>#NAME?</v>
      </c>
      <c r="AA14" s="99" t="e">
        <f ca="1">_xll.VisibleAlpha.UDF.VAData($C$2,AA$6,$E14,$E$11,"CD","IMPL",$C$6)</f>
        <v>#NAME?</v>
      </c>
      <c r="AB14" s="99">
        <f>Interim!CP10</f>
        <v>2209</v>
      </c>
      <c r="AC14" s="100" t="e">
        <f t="shared" ref="AC14:AC16" ca="1" si="2">AB14/AA14-1</f>
        <v>#NAME?</v>
      </c>
      <c r="AE14" s="99" t="s">
        <v>1517</v>
      </c>
      <c r="AF14" s="100" t="s">
        <v>1517</v>
      </c>
      <c r="AH14" s="99" t="e">
        <f ca="1">_xll.VisibleAlpha.UDF.VAData($C$2,AH$6,$E14,$E$11,"CD","IMPL",$C$6)</f>
        <v>#NAME?</v>
      </c>
      <c r="AI14" s="99">
        <f>Interim!$AD$10</f>
        <v>5170</v>
      </c>
      <c r="AJ14" s="100" t="e">
        <f t="shared" ref="AJ14:AJ16" ca="1" si="3">AI14/AH14-1</f>
        <v>#NAME?</v>
      </c>
      <c r="AL14" s="99" t="e">
        <f ca="1">_xll.VisibleAlpha.UDF.VAData($C$2,AL$6,$E14,$E$11,"CD","IMPL",$C$6)</f>
        <v>#NAME?</v>
      </c>
      <c r="AM14" s="99" t="e">
        <f ca="1">_xll.VisibleAlpha.UDF.VAData($C$2,AM$6,$E14,$E$11,"CD","IMPL",$C$6)</f>
        <v>#NAME?</v>
      </c>
      <c r="AO14" s="99">
        <v>6234</v>
      </c>
      <c r="AQ14" s="99">
        <f>AU14-AO14</f>
        <v>2557</v>
      </c>
      <c r="AR14" s="99">
        <f>Interim!$CT$10</f>
        <v>2601</v>
      </c>
      <c r="AS14" s="100">
        <f>AR14/AQ14-1</f>
        <v>1.7207665232694458E-2</v>
      </c>
      <c r="AU14" s="99">
        <v>8791</v>
      </c>
      <c r="AV14" s="99">
        <f>'Income Statement'!$Y$6</f>
        <v>8835</v>
      </c>
      <c r="AW14" s="100">
        <f>AV14/AU14-1</f>
        <v>5.0051188715731776E-3</v>
      </c>
      <c r="AY14" s="99">
        <v>9911</v>
      </c>
      <c r="AZ14" s="99">
        <f>'Income Statement'!$Z$6</f>
        <v>10618</v>
      </c>
      <c r="BA14" s="100">
        <f>AZ14/AY14-1</f>
        <v>7.1334880435879322E-2</v>
      </c>
      <c r="BC14" s="99" t="e">
        <f ca="1">_xll.VisibleAlpha.UDF.VAData($C$2,BC$6,$E14,$E$11,"CD","IMPL",$C$6)</f>
        <v>#NAME?</v>
      </c>
      <c r="BD14" s="99">
        <f>'Income Statement'!$Y$6</f>
        <v>8835</v>
      </c>
      <c r="BE14" s="100" t="e">
        <f t="shared" ref="BE14:BE16" ca="1" si="4">BD14/BC14-1</f>
        <v>#NAME?</v>
      </c>
      <c r="BG14" s="99" t="e">
        <f ca="1">_xll.VisibleAlpha.UDF.VAData($C$2,BG$6,$E14,$E$11,"CD","IMPL",$C$6)</f>
        <v>#NAME?</v>
      </c>
      <c r="BH14" s="99">
        <f>Interim!$CW$10</f>
        <v>2527</v>
      </c>
      <c r="BI14" s="100" t="e">
        <f ca="1">BH14/BG14-1</f>
        <v>#NAME?</v>
      </c>
      <c r="BK14" s="99" t="e">
        <f ca="1">_xll.VisibleAlpha.UDF.VAData($C$2,BK$6,$E14,$E$11,"CD","IMPL",$C$6)</f>
        <v>#NAME?</v>
      </c>
      <c r="BL14" s="99">
        <f>Interim!$AE$10</f>
        <v>5448</v>
      </c>
      <c r="BM14" s="100" t="e">
        <f t="shared" ref="BM14:BM16" ca="1" si="5">BL14/BK14-1</f>
        <v>#NAME?</v>
      </c>
      <c r="BO14" s="899"/>
      <c r="BQ14" s="99" t="e">
        <f ca="1">_xll.VisibleAlpha.UDF.VAData($C$2,BQ$6,$E14,$E$11,"CD","IMPL",$C$6)</f>
        <v>#NAME?</v>
      </c>
      <c r="BR14" s="99">
        <f>'Income Statement'!$AA$6</f>
        <v>12191.476774649433</v>
      </c>
      <c r="BS14" s="100" t="e">
        <f t="shared" ref="BS14:BS16" ca="1" si="6">BR14/BQ14-1</f>
        <v>#NAME?</v>
      </c>
      <c r="BU14" s="1120"/>
      <c r="BW14" s="99" t="e">
        <f ca="1">_xll.VisibleAlpha.UDF.VAData($C$2,BW$6,$E14,$E$11,"CD","IMPL",$C$6)</f>
        <v>#NAME?</v>
      </c>
      <c r="BX14" s="99">
        <f>'Income Statement'!$AA$6</f>
        <v>12191.476774649433</v>
      </c>
      <c r="BY14" s="100" t="e">
        <f t="shared" ref="BY14:BY16" ca="1" si="7">BX14/BW14-1</f>
        <v>#NAME?</v>
      </c>
      <c r="CA14" s="99" t="e">
        <f ca="1">_xll.VisibleAlpha.UDF.VAData($C$2,CA$6,$E14,$E$11,"CD","IMPL",$C$6)</f>
        <v>#NAME?</v>
      </c>
      <c r="CB14" s="99">
        <f>'Income Statement'!$AB$6</f>
        <v>13490.447545949384</v>
      </c>
      <c r="CC14" s="100" t="e">
        <f t="shared" ref="CC14:CC16" ca="1" si="8">CB14/CA14-1</f>
        <v>#NAME?</v>
      </c>
      <c r="CE14" s="99" t="e">
        <f ca="1">_xll.VisibleAlpha.UDF.VAData($C$2,CE$6,$E14,$E$11,"CD","IMPL",$C$6)</f>
        <v>#NAME?</v>
      </c>
      <c r="CF14" s="99">
        <f>'Income Statement'!$AC$6</f>
        <v>14881.971979736896</v>
      </c>
      <c r="CG14" s="100" t="e">
        <f t="shared" ref="CG14:CG16" ca="1" si="9">CF14/CE14-1</f>
        <v>#NAME?</v>
      </c>
      <c r="CI14" s="99" t="e">
        <f ca="1">_xll.VisibleAlpha.UDF.VAData($C$2,CI$6,$E14,$E$11,"CD","IMPL",$C$6)</f>
        <v>#NAME?</v>
      </c>
      <c r="CJ14" s="99">
        <f>'Income Statement'!$AD$6</f>
        <v>16221.876397768472</v>
      </c>
      <c r="CK14" s="100" t="e">
        <f t="shared" ref="CK14:CK16" ca="1" si="10">CJ14/CI14-1</f>
        <v>#NAME?</v>
      </c>
      <c r="CM14" s="99" t="e">
        <f ca="1">_xll.VisibleAlpha.UDF.VAData($C$2,CM$6,$E14,$E$11,"CD","IMPL",$C$6)</f>
        <v>#NAME?</v>
      </c>
      <c r="CN14" s="99">
        <f>'Income Statement'!$AE$6</f>
        <v>17082.303200361919</v>
      </c>
      <c r="CO14" s="100" t="e">
        <f t="shared" ref="CO14:CO16" ca="1" si="11">CN14/CM14-1</f>
        <v>#NAME?</v>
      </c>
      <c r="CP14" s="1547"/>
      <c r="CQ14" s="99" t="e">
        <f ca="1">_xll.VisibleAlpha.UDF.VAData($C$2,CQ$6,$E14,$E$11,"CD","IMPL",$C$6)</f>
        <v>#NAME?</v>
      </c>
      <c r="CR14" s="99">
        <f>'Income Statement'!$AF$6</f>
        <v>17972.921449066049</v>
      </c>
      <c r="CS14" s="100" t="e">
        <f t="shared" ref="CS14:CS16" ca="1" si="12">CR14/CQ14-1</f>
        <v>#NAME?</v>
      </c>
      <c r="CT14" s="1547"/>
      <c r="CU14" s="1120"/>
      <c r="CW14" s="99" t="e">
        <f ca="1">_xll.VisibleAlpha.UDF.VAData($C$2,CW$6,$E14,$E$11,"CD","IMPL",$C$6)</f>
        <v>#NAME?</v>
      </c>
      <c r="CX14" s="99">
        <f>'Income Statement'!$AE$6</f>
        <v>17082.303200361919</v>
      </c>
      <c r="CY14" s="100" t="e">
        <f t="shared" ref="CY14:CY16" ca="1" si="13">CX14/CW14-1</f>
        <v>#NAME?</v>
      </c>
    </row>
    <row r="15" spans="1:112">
      <c r="A15" s="90"/>
      <c r="B15" s="98"/>
      <c r="C15" s="98"/>
      <c r="D15" s="98"/>
      <c r="E15" s="119" t="s">
        <v>1405</v>
      </c>
      <c r="G15" s="90" t="s">
        <v>1293</v>
      </c>
      <c r="H15" s="99">
        <f>'Income Statement'!$W$7</f>
        <v>1475</v>
      </c>
      <c r="J15" s="99">
        <f>Interim!$X$11</f>
        <v>646</v>
      </c>
      <c r="K15" s="99">
        <f>Interim!$Y$11</f>
        <v>829</v>
      </c>
      <c r="L15" s="99">
        <f>Interim!$Z$11</f>
        <v>870</v>
      </c>
      <c r="M15" s="99">
        <f>'Income Statement'!$X$7</f>
        <v>1978</v>
      </c>
      <c r="O15" s="99" t="s">
        <v>1517</v>
      </c>
      <c r="P15" s="99">
        <f>Interim!CM11</f>
        <v>409</v>
      </c>
      <c r="Q15" s="100" t="s">
        <v>1517</v>
      </c>
      <c r="S15" s="99" t="e">
        <f ca="1">_xll.VisibleAlpha.UDF.VAData($C$2,S$6,$E15,$E$11,"CD","IMPL",$C$6)</f>
        <v>#NAME?</v>
      </c>
      <c r="T15" s="99">
        <f>Interim!CN11</f>
        <v>461</v>
      </c>
      <c r="U15" s="100" t="e">
        <f t="shared" ca="1" si="0"/>
        <v>#NAME?</v>
      </c>
      <c r="W15" s="99" t="e">
        <f ca="1">_xll.VisibleAlpha.UDF.VAData($C$2,W$6,$E15,$E$11,"CD","IMPL",$C$6)</f>
        <v>#NAME?</v>
      </c>
      <c r="X15" s="99">
        <f>Interim!CO11</f>
        <v>522</v>
      </c>
      <c r="Y15" s="100" t="e">
        <f t="shared" ca="1" si="1"/>
        <v>#NAME?</v>
      </c>
      <c r="AA15" s="99" t="e">
        <f ca="1">_xll.VisibleAlpha.UDF.VAData($C$2,AA$6,$E15,$E$11,"CD","IMPL",$C$6)</f>
        <v>#NAME?</v>
      </c>
      <c r="AB15" s="99">
        <f>Interim!CP11</f>
        <v>586</v>
      </c>
      <c r="AC15" s="100" t="e">
        <f t="shared" ca="1" si="2"/>
        <v>#NAME?</v>
      </c>
      <c r="AE15" s="99" t="s">
        <v>1517</v>
      </c>
      <c r="AF15" s="100" t="s">
        <v>1517</v>
      </c>
      <c r="AH15" s="99" t="e">
        <f ca="1">_xll.VisibleAlpha.UDF.VAData($C$2,AH$6,$E15,$E$11,"CD","IMPL",$C$6)</f>
        <v>#NAME?</v>
      </c>
      <c r="AI15" s="99">
        <f>Interim!$AD$11</f>
        <v>1411</v>
      </c>
      <c r="AJ15" s="100" t="e">
        <f t="shared" ca="1" si="3"/>
        <v>#NAME?</v>
      </c>
      <c r="AL15" s="99" t="e">
        <f ca="1">_xll.VisibleAlpha.UDF.VAData($C$2,AL$6,$E15,$E$11,"CD","IMPL",$C$6)</f>
        <v>#NAME?</v>
      </c>
      <c r="AM15" s="99" t="e">
        <f ca="1">_xll.VisibleAlpha.UDF.VAData($C$2,AM$6,$E15,$E$11,"CD","IMPL",$C$6)</f>
        <v>#NAME?</v>
      </c>
      <c r="AO15" s="99">
        <v>1768</v>
      </c>
      <c r="AQ15" s="99">
        <f>AU15-AO15</f>
        <v>702</v>
      </c>
      <c r="AR15" s="99">
        <f>Interim!$CT$11</f>
        <v>709</v>
      </c>
      <c r="AS15" s="100">
        <f>AR15/AQ15-1</f>
        <v>9.9715099715098621E-3</v>
      </c>
      <c r="AU15" s="99">
        <v>2470</v>
      </c>
      <c r="AV15" s="99">
        <f>'Income Statement'!$Y$7</f>
        <v>2477</v>
      </c>
      <c r="AW15" s="100">
        <f>AV15/AU15-1</f>
        <v>2.834008097166052E-3</v>
      </c>
      <c r="AY15" s="99">
        <v>2923</v>
      </c>
      <c r="AZ15" s="99">
        <f>'Income Statement'!$Z$7</f>
        <v>3037</v>
      </c>
      <c r="BA15" s="100">
        <f>AZ15/AY15-1</f>
        <v>3.900102634279845E-2</v>
      </c>
      <c r="BC15" s="99" t="e">
        <f ca="1">_xll.VisibleAlpha.UDF.VAData($C$2,BC$6,$E15,$E$11,"CD","IMPL",$C$6)</f>
        <v>#NAME?</v>
      </c>
      <c r="BD15" s="99">
        <f>'Income Statement'!$Y$7</f>
        <v>2477</v>
      </c>
      <c r="BE15" s="100" t="e">
        <f t="shared" ca="1" si="4"/>
        <v>#NAME?</v>
      </c>
      <c r="BG15" s="99" t="e">
        <f ca="1">_xll.VisibleAlpha.UDF.VAData($C$2,BG$6,$E15,$E$11,"CD","IMPL",$C$6)</f>
        <v>#NAME?</v>
      </c>
      <c r="BH15" s="99">
        <f>Interim!$CW$11</f>
        <v>771</v>
      </c>
      <c r="BI15" s="100" t="e">
        <f ca="1">BH15/BG15-1</f>
        <v>#NAME?</v>
      </c>
      <c r="BK15" s="99" t="e">
        <f ca="1">_xll.VisibleAlpha.UDF.VAData($C$2,BK$6,$E15,$E$11,"CD","IMPL",$C$6)</f>
        <v>#NAME?</v>
      </c>
      <c r="BL15" s="99">
        <f>Interim!$AE$11</f>
        <v>1626</v>
      </c>
      <c r="BM15" s="100" t="e">
        <f t="shared" ca="1" si="5"/>
        <v>#NAME?</v>
      </c>
      <c r="BO15" s="899"/>
      <c r="BQ15" s="99" t="e">
        <f ca="1">_xll.VisibleAlpha.UDF.VAData($C$2,BQ$6,$E15,$E$11,"CD","IMPL",$C$6)</f>
        <v>#NAME?</v>
      </c>
      <c r="BR15" s="99">
        <f>'Income Statement'!$AA$7</f>
        <v>3423.86</v>
      </c>
      <c r="BS15" s="100" t="e">
        <f t="shared" ca="1" si="6"/>
        <v>#NAME?</v>
      </c>
      <c r="BU15" s="1120"/>
      <c r="BW15" s="99" t="e">
        <f ca="1">_xll.VisibleAlpha.UDF.VAData($C$2,BW$6,$E15,$E$11,"CD","IMPL",$C$6)</f>
        <v>#NAME?</v>
      </c>
      <c r="BX15" s="99">
        <f>'Income Statement'!$AA$7</f>
        <v>3423.86</v>
      </c>
      <c r="BY15" s="100" t="e">
        <f t="shared" ca="1" si="7"/>
        <v>#NAME?</v>
      </c>
      <c r="CA15" s="99" t="e">
        <f ca="1">_xll.VisibleAlpha.UDF.VAData($C$2,CA$6,$E15,$E$11,"CD","IMPL",$C$6)</f>
        <v>#NAME?</v>
      </c>
      <c r="CB15" s="99">
        <f>'Income Statement'!$AB$7</f>
        <v>3783.125</v>
      </c>
      <c r="CC15" s="100" t="e">
        <f t="shared" ca="1" si="8"/>
        <v>#NAME?</v>
      </c>
      <c r="CE15" s="99" t="e">
        <f ca="1">_xll.VisibleAlpha.UDF.VAData($C$2,CE$6,$E15,$E$11,"CD","IMPL",$C$6)</f>
        <v>#NAME?</v>
      </c>
      <c r="CF15" s="99">
        <f>'Income Statement'!$AC$7</f>
        <v>4134.5880820000002</v>
      </c>
      <c r="CG15" s="100" t="e">
        <f t="shared" ca="1" si="9"/>
        <v>#NAME?</v>
      </c>
      <c r="CI15" s="99" t="e">
        <f ca="1">_xll.VisibleAlpha.UDF.VAData($C$2,CI$6,$E15,$E$11,"CD","IMPL",$C$6)</f>
        <v>#NAME?</v>
      </c>
      <c r="CJ15" s="99">
        <f>'Income Statement'!$AD$7</f>
        <v>4471.8616129800002</v>
      </c>
      <c r="CK15" s="100" t="e">
        <f t="shared" ca="1" si="10"/>
        <v>#NAME?</v>
      </c>
      <c r="CM15" s="99" t="e">
        <f ca="1">_xll.VisibleAlpha.UDF.VAData($C$2,CM$6,$E15,$E$11,"CD","IMPL",$C$6)</f>
        <v>#NAME?</v>
      </c>
      <c r="CN15" s="99">
        <f>'Income Statement'!$AE$7</f>
        <v>4616.6169190049995</v>
      </c>
      <c r="CO15" s="100" t="e">
        <f t="shared" ca="1" si="11"/>
        <v>#NAME?</v>
      </c>
      <c r="CP15" s="1547"/>
      <c r="CQ15" s="99" t="e">
        <f ca="1">_xll.VisibleAlpha.UDF.VAData($C$2,CQ$6,$E15,$E$11,"CD","IMPL",$C$6)</f>
        <v>#NAME?</v>
      </c>
      <c r="CR15" s="99">
        <f>'Income Statement'!$AF$7</f>
        <v>4747.6719090208799</v>
      </c>
      <c r="CS15" s="100" t="e">
        <f t="shared" ca="1" si="12"/>
        <v>#NAME?</v>
      </c>
      <c r="CT15" s="1547"/>
      <c r="CU15" s="1120"/>
      <c r="CW15" s="99" t="e">
        <f ca="1">_xll.VisibleAlpha.UDF.VAData($C$2,CW$6,$E15,$E$11,"CD","IMPL",$C$6)</f>
        <v>#NAME?</v>
      </c>
      <c r="CX15" s="99">
        <f>'Income Statement'!$AE$7</f>
        <v>4616.6169190049995</v>
      </c>
      <c r="CY15" s="100" t="e">
        <f t="shared" ca="1" si="13"/>
        <v>#NAME?</v>
      </c>
    </row>
    <row r="16" spans="1:112" hidden="1" outlineLevel="1">
      <c r="A16" s="90"/>
      <c r="B16" s="98"/>
      <c r="C16" s="98"/>
      <c r="D16" s="98"/>
      <c r="E16" s="119" t="s">
        <v>1406</v>
      </c>
      <c r="G16" s="90" t="s">
        <v>776</v>
      </c>
      <c r="H16" s="99">
        <f>'Income Statement'!$W$8</f>
        <v>18</v>
      </c>
      <c r="J16" s="99">
        <f>Interim!$X$13</f>
        <v>9</v>
      </c>
      <c r="K16" s="99">
        <f>Interim!$Y$13</f>
        <v>9</v>
      </c>
      <c r="L16" s="99">
        <f>Interim!$Z$13</f>
        <v>8</v>
      </c>
      <c r="M16" s="99">
        <f>'Income Statement'!$X$8</f>
        <v>16</v>
      </c>
      <c r="O16" s="99" t="s">
        <v>1517</v>
      </c>
      <c r="P16" s="99">
        <f>Interim!CM13</f>
        <v>4</v>
      </c>
      <c r="Q16" s="100" t="s">
        <v>1517</v>
      </c>
      <c r="S16" s="99" t="e">
        <f ca="1">_xll.VisibleAlpha.UDF.VAData($C$2,S$6,$E16,$E$11,"CD","IMPL",$C$6)</f>
        <v>#NAME?</v>
      </c>
      <c r="T16" s="99">
        <f>Interim!CN13</f>
        <v>4</v>
      </c>
      <c r="U16" s="100" t="e">
        <f t="shared" ca="1" si="0"/>
        <v>#NAME?</v>
      </c>
      <c r="W16" s="99" t="e">
        <f ca="1">_xll.VisibleAlpha.UDF.VAData($C$2,W$6,$E16,$E$11,"CD","IMPL",$C$6)</f>
        <v>#NAME?</v>
      </c>
      <c r="X16" s="99">
        <f>Interim!CO13</f>
        <v>4</v>
      </c>
      <c r="Y16" s="100" t="e">
        <f t="shared" ca="1" si="1"/>
        <v>#NAME?</v>
      </c>
      <c r="AA16" s="99" t="e">
        <f ca="1">_xll.VisibleAlpha.UDF.VAData($C$2,AA$6,$E16,$E$11,"CD","IMPL",$C$6)</f>
        <v>#NAME?</v>
      </c>
      <c r="AB16" s="99">
        <f>Interim!CP13</f>
        <v>4</v>
      </c>
      <c r="AC16" s="100" t="e">
        <f t="shared" ca="1" si="2"/>
        <v>#NAME?</v>
      </c>
      <c r="AE16" s="99" t="e">
        <f ca="1">_xll.VisibleAlpha.UDF.VAData($C$2,AE$6,$E16,$E$11,"CD","IMPL",$C$6)</f>
        <v>#NAME?</v>
      </c>
      <c r="AF16" s="100" t="e">
        <f ca="1">L16/AE16-1</f>
        <v>#NAME?</v>
      </c>
      <c r="AH16" s="99" t="e">
        <f ca="1">_xll.VisibleAlpha.UDF.VAData($C$2,AH$6,$E16,$E$11,"CD","IMPL",$C$6)</f>
        <v>#NAME?</v>
      </c>
      <c r="AI16" s="99">
        <f>Interim!$AD$13</f>
        <v>5</v>
      </c>
      <c r="AJ16" s="100" t="e">
        <f t="shared" ca="1" si="3"/>
        <v>#NAME?</v>
      </c>
      <c r="AL16" s="99" t="e">
        <f ca="1">_xll.VisibleAlpha.UDF.VAData($C$2,AL$6,$E16,$E$11,"CD","IMPL",$C$6)</f>
        <v>#NAME?</v>
      </c>
      <c r="AM16" s="99" t="e">
        <f ca="1">_xll.VisibleAlpha.UDF.VAData($C$2,AM$6,$E16,$E$11,"CD","IMPL",$C$6)</f>
        <v>#NAME?</v>
      </c>
      <c r="AO16" s="99">
        <v>8</v>
      </c>
      <c r="AQ16" s="99">
        <f>AU16-AO16</f>
        <v>8</v>
      </c>
      <c r="AR16" s="99">
        <f>Interim!$CT$13</f>
        <v>3</v>
      </c>
      <c r="AS16" s="100">
        <f>AR16/AQ16-1</f>
        <v>-0.625</v>
      </c>
      <c r="AU16" s="99">
        <v>16</v>
      </c>
      <c r="AV16" s="99">
        <f>'Income Statement'!$Y$8</f>
        <v>11</v>
      </c>
      <c r="AW16" s="100">
        <f>AV16/AU16-1</f>
        <v>-0.3125</v>
      </c>
      <c r="AY16" s="99">
        <v>16</v>
      </c>
      <c r="AZ16" s="99">
        <f>'Income Statement'!$Z$8</f>
        <v>10</v>
      </c>
      <c r="BA16" s="100">
        <f>AZ16/AY16-1</f>
        <v>-0.375</v>
      </c>
      <c r="BC16" s="99" t="e">
        <f ca="1">_xll.VisibleAlpha.UDF.VAData($C$2,BC$6,$E16,$E$11,"CD","IMPL",$C$6)</f>
        <v>#NAME?</v>
      </c>
      <c r="BD16" s="99">
        <f>'Income Statement'!$Y$8</f>
        <v>11</v>
      </c>
      <c r="BE16" s="100" t="e">
        <f t="shared" ca="1" si="4"/>
        <v>#NAME?</v>
      </c>
      <c r="BG16" s="99" t="e">
        <f ca="1">_xll.VisibleAlpha.UDF.VAData($C$2,BG$6,$E16,$E$11,"CD","IMPL",$C$6)</f>
        <v>#NAME?</v>
      </c>
      <c r="BH16" s="99">
        <f>Interim!$CU$13</f>
        <v>3</v>
      </c>
      <c r="BI16" s="100" t="e">
        <f ca="1">BH16/BG16-1</f>
        <v>#NAME?</v>
      </c>
      <c r="BK16" s="99" t="e">
        <f ca="1">_xll.VisibleAlpha.UDF.VAData($C$2,BK$6,$E16,$E$11,"CD","IMPL",$C$6)</f>
        <v>#NAME?</v>
      </c>
      <c r="BL16" s="99">
        <f>Interim!$AE$13</f>
        <v>5</v>
      </c>
      <c r="BM16" s="100" t="e">
        <f t="shared" ca="1" si="5"/>
        <v>#NAME?</v>
      </c>
      <c r="BO16" s="899"/>
      <c r="BQ16" s="99" t="e">
        <f ca="1">_xll.VisibleAlpha.UDF.VAData($C$2,BQ$6,$E16,$E$11,"CD","IMPL",$C$6)</f>
        <v>#NAME?</v>
      </c>
      <c r="BR16" s="99">
        <f>'Income Statement'!$Z$8</f>
        <v>10</v>
      </c>
      <c r="BS16" s="100" t="e">
        <f t="shared" ca="1" si="6"/>
        <v>#NAME?</v>
      </c>
      <c r="BU16" s="1120"/>
      <c r="BW16" s="99" t="e">
        <f ca="1">_xll.VisibleAlpha.UDF.VAData($C$2,BW$6,$E16,$E$11,"CD","IMPL",$C$6)</f>
        <v>#NAME?</v>
      </c>
      <c r="BX16" s="99">
        <f>'Income Statement'!$AA$8</f>
        <v>10</v>
      </c>
      <c r="BY16" s="100" t="e">
        <f t="shared" ca="1" si="7"/>
        <v>#NAME?</v>
      </c>
      <c r="CA16" s="99" t="e">
        <f ca="1">_xll.VisibleAlpha.UDF.VAData($C$2,CA$6,$E16,$E$11,"CD","IMPL",$C$6)</f>
        <v>#NAME?</v>
      </c>
      <c r="CB16" s="99">
        <f>'Income Statement'!$AB$8</f>
        <v>10</v>
      </c>
      <c r="CC16" s="100" t="e">
        <f t="shared" ca="1" si="8"/>
        <v>#NAME?</v>
      </c>
      <c r="CE16" s="99" t="e">
        <f ca="1">_xll.VisibleAlpha.UDF.VAData($C$2,CE$6,$E16,$E$11,"CD","IMPL",$C$6)</f>
        <v>#NAME?</v>
      </c>
      <c r="CF16" s="99">
        <f>'Income Statement'!$AC$8</f>
        <v>10</v>
      </c>
      <c r="CG16" s="100" t="e">
        <f t="shared" ca="1" si="9"/>
        <v>#NAME?</v>
      </c>
      <c r="CI16" s="99" t="e">
        <f ca="1">_xll.VisibleAlpha.UDF.VAData($C$2,CI$6,$E16,$E$11,"CD","IMPL",$C$6)</f>
        <v>#NAME?</v>
      </c>
      <c r="CJ16" s="99">
        <f>'Income Statement'!$AD$8</f>
        <v>10</v>
      </c>
      <c r="CK16" s="100" t="e">
        <f t="shared" ca="1" si="10"/>
        <v>#NAME?</v>
      </c>
      <c r="CM16" s="99" t="e">
        <f ca="1">_xll.VisibleAlpha.UDF.VAData($C$2,CM$6,$E16,$E$11,"CD","IMPL",$C$6)</f>
        <v>#NAME?</v>
      </c>
      <c r="CN16" s="99">
        <f>'Income Statement'!$AD$8</f>
        <v>10</v>
      </c>
      <c r="CO16" s="100" t="e">
        <f t="shared" ca="1" si="11"/>
        <v>#NAME?</v>
      </c>
      <c r="CP16" s="1547"/>
      <c r="CQ16" s="99" t="e">
        <f ca="1">_xll.VisibleAlpha.UDF.VAData($C$2,CQ$6,$E16,$E$11,"CD","IMPL",$C$6)</f>
        <v>#NAME?</v>
      </c>
      <c r="CR16" s="99">
        <f>'Income Statement'!$AD$8</f>
        <v>10</v>
      </c>
      <c r="CS16" s="100" t="e">
        <f t="shared" ca="1" si="12"/>
        <v>#NAME?</v>
      </c>
      <c r="CT16" s="1547"/>
      <c r="CU16" s="1120"/>
      <c r="CW16" s="99" t="e">
        <f ca="1">_xll.VisibleAlpha.UDF.VAData($C$2,CW$6,$E16,$E$11,"CD","IMPL",$C$6)</f>
        <v>#NAME?</v>
      </c>
      <c r="CX16" s="99">
        <f>'Income Statement'!$AD$8</f>
        <v>10</v>
      </c>
      <c r="CY16" s="100" t="e">
        <f t="shared" ca="1" si="13"/>
        <v>#NAME?</v>
      </c>
    </row>
    <row r="17" spans="1:103" collapsed="1">
      <c r="A17" s="101"/>
      <c r="B17" s="102"/>
      <c r="C17" s="102"/>
      <c r="D17" s="102"/>
      <c r="E17" s="119" t="s">
        <v>1407</v>
      </c>
      <c r="G17" s="122" t="s">
        <v>1408</v>
      </c>
      <c r="H17" s="123">
        <f>'Income Statement'!$W$9</f>
        <v>15257</v>
      </c>
      <c r="J17" s="123">
        <f>Interim!$X$16</f>
        <v>6876</v>
      </c>
      <c r="K17" s="123">
        <f>Interim!$Y$16</f>
        <v>8381</v>
      </c>
      <c r="L17" s="123">
        <f>Interim!$Z$16</f>
        <v>8560</v>
      </c>
      <c r="M17" s="123">
        <f>'Income Statement'!$X$9</f>
        <v>19035</v>
      </c>
      <c r="O17" s="123">
        <v>4164</v>
      </c>
      <c r="P17" s="123">
        <f>Interim!CM16</f>
        <v>4071</v>
      </c>
      <c r="Q17" s="124">
        <f>P17/O17-1</f>
        <v>-2.2334293948126804E-2</v>
      </c>
      <c r="S17" s="123" t="e">
        <f ca="1">_xll.VisibleAlpha.UDF.VAData($C$2,S$6,$E17,$E$11,"CD","IMPL",$C$6)</f>
        <v>#NAME?</v>
      </c>
      <c r="T17" s="123">
        <f>Interim!CN16</f>
        <v>4489</v>
      </c>
      <c r="U17" s="124" t="e">
        <f ca="1">T17/S17-1</f>
        <v>#NAME?</v>
      </c>
      <c r="W17" s="123" t="e">
        <f ca="1">_xll.VisibleAlpha.UDF.VAData($C$2,W$6,$E17,$E$11,"CD","IMPL",$C$6)</f>
        <v>#NAME?</v>
      </c>
      <c r="X17" s="123">
        <f>Interim!CO16</f>
        <v>4849</v>
      </c>
      <c r="Y17" s="124" t="e">
        <f ca="1">X17/W17-1</f>
        <v>#NAME?</v>
      </c>
      <c r="AA17" s="123" t="e">
        <f ca="1">_xll.VisibleAlpha.UDF.VAData($C$2,AA$6,$E17,$E$11,"CD","IMPL",$C$6)</f>
        <v>#NAME?</v>
      </c>
      <c r="AB17" s="123">
        <f>Interim!CP16</f>
        <v>5626</v>
      </c>
      <c r="AC17" s="124" t="e">
        <f ca="1">AB17/AA17-1</f>
        <v>#NAME?</v>
      </c>
      <c r="AE17" s="123">
        <v>8611</v>
      </c>
      <c r="AF17" s="124">
        <f>L17/AE17-1</f>
        <v>-5.9226570665428246E-3</v>
      </c>
      <c r="AH17" s="123" t="e">
        <f ca="1">_xll.VisibleAlpha.UDF.VAData($C$2,AH$6,$E17,$E$11,"CD","IMPL",$C$6)</f>
        <v>#NAME?</v>
      </c>
      <c r="AI17" s="123">
        <f>Interim!$AD$16</f>
        <v>13047</v>
      </c>
      <c r="AJ17" s="124" t="e">
        <f ca="1">AI17/AH17-1</f>
        <v>#NAME?</v>
      </c>
      <c r="AL17" s="123" t="e">
        <f ca="1">_xll.VisibleAlpha.UDF.VAData($C$2,AL$6,$E17,$E$11,"CD","IMPL",$C$6)</f>
        <v>#NAME?</v>
      </c>
      <c r="AM17" s="123" t="e">
        <f ca="1">_xll.VisibleAlpha.UDF.VAData($C$2,AM$6,$E17,$E$11,"CD","IMPL",$C$6)</f>
        <v>#NAME?</v>
      </c>
      <c r="AO17" s="123">
        <v>16770</v>
      </c>
      <c r="AQ17" s="123">
        <f>AU17-AO17</f>
        <v>6496</v>
      </c>
      <c r="AR17" s="123">
        <f>Interim!$CT$16</f>
        <v>6429</v>
      </c>
      <c r="AS17" s="124">
        <f>AR17/AQ17-1</f>
        <v>-1.0314039408866993E-2</v>
      </c>
      <c r="AU17" s="123">
        <v>23266</v>
      </c>
      <c r="AV17" s="123">
        <f>'Income Statement'!$Y$9</f>
        <v>23199</v>
      </c>
      <c r="AW17" s="124">
        <f>AV17/AU17-1</f>
        <v>-2.8797386744605635E-3</v>
      </c>
      <c r="AY17" s="123">
        <v>26630</v>
      </c>
      <c r="AZ17" s="123">
        <f>'Income Statement'!$Z$9</f>
        <v>27317</v>
      </c>
      <c r="BA17" s="124">
        <f>AZ17/AY17-1</f>
        <v>2.5797972211791143E-2</v>
      </c>
      <c r="BC17" s="123" t="e">
        <f ca="1">_xll.VisibleAlpha.UDF.VAData($C$2,BC$6,$E17,$E$11,"CD","IMPL",$C$6)</f>
        <v>#NAME?</v>
      </c>
      <c r="BD17" s="123">
        <f>'Income Statement'!$Y$9</f>
        <v>23199</v>
      </c>
      <c r="BE17" s="124" t="e">
        <f ca="1">BD17/BC17-1</f>
        <v>#NAME?</v>
      </c>
      <c r="BG17" s="123" t="e">
        <f ca="1">_xll.VisibleAlpha.UDF.VAData($C$2,BG$6,$E17,$E$11,"CD","IMPL",$C$6)</f>
        <v>#NAME?</v>
      </c>
      <c r="BH17" s="123">
        <f>Interim!$CW$16</f>
        <v>6639</v>
      </c>
      <c r="BI17" s="124" t="e">
        <f ca="1">BH17/BG17-1</f>
        <v>#NAME?</v>
      </c>
      <c r="BK17" s="123" t="e">
        <f ca="1">_xll.VisibleAlpha.UDF.VAData($C$2,BK$6,$E17,$E$11,"CD","IMPL",$C$6)</f>
        <v>#NAME?</v>
      </c>
      <c r="BL17" s="123">
        <f>Interim!$AE$16</f>
        <v>14270</v>
      </c>
      <c r="BM17" s="124" t="e">
        <f ca="1">BL17/BK17-1</f>
        <v>#NAME?</v>
      </c>
      <c r="BO17" s="658" t="s">
        <v>1851</v>
      </c>
      <c r="BQ17" s="123" t="e">
        <f ca="1">_xll.VisibleAlpha.UDF.VAData($C$2,BQ$6,$E17,$E$11,"CD","IMPL",$C$6)</f>
        <v>#NAME?</v>
      </c>
      <c r="BR17" s="123">
        <f>'Income Statement'!$Z$9</f>
        <v>27317</v>
      </c>
      <c r="BS17" s="124" t="e">
        <f ca="1">BR17/BQ17-1</f>
        <v>#NAME?</v>
      </c>
      <c r="BU17" s="1094" t="s">
        <v>1786</v>
      </c>
      <c r="BW17" s="123" t="e">
        <f ca="1">_xll.VisibleAlpha.UDF.VAData($C$2,BW$6,$E17,$E$11,"CD","IMPL",$C$6)</f>
        <v>#NAME?</v>
      </c>
      <c r="BX17" s="123">
        <f>'Income Statement'!$AA$9</f>
        <v>30995.966922403386</v>
      </c>
      <c r="BY17" s="124" t="e">
        <f ca="1">BX17/BW17-1</f>
        <v>#NAME?</v>
      </c>
      <c r="CA17" s="123" t="e">
        <f ca="1">_xll.VisibleAlpha.UDF.VAData($C$2,CA$6,$E17,$E$11,"CD","IMPL",$C$6)</f>
        <v>#NAME?</v>
      </c>
      <c r="CB17" s="123">
        <f>'Income Statement'!$AB$9</f>
        <v>34520.706683526871</v>
      </c>
      <c r="CC17" s="124" t="e">
        <f ca="1">CB17/CA17-1</f>
        <v>#NAME?</v>
      </c>
      <c r="CE17" s="123" t="e">
        <f ca="1">_xll.VisibleAlpha.UDF.VAData($C$2,CE$6,$E17,$E$11,"CD","IMPL",$C$6)</f>
        <v>#NAME?</v>
      </c>
      <c r="CF17" s="123">
        <f>'Income Statement'!$AC$9</f>
        <v>38170.59080998729</v>
      </c>
      <c r="CG17" s="124" t="e">
        <f ca="1">CF17/CE17-1</f>
        <v>#NAME?</v>
      </c>
      <c r="CI17" s="123" t="e">
        <f ca="1">_xll.VisibleAlpha.UDF.VAData($C$2,CI$6,$E17,$E$11,"CD","IMPL",$C$6)</f>
        <v>#NAME?</v>
      </c>
      <c r="CJ17" s="123">
        <f>'Income Statement'!$AD$9</f>
        <v>41400.418805904548</v>
      </c>
      <c r="CK17" s="124" t="e">
        <f ca="1">CJ17/CI17-1</f>
        <v>#NAME?</v>
      </c>
      <c r="CM17" s="123" t="e">
        <f ca="1">_xll.VisibleAlpha.UDF.VAData($C$2,CM$6,$E17,$E$11,"CD","IMPL",$C$6)</f>
        <v>#NAME?</v>
      </c>
      <c r="CN17" s="123">
        <f>'Income Statement'!$AE$9</f>
        <v>43433.441894680291</v>
      </c>
      <c r="CO17" s="124" t="e">
        <f ca="1">CN17/CM17-1</f>
        <v>#NAME?</v>
      </c>
      <c r="CP17" s="1548"/>
      <c r="CQ17" s="123" t="e">
        <f ca="1">_xll.VisibleAlpha.UDF.VAData($C$2,CQ$6,$E17,$E$11,"CD","IMPL",$C$6)</f>
        <v>#NAME?</v>
      </c>
      <c r="CR17" s="123">
        <f>'Income Statement'!$AF$9</f>
        <v>45535.88404113664</v>
      </c>
      <c r="CS17" s="124" t="e">
        <f ca="1">CR17/CQ17-1</f>
        <v>#NAME?</v>
      </c>
      <c r="CT17" s="1548"/>
      <c r="CU17" s="1199">
        <f>27100*1.085^4</f>
        <v>37556.770786937494</v>
      </c>
      <c r="CW17" s="123" t="e">
        <f ca="1">_xll.VisibleAlpha.UDF.VAData($C$2,CW$6,$E17,$E$11,"CD","IMPL",$C$6)</f>
        <v>#NAME?</v>
      </c>
      <c r="CX17" s="123">
        <f>'Income Statement'!$AE$9</f>
        <v>43433.441894680291</v>
      </c>
      <c r="CY17" s="124" t="e">
        <f ca="1">CX17/CW17-1</f>
        <v>#NAME?</v>
      </c>
    </row>
    <row r="18" spans="1:103" ht="13.5" customHeight="1" outlineLevel="1">
      <c r="G18" s="901" t="s">
        <v>2096</v>
      </c>
      <c r="H18" s="113"/>
      <c r="J18" s="109"/>
      <c r="K18" s="109"/>
      <c r="L18" s="109"/>
      <c r="M18" s="109"/>
      <c r="O18" s="109"/>
      <c r="P18" s="109"/>
      <c r="Q18" s="114"/>
      <c r="S18" s="109"/>
      <c r="T18" s="109"/>
      <c r="U18" s="114"/>
      <c r="V18" s="241"/>
      <c r="W18" s="109"/>
      <c r="X18" s="109"/>
      <c r="Y18" s="114"/>
      <c r="Z18" s="241"/>
      <c r="AA18" s="109"/>
      <c r="AB18" s="109"/>
      <c r="AC18" s="114"/>
      <c r="AE18" s="111"/>
      <c r="AF18" s="114"/>
      <c r="AH18" s="109"/>
      <c r="AI18" s="109"/>
      <c r="AJ18" s="114"/>
      <c r="AL18" s="109"/>
      <c r="AM18" s="109"/>
      <c r="AO18" s="109"/>
      <c r="AQ18" s="109"/>
      <c r="AR18" s="109"/>
      <c r="AS18" s="114"/>
      <c r="AU18" s="109"/>
      <c r="AV18" s="109"/>
      <c r="AW18" s="114"/>
      <c r="AY18" s="109"/>
      <c r="AZ18" s="109"/>
      <c r="BA18" s="114"/>
      <c r="BC18" s="109"/>
      <c r="BD18" s="109"/>
      <c r="BE18" s="114"/>
      <c r="BG18" s="109"/>
      <c r="BH18" s="109"/>
      <c r="BI18" s="903"/>
      <c r="BK18" s="109"/>
      <c r="BL18" s="109"/>
      <c r="BM18" s="114"/>
      <c r="BO18" s="899"/>
      <c r="BQ18" s="109"/>
      <c r="BR18" s="109"/>
      <c r="BS18" s="114"/>
      <c r="BU18" s="1120"/>
      <c r="BW18" s="109" t="e">
        <f ca="1">BW17/'Income Statement'!$Z$9-1</f>
        <v>#NAME?</v>
      </c>
      <c r="BX18" s="109">
        <f>BX17/'Income Statement'!$Z$9-1</f>
        <v>0.13467682843662865</v>
      </c>
      <c r="BY18" s="114"/>
      <c r="CA18" s="109" t="e">
        <f ca="1">CA17/BW17-1</f>
        <v>#NAME?</v>
      </c>
      <c r="CB18" s="109">
        <f>CB17/BX17-1</f>
        <v>0.11371607699632236</v>
      </c>
      <c r="CC18" s="114"/>
      <c r="CE18" s="109" t="e">
        <f ca="1">CE17/CA17-1</f>
        <v>#NAME?</v>
      </c>
      <c r="CF18" s="109">
        <f>CF17/CB17-1</f>
        <v>0.10573028414282515</v>
      </c>
      <c r="CG18" s="114"/>
      <c r="CI18" s="109" t="e">
        <f ca="1">CI17/CE17-1</f>
        <v>#NAME?</v>
      </c>
      <c r="CJ18" s="109">
        <f>CJ17/CF17-1</f>
        <v>8.461561446599819E-2</v>
      </c>
      <c r="CK18" s="114"/>
      <c r="CM18" s="109" t="e">
        <f ca="1">CM17/CI17-1</f>
        <v>#NAME?</v>
      </c>
      <c r="CN18" s="109">
        <f>CN17/CJ17-1</f>
        <v>4.9106341129230069E-2</v>
      </c>
      <c r="CO18" s="114"/>
      <c r="CP18" s="1549"/>
      <c r="CQ18" s="109" t="e">
        <f ca="1">CQ17/CM17-1</f>
        <v>#NAME?</v>
      </c>
      <c r="CR18" s="109">
        <f>CR17/CN17-1</f>
        <v>4.8406068106563227E-2</v>
      </c>
      <c r="CS18" s="114"/>
      <c r="CT18" s="1549"/>
      <c r="CU18" s="1185" t="s">
        <v>1778</v>
      </c>
      <c r="CW18" s="109" t="e">
        <f ca="1">(CW17/BW17)^(0.25)-1</f>
        <v>#NAME?</v>
      </c>
      <c r="CX18" s="109">
        <f>(CX17/BX17)^(0.25)-1</f>
        <v>8.8002177219150379E-2</v>
      </c>
      <c r="CY18" s="114"/>
    </row>
    <row r="19" spans="1:103" ht="6.75" customHeight="1">
      <c r="A19" s="103"/>
      <c r="B19" s="104"/>
      <c r="C19" s="90"/>
      <c r="D19" s="90"/>
      <c r="G19" s="90"/>
      <c r="H19" s="105"/>
      <c r="J19" s="105"/>
      <c r="K19" s="105"/>
      <c r="L19" s="105"/>
      <c r="M19" s="105"/>
      <c r="O19" s="107"/>
      <c r="P19" s="107"/>
      <c r="Q19" s="106"/>
      <c r="S19" s="107"/>
      <c r="T19" s="107"/>
      <c r="U19" s="106"/>
      <c r="W19" s="107"/>
      <c r="X19" s="107"/>
      <c r="Y19" s="106"/>
      <c r="AA19" s="107"/>
      <c r="AB19" s="107"/>
      <c r="AC19" s="106"/>
      <c r="AE19" s="107"/>
      <c r="AF19" s="106"/>
      <c r="AH19" s="107"/>
      <c r="AI19" s="105"/>
      <c r="AJ19" s="106"/>
      <c r="AL19" s="107"/>
      <c r="AM19" s="107"/>
      <c r="AO19" s="107"/>
      <c r="AQ19" s="107"/>
      <c r="AR19" s="105"/>
      <c r="AS19" s="106"/>
      <c r="AU19" s="107"/>
      <c r="AV19" s="105"/>
      <c r="AW19" s="106"/>
      <c r="AY19" s="107"/>
      <c r="AZ19" s="105"/>
      <c r="BA19" s="106"/>
      <c r="BC19" s="107"/>
      <c r="BD19" s="105"/>
      <c r="BE19" s="106"/>
      <c r="BG19" s="107"/>
      <c r="BH19" s="105"/>
      <c r="BI19" s="106"/>
      <c r="BK19" s="107"/>
      <c r="BL19" s="105"/>
      <c r="BM19" s="106"/>
      <c r="BO19" s="899"/>
      <c r="BQ19" s="107"/>
      <c r="BR19" s="105"/>
      <c r="BS19" s="106"/>
      <c r="BU19" s="1185"/>
      <c r="BW19" s="107"/>
      <c r="BX19" s="105"/>
      <c r="BY19" s="106"/>
      <c r="CA19" s="107"/>
      <c r="CB19" s="105"/>
      <c r="CC19" s="106"/>
      <c r="CE19" s="107"/>
      <c r="CF19" s="105"/>
      <c r="CG19" s="106"/>
      <c r="CI19" s="107"/>
      <c r="CJ19" s="105"/>
      <c r="CK19" s="106"/>
      <c r="CM19" s="107"/>
      <c r="CN19" s="105"/>
      <c r="CO19" s="106"/>
      <c r="CP19" s="111"/>
      <c r="CQ19" s="107"/>
      <c r="CR19" s="105"/>
      <c r="CS19" s="106"/>
      <c r="CT19" s="111"/>
      <c r="CU19" s="1120"/>
      <c r="CW19" s="107"/>
      <c r="CX19" s="105"/>
      <c r="CY19" s="106"/>
    </row>
    <row r="20" spans="1:103" outlineLevel="1">
      <c r="A20" s="103"/>
      <c r="B20" s="104"/>
      <c r="C20" s="90"/>
      <c r="D20" s="90"/>
      <c r="G20" s="95" t="s">
        <v>1853</v>
      </c>
      <c r="M20" s="593"/>
      <c r="O20" s="109"/>
      <c r="P20" s="109"/>
      <c r="Q20" s="108"/>
      <c r="S20" s="109"/>
      <c r="T20" s="109"/>
      <c r="U20" s="108"/>
      <c r="W20" s="109"/>
      <c r="X20" s="109"/>
      <c r="Y20" s="108"/>
      <c r="AA20" s="109"/>
      <c r="AB20" s="109"/>
      <c r="AC20" s="108"/>
      <c r="AE20" s="109"/>
      <c r="AF20" s="108"/>
      <c r="AH20" s="109"/>
      <c r="AJ20" s="108"/>
      <c r="AL20" s="109"/>
      <c r="AM20" s="109"/>
      <c r="AO20" s="109"/>
      <c r="AQ20" s="109"/>
      <c r="AS20" s="108"/>
      <c r="AU20" s="109"/>
      <c r="AW20" s="108"/>
      <c r="AY20" s="109"/>
      <c r="BA20" s="108"/>
      <c r="BC20" s="109"/>
      <c r="BE20" s="108"/>
      <c r="BG20" s="109"/>
      <c r="BI20" s="108"/>
      <c r="BK20" s="109"/>
      <c r="BM20" s="108"/>
      <c r="BO20" s="899"/>
      <c r="BQ20" s="109"/>
      <c r="BR20" s="936"/>
      <c r="BS20" s="108"/>
      <c r="BU20" s="1185"/>
      <c r="BW20" s="936"/>
      <c r="BX20" s="936"/>
      <c r="BY20" s="108"/>
      <c r="CA20" s="936"/>
      <c r="CB20" s="936"/>
      <c r="CC20" s="108"/>
      <c r="CE20" s="936"/>
      <c r="CF20" s="936"/>
      <c r="CG20" s="108"/>
      <c r="CI20" s="109"/>
      <c r="CJ20" s="936"/>
      <c r="CK20" s="108"/>
      <c r="CM20" s="109"/>
      <c r="CN20" s="936"/>
      <c r="CO20" s="108"/>
      <c r="CQ20" s="109"/>
      <c r="CR20" s="936"/>
      <c r="CS20" s="108"/>
      <c r="CU20" s="1185"/>
      <c r="CW20" s="109"/>
      <c r="CX20" s="936"/>
      <c r="CY20" s="108"/>
    </row>
    <row r="21" spans="1:103" ht="13.5" customHeight="1" outlineLevel="1">
      <c r="A21" s="110"/>
      <c r="B21" s="104"/>
      <c r="C21" s="90"/>
      <c r="D21" s="90"/>
      <c r="E21" s="119" t="s">
        <v>1409</v>
      </c>
      <c r="G21" s="90" t="s">
        <v>978</v>
      </c>
      <c r="H21" s="111">
        <f>'Income Statement'!$W$19</f>
        <v>1342</v>
      </c>
      <c r="J21" s="111">
        <f>Interim!$X$34</f>
        <v>504</v>
      </c>
      <c r="K21" s="111">
        <f>Interim!$Y$34</f>
        <v>838</v>
      </c>
      <c r="L21" s="111">
        <f>Interim!$Z$34</f>
        <v>723</v>
      </c>
      <c r="M21" s="111">
        <f>'Income Statement'!$X$19</f>
        <v>1710</v>
      </c>
      <c r="O21" s="111" t="s">
        <v>1517</v>
      </c>
      <c r="P21" s="111" t="s">
        <v>1517</v>
      </c>
      <c r="Q21" s="100" t="s">
        <v>1517</v>
      </c>
      <c r="S21" s="111" t="s">
        <v>1517</v>
      </c>
      <c r="T21" s="111" t="s">
        <v>1517</v>
      </c>
      <c r="U21" s="100" t="s">
        <v>1517</v>
      </c>
      <c r="V21" s="111"/>
      <c r="W21" s="111" t="s">
        <v>1517</v>
      </c>
      <c r="X21" s="111" t="s">
        <v>1517</v>
      </c>
      <c r="Y21" s="100" t="s">
        <v>1517</v>
      </c>
      <c r="Z21" s="111"/>
      <c r="AA21" s="111" t="s">
        <v>1517</v>
      </c>
      <c r="AB21" s="111" t="s">
        <v>1517</v>
      </c>
      <c r="AC21" s="100" t="s">
        <v>1517</v>
      </c>
      <c r="AE21" s="111" t="s">
        <v>1517</v>
      </c>
      <c r="AF21" s="100" t="s">
        <v>1517</v>
      </c>
      <c r="AH21" s="111" t="e">
        <f ca="1">_xll.VisibleAlpha.UDF.VAData($C$2,AH$6,$E21,$E$11,"CD","IMPL",$C$6)</f>
        <v>#NAME?</v>
      </c>
      <c r="AI21" s="111">
        <f>Interim!$AD$34</f>
        <v>1285</v>
      </c>
      <c r="AJ21" s="100" t="e">
        <f ca="1">AI21/AH21-1</f>
        <v>#NAME?</v>
      </c>
      <c r="AL21" s="111" t="e">
        <f ca="1">_xll.VisibleAlpha.UDF.VAData($C$2,AL$6,$E21,$E$11,"CD","IMPL",$C$6)</f>
        <v>#NAME?</v>
      </c>
      <c r="AM21" s="111" t="e">
        <f ca="1">_xll.VisibleAlpha.UDF.VAData($C$2,AM$6,$E21,$E$11,"CD","IMPL",$C$6)</f>
        <v>#NAME?</v>
      </c>
      <c r="AO21" s="111" t="s">
        <v>1517</v>
      </c>
      <c r="AQ21" s="111" t="s">
        <v>1517</v>
      </c>
      <c r="AR21" s="111" t="s">
        <v>1517</v>
      </c>
      <c r="AS21" s="100" t="s">
        <v>1517</v>
      </c>
      <c r="AU21" s="111">
        <v>2314</v>
      </c>
      <c r="AV21" s="111">
        <f>'Income Statement'!$Y$19</f>
        <v>2390</v>
      </c>
      <c r="AW21" s="100">
        <f>AV21/AU21-1</f>
        <v>3.2843560933448535E-2</v>
      </c>
      <c r="AY21" s="111">
        <v>2689</v>
      </c>
      <c r="AZ21" s="111">
        <f>'Income Statement'!$Z$19</f>
        <v>2819</v>
      </c>
      <c r="BA21" s="100">
        <f>AZ21/AY21-1</f>
        <v>4.8345109706210421E-2</v>
      </c>
      <c r="BC21" s="111" t="e">
        <f ca="1">_xll.VisibleAlpha.UDF.VAData($C$2,BC$6,$E21,$E$11,"CD","IMPL",$C$6)</f>
        <v>#NAME?</v>
      </c>
      <c r="BD21" s="111">
        <f>'Income Statement'!$Y$19</f>
        <v>2390</v>
      </c>
      <c r="BE21" s="100" t="e">
        <f ca="1">BD21/BC21-1</f>
        <v>#NAME?</v>
      </c>
      <c r="BG21" s="111" t="s">
        <v>1517</v>
      </c>
      <c r="BH21" s="111" t="s">
        <v>1517</v>
      </c>
      <c r="BI21" s="902" t="s">
        <v>1517</v>
      </c>
      <c r="BK21" s="111" t="e">
        <f ca="1">_xll.VisibleAlpha.UDF.VAData($C$2,BK$6,$E21,$E$11,"CD","IMPL",$C$6)</f>
        <v>#NAME?</v>
      </c>
      <c r="BL21" s="111">
        <f>Interim!$AE$34</f>
        <v>1534</v>
      </c>
      <c r="BM21" s="100" t="e">
        <f ca="1">BL21/BK21-1</f>
        <v>#NAME?</v>
      </c>
      <c r="BO21" s="899"/>
      <c r="BQ21" s="111" t="e">
        <f ca="1">_xll.VisibleAlpha.UDF.VAData($C$2,BQ$6,$E21,$E$11,"CD","IMPL",$C$6)</f>
        <v>#NAME?</v>
      </c>
      <c r="BR21" s="111">
        <f>'Income Statement'!$AA$19</f>
        <v>3498.7921191512232</v>
      </c>
      <c r="BS21" s="100" t="e">
        <f ca="1">BR21/BQ21-1</f>
        <v>#NAME?</v>
      </c>
      <c r="BU21" s="1185"/>
      <c r="BW21" s="111" t="e">
        <f ca="1">_xll.VisibleAlpha.UDF.VAData($C$2,BW$6,$E21,$E$11,"CD","IMPL",$C$6)</f>
        <v>#NAME?</v>
      </c>
      <c r="BX21" s="111">
        <f>'Income Statement'!$AA$19</f>
        <v>3498.7921191512232</v>
      </c>
      <c r="BY21" s="100" t="e">
        <f ca="1">BX21/BW21-1</f>
        <v>#NAME?</v>
      </c>
      <c r="CA21" s="111" t="e">
        <f ca="1">_xll.VisibleAlpha.UDF.VAData($C$2,CA$6,$E21,$E$11,"CD","IMPL",$C$6)</f>
        <v>#NAME?</v>
      </c>
      <c r="CB21" s="111">
        <f>'Income Statement'!$AB$19</f>
        <v>3987.5038763717052</v>
      </c>
      <c r="CC21" s="100" t="e">
        <f ca="1">CB21/CA21-1</f>
        <v>#NAME?</v>
      </c>
      <c r="CE21" s="111" t="e">
        <f ca="1">_xll.VisibleAlpha.UDF.VAData($C$2,CE$6,$E21,$E$11,"CD","IMPL",$C$6)</f>
        <v>#NAME?</v>
      </c>
      <c r="CF21" s="111">
        <f>'Income Statement'!$AC$19</f>
        <v>4435.8248269170235</v>
      </c>
      <c r="CG21" s="100" t="e">
        <f ca="1">CF21/CE21-1</f>
        <v>#NAME?</v>
      </c>
      <c r="CI21" s="111" t="e">
        <f ca="1">_xll.VisibleAlpha.UDF.VAData($C$2,CI$6,$E21,$E$11,"CD","IMPL",$C$6)</f>
        <v>#NAME?</v>
      </c>
      <c r="CJ21" s="111">
        <f>'Income Statement'!$AD$19</f>
        <v>4851.267807475032</v>
      </c>
      <c r="CK21" s="100" t="e">
        <f ca="1">CJ21/CI21-1</f>
        <v>#NAME?</v>
      </c>
      <c r="CM21" s="111" t="e">
        <f ca="1">_xll.VisibleAlpha.UDF.VAData($C$2,CM$6,$E21,$E$11,"CD","IMPL",$C$6)</f>
        <v>#NAME?</v>
      </c>
      <c r="CN21" s="111">
        <f>'Income Statement'!$AE$19</f>
        <v>5134.0821959492878</v>
      </c>
      <c r="CO21" s="100" t="e">
        <f ca="1">CN21/CM21-1</f>
        <v>#NAME?</v>
      </c>
      <c r="CP21" s="1547"/>
      <c r="CQ21" s="111" t="e">
        <f ca="1">_xll.VisibleAlpha.UDF.VAData($C$2,CQ$6,$E21,$E$11,"CD","IMPL",$C$6)</f>
        <v>#NAME?</v>
      </c>
      <c r="CR21" s="111">
        <f>'Income Statement'!$AF$19</f>
        <v>5445.7704358674346</v>
      </c>
      <c r="CS21" s="100" t="e">
        <f ca="1">CR21/CQ21-1</f>
        <v>#NAME?</v>
      </c>
      <c r="CT21" s="1547"/>
      <c r="CU21" s="1185"/>
      <c r="CW21" s="111" t="e">
        <f ca="1">_xll.VisibleAlpha.UDF.VAData($C$2,CW$6,$E21,$E$11,"CD","IMPL",$C$6)</f>
        <v>#NAME?</v>
      </c>
      <c r="CX21" s="111">
        <f>'Income Statement'!$AE$19</f>
        <v>5134.0821959492878</v>
      </c>
      <c r="CY21" s="100" t="e">
        <f ca="1">CX21/CW21-1</f>
        <v>#NAME?</v>
      </c>
    </row>
    <row r="22" spans="1:103" ht="13.5" customHeight="1" outlineLevel="1">
      <c r="G22" s="901" t="s">
        <v>985</v>
      </c>
      <c r="H22" s="113">
        <f>H21/H13</f>
        <v>0.1804005914773491</v>
      </c>
      <c r="J22" s="109">
        <f>J21/J13</f>
        <v>0.15512465373961218</v>
      </c>
      <c r="K22" s="109">
        <f>K21/K13</f>
        <v>0.2</v>
      </c>
      <c r="L22" s="109">
        <f>L21/L13</f>
        <v>0.17313218390804597</v>
      </c>
      <c r="M22" s="109">
        <f>M21/M13</f>
        <v>0.17988638754470859</v>
      </c>
      <c r="O22" s="109" t="s">
        <v>1517</v>
      </c>
      <c r="P22" s="109" t="s">
        <v>1517</v>
      </c>
      <c r="Q22" s="114" t="s">
        <v>1517</v>
      </c>
      <c r="S22" s="109" t="s">
        <v>1517</v>
      </c>
      <c r="T22" s="109" t="s">
        <v>1517</v>
      </c>
      <c r="U22" s="114" t="s">
        <v>1517</v>
      </c>
      <c r="V22" s="241"/>
      <c r="W22" s="109" t="s">
        <v>1517</v>
      </c>
      <c r="X22" s="109" t="s">
        <v>1517</v>
      </c>
      <c r="Y22" s="114" t="s">
        <v>1517</v>
      </c>
      <c r="Z22" s="241"/>
      <c r="AA22" s="109" t="s">
        <v>1517</v>
      </c>
      <c r="AB22" s="109" t="s">
        <v>1517</v>
      </c>
      <c r="AC22" s="114" t="s">
        <v>1517</v>
      </c>
      <c r="AE22" s="111" t="s">
        <v>1517</v>
      </c>
      <c r="AF22" s="114" t="s">
        <v>1517</v>
      </c>
      <c r="AH22" s="109" t="e">
        <f ca="1">AH21/AH13</f>
        <v>#NAME?</v>
      </c>
      <c r="AI22" s="109">
        <f>AI21/AI13</f>
        <v>0.19888562142083269</v>
      </c>
      <c r="AJ22" s="114" t="e">
        <f ca="1">(AI22-AH22)*100</f>
        <v>#NAME?</v>
      </c>
      <c r="AL22" s="109" t="e">
        <f ca="1">AL21/AL13</f>
        <v>#NAME?</v>
      </c>
      <c r="AM22" s="109" t="e">
        <f ca="1">AM21/AM13</f>
        <v>#NAME?</v>
      </c>
      <c r="AO22" s="109" t="s">
        <v>1517</v>
      </c>
      <c r="AQ22" s="109" t="s">
        <v>1517</v>
      </c>
      <c r="AR22" s="109" t="s">
        <v>1517</v>
      </c>
      <c r="AS22" s="114" t="s">
        <v>1517</v>
      </c>
      <c r="AU22" s="109">
        <f>AU21/AU13</f>
        <v>0.19355918025930574</v>
      </c>
      <c r="AV22" s="109">
        <f>AV21/AV13</f>
        <v>0.20124621084540248</v>
      </c>
      <c r="AW22" s="114">
        <f>(AV22-AU22)*100</f>
        <v>0.76870305860967381</v>
      </c>
      <c r="AY22" s="109">
        <f>AY21/AY13</f>
        <v>0.19550676166933256</v>
      </c>
      <c r="AZ22" s="109">
        <f>AZ21/AZ13</f>
        <v>0.20648989159097569</v>
      </c>
      <c r="BA22" s="114">
        <f>(AZ22-AY22)*100</f>
        <v>1.0983129921643131</v>
      </c>
      <c r="BC22" s="109" t="e">
        <f ca="1">BC21/BC13</f>
        <v>#NAME?</v>
      </c>
      <c r="BD22" s="109">
        <f>BD21/BD13</f>
        <v>0.20124621084540248</v>
      </c>
      <c r="BE22" s="114" t="e">
        <f ca="1">(BD22-BC22)*100</f>
        <v>#NAME?</v>
      </c>
      <c r="BG22" s="109" t="s">
        <v>1517</v>
      </c>
      <c r="BH22" s="109" t="s">
        <v>1517</v>
      </c>
      <c r="BI22" s="903" t="s">
        <v>1517</v>
      </c>
      <c r="BK22" s="109" t="e">
        <f ca="1">BK21/BK13</f>
        <v>#NAME?</v>
      </c>
      <c r="BL22" s="109">
        <f>BL21/BL13</f>
        <v>0.2133222083159505</v>
      </c>
      <c r="BM22" s="114" t="e">
        <f ca="1">(BL22-BK22)*100</f>
        <v>#NAME?</v>
      </c>
      <c r="BO22" s="899"/>
      <c r="BQ22" s="109" t="e">
        <f ca="1">BQ21/BQ13</f>
        <v>#NAME?</v>
      </c>
      <c r="BR22" s="109">
        <f>BR21/BR13</f>
        <v>0.227628411165855</v>
      </c>
      <c r="BS22" s="114" t="e">
        <f ca="1">(BR22-BQ22)*100</f>
        <v>#NAME?</v>
      </c>
      <c r="BU22" s="1185"/>
      <c r="BW22" s="109" t="e">
        <f ca="1">BW21/BW13</f>
        <v>#NAME?</v>
      </c>
      <c r="BX22" s="109">
        <f>BX21/BX13</f>
        <v>0.227628411165855</v>
      </c>
      <c r="BY22" s="114" t="e">
        <f ca="1">(BX22-BW22)*100</f>
        <v>#NAME?</v>
      </c>
      <c r="CA22" s="109" t="e">
        <f ca="1">CA21/CA13</f>
        <v>#NAME?</v>
      </c>
      <c r="CB22" s="109">
        <f>CB21/CB13</f>
        <v>0.23133218344451026</v>
      </c>
      <c r="CC22" s="114" t="e">
        <f ca="1">(CB22-CA22)*100</f>
        <v>#NAME?</v>
      </c>
      <c r="CE22" s="109" t="e">
        <f ca="1">CE21/CE13</f>
        <v>#NAME?</v>
      </c>
      <c r="CF22" s="109">
        <f>CF21/CF13</f>
        <v>0.23170798695684403</v>
      </c>
      <c r="CG22" s="114" t="e">
        <f ca="1">(CF22-CE22)*100</f>
        <v>#NAME?</v>
      </c>
      <c r="CI22" s="109" t="e">
        <f ca="1">CI21/CI13</f>
        <v>#NAME?</v>
      </c>
      <c r="CJ22" s="109">
        <f>CJ21/CJ13</f>
        <v>0.23439834896668255</v>
      </c>
      <c r="CK22" s="114" t="e">
        <f ca="1">(CJ22-CI22)*100</f>
        <v>#NAME?</v>
      </c>
      <c r="CM22" s="109" t="e">
        <f ca="1">CM21/CM13</f>
        <v>#NAME?</v>
      </c>
      <c r="CN22" s="109">
        <f>CN21/CN13</f>
        <v>0.23632659209020626</v>
      </c>
      <c r="CO22" s="114" t="e">
        <f ca="1">(CN22-CM22)*100</f>
        <v>#NAME?</v>
      </c>
      <c r="CP22" s="1549"/>
      <c r="CQ22" s="109" t="e">
        <f ca="1">CQ21/CQ13</f>
        <v>#NAME?</v>
      </c>
      <c r="CR22" s="109">
        <f>CR21/CR13</f>
        <v>0.23879416893006605</v>
      </c>
      <c r="CS22" s="114" t="e">
        <f ca="1">(CR22-CQ22)*100</f>
        <v>#NAME?</v>
      </c>
      <c r="CT22" s="1549"/>
      <c r="CU22" s="1185" t="s">
        <v>1784</v>
      </c>
      <c r="CW22" s="109" t="e">
        <f ca="1">CW21/CW13</f>
        <v>#NAME?</v>
      </c>
      <c r="CX22" s="109">
        <f>CX21/CX13</f>
        <v>0.23632659209020626</v>
      </c>
      <c r="CY22" s="114" t="e">
        <f ca="1">(CX22-CW22)*100</f>
        <v>#NAME?</v>
      </c>
    </row>
    <row r="23" spans="1:103" ht="13.5" customHeight="1" outlineLevel="1">
      <c r="E23" s="119" t="s">
        <v>1410</v>
      </c>
      <c r="G23" s="90" t="s">
        <v>1404</v>
      </c>
      <c r="H23" s="111">
        <f>'Income Statement'!$W$20</f>
        <v>650</v>
      </c>
      <c r="J23" s="111">
        <f>Interim!$X$38</f>
        <v>270</v>
      </c>
      <c r="K23" s="111">
        <f>Interim!$Y$38</f>
        <v>380</v>
      </c>
      <c r="L23" s="111">
        <f>Interim!$Z$38</f>
        <v>411</v>
      </c>
      <c r="M23" s="111">
        <f>'Income Statement'!$X$20</f>
        <v>874</v>
      </c>
      <c r="O23" s="111" t="s">
        <v>1517</v>
      </c>
      <c r="P23" s="111" t="s">
        <v>1517</v>
      </c>
      <c r="Q23" s="100" t="s">
        <v>1517</v>
      </c>
      <c r="S23" s="111" t="s">
        <v>1517</v>
      </c>
      <c r="T23" s="111" t="s">
        <v>1517</v>
      </c>
      <c r="U23" s="100" t="s">
        <v>1517</v>
      </c>
      <c r="V23" s="111"/>
      <c r="W23" s="111" t="s">
        <v>1517</v>
      </c>
      <c r="X23" s="111" t="s">
        <v>1517</v>
      </c>
      <c r="Y23" s="100" t="s">
        <v>1517</v>
      </c>
      <c r="Z23" s="111"/>
      <c r="AA23" s="111" t="s">
        <v>1517</v>
      </c>
      <c r="AB23" s="111" t="s">
        <v>1517</v>
      </c>
      <c r="AC23" s="100" t="s">
        <v>1517</v>
      </c>
      <c r="AE23" s="111" t="s">
        <v>1517</v>
      </c>
      <c r="AF23" s="100" t="s">
        <v>1517</v>
      </c>
      <c r="AH23" s="111" t="e">
        <f ca="1">_xll.VisibleAlpha.UDF.VAData($C$2,AH$6,$E23,$E$11,"CD","IMPL",$C$6)</f>
        <v>#NAME?</v>
      </c>
      <c r="AI23" s="111">
        <f>Interim!$AD$38</f>
        <v>657</v>
      </c>
      <c r="AJ23" s="100" t="e">
        <f t="shared" ref="AJ23" ca="1" si="14">AI23/AH23-1</f>
        <v>#NAME?</v>
      </c>
      <c r="AL23" s="111" t="e">
        <f ca="1">_xll.VisibleAlpha.UDF.VAData($C$2,AL$6,$E23,$E$11,"CD","IMPL",$C$6)</f>
        <v>#NAME?</v>
      </c>
      <c r="AM23" s="111" t="e">
        <f ca="1">_xll.VisibleAlpha.UDF.VAData($C$2,AM$6,$E23,$E$11,"CD","IMPL",$C$6)</f>
        <v>#NAME?</v>
      </c>
      <c r="AO23" s="111" t="s">
        <v>1517</v>
      </c>
      <c r="AQ23" s="111" t="s">
        <v>1517</v>
      </c>
      <c r="AR23" s="111" t="s">
        <v>1517</v>
      </c>
      <c r="AS23" s="100" t="s">
        <v>1517</v>
      </c>
      <c r="AU23" s="111">
        <v>1030</v>
      </c>
      <c r="AV23" s="111">
        <f>'Income Statement'!$Y$20</f>
        <v>992</v>
      </c>
      <c r="AW23" s="100">
        <f t="shared" ref="AW23" si="15">AV23/AU23-1</f>
        <v>-3.6893203883495151E-2</v>
      </c>
      <c r="AY23" s="111">
        <v>1245</v>
      </c>
      <c r="AZ23" s="111">
        <f>'Income Statement'!$Z$20</f>
        <v>1298</v>
      </c>
      <c r="BA23" s="100">
        <f t="shared" ref="BA23" si="16">AZ23/AY23-1</f>
        <v>4.25702811244979E-2</v>
      </c>
      <c r="BC23" s="111" t="e">
        <f ca="1">_xll.VisibleAlpha.UDF.VAData($C$2,BC$6,$E23,$E$11,"CD","IMPL",$C$6)</f>
        <v>#NAME?</v>
      </c>
      <c r="BD23" s="111">
        <f>'Income Statement'!$Y$20</f>
        <v>992</v>
      </c>
      <c r="BE23" s="100" t="e">
        <f t="shared" ref="BE23" ca="1" si="17">BD23/BC23-1</f>
        <v>#NAME?</v>
      </c>
      <c r="BG23" s="111" t="s">
        <v>1517</v>
      </c>
      <c r="BH23" s="111" t="s">
        <v>1517</v>
      </c>
      <c r="BI23" s="902" t="s">
        <v>1517</v>
      </c>
      <c r="BK23" s="111" t="e">
        <f ca="1">_xll.VisibleAlpha.UDF.VAData($C$2,BK$6,$E23,$E$11,"CD","IMPL",$C$6)</f>
        <v>#NAME?</v>
      </c>
      <c r="BL23" s="111">
        <f>Interim!$AE$38</f>
        <v>641</v>
      </c>
      <c r="BM23" s="100" t="e">
        <f t="shared" ref="BM23" ca="1" si="18">BL23/BK23-1</f>
        <v>#NAME?</v>
      </c>
      <c r="BO23" s="899"/>
      <c r="BQ23" s="111" t="e">
        <f ca="1">_xll.VisibleAlpha.UDF.VAData($C$2,BQ$6,$E23,$E$11,"CD","IMPL",$C$6)</f>
        <v>#NAME?</v>
      </c>
      <c r="BR23" s="111">
        <f>'Income Statement'!$AA$20</f>
        <v>1601.943770022559</v>
      </c>
      <c r="BS23" s="100" t="e">
        <f t="shared" ref="BS23" ca="1" si="19">BR23/BQ23-1</f>
        <v>#NAME?</v>
      </c>
      <c r="BU23" s="1185"/>
      <c r="BW23" s="111" t="e">
        <f ca="1">_xll.VisibleAlpha.UDF.VAData($C$2,BW$6,$E23,$E$11,"CD","IMPL",$C$6)</f>
        <v>#NAME?</v>
      </c>
      <c r="BX23" s="111">
        <f>'Income Statement'!$AA$20</f>
        <v>1601.943770022559</v>
      </c>
      <c r="BY23" s="100" t="e">
        <f t="shared" ref="BY23" ca="1" si="20">BX23/BW23-1</f>
        <v>#NAME?</v>
      </c>
      <c r="CA23" s="111" t="e">
        <f ca="1">_xll.VisibleAlpha.UDF.VAData($C$2,CA$6,$E23,$E$11,"CD","IMPL",$C$6)</f>
        <v>#NAME?</v>
      </c>
      <c r="CB23" s="111">
        <f>'Income Statement'!$AB$20</f>
        <v>1858.4702757019843</v>
      </c>
      <c r="CC23" s="100" t="e">
        <f t="shared" ref="CC23" ca="1" si="21">CB23/CA23-1</f>
        <v>#NAME?</v>
      </c>
      <c r="CE23" s="111" t="e">
        <f ca="1">_xll.VisibleAlpha.UDF.VAData($C$2,CE$6,$E23,$E$11,"CD","IMPL",$C$6)</f>
        <v>#NAME?</v>
      </c>
      <c r="CF23" s="111">
        <f>'Income Statement'!$AC$20</f>
        <v>2134.7102122690167</v>
      </c>
      <c r="CG23" s="100" t="e">
        <f t="shared" ref="CG23" ca="1" si="22">CF23/CE23-1</f>
        <v>#NAME?</v>
      </c>
      <c r="CI23" s="111" t="e">
        <f ca="1">_xll.VisibleAlpha.UDF.VAData($C$2,CI$6,$E23,$E$11,"CD","IMPL",$C$6)</f>
        <v>#NAME?</v>
      </c>
      <c r="CJ23" s="111">
        <f>'Income Statement'!$AD$20</f>
        <v>2389.6484999709569</v>
      </c>
      <c r="CK23" s="100" t="e">
        <f t="shared" ref="CK23" ca="1" si="23">CJ23/CI23-1</f>
        <v>#NAME?</v>
      </c>
      <c r="CM23" s="111" t="e">
        <f ca="1">_xll.VisibleAlpha.UDF.VAData($C$2,CM$6,$E23,$E$11,"CD","IMPL",$C$6)</f>
        <v>#NAME?</v>
      </c>
      <c r="CN23" s="111">
        <f>'Income Statement'!$AE$20</f>
        <v>2524.2429106702771</v>
      </c>
      <c r="CO23" s="100" t="e">
        <f t="shared" ref="CO23" ca="1" si="24">CN23/CM23-1</f>
        <v>#NAME?</v>
      </c>
      <c r="CP23" s="1547"/>
      <c r="CQ23" s="111" t="e">
        <f ca="1">_xll.VisibleAlpha.UDF.VAData($C$2,CQ$6,$E23,$E$11,"CD","IMPL",$C$6)</f>
        <v>#NAME?</v>
      </c>
      <c r="CR23" s="111">
        <f>'Income Statement'!$AF$20</f>
        <v>2640.3034115715386</v>
      </c>
      <c r="CS23" s="100" t="e">
        <f t="shared" ref="CS23" ca="1" si="25">CR23/CQ23-1</f>
        <v>#NAME?</v>
      </c>
      <c r="CT23" s="1547"/>
      <c r="CU23" s="1185"/>
      <c r="CW23" s="111" t="e">
        <f ca="1">_xll.VisibleAlpha.UDF.VAData($C$2,CW$6,$E23,$E$11,"CD","IMPL",$C$6)</f>
        <v>#NAME?</v>
      </c>
      <c r="CX23" s="111">
        <f>'Income Statement'!$AE$20</f>
        <v>2524.2429106702771</v>
      </c>
      <c r="CY23" s="100" t="e">
        <f t="shared" ref="CY23" ca="1" si="26">CX23/CW23-1</f>
        <v>#NAME?</v>
      </c>
    </row>
    <row r="24" spans="1:103" ht="13.5" customHeight="1" outlineLevel="1">
      <c r="G24" s="901" t="s">
        <v>985</v>
      </c>
      <c r="H24" s="113">
        <f>H23/H14</f>
        <v>0.10276679841897234</v>
      </c>
      <c r="J24" s="109">
        <f>J23/J14</f>
        <v>9.0847913862718704E-2</v>
      </c>
      <c r="K24" s="109">
        <f>K23/K14</f>
        <v>0.11333134506412168</v>
      </c>
      <c r="L24" s="109">
        <f>L23/L14</f>
        <v>0.11722760981175129</v>
      </c>
      <c r="M24" s="109">
        <f>M23/M14</f>
        <v>0.11599203715992037</v>
      </c>
      <c r="O24" s="109" t="s">
        <v>1517</v>
      </c>
      <c r="P24" s="109" t="s">
        <v>1517</v>
      </c>
      <c r="Q24" s="114" t="s">
        <v>1517</v>
      </c>
      <c r="S24" s="109" t="s">
        <v>1517</v>
      </c>
      <c r="T24" s="109" t="s">
        <v>1517</v>
      </c>
      <c r="U24" s="114" t="s">
        <v>1517</v>
      </c>
      <c r="V24" s="241"/>
      <c r="W24" s="109" t="s">
        <v>1517</v>
      </c>
      <c r="X24" s="109" t="s">
        <v>1517</v>
      </c>
      <c r="Y24" s="114" t="s">
        <v>1517</v>
      </c>
      <c r="Z24" s="241"/>
      <c r="AA24" s="109" t="s">
        <v>1517</v>
      </c>
      <c r="AB24" s="109" t="s">
        <v>1517</v>
      </c>
      <c r="AC24" s="114" t="s">
        <v>1517</v>
      </c>
      <c r="AE24" s="111" t="s">
        <v>1517</v>
      </c>
      <c r="AF24" s="114" t="s">
        <v>1517</v>
      </c>
      <c r="AH24" s="109" t="e">
        <f ca="1">AH23/AH14</f>
        <v>#NAME?</v>
      </c>
      <c r="AI24" s="109">
        <f>AI23/AI14</f>
        <v>0.12707930367504836</v>
      </c>
      <c r="AJ24" s="114" t="e">
        <f ca="1">(AI24-AH24)*100</f>
        <v>#NAME?</v>
      </c>
      <c r="AL24" s="109" t="e">
        <f ca="1">AL23/AL14</f>
        <v>#NAME?</v>
      </c>
      <c r="AM24" s="109" t="e">
        <f ca="1">AM23/AM14</f>
        <v>#NAME?</v>
      </c>
      <c r="AO24" s="109" t="s">
        <v>1517</v>
      </c>
      <c r="AQ24" s="109" t="s">
        <v>1517</v>
      </c>
      <c r="AR24" s="109" t="s">
        <v>1517</v>
      </c>
      <c r="AS24" s="114" t="s">
        <v>1517</v>
      </c>
      <c r="AU24" s="109">
        <f>AU23/AU14</f>
        <v>0.11716528267546354</v>
      </c>
      <c r="AV24" s="109">
        <f>AV23/AV14</f>
        <v>0.11228070175438597</v>
      </c>
      <c r="AW24" s="114">
        <f>(AV24-AU24)*100</f>
        <v>-0.48845809210775748</v>
      </c>
      <c r="AY24" s="109">
        <f>AY23/AY14</f>
        <v>0.12561800020179598</v>
      </c>
      <c r="AZ24" s="109">
        <f>AZ23/AZ14</f>
        <v>0.12224524392540968</v>
      </c>
      <c r="BA24" s="114">
        <f>(AZ24-AY24)*100</f>
        <v>-0.33727562763862934</v>
      </c>
      <c r="BC24" s="109" t="e">
        <f ca="1">BC23/BC14</f>
        <v>#NAME?</v>
      </c>
      <c r="BD24" s="109">
        <f>BD23/BD14</f>
        <v>0.11228070175438597</v>
      </c>
      <c r="BE24" s="114" t="e">
        <f ca="1">(BD24-BC24)*100</f>
        <v>#NAME?</v>
      </c>
      <c r="BG24" s="109" t="s">
        <v>1517</v>
      </c>
      <c r="BH24" s="109" t="s">
        <v>1517</v>
      </c>
      <c r="BI24" s="903" t="s">
        <v>1517</v>
      </c>
      <c r="BK24" s="109" t="e">
        <f ca="1">BK23/BK14</f>
        <v>#NAME?</v>
      </c>
      <c r="BL24" s="109">
        <f>BL23/BL14</f>
        <v>0.11765785609397944</v>
      </c>
      <c r="BM24" s="114" t="e">
        <f ca="1">(BL24-BK24)*100</f>
        <v>#NAME?</v>
      </c>
      <c r="BO24" s="899"/>
      <c r="BQ24" s="109" t="e">
        <f ca="1">BQ23/BQ14</f>
        <v>#NAME?</v>
      </c>
      <c r="BR24" s="109">
        <f>BR23/BR14</f>
        <v>0.13139866479125725</v>
      </c>
      <c r="BS24" s="114" t="e">
        <f ca="1">(BR24-BQ24)*100</f>
        <v>#NAME?</v>
      </c>
      <c r="BU24" s="1185"/>
      <c r="BW24" s="109" t="e">
        <f ca="1">BW23/BW14</f>
        <v>#NAME?</v>
      </c>
      <c r="BX24" s="109">
        <f>BX23/BX14</f>
        <v>0.13139866479125725</v>
      </c>
      <c r="BY24" s="114" t="e">
        <f ca="1">(BX24-BW24)*100</f>
        <v>#NAME?</v>
      </c>
      <c r="CA24" s="109" t="e">
        <f ca="1">CA23/CA14</f>
        <v>#NAME?</v>
      </c>
      <c r="CB24" s="109">
        <f>CB23/CB14</f>
        <v>0.13776194372884279</v>
      </c>
      <c r="CC24" s="114" t="e">
        <f ca="1">(CB24-CA24)*100</f>
        <v>#NAME?</v>
      </c>
      <c r="CE24" s="109" t="e">
        <f ca="1">CE23/CE14</f>
        <v>#NAME?</v>
      </c>
      <c r="CF24" s="109">
        <f>CF23/CF14</f>
        <v>0.14344269799564272</v>
      </c>
      <c r="CG24" s="114" t="e">
        <f ca="1">(CF24-CE24)*100</f>
        <v>#NAME?</v>
      </c>
      <c r="CI24" s="109" t="e">
        <f ca="1">CI23/CI14</f>
        <v>#NAME?</v>
      </c>
      <c r="CJ24" s="109">
        <f>CJ23/CJ14</f>
        <v>0.14731023966498005</v>
      </c>
      <c r="CK24" s="114" t="e">
        <f ca="1">(CJ24-CI24)*100</f>
        <v>#NAME?</v>
      </c>
      <c r="CM24" s="109" t="e">
        <f ca="1">CM23/CM14</f>
        <v>#NAME?</v>
      </c>
      <c r="CN24" s="109">
        <f>CN23/CN14</f>
        <v>0.14776947119266659</v>
      </c>
      <c r="CO24" s="114" t="e">
        <f ca="1">(CN24-CM24)*100</f>
        <v>#NAME?</v>
      </c>
      <c r="CP24" s="1549"/>
      <c r="CQ24" s="109" t="e">
        <f ca="1">CQ23/CQ14</f>
        <v>#NAME?</v>
      </c>
      <c r="CR24" s="109">
        <f>CR23/CR14</f>
        <v>0.14690452072880675</v>
      </c>
      <c r="CS24" s="114" t="e">
        <f ca="1">(CR24-CQ24)*100</f>
        <v>#NAME?</v>
      </c>
      <c r="CT24" s="1549"/>
      <c r="CU24" s="1185" t="s">
        <v>1781</v>
      </c>
      <c r="CW24" s="109" t="e">
        <f ca="1">CW23/CW14</f>
        <v>#NAME?</v>
      </c>
      <c r="CX24" s="109">
        <f>CX23/CX14</f>
        <v>0.14776947119266659</v>
      </c>
      <c r="CY24" s="114" t="e">
        <f ca="1">(CX24-CW24)*100</f>
        <v>#NAME?</v>
      </c>
    </row>
    <row r="25" spans="1:103" ht="13.5" customHeight="1" outlineLevel="1">
      <c r="E25" s="119" t="s">
        <v>1411</v>
      </c>
      <c r="G25" s="90" t="s">
        <v>1293</v>
      </c>
      <c r="H25" s="111">
        <f>'Income Statement'!$W$21</f>
        <v>-167</v>
      </c>
      <c r="J25" s="111">
        <f>Interim!$X$39</f>
        <v>-110</v>
      </c>
      <c r="K25" s="111">
        <f>Interim!$Y$39</f>
        <v>-57</v>
      </c>
      <c r="L25" s="111">
        <f>Interim!$Z$39</f>
        <v>-82</v>
      </c>
      <c r="M25" s="111">
        <f>'Income Statement'!$X$21</f>
        <v>-140</v>
      </c>
      <c r="O25" s="111" t="s">
        <v>1517</v>
      </c>
      <c r="P25" s="111" t="s">
        <v>1517</v>
      </c>
      <c r="Q25" s="100" t="s">
        <v>1517</v>
      </c>
      <c r="S25" s="111" t="s">
        <v>1517</v>
      </c>
      <c r="T25" s="111" t="s">
        <v>1517</v>
      </c>
      <c r="U25" s="100" t="s">
        <v>1517</v>
      </c>
      <c r="V25" s="111"/>
      <c r="W25" s="111" t="s">
        <v>1517</v>
      </c>
      <c r="X25" s="111" t="s">
        <v>1517</v>
      </c>
      <c r="Y25" s="100" t="s">
        <v>1517</v>
      </c>
      <c r="Z25" s="111"/>
      <c r="AA25" s="111" t="s">
        <v>1517</v>
      </c>
      <c r="AB25" s="111" t="s">
        <v>1517</v>
      </c>
      <c r="AC25" s="100" t="s">
        <v>1517</v>
      </c>
      <c r="AE25" s="111" t="s">
        <v>1517</v>
      </c>
      <c r="AF25" s="100" t="s">
        <v>1517</v>
      </c>
      <c r="AH25" s="111" t="e">
        <f ca="1">_xll.VisibleAlpha.UDF.VAData($C$2,AH$6,$E25,$E$11,"CD","IMPL",$C$6)</f>
        <v>#NAME?</v>
      </c>
      <c r="AI25" s="111">
        <f>Interim!$AD$39</f>
        <v>10</v>
      </c>
      <c r="AJ25" s="100" t="e">
        <f t="shared" ref="AJ25" ca="1" si="27">AI25/AH25-1</f>
        <v>#NAME?</v>
      </c>
      <c r="AL25" s="111" t="e">
        <f ca="1">_xll.VisibleAlpha.UDF.VAData($C$2,AL$6,$E25,$E$11,"CD","IMPL",$C$6)</f>
        <v>#NAME?</v>
      </c>
      <c r="AM25" s="111" t="e">
        <f ca="1">_xll.VisibleAlpha.UDF.VAData($C$2,AM$6,$E25,$E$11,"CD","IMPL",$C$6)</f>
        <v>#NAME?</v>
      </c>
      <c r="AO25" s="111" t="s">
        <v>1517</v>
      </c>
      <c r="AQ25" s="111" t="s">
        <v>1517</v>
      </c>
      <c r="AR25" s="111" t="s">
        <v>1517</v>
      </c>
      <c r="AS25" s="100" t="s">
        <v>1517</v>
      </c>
      <c r="AU25" s="111">
        <v>-106</v>
      </c>
      <c r="AV25" s="111">
        <f>'Income Statement'!$Y$21</f>
        <v>-116</v>
      </c>
      <c r="AW25" s="100">
        <f>-(AV25/AU25-1)</f>
        <v>-9.4339622641509413E-2</v>
      </c>
      <c r="AY25" s="111">
        <v>43</v>
      </c>
      <c r="AZ25" s="111">
        <f>'Income Statement'!$Z$21</f>
        <v>27</v>
      </c>
      <c r="BA25" s="100">
        <f>-(AZ25/AY25-1)</f>
        <v>0.37209302325581395</v>
      </c>
      <c r="BC25" s="111" t="e">
        <f ca="1">_xll.VisibleAlpha.UDF.VAData($C$2,BC$6,$E25,$E$11,"CD","IMPL",$C$6)</f>
        <v>#NAME?</v>
      </c>
      <c r="BD25" s="111">
        <f>'Income Statement'!$Y$21</f>
        <v>-116</v>
      </c>
      <c r="BE25" s="100" t="e">
        <f ca="1">-(BD25/BC25-1)</f>
        <v>#NAME?</v>
      </c>
      <c r="BG25" s="111" t="s">
        <v>1517</v>
      </c>
      <c r="BH25" s="111" t="s">
        <v>1517</v>
      </c>
      <c r="BI25" s="902" t="s">
        <v>1517</v>
      </c>
      <c r="BK25" s="111" t="e">
        <f ca="1">_xll.VisibleAlpha.UDF.VAData($C$2,BK$6,$E25,$E$11,"CD","IMPL",$C$6)</f>
        <v>#NAME?</v>
      </c>
      <c r="BL25" s="111">
        <f>Interim!$AE$39</f>
        <v>17</v>
      </c>
      <c r="BM25" s="100" t="e">
        <f t="shared" ref="BM25" ca="1" si="28">BL25/BK25-1</f>
        <v>#NAME?</v>
      </c>
      <c r="BO25" s="899"/>
      <c r="BQ25" s="111" t="e">
        <f ca="1">_xll.VisibleAlpha.UDF.VAData($C$2,BQ$6,$E25,$E$11,"CD","IMPL",$C$6)</f>
        <v>#NAME?</v>
      </c>
      <c r="BR25" s="111">
        <f>'Income Statement'!$AA$21</f>
        <v>106.69281550872572</v>
      </c>
      <c r="BS25" s="100" t="e">
        <f t="shared" ref="BS25" ca="1" si="29">BR25/BQ25-1</f>
        <v>#NAME?</v>
      </c>
      <c r="BU25" s="1185"/>
      <c r="BW25" s="111" t="e">
        <f ca="1">_xll.VisibleAlpha.UDF.VAData($C$2,BW$6,$E25,$E$11,"CD","IMPL",$C$6)</f>
        <v>#NAME?</v>
      </c>
      <c r="BX25" s="111">
        <f>'Income Statement'!$AA$21</f>
        <v>106.69281550872572</v>
      </c>
      <c r="BY25" s="1552" t="e">
        <f t="shared" ref="BY25" ca="1" si="30">BX25/BW25-1</f>
        <v>#NAME?</v>
      </c>
      <c r="CA25" s="111" t="e">
        <f ca="1">_xll.VisibleAlpha.UDF.VAData($C$2,CA$6,$E25,$E$11,"CD","IMPL",$C$6)</f>
        <v>#NAME?</v>
      </c>
      <c r="CB25" s="111">
        <f>'Income Statement'!$AB$21</f>
        <v>200.53140626440566</v>
      </c>
      <c r="CC25" s="100" t="e">
        <f t="shared" ref="CC25" ca="1" si="31">CB25/CA25-1</f>
        <v>#NAME?</v>
      </c>
      <c r="CE25" s="111" t="e">
        <f ca="1">_xll.VisibleAlpha.UDF.VAData($C$2,CE$6,$E25,$E$11,"CD","IMPL",$C$6)</f>
        <v>#NAME?</v>
      </c>
      <c r="CF25" s="111">
        <f>'Income Statement'!$AC$21</f>
        <v>309.38033969793548</v>
      </c>
      <c r="CG25" s="100" t="e">
        <f t="shared" ref="CG25" ca="1" si="32">CF25/CE25-1</f>
        <v>#NAME?</v>
      </c>
      <c r="CI25" s="111" t="e">
        <f ca="1">_xll.VisibleAlpha.UDF.VAData($C$2,CI$6,$E25,$E$11,"CD","IMPL",$C$6)</f>
        <v>#NAME?</v>
      </c>
      <c r="CJ25" s="111">
        <f>'Income Statement'!$AD$21</f>
        <v>401.1613011765312</v>
      </c>
      <c r="CK25" s="100" t="e">
        <f t="shared" ref="CK25" ca="1" si="33">CJ25/CI25-1</f>
        <v>#NAME?</v>
      </c>
      <c r="CM25" s="111" t="e">
        <f ca="1">_xll.VisibleAlpha.UDF.VAData($C$2,CM$6,$E25,$E$11,"CD","IMPL",$C$6)</f>
        <v>#NAME?</v>
      </c>
      <c r="CN25" s="111">
        <f>'Income Statement'!$AE$21</f>
        <v>431.91275843864668</v>
      </c>
      <c r="CO25" s="100" t="e">
        <f t="shared" ref="CO25" ca="1" si="34">CN25/CM25-1</f>
        <v>#NAME?</v>
      </c>
      <c r="CP25" s="1547"/>
      <c r="CQ25" s="111" t="e">
        <f ca="1">_xll.VisibleAlpha.UDF.VAData($C$2,CQ$6,$E25,$E$11,"CD","IMPL",$C$6)</f>
        <v>#NAME?</v>
      </c>
      <c r="CR25" s="111">
        <f>'Income Statement'!$AF$21</f>
        <v>446.20993327077412</v>
      </c>
      <c r="CS25" s="100" t="e">
        <f t="shared" ref="CS25" ca="1" si="35">CR25/CQ25-1</f>
        <v>#NAME?</v>
      </c>
      <c r="CT25" s="1547"/>
      <c r="CU25" s="1185"/>
      <c r="CW25" s="111" t="e">
        <f ca="1">_xll.VisibleAlpha.UDF.VAData($C$2,CW$6,$E25,$E$11,"CD","IMPL",$C$6)</f>
        <v>#NAME?</v>
      </c>
      <c r="CX25" s="111">
        <f>'Income Statement'!$AE$21</f>
        <v>431.91275843864668</v>
      </c>
      <c r="CY25" s="100" t="e">
        <f t="shared" ref="CY25" ca="1" si="36">CX25/CW25-1</f>
        <v>#NAME?</v>
      </c>
    </row>
    <row r="26" spans="1:103" ht="13.5" customHeight="1" outlineLevel="1">
      <c r="G26" s="901" t="s">
        <v>985</v>
      </c>
      <c r="H26" s="113">
        <f>H25/H15</f>
        <v>-0.11322033898305085</v>
      </c>
      <c r="J26" s="109">
        <f>J25/J15</f>
        <v>-0.17027863777089783</v>
      </c>
      <c r="K26" s="109">
        <f>K25/K15</f>
        <v>-6.8757539203860074E-2</v>
      </c>
      <c r="L26" s="109">
        <f>L25/L15</f>
        <v>-9.4252873563218389E-2</v>
      </c>
      <c r="M26" s="109">
        <f>M25/M15</f>
        <v>-7.0778564206268962E-2</v>
      </c>
      <c r="O26" s="109" t="s">
        <v>1517</v>
      </c>
      <c r="P26" s="109" t="s">
        <v>1517</v>
      </c>
      <c r="Q26" s="114" t="s">
        <v>1517</v>
      </c>
      <c r="S26" s="109" t="s">
        <v>1517</v>
      </c>
      <c r="T26" s="109" t="s">
        <v>1517</v>
      </c>
      <c r="U26" s="114" t="s">
        <v>1517</v>
      </c>
      <c r="V26" s="241"/>
      <c r="W26" s="109" t="s">
        <v>1517</v>
      </c>
      <c r="X26" s="109" t="s">
        <v>1517</v>
      </c>
      <c r="Y26" s="114" t="s">
        <v>1517</v>
      </c>
      <c r="Z26" s="241"/>
      <c r="AA26" s="109" t="s">
        <v>1517</v>
      </c>
      <c r="AB26" s="109" t="s">
        <v>1517</v>
      </c>
      <c r="AC26" s="114" t="s">
        <v>1517</v>
      </c>
      <c r="AE26" s="111" t="s">
        <v>1517</v>
      </c>
      <c r="AF26" s="114" t="s">
        <v>1517</v>
      </c>
      <c r="AH26" s="109" t="e">
        <f ca="1">AH25/AH15</f>
        <v>#NAME?</v>
      </c>
      <c r="AI26" s="109">
        <f>AI25/AI15</f>
        <v>7.0871722182849041E-3</v>
      </c>
      <c r="AJ26" s="114" t="e">
        <f ca="1">(AI26-AH26)*100</f>
        <v>#NAME?</v>
      </c>
      <c r="AL26" s="109" t="e">
        <f ca="1">AL25/AL15</f>
        <v>#NAME?</v>
      </c>
      <c r="AM26" s="109" t="e">
        <f ca="1">AM25/AM15</f>
        <v>#NAME?</v>
      </c>
      <c r="AO26" s="109" t="s">
        <v>1517</v>
      </c>
      <c r="AQ26" s="109" t="s">
        <v>1517</v>
      </c>
      <c r="AR26" s="109" t="s">
        <v>1517</v>
      </c>
      <c r="AS26" s="114" t="s">
        <v>1517</v>
      </c>
      <c r="AU26" s="109">
        <f>AU25/AU15</f>
        <v>-4.2914979757085019E-2</v>
      </c>
      <c r="AV26" s="109">
        <f>AV25/AV15</f>
        <v>-4.6830843762616065E-2</v>
      </c>
      <c r="AW26" s="114">
        <f>(AV26-AU26)*100</f>
        <v>-0.39158640055310456</v>
      </c>
      <c r="AY26" s="109">
        <f>AY25/AY15</f>
        <v>1.471091344509066E-2</v>
      </c>
      <c r="AZ26" s="109">
        <f>AZ25/AZ15</f>
        <v>8.8903523213697735E-3</v>
      </c>
      <c r="BA26" s="114">
        <f>(AZ26-AY26)*100</f>
        <v>-0.58205611237208865</v>
      </c>
      <c r="BC26" s="109" t="e">
        <f ca="1">BC25/BC15</f>
        <v>#NAME?</v>
      </c>
      <c r="BD26" s="109">
        <f>BD25/BD15</f>
        <v>-4.6830843762616065E-2</v>
      </c>
      <c r="BE26" s="114" t="e">
        <f ca="1">(BD26-BC26)*100</f>
        <v>#NAME?</v>
      </c>
      <c r="BG26" s="109" t="s">
        <v>1517</v>
      </c>
      <c r="BH26" s="109" t="s">
        <v>1517</v>
      </c>
      <c r="BI26" s="903" t="s">
        <v>1517</v>
      </c>
      <c r="BK26" s="109" t="e">
        <f ca="1">BK25/BK15</f>
        <v>#NAME?</v>
      </c>
      <c r="BL26" s="109">
        <f>BL25/BL15</f>
        <v>1.0455104551045511E-2</v>
      </c>
      <c r="BM26" s="114" t="e">
        <f ca="1">(BL26-BK26)*100</f>
        <v>#NAME?</v>
      </c>
      <c r="BO26" s="899"/>
      <c r="BQ26" s="109" t="e">
        <f ca="1">BQ25/BQ15</f>
        <v>#NAME?</v>
      </c>
      <c r="BR26" s="109">
        <f>BR25/BR15</f>
        <v>3.1161559032415378E-2</v>
      </c>
      <c r="BS26" s="114" t="e">
        <f ca="1">(BR26-BQ26)*100</f>
        <v>#NAME?</v>
      </c>
      <c r="BU26" s="1185"/>
      <c r="BW26" s="109" t="e">
        <f ca="1">BW25/BW15</f>
        <v>#NAME?</v>
      </c>
      <c r="BX26" s="109">
        <f>BX25/BX15</f>
        <v>3.1161559032415378E-2</v>
      </c>
      <c r="BY26" s="1553" t="e">
        <f ca="1">(BX26-BW26)*100</f>
        <v>#NAME?</v>
      </c>
      <c r="CA26" s="109" t="e">
        <f ca="1">CA25/CA15</f>
        <v>#NAME?</v>
      </c>
      <c r="CB26" s="109">
        <f>CB25/CB15</f>
        <v>5.3006814806385111E-2</v>
      </c>
      <c r="CC26" s="114" t="e">
        <f ca="1">(CB26-CA26)*100</f>
        <v>#NAME?</v>
      </c>
      <c r="CE26" s="109" t="e">
        <f ca="1">CE25/CE15</f>
        <v>#NAME?</v>
      </c>
      <c r="CF26" s="109">
        <f>CF25/CF15</f>
        <v>7.4827366973950343E-2</v>
      </c>
      <c r="CG26" s="114" t="e">
        <f ca="1">(CF26-CE26)*100</f>
        <v>#NAME?</v>
      </c>
      <c r="CI26" s="109" t="e">
        <f ca="1">CI25/CI15</f>
        <v>#NAME?</v>
      </c>
      <c r="CJ26" s="109">
        <f>CJ25/CJ15</f>
        <v>8.9707897044962806E-2</v>
      </c>
      <c r="CK26" s="114" t="e">
        <f ca="1">(CJ26-CI26)*100</f>
        <v>#NAME?</v>
      </c>
      <c r="CM26" s="109" t="e">
        <f ca="1">CM25/CM15</f>
        <v>#NAME?</v>
      </c>
      <c r="CN26" s="109">
        <f>CN25/CN15</f>
        <v>9.3556118260671076E-2</v>
      </c>
      <c r="CO26" s="114" t="e">
        <f ca="1">(CN26-CM26)*100</f>
        <v>#NAME?</v>
      </c>
      <c r="CP26" s="1549"/>
      <c r="CQ26" s="109" t="e">
        <f ca="1">CQ25/CQ15</f>
        <v>#NAME?</v>
      </c>
      <c r="CR26" s="109">
        <f>CR25/CR15</f>
        <v>9.3984997662316716E-2</v>
      </c>
      <c r="CS26" s="114" t="e">
        <f ca="1">(CR26-CQ26)*100</f>
        <v>#NAME?</v>
      </c>
      <c r="CT26" s="1549"/>
      <c r="CU26" s="1185" t="s">
        <v>1782</v>
      </c>
      <c r="CW26" s="109" t="e">
        <f ca="1">CW25/CW15</f>
        <v>#NAME?</v>
      </c>
      <c r="CX26" s="109">
        <f>CX25/CX15</f>
        <v>9.3556118260671076E-2</v>
      </c>
      <c r="CY26" s="114" t="e">
        <f ca="1">(CX26-CW26)*100</f>
        <v>#NAME?</v>
      </c>
    </row>
    <row r="27" spans="1:103" ht="13.5" customHeight="1" outlineLevel="1">
      <c r="E27" s="119" t="s">
        <v>1412</v>
      </c>
      <c r="G27" s="90" t="s">
        <v>1413</v>
      </c>
      <c r="H27" s="111">
        <f>'Income Statement'!$W$22</f>
        <v>-20</v>
      </c>
      <c r="J27" s="111">
        <f>Interim!$X$41</f>
        <v>-5</v>
      </c>
      <c r="K27" s="111">
        <f>Interim!$Y$41</f>
        <v>-15</v>
      </c>
      <c r="L27" s="111">
        <f>Interim!$Z$41</f>
        <v>-5</v>
      </c>
      <c r="M27" s="111">
        <f>'Income Statement'!$X$22</f>
        <v>-36</v>
      </c>
      <c r="O27" s="111" t="s">
        <v>1517</v>
      </c>
      <c r="P27" s="111" t="s">
        <v>1517</v>
      </c>
      <c r="Q27" s="100" t="s">
        <v>1517</v>
      </c>
      <c r="S27" s="111" t="s">
        <v>1517</v>
      </c>
      <c r="T27" s="111" t="s">
        <v>1517</v>
      </c>
      <c r="U27" s="100" t="s">
        <v>1517</v>
      </c>
      <c r="V27" s="111"/>
      <c r="W27" s="111" t="s">
        <v>1517</v>
      </c>
      <c r="X27" s="111" t="s">
        <v>1517</v>
      </c>
      <c r="Y27" s="100" t="s">
        <v>1517</v>
      </c>
      <c r="Z27" s="111"/>
      <c r="AA27" s="111" t="s">
        <v>1517</v>
      </c>
      <c r="AB27" s="111" t="s">
        <v>1517</v>
      </c>
      <c r="AC27" s="100" t="s">
        <v>1517</v>
      </c>
      <c r="AE27" s="111" t="s">
        <v>1517</v>
      </c>
      <c r="AF27" s="100" t="s">
        <v>1517</v>
      </c>
      <c r="AH27" s="111" t="e">
        <f ca="1">_xll.VisibleAlpha.UDF.VAData($C$2,AH$6,$E27,$E$11,"CD","IMPL",$C$6)</f>
        <v>#NAME?</v>
      </c>
      <c r="AI27" s="111">
        <f>Interim!$AD$41</f>
        <v>22</v>
      </c>
      <c r="AJ27" s="100" t="e">
        <f ca="1">AI27/AH27-1</f>
        <v>#NAME?</v>
      </c>
      <c r="AL27" s="111" t="e">
        <f ca="1">_xll.VisibleAlpha.UDF.VAData($C$2,AL$6,$E27,$E$11,"CD","IMPL",$C$6)</f>
        <v>#NAME?</v>
      </c>
      <c r="AM27" s="111" t="e">
        <f ca="1">_xll.VisibleAlpha.UDF.VAData($C$2,AM$6,$E27,$E$11,"CD","IMPL",$C$6)</f>
        <v>#NAME?</v>
      </c>
      <c r="AO27" s="111" t="s">
        <v>1517</v>
      </c>
      <c r="AQ27" s="111" t="s">
        <v>1517</v>
      </c>
      <c r="AR27" s="111" t="s">
        <v>1517</v>
      </c>
      <c r="AS27" s="100" t="s">
        <v>1517</v>
      </c>
      <c r="AU27" s="111">
        <v>-80</v>
      </c>
      <c r="AV27" s="111">
        <f>'Income Statement'!$Y$22</f>
        <v>-100</v>
      </c>
      <c r="AW27" s="100">
        <f>AV27/AU27-1</f>
        <v>0.25</v>
      </c>
      <c r="AY27" s="111">
        <v>-84</v>
      </c>
      <c r="AZ27" s="111">
        <f>'Income Statement'!$Z$22</f>
        <v>-25</v>
      </c>
      <c r="BA27" s="100">
        <f>AZ27/AY27-1</f>
        <v>-0.70238095238095233</v>
      </c>
      <c r="BC27" s="111" t="e">
        <f ca="1">_xll.VisibleAlpha.UDF.VAData($C$2,BC$6,$E27,$E$11,"CD","IMPL",$C$6)</f>
        <v>#NAME?</v>
      </c>
      <c r="BD27" s="111">
        <f>'Income Statement'!$Y$22</f>
        <v>-100</v>
      </c>
      <c r="BE27" s="100" t="e">
        <f ca="1">BD27/BC27-1</f>
        <v>#NAME?</v>
      </c>
      <c r="BG27" s="111" t="s">
        <v>1517</v>
      </c>
      <c r="BH27" s="111" t="s">
        <v>1517</v>
      </c>
      <c r="BI27" s="902" t="s">
        <v>1517</v>
      </c>
      <c r="BK27" s="111" t="e">
        <f ca="1">_xll.VisibleAlpha.UDF.VAData($C$2,BK$6,$E27,$E$11,"CD","IMPL",$C$6)</f>
        <v>#NAME?</v>
      </c>
      <c r="BL27" s="111">
        <f>Interim!$AE$41</f>
        <v>-47</v>
      </c>
      <c r="BM27" s="100" t="e">
        <f ca="1">BL27/BK27-1</f>
        <v>#NAME?</v>
      </c>
      <c r="BO27" s="899"/>
      <c r="BQ27" s="111" t="e">
        <f ca="1">_xll.VisibleAlpha.UDF.VAData($C$2,BQ$6,$E27,$E$11,"CD","IMPL",$C$6)</f>
        <v>#NAME?</v>
      </c>
      <c r="BR27" s="111">
        <f>'Income Statement'!$AA$22</f>
        <v>-28.366920710915718</v>
      </c>
      <c r="BS27" s="100" t="e">
        <f ca="1">BR27/BQ27-1</f>
        <v>#NAME?</v>
      </c>
      <c r="BW27" s="111" t="e">
        <f ca="1">_xll.VisibleAlpha.UDF.VAData($C$2,BW$6,$E27,$E$11,"CD","IMPL",$C$6)</f>
        <v>#NAME?</v>
      </c>
      <c r="BX27" s="111">
        <f>'Income Statement'!$AA$22</f>
        <v>-28.366920710915718</v>
      </c>
      <c r="BY27" s="1552" t="e">
        <f ca="1">BX27/BW27-1</f>
        <v>#NAME?</v>
      </c>
      <c r="CA27" s="111" t="e">
        <f ca="1">_xll.VisibleAlpha.UDF.VAData($C$2,CA$6,$E27,$E$11,"CD","IMPL",$C$6)</f>
        <v>#NAME?</v>
      </c>
      <c r="CB27" s="111">
        <f>'Income Statement'!$AB$22</f>
        <v>-31.59269565062678</v>
      </c>
      <c r="CC27" s="100" t="e">
        <f ca="1">CB27/CA27-1</f>
        <v>#NAME?</v>
      </c>
      <c r="CE27" s="111" t="e">
        <f ca="1">_xll.VisibleAlpha.UDF.VAData($C$2,CE$6,$E27,$E$11,"CD","IMPL",$C$6)</f>
        <v>#NAME?</v>
      </c>
      <c r="CF27" s="111">
        <f>'Income Statement'!$AC$22</f>
        <v>-34.933000338605346</v>
      </c>
      <c r="CG27" s="100" t="e">
        <f ca="1">CF27/CE27-1</f>
        <v>#NAME?</v>
      </c>
      <c r="CI27" s="111" t="e">
        <f ca="1">_xll.VisibleAlpha.UDF.VAData($C$2,CI$6,$E27,$E$11,"CD","IMPL",$C$6)</f>
        <v>#NAME?</v>
      </c>
      <c r="CJ27" s="111">
        <f>'Income Statement'!$AD$22</f>
        <v>-37.888877627397363</v>
      </c>
      <c r="CK27" s="100" t="e">
        <f ca="1">CJ27/CI27-1</f>
        <v>#NAME?</v>
      </c>
      <c r="CM27" s="111" t="e">
        <f ca="1">_xll.VisibleAlpha.UDF.VAData($C$2,CM$6,$E27,$E$11,"CD","IMPL",$C$6)</f>
        <v>#NAME?</v>
      </c>
      <c r="CN27" s="111">
        <f>'Income Statement'!$AE$22</f>
        <v>-39.749461777171994</v>
      </c>
      <c r="CO27" s="100" t="e">
        <f ca="1">CN27/CM27-1</f>
        <v>#NAME?</v>
      </c>
      <c r="CP27" s="1547"/>
      <c r="CQ27" s="111" t="e">
        <f ca="1">_xll.VisibleAlpha.UDF.VAData($C$2,CQ$6,$E27,$E$11,"CD","IMPL",$C$6)</f>
        <v>#NAME?</v>
      </c>
      <c r="CR27" s="111">
        <f>'Income Statement'!$AF$22</f>
        <v>-41.673576931157015</v>
      </c>
      <c r="CS27" s="100" t="e">
        <f ca="1">CR27/CQ27-1</f>
        <v>#NAME?</v>
      </c>
      <c r="CT27" s="1547"/>
      <c r="CU27" s="1185"/>
      <c r="CW27" s="111" t="e">
        <f ca="1">_xll.VisibleAlpha.UDF.VAData($C$2,CW$6,$E27,$E$11,"CD","IMPL",$C$6)</f>
        <v>#NAME?</v>
      </c>
      <c r="CX27" s="111">
        <f>'Income Statement'!$AE$22</f>
        <v>-39.749461777171994</v>
      </c>
      <c r="CY27" s="100" t="e">
        <f ca="1">CX27/CW27-1</f>
        <v>#NAME?</v>
      </c>
    </row>
    <row r="28" spans="1:103" ht="13.5" customHeight="1" outlineLevel="1">
      <c r="E28" s="119" t="s">
        <v>1414</v>
      </c>
      <c r="G28" s="122" t="s">
        <v>1415</v>
      </c>
      <c r="H28" s="125">
        <f>'Income Statement'!$W$23</f>
        <v>1805</v>
      </c>
      <c r="J28" s="125">
        <f>Interim!$X$44</f>
        <v>659</v>
      </c>
      <c r="K28" s="125">
        <f>Interim!$Y$44</f>
        <v>1146</v>
      </c>
      <c r="L28" s="125">
        <f>Interim!$Z$44</f>
        <v>1047</v>
      </c>
      <c r="M28" s="125">
        <f>'Income Statement'!$X$23</f>
        <v>2408</v>
      </c>
      <c r="O28" s="125" t="s">
        <v>1517</v>
      </c>
      <c r="P28" s="125" t="s">
        <v>1517</v>
      </c>
      <c r="Q28" s="124" t="s">
        <v>1517</v>
      </c>
      <c r="S28" s="125" t="s">
        <v>1517</v>
      </c>
      <c r="T28" s="125" t="s">
        <v>1517</v>
      </c>
      <c r="U28" s="124" t="s">
        <v>1517</v>
      </c>
      <c r="V28" s="242"/>
      <c r="W28" s="125" t="s">
        <v>1517</v>
      </c>
      <c r="X28" s="125" t="s">
        <v>1517</v>
      </c>
      <c r="Y28" s="124" t="s">
        <v>1517</v>
      </c>
      <c r="Z28" s="242"/>
      <c r="AA28" s="125" t="s">
        <v>1517</v>
      </c>
      <c r="AB28" s="125" t="s">
        <v>1517</v>
      </c>
      <c r="AC28" s="124" t="s">
        <v>1517</v>
      </c>
      <c r="AE28" s="125">
        <v>1078</v>
      </c>
      <c r="AF28" s="124">
        <f>L28/AE28-1</f>
        <v>-2.8756957328385901E-2</v>
      </c>
      <c r="AH28" s="125" t="e">
        <f ca="1">_xll.VisibleAlpha.UDF.VAData($C$2,AH$6,$E28,$E$11,"CD","IMPL",$C$6)</f>
        <v>#NAME?</v>
      </c>
      <c r="AI28" s="125">
        <f>Interim!$AD$44</f>
        <v>1974</v>
      </c>
      <c r="AJ28" s="124" t="e">
        <f ca="1">AI28/AH28-1</f>
        <v>#NAME?</v>
      </c>
      <c r="AL28" s="125" t="e">
        <f ca="1">_xll.VisibleAlpha.UDF.VAData($C$2,AL$6,$E28,$E$11,"CD","IMPL",$C$6)</f>
        <v>#NAME?</v>
      </c>
      <c r="AM28" s="125" t="e">
        <f ca="1">_xll.VisibleAlpha.UDF.VAData($C$2,AM$6,$E28,$E$11,"CD","IMPL",$C$6)</f>
        <v>#NAME?</v>
      </c>
      <c r="AO28" s="125" t="s">
        <v>1517</v>
      </c>
      <c r="AQ28" s="125" t="s">
        <v>1517</v>
      </c>
      <c r="AR28" s="125" t="s">
        <v>1517</v>
      </c>
      <c r="AS28" s="124" t="s">
        <v>1517</v>
      </c>
      <c r="AU28" s="125">
        <v>3150</v>
      </c>
      <c r="AV28" s="125">
        <f>AV27+AV25+AV23+AV21</f>
        <v>3166</v>
      </c>
      <c r="AW28" s="124">
        <f>AV28/AU28-1</f>
        <v>5.0793650793650169E-3</v>
      </c>
      <c r="AY28" s="125">
        <v>3902</v>
      </c>
      <c r="AZ28" s="125">
        <f>'Income Statement'!$Z$23</f>
        <v>4119</v>
      </c>
      <c r="BA28" s="124">
        <f>AZ28/AY28-1</f>
        <v>5.5612506406970796E-2</v>
      </c>
      <c r="BC28" s="125" t="e">
        <f ca="1">_xll.VisibleAlpha.UDF.VAData($C$2,BC$6,$E28,$E$11,"CD","IMPL",$C$6)</f>
        <v>#NAME?</v>
      </c>
      <c r="BD28" s="125">
        <f>BD27+BD25+BD23+BD21</f>
        <v>3166</v>
      </c>
      <c r="BE28" s="124" t="e">
        <f ca="1">BD28/BC28-1</f>
        <v>#NAME?</v>
      </c>
      <c r="BG28" s="125" t="s">
        <v>1517</v>
      </c>
      <c r="BH28" s="125" t="s">
        <v>1517</v>
      </c>
      <c r="BI28" s="897" t="s">
        <v>1517</v>
      </c>
      <c r="BK28" s="125" t="e">
        <f ca="1">_xll.VisibleAlpha.UDF.VAData($C$2,BK$6,$E28,$E$11,"CD","IMPL",$C$6)</f>
        <v>#NAME?</v>
      </c>
      <c r="BL28" s="125">
        <f>Interim!$AE$44</f>
        <v>2145</v>
      </c>
      <c r="BM28" s="124" t="e">
        <f ca="1">BL28/BK28-1</f>
        <v>#NAME?</v>
      </c>
      <c r="BO28" s="658" t="s">
        <v>1839</v>
      </c>
      <c r="BQ28" s="125" t="e">
        <f ca="1">_xll.VisibleAlpha.UDF.VAData($C$2,BQ$6,$E28,$E$11,"CD","IMPL",$C$6)</f>
        <v>#NAME?</v>
      </c>
      <c r="BR28" s="125">
        <f>'Income Statement'!$AA$23</f>
        <v>5179.0617839715915</v>
      </c>
      <c r="BS28" s="124" t="e">
        <f ca="1">BR28/BQ28-1</f>
        <v>#NAME?</v>
      </c>
      <c r="BU28" s="1094" t="s">
        <v>1787</v>
      </c>
      <c r="BW28" s="125" t="e">
        <f ca="1">_xll.VisibleAlpha.UDF.VAData($C$2,BW$6,$E28,$E$11,"CD","IMPL",$C$6)</f>
        <v>#NAME?</v>
      </c>
      <c r="BX28" s="125">
        <f>'Income Statement'!$AA$23</f>
        <v>5179.0617839715915</v>
      </c>
      <c r="BY28" s="124" t="e">
        <f ca="1">BX28/BW28-1</f>
        <v>#NAME?</v>
      </c>
      <c r="CA28" s="125" t="e">
        <f ca="1">_xll.VisibleAlpha.UDF.VAData($C$2,CA$6,$E28,$E$11,"CD","IMPL",$C$6)</f>
        <v>#NAME?</v>
      </c>
      <c r="CB28" s="125">
        <f>'Income Statement'!$AB$23</f>
        <v>6014.912862687469</v>
      </c>
      <c r="CC28" s="124" t="e">
        <f ca="1">CB28/CA28-1</f>
        <v>#NAME?</v>
      </c>
      <c r="CE28" s="125" t="e">
        <f ca="1">_xll.VisibleAlpha.UDF.VAData($C$2,CE$6,$E28,$E$11,"CD","IMPL",$C$6)</f>
        <v>#NAME?</v>
      </c>
      <c r="CF28" s="125">
        <f>'Income Statement'!$AC$23</f>
        <v>6844.98237854537</v>
      </c>
      <c r="CG28" s="124" t="e">
        <f ca="1">CF28/CE28-1</f>
        <v>#NAME?</v>
      </c>
      <c r="CI28" s="125" t="e">
        <f ca="1">_xll.VisibleAlpha.UDF.VAData($C$2,CI$6,$E28,$E$11,"CD","IMPL",$C$6)</f>
        <v>#NAME?</v>
      </c>
      <c r="CJ28" s="125">
        <f>'Income Statement'!$AD$23</f>
        <v>7604.1887309951226</v>
      </c>
      <c r="CK28" s="124" t="e">
        <f ca="1">CJ28/CI28-1</f>
        <v>#NAME?</v>
      </c>
      <c r="CM28" s="125" t="e">
        <f ca="1">_xll.VisibleAlpha.UDF.VAData($C$2,CM$6,$E28,$E$11,"CD","IMPL",$C$6)</f>
        <v>#NAME?</v>
      </c>
      <c r="CN28" s="125">
        <f>'Income Statement'!$AE$23</f>
        <v>8050.4884032810396</v>
      </c>
      <c r="CO28" s="124" t="e">
        <f ca="1">CN28/CM28-1</f>
        <v>#NAME?</v>
      </c>
      <c r="CP28" s="1548"/>
      <c r="CQ28" s="125" t="e">
        <f ca="1">_xll.VisibleAlpha.UDF.VAData($C$2,CQ$6,$E28,$E$11,"CD","IMPL",$C$6)</f>
        <v>#NAME?</v>
      </c>
      <c r="CR28" s="125">
        <f>'Income Statement'!$AF$23</f>
        <v>8490.6102037785913</v>
      </c>
      <c r="CS28" s="124" t="e">
        <f ca="1">CR28/CQ28-1</f>
        <v>#NAME?</v>
      </c>
      <c r="CT28" s="1548"/>
      <c r="CU28" s="1094" t="s">
        <v>1780</v>
      </c>
      <c r="CW28" s="125" t="e">
        <f ca="1">_xll.VisibleAlpha.UDF.VAData($C$2,CW$6,$E28,$E$11,"CD","IMPL",$C$6)</f>
        <v>#NAME?</v>
      </c>
      <c r="CX28" s="125">
        <f>'Income Statement'!$AE$23</f>
        <v>8050.4884032810396</v>
      </c>
      <c r="CY28" s="124" t="e">
        <f ca="1">CX28/CW28-1</f>
        <v>#NAME?</v>
      </c>
    </row>
    <row r="29" spans="1:103" ht="13.5" customHeight="1" outlineLevel="1">
      <c r="G29" s="901" t="s">
        <v>2096</v>
      </c>
      <c r="H29" s="242"/>
      <c r="J29" s="242"/>
      <c r="K29" s="242"/>
      <c r="L29" s="242"/>
      <c r="M29" s="242"/>
      <c r="O29" s="242"/>
      <c r="P29" s="242"/>
      <c r="Q29" s="1607"/>
      <c r="S29" s="242"/>
      <c r="T29" s="242"/>
      <c r="U29" s="1607"/>
      <c r="V29" s="242"/>
      <c r="W29" s="242"/>
      <c r="X29" s="242"/>
      <c r="Y29" s="1607"/>
      <c r="Z29" s="242"/>
      <c r="AA29" s="242"/>
      <c r="AB29" s="242"/>
      <c r="AC29" s="1607"/>
      <c r="AE29" s="242"/>
      <c r="AF29" s="1607"/>
      <c r="AH29" s="242"/>
      <c r="AI29" s="242"/>
      <c r="AJ29" s="1607"/>
      <c r="AL29" s="242"/>
      <c r="AM29" s="242"/>
      <c r="AO29" s="242"/>
      <c r="AQ29" s="242"/>
      <c r="AR29" s="242"/>
      <c r="AS29" s="1607"/>
      <c r="AU29" s="242"/>
      <c r="AV29" s="242"/>
      <c r="AW29" s="1607"/>
      <c r="AY29" s="242"/>
      <c r="AZ29" s="242"/>
      <c r="BA29" s="1607"/>
      <c r="BC29" s="242"/>
      <c r="BD29" s="242"/>
      <c r="BE29" s="1607"/>
      <c r="BG29" s="242"/>
      <c r="BH29" s="242"/>
      <c r="BI29" s="1608"/>
      <c r="BK29" s="242"/>
      <c r="BL29" s="242"/>
      <c r="BM29" s="1607"/>
      <c r="BO29" s="1609"/>
      <c r="BQ29" s="242"/>
      <c r="BR29" s="242"/>
      <c r="BS29" s="1607"/>
      <c r="BU29" s="1172"/>
      <c r="BW29" s="1614" t="e">
        <f ca="1">BW28/'Income Statement'!$Z$23-1</f>
        <v>#NAME?</v>
      </c>
      <c r="BX29" s="1614">
        <f>BX28/'Income Statement'!$Z$23-1</f>
        <v>0.25735901528807759</v>
      </c>
      <c r="BY29" s="1607"/>
      <c r="CA29" s="1614" t="e">
        <f ca="1">CA28/BW28-1</f>
        <v>#NAME?</v>
      </c>
      <c r="CB29" s="1614">
        <f>CB28/BX28-1</f>
        <v>0.16139044359399413</v>
      </c>
      <c r="CC29" s="1552"/>
      <c r="CD29" s="1615"/>
      <c r="CE29" s="1614" t="e">
        <f ca="1">CE28/CA28-1</f>
        <v>#NAME?</v>
      </c>
      <c r="CF29" s="1614">
        <f>CF28/CB28-1</f>
        <v>0.13800191869895606</v>
      </c>
      <c r="CG29" s="1552"/>
      <c r="CH29" s="1615"/>
      <c r="CI29" s="1614" t="e">
        <f ca="1">CI28/CE28-1</f>
        <v>#NAME?</v>
      </c>
      <c r="CJ29" s="1614">
        <f>CJ28/CF28-1</f>
        <v>0.11091428881239751</v>
      </c>
      <c r="CK29" s="1552"/>
      <c r="CL29" s="1615"/>
      <c r="CM29" s="1614" t="e">
        <f ca="1">CM28/CI28-1</f>
        <v>#NAME?</v>
      </c>
      <c r="CN29" s="1614">
        <f>CN28/CJ28-1</f>
        <v>5.8691293453405846E-2</v>
      </c>
      <c r="CO29" s="1552"/>
      <c r="CP29" s="1547"/>
      <c r="CQ29" s="1614" t="e">
        <f ca="1">CQ28/CM28-1</f>
        <v>#NAME?</v>
      </c>
      <c r="CR29" s="1614">
        <f>CR28/CN28-1</f>
        <v>5.4670198682377658E-2</v>
      </c>
      <c r="CS29" s="1607"/>
      <c r="CT29" s="1548"/>
      <c r="CU29" s="1094"/>
      <c r="CW29" s="125"/>
      <c r="CX29" s="125"/>
      <c r="CY29" s="124"/>
    </row>
    <row r="30" spans="1:103" ht="13.5" customHeight="1" outlineLevel="1">
      <c r="G30" s="901" t="s">
        <v>985</v>
      </c>
      <c r="H30" s="109">
        <f>H28/H17</f>
        <v>0.11830635118306351</v>
      </c>
      <c r="J30" s="109">
        <f>J28/J17</f>
        <v>9.5840605002908669E-2</v>
      </c>
      <c r="K30" s="109">
        <f>K28/K17</f>
        <v>0.13673785944398043</v>
      </c>
      <c r="L30" s="109">
        <f>L28/L17</f>
        <v>0.12231308411214953</v>
      </c>
      <c r="M30" s="594">
        <f>M28/M17</f>
        <v>0.12650380877331233</v>
      </c>
      <c r="O30" s="109" t="s">
        <v>1517</v>
      </c>
      <c r="P30" s="109" t="s">
        <v>1517</v>
      </c>
      <c r="Q30" s="115" t="s">
        <v>1517</v>
      </c>
      <c r="S30" s="109" t="s">
        <v>1517</v>
      </c>
      <c r="T30" s="109" t="s">
        <v>1517</v>
      </c>
      <c r="U30" s="115" t="s">
        <v>1517</v>
      </c>
      <c r="V30" s="241"/>
      <c r="W30" s="109" t="s">
        <v>1517</v>
      </c>
      <c r="X30" s="109" t="s">
        <v>1517</v>
      </c>
      <c r="Y30" s="115" t="s">
        <v>1517</v>
      </c>
      <c r="Z30" s="241"/>
      <c r="AA30" s="109" t="s">
        <v>1517</v>
      </c>
      <c r="AB30" s="109" t="s">
        <v>1517</v>
      </c>
      <c r="AC30" s="115" t="s">
        <v>1517</v>
      </c>
      <c r="AE30" s="109">
        <f>AE28/AE17</f>
        <v>0.12518871211241436</v>
      </c>
      <c r="AF30" s="115">
        <f>(L30-AE30)*100</f>
        <v>-0.28756280002648349</v>
      </c>
      <c r="AH30" s="109" t="e">
        <f ca="1">AH28/AH17</f>
        <v>#NAME?</v>
      </c>
      <c r="AI30" s="109">
        <f>AI28/AI17</f>
        <v>0.15129914922970797</v>
      </c>
      <c r="AJ30" s="115" t="e">
        <f ca="1">(AI30-AH30)*100</f>
        <v>#NAME?</v>
      </c>
      <c r="AL30" s="109" t="e">
        <f ca="1">AL28/AL17</f>
        <v>#NAME?</v>
      </c>
      <c r="AM30" s="109" t="e">
        <f ca="1">AM28/AM17</f>
        <v>#NAME?</v>
      </c>
      <c r="AO30" s="109" t="s">
        <v>1517</v>
      </c>
      <c r="AQ30" s="109" t="s">
        <v>1517</v>
      </c>
      <c r="AR30" s="109" t="s">
        <v>1517</v>
      </c>
      <c r="AS30" s="115" t="s">
        <v>1517</v>
      </c>
      <c r="AU30" s="109">
        <f>AU28/AU17</f>
        <v>0.13539069887389324</v>
      </c>
      <c r="AV30" s="109">
        <f>AV28/AV17</f>
        <v>0.13647139962929436</v>
      </c>
      <c r="AW30" s="115">
        <f>(AV30-AU30)*100</f>
        <v>0.10807007554011205</v>
      </c>
      <c r="AY30" s="109">
        <f>AY28/AY17</f>
        <v>0.14652647390161472</v>
      </c>
      <c r="AZ30" s="109">
        <f>AZ28/AZ17</f>
        <v>0.15078522531756783</v>
      </c>
      <c r="BA30" s="115">
        <f>(AZ30-AY30)*100</f>
        <v>0.42587514159531104</v>
      </c>
      <c r="BC30" s="109" t="e">
        <f ca="1">BC28/BC17</f>
        <v>#NAME?</v>
      </c>
      <c r="BD30" s="109">
        <f>BD28/BD17</f>
        <v>0.13647139962929436</v>
      </c>
      <c r="BE30" s="115" t="e">
        <f ca="1">(BD30-BC30)*100</f>
        <v>#NAME?</v>
      </c>
      <c r="BG30" s="109" t="s">
        <v>1517</v>
      </c>
      <c r="BH30" s="109" t="s">
        <v>1517</v>
      </c>
      <c r="BI30" s="903" t="s">
        <v>1517</v>
      </c>
      <c r="BK30" s="109" t="e">
        <f ca="1">BK28/BK17</f>
        <v>#NAME?</v>
      </c>
      <c r="BL30" s="109">
        <f>BL28/BL17</f>
        <v>0.15031534688156972</v>
      </c>
      <c r="BM30" s="115" t="e">
        <f ca="1">(BL30-BK30)*100</f>
        <v>#NAME?</v>
      </c>
      <c r="BO30" s="1086"/>
      <c r="BQ30" s="109" t="e">
        <f ca="1">BQ28/BQ17</f>
        <v>#NAME?</v>
      </c>
      <c r="BR30" s="109">
        <f>BR28/BR17</f>
        <v>0.18959116242528798</v>
      </c>
      <c r="BS30" s="115" t="e">
        <f ca="1">(BR30-BQ30)*100</f>
        <v>#NAME?</v>
      </c>
      <c r="BU30" s="1139"/>
      <c r="BW30" s="109" t="e">
        <f ca="1">BW28/BW17</f>
        <v>#NAME?</v>
      </c>
      <c r="BX30" s="109">
        <f>BX28/BX17</f>
        <v>0.16708824722058432</v>
      </c>
      <c r="BY30" s="115" t="e">
        <f ca="1">(BX30-BW30)*100</f>
        <v>#NAME?</v>
      </c>
      <c r="CA30" s="109" t="e">
        <f ca="1">CA28/CA17</f>
        <v>#NAME?</v>
      </c>
      <c r="CB30" s="109">
        <f>CB28/CB17</f>
        <v>0.1742407221795885</v>
      </c>
      <c r="CC30" s="115" t="e">
        <f ca="1">(CB30-CA30)*100</f>
        <v>#NAME?</v>
      </c>
      <c r="CE30" s="109" t="e">
        <f ca="1">CE28/CE17</f>
        <v>#NAME?</v>
      </c>
      <c r="CF30" s="109">
        <f>CF28/CF17</f>
        <v>0.1793260788815034</v>
      </c>
      <c r="CG30" s="115" t="e">
        <f ca="1">(CF30-CE30)*100</f>
        <v>#NAME?</v>
      </c>
      <c r="CI30" s="109" t="e">
        <f ca="1">CI28/CI17</f>
        <v>#NAME?</v>
      </c>
      <c r="CJ30" s="109">
        <f>CJ28/CJ17</f>
        <v>0.18367419824049241</v>
      </c>
      <c r="CK30" s="115" t="e">
        <f ca="1">(CJ30-CI30)*100</f>
        <v>#NAME?</v>
      </c>
      <c r="CM30" s="109" t="e">
        <f ca="1">CM28/CM17</f>
        <v>#NAME?</v>
      </c>
      <c r="CN30" s="109">
        <f>CN28/CN17</f>
        <v>0.1853523011784857</v>
      </c>
      <c r="CO30" s="115" t="e">
        <f ca="1">(CN30-CM30)*100</f>
        <v>#NAME?</v>
      </c>
      <c r="CP30" s="1550"/>
      <c r="CQ30" s="109" t="e">
        <f ca="1">CQ28/CQ17</f>
        <v>#NAME?</v>
      </c>
      <c r="CR30" s="109">
        <f>CR28/CR17</f>
        <v>0.18645976426214242</v>
      </c>
      <c r="CS30" s="115" t="e">
        <f ca="1">(CR30-CQ30)*100</f>
        <v>#NAME?</v>
      </c>
      <c r="CT30" s="1550"/>
      <c r="CU30" s="1139"/>
      <c r="CW30" s="109" t="e">
        <f ca="1">CW28/CW17</f>
        <v>#NAME?</v>
      </c>
      <c r="CX30" s="109">
        <f>CX28/CX17</f>
        <v>0.1853523011784857</v>
      </c>
      <c r="CY30" s="115" t="e">
        <f ca="1">(CX30-CW30)*100</f>
        <v>#NAME?</v>
      </c>
    </row>
    <row r="31" spans="1:103" ht="4.5" customHeight="1" outlineLevel="1">
      <c r="G31" s="112"/>
      <c r="O31" s="86"/>
      <c r="P31" s="86"/>
      <c r="Q31" s="108"/>
      <c r="S31" s="86"/>
      <c r="T31" s="86"/>
      <c r="U31" s="108"/>
      <c r="W31" s="86"/>
      <c r="X31" s="86"/>
      <c r="Y31" s="108"/>
      <c r="AA31" s="86"/>
      <c r="AB31" s="86"/>
      <c r="AC31" s="108"/>
      <c r="AE31" s="86"/>
      <c r="AF31" s="108"/>
      <c r="AH31" s="86"/>
      <c r="AJ31" s="108"/>
      <c r="AL31" s="86"/>
      <c r="AM31" s="86"/>
      <c r="AO31" s="86"/>
      <c r="AQ31" s="86"/>
      <c r="AR31" s="86"/>
      <c r="AS31" s="108"/>
      <c r="AU31" s="86"/>
      <c r="AW31" s="108"/>
      <c r="AY31" s="86"/>
      <c r="BA31" s="108"/>
      <c r="BC31" s="86"/>
      <c r="BE31" s="108"/>
      <c r="BG31" s="86"/>
      <c r="BH31" s="86"/>
      <c r="BI31" s="904"/>
      <c r="BK31" s="86"/>
      <c r="BM31" s="108"/>
      <c r="BO31" s="899"/>
      <c r="BQ31" s="86"/>
      <c r="BS31" s="108"/>
      <c r="BU31" s="1120"/>
      <c r="BW31" s="86"/>
      <c r="BY31" s="108"/>
      <c r="CA31" s="86"/>
      <c r="CC31" s="108"/>
      <c r="CE31" s="86"/>
      <c r="CG31" s="108"/>
      <c r="CI31" s="86"/>
      <c r="CK31" s="108"/>
      <c r="CM31" s="86"/>
      <c r="CO31" s="108"/>
      <c r="CQ31" s="86"/>
      <c r="CS31" s="108"/>
      <c r="CU31" s="1120"/>
      <c r="CW31" s="86"/>
      <c r="CY31" s="108"/>
    </row>
    <row r="32" spans="1:103" ht="13.5" customHeight="1" outlineLevel="1">
      <c r="E32" s="119" t="s">
        <v>1416</v>
      </c>
      <c r="G32" s="122" t="s">
        <v>979</v>
      </c>
      <c r="H32" s="125">
        <f>'Cashflow Statement'!$W$57</f>
        <v>1680</v>
      </c>
      <c r="J32" s="125">
        <f>OpMod!$BU$271</f>
        <v>701</v>
      </c>
      <c r="K32" s="125">
        <f>OpMod!$BV$271</f>
        <v>979</v>
      </c>
      <c r="L32" s="125">
        <f>OpMod!$BW$271</f>
        <v>1665</v>
      </c>
      <c r="M32" s="125">
        <f>'Cashflow Statement'!$X$57</f>
        <v>2666</v>
      </c>
      <c r="N32" s="245"/>
      <c r="O32" s="125" t="s">
        <v>1517</v>
      </c>
      <c r="P32" s="125" t="s">
        <v>1517</v>
      </c>
      <c r="Q32" s="124" t="s">
        <v>1517</v>
      </c>
      <c r="R32" s="245"/>
      <c r="S32" s="125" t="s">
        <v>1517</v>
      </c>
      <c r="T32" s="125" t="s">
        <v>1517</v>
      </c>
      <c r="U32" s="124" t="s">
        <v>1517</v>
      </c>
      <c r="V32" s="242"/>
      <c r="W32" s="125" t="s">
        <v>1517</v>
      </c>
      <c r="X32" s="125" t="s">
        <v>1517</v>
      </c>
      <c r="Y32" s="124" t="s">
        <v>1517</v>
      </c>
      <c r="Z32" s="242"/>
      <c r="AA32" s="125" t="s">
        <v>1517</v>
      </c>
      <c r="AB32" s="125" t="s">
        <v>1517</v>
      </c>
      <c r="AC32" s="124" t="s">
        <v>1517</v>
      </c>
      <c r="AD32" s="245"/>
      <c r="AE32" s="125">
        <v>934</v>
      </c>
      <c r="AF32" s="124">
        <f>L32/AE32-1</f>
        <v>0.78265524625267657</v>
      </c>
      <c r="AG32" s="245"/>
      <c r="AH32" s="125" t="e">
        <f ca="1">_xll.VisibleAlpha.UDF.VAData($C$2,AH$6,$E32,$E$11,"CD","IMPL",$C$6)</f>
        <v>#NAME?</v>
      </c>
      <c r="AI32" s="125">
        <f>OpMod!$CA$271</f>
        <v>1463</v>
      </c>
      <c r="AJ32" s="124" t="e">
        <f ca="1">AI32/AH32-1</f>
        <v>#NAME?</v>
      </c>
      <c r="AK32" s="245"/>
      <c r="AL32" s="125" t="e">
        <f ca="1">_xll.VisibleAlpha.UDF.VAData($C$2,AL$6,$E32,$E$11,"CD","IMPL",$C$6)</f>
        <v>#NAME?</v>
      </c>
      <c r="AM32" s="125" t="e">
        <f ca="1">_xll.VisibleAlpha.UDF.VAData($C$2,AM$6,$E32,$E$11,"CD","IMPL",$C$6)</f>
        <v>#NAME?</v>
      </c>
      <c r="AN32" s="245"/>
      <c r="AO32" s="125" t="s">
        <v>1517</v>
      </c>
      <c r="AP32" s="245"/>
      <c r="AQ32" s="125" t="s">
        <v>1517</v>
      </c>
      <c r="AR32" s="125" t="s">
        <v>1517</v>
      </c>
      <c r="AS32" s="124" t="s">
        <v>1517</v>
      </c>
      <c r="AT32" s="245"/>
      <c r="AU32" s="125">
        <v>2799</v>
      </c>
      <c r="AV32" s="125">
        <f>'Cashflow Statement'!$Y$57</f>
        <v>2945</v>
      </c>
      <c r="AW32" s="124">
        <f>AV32/AU32-1</f>
        <v>5.2161486245087429E-2</v>
      </c>
      <c r="AX32" s="245"/>
      <c r="AY32" s="125">
        <v>2940</v>
      </c>
      <c r="AZ32" s="125">
        <f>'Cashflow Statement'!$Z$57</f>
        <v>3189</v>
      </c>
      <c r="BA32" s="124">
        <f>AZ32/AY32-1</f>
        <v>8.4693877551020424E-2</v>
      </c>
      <c r="BB32" s="245"/>
      <c r="BC32" s="125" t="e">
        <f ca="1">_xll.VisibleAlpha.UDF.VAData($C$2,BC$6,$E32,$E$11,"CD","IMPL",$C$6)</f>
        <v>#NAME?</v>
      </c>
      <c r="BD32" s="125">
        <f>'Cashflow Statement'!$Y$57</f>
        <v>2945</v>
      </c>
      <c r="BE32" s="124" t="e">
        <f ca="1">BD32/BC32-1</f>
        <v>#NAME?</v>
      </c>
      <c r="BF32" s="245"/>
      <c r="BG32" s="125" t="s">
        <v>1517</v>
      </c>
      <c r="BH32" s="125" t="s">
        <v>1517</v>
      </c>
      <c r="BI32" s="897" t="s">
        <v>1517</v>
      </c>
      <c r="BJ32" s="245"/>
      <c r="BK32" s="125" t="e">
        <f ca="1">_xll.VisibleAlpha.UDF.VAData($C$2,BK$6,$E32,$E$11,"CD","IMPL",$C$6)</f>
        <v>#NAME?</v>
      </c>
      <c r="BL32" s="125">
        <f>OpMod!$CB$271</f>
        <v>1726</v>
      </c>
      <c r="BM32" s="124" t="e">
        <f ca="1">BL32/BK32-1</f>
        <v>#NAME?</v>
      </c>
      <c r="BN32" s="245"/>
      <c r="BO32" s="658" t="s">
        <v>1849</v>
      </c>
      <c r="BP32" s="245"/>
      <c r="BQ32" s="125" t="e">
        <f ca="1">_xll.VisibleAlpha.UDF.VAData($C$2,BQ$6,$E32,$E$11,"CD","IMPL",$C$6)</f>
        <v>#NAME?</v>
      </c>
      <c r="BR32" s="125">
        <f>'Cashflow Statement'!$AA$57</f>
        <v>3518.6013391781835</v>
      </c>
      <c r="BS32" s="124" t="e">
        <f ca="1">BR32/BQ32-1</f>
        <v>#NAME?</v>
      </c>
      <c r="BT32" s="245"/>
      <c r="BU32" s="1094" t="s">
        <v>1794</v>
      </c>
      <c r="BV32" s="245"/>
      <c r="BW32" s="125" t="e">
        <f ca="1">_xll.VisibleAlpha.UDF.VAData($C$2,BW$6,$E32,$E$11,"CD","IMPL",$C$6)</f>
        <v>#NAME?</v>
      </c>
      <c r="BX32" s="125">
        <f>'Cashflow Statement'!$AA$57</f>
        <v>3518.6013391781835</v>
      </c>
      <c r="BY32" s="124" t="e">
        <f ca="1">BX32/BW32-1</f>
        <v>#NAME?</v>
      </c>
      <c r="BZ32" s="245"/>
      <c r="CA32" s="125" t="e">
        <f ca="1">_xll.VisibleAlpha.UDF.VAData($C$2,CA$6,$E32,$E$11,"CD","IMPL",$C$6)</f>
        <v>#NAME?</v>
      </c>
      <c r="CB32" s="125">
        <f>'Cashflow Statement'!$AB$57</f>
        <v>4206.2766698938904</v>
      </c>
      <c r="CC32" s="124" t="e">
        <f ca="1">CB32/CA32-1</f>
        <v>#NAME?</v>
      </c>
      <c r="CD32" s="245"/>
      <c r="CE32" s="125" t="e">
        <f ca="1">_xll.VisibleAlpha.UDF.VAData($C$2,CE$6,$E32,$E$11,"CD","IMPL",$C$6)</f>
        <v>#NAME?</v>
      </c>
      <c r="CF32" s="125">
        <f>'Cashflow Statement'!$AC$57</f>
        <v>4875.4879954339885</v>
      </c>
      <c r="CG32" s="124" t="e">
        <f ca="1">CF32/CE32-1</f>
        <v>#NAME?</v>
      </c>
      <c r="CH32" s="245"/>
      <c r="CI32" s="125" t="e">
        <f ca="1">_xll.VisibleAlpha.UDF.VAData($C$2,CI$6,$E32,$E$11,"CD","IMPL",$C$6)</f>
        <v>#NAME?</v>
      </c>
      <c r="CJ32" s="125">
        <f>'Cashflow Statement'!$AD$57</f>
        <v>5449.6205658951149</v>
      </c>
      <c r="CK32" s="124" t="e">
        <f ca="1">CJ32/CI32-1</f>
        <v>#NAME?</v>
      </c>
      <c r="CL32" s="245"/>
      <c r="CM32" s="125" t="e">
        <f ca="1">_xll.VisibleAlpha.UDF.VAData($C$2,CM$6,$E32,$E$11,"CD","IMPL",$C$6)</f>
        <v>#NAME?</v>
      </c>
      <c r="CN32" s="125">
        <f>'Cashflow Statement'!$AE$57</f>
        <v>6106.2307315687576</v>
      </c>
      <c r="CO32" s="124" t="e">
        <f ca="1">CN32/CM32-1</f>
        <v>#NAME?</v>
      </c>
      <c r="CP32" s="1548"/>
      <c r="CQ32" s="125" t="e">
        <f ca="1">_xll.VisibleAlpha.UDF.VAData($C$2,CQ$6,$E32,$E$11,"CD","IMPL",$C$6)</f>
        <v>#NAME?</v>
      </c>
      <c r="CR32" s="125">
        <f>'Cashflow Statement'!$AF$57</f>
        <v>6582.9644679664161</v>
      </c>
      <c r="CS32" s="124" t="e">
        <f ca="1">CR32/CQ32-1</f>
        <v>#NAME?</v>
      </c>
      <c r="CT32" s="1548"/>
      <c r="CU32" s="1094"/>
      <c r="CW32" s="125" t="e">
        <f ca="1">_xll.VisibleAlpha.UDF.VAData($C$2,CW$6,$E32,$E$11,"CD","IMPL",$C$6)</f>
        <v>#NAME?</v>
      </c>
      <c r="CX32" s="125">
        <f>'Cashflow Statement'!$AE$57</f>
        <v>6106.2307315687576</v>
      </c>
      <c r="CY32" s="124" t="e">
        <f ca="1">CX32/CW32-1</f>
        <v>#NAME?</v>
      </c>
    </row>
    <row r="33" spans="2:103" ht="13.5" customHeight="1" outlineLevel="1">
      <c r="G33" s="901" t="s">
        <v>2096</v>
      </c>
      <c r="H33" s="242"/>
      <c r="J33" s="242"/>
      <c r="K33" s="242"/>
      <c r="L33" s="242"/>
      <c r="M33" s="242"/>
      <c r="N33" s="245"/>
      <c r="O33" s="242"/>
      <c r="P33" s="242"/>
      <c r="Q33" s="1607"/>
      <c r="R33" s="245"/>
      <c r="S33" s="242"/>
      <c r="T33" s="242"/>
      <c r="U33" s="1607"/>
      <c r="V33" s="242"/>
      <c r="W33" s="242"/>
      <c r="X33" s="242"/>
      <c r="Y33" s="1607"/>
      <c r="Z33" s="242"/>
      <c r="AA33" s="242"/>
      <c r="AB33" s="242"/>
      <c r="AC33" s="1607"/>
      <c r="AD33" s="245"/>
      <c r="AE33" s="242"/>
      <c r="AF33" s="1607"/>
      <c r="AG33" s="245"/>
      <c r="AH33" s="242"/>
      <c r="AI33" s="242"/>
      <c r="AJ33" s="1607"/>
      <c r="AK33" s="245"/>
      <c r="AL33" s="242"/>
      <c r="AM33" s="242"/>
      <c r="AN33" s="245"/>
      <c r="AO33" s="242"/>
      <c r="AP33" s="245"/>
      <c r="AQ33" s="242"/>
      <c r="AR33" s="242"/>
      <c r="AS33" s="1607"/>
      <c r="AT33" s="245"/>
      <c r="AU33" s="242"/>
      <c r="AV33" s="242"/>
      <c r="AW33" s="1607"/>
      <c r="AX33" s="245"/>
      <c r="AY33" s="242"/>
      <c r="AZ33" s="242"/>
      <c r="BA33" s="1607"/>
      <c r="BB33" s="245"/>
      <c r="BC33" s="242"/>
      <c r="BD33" s="242"/>
      <c r="BE33" s="1607"/>
      <c r="BF33" s="245"/>
      <c r="BG33" s="242"/>
      <c r="BH33" s="242"/>
      <c r="BI33" s="1608"/>
      <c r="BJ33" s="245"/>
      <c r="BK33" s="242"/>
      <c r="BL33" s="242"/>
      <c r="BM33" s="1607"/>
      <c r="BN33" s="245"/>
      <c r="BO33" s="1609"/>
      <c r="BP33" s="245"/>
      <c r="BQ33" s="242"/>
      <c r="BR33" s="242"/>
      <c r="BS33" s="1607"/>
      <c r="BT33" s="245"/>
      <c r="BU33" s="1172"/>
      <c r="BV33" s="245"/>
      <c r="BW33" s="1614" t="e">
        <f ca="1">BW32/'Cashflow Statement'!$Z$57-1</f>
        <v>#NAME?</v>
      </c>
      <c r="BX33" s="1614">
        <f>BX32/'Cashflow Statement'!$Z$57-1</f>
        <v>0.10335570372473613</v>
      </c>
      <c r="BY33" s="1607"/>
      <c r="BZ33" s="245"/>
      <c r="CA33" s="1614" t="e">
        <f ca="1">CA32/BW32-1</f>
        <v>#NAME?</v>
      </c>
      <c r="CB33" s="1614">
        <f>CB32/BX32-1</f>
        <v>0.19543996731278535</v>
      </c>
      <c r="CC33" s="1552"/>
      <c r="CD33" s="1615"/>
      <c r="CE33" s="1614" t="e">
        <f ca="1">CE32/CA32-1</f>
        <v>#NAME?</v>
      </c>
      <c r="CF33" s="1614">
        <f>CF32/CB32-1</f>
        <v>0.15909826624813528</v>
      </c>
      <c r="CG33" s="1552"/>
      <c r="CH33" s="1615"/>
      <c r="CI33" s="1614" t="e">
        <f ca="1">CI32/CE32-1</f>
        <v>#NAME?</v>
      </c>
      <c r="CJ33" s="1614">
        <f>CJ32/CF32-1</f>
        <v>0.1177589958172014</v>
      </c>
      <c r="CK33" s="1552"/>
      <c r="CL33" s="1615"/>
      <c r="CM33" s="1614" t="e">
        <f ca="1">CM32/CI32-1</f>
        <v>#NAME?</v>
      </c>
      <c r="CN33" s="1614">
        <f>CN32/CJ32-1</f>
        <v>0.12048731792133371</v>
      </c>
      <c r="CO33" s="1552"/>
      <c r="CP33" s="1547"/>
      <c r="CQ33" s="1614" t="e">
        <f ca="1">CQ32/CM32-1</f>
        <v>#NAME?</v>
      </c>
      <c r="CR33" s="1614">
        <f>CR32/CN32-1</f>
        <v>7.8073324994579751E-2</v>
      </c>
      <c r="CS33" s="1607"/>
      <c r="CT33" s="1548"/>
      <c r="CU33" s="1094"/>
      <c r="CW33" s="125"/>
      <c r="CX33" s="125"/>
      <c r="CY33" s="124"/>
    </row>
    <row r="34" spans="2:103" ht="13.5" customHeight="1" outlineLevel="1">
      <c r="G34" s="901" t="s">
        <v>1720</v>
      </c>
      <c r="H34" s="109">
        <f>H32/H28</f>
        <v>0.93074792243767313</v>
      </c>
      <c r="J34" s="109">
        <f>J32/J22</f>
        <v>4518.9464285714284</v>
      </c>
      <c r="K34" s="109">
        <f>K32/K22</f>
        <v>4895</v>
      </c>
      <c r="L34" s="109">
        <f>L32/L22</f>
        <v>9616.9294605809137</v>
      </c>
      <c r="M34" s="594">
        <f>M32/M22</f>
        <v>14820.465497076024</v>
      </c>
      <c r="O34" s="109" t="s">
        <v>1517</v>
      </c>
      <c r="P34" s="109" t="s">
        <v>1517</v>
      </c>
      <c r="Q34" s="115" t="s">
        <v>1517</v>
      </c>
      <c r="S34" s="109" t="s">
        <v>1517</v>
      </c>
      <c r="T34" s="109" t="s">
        <v>1517</v>
      </c>
      <c r="U34" s="115" t="s">
        <v>1517</v>
      </c>
      <c r="V34" s="241"/>
      <c r="W34" s="109" t="s">
        <v>1517</v>
      </c>
      <c r="X34" s="109" t="s">
        <v>1517</v>
      </c>
      <c r="Y34" s="115" t="s">
        <v>1517</v>
      </c>
      <c r="Z34" s="241"/>
      <c r="AA34" s="109" t="s">
        <v>1517</v>
      </c>
      <c r="AB34" s="109" t="s">
        <v>1517</v>
      </c>
      <c r="AC34" s="115" t="s">
        <v>1517</v>
      </c>
      <c r="AE34" s="109" t="e">
        <f>AE32/AE22</f>
        <v>#VALUE!</v>
      </c>
      <c r="AF34" s="115" t="e">
        <f>(L34-AE34)*100</f>
        <v>#VALUE!</v>
      </c>
      <c r="AH34" s="109" t="e">
        <f ca="1">AH32/AH28</f>
        <v>#NAME?</v>
      </c>
      <c r="AI34" s="109">
        <f>AI32/AI28</f>
        <v>0.74113475177304966</v>
      </c>
      <c r="AJ34" s="115" t="e">
        <f ca="1">(AI34-AH34)*100</f>
        <v>#NAME?</v>
      </c>
      <c r="AL34" s="109" t="e">
        <f ca="1">AL32/AL28</f>
        <v>#NAME?</v>
      </c>
      <c r="AM34" s="109" t="e">
        <f ca="1">AM32/AM28</f>
        <v>#NAME?</v>
      </c>
      <c r="AO34" s="109" t="s">
        <v>1517</v>
      </c>
      <c r="AQ34" s="109" t="s">
        <v>1517</v>
      </c>
      <c r="AR34" s="109" t="s">
        <v>1517</v>
      </c>
      <c r="AS34" s="115" t="s">
        <v>1517</v>
      </c>
      <c r="AU34" s="109">
        <f>AU32/AU28</f>
        <v>0.88857142857142857</v>
      </c>
      <c r="AV34" s="109">
        <f>AV32/AV28</f>
        <v>0.93019583070120027</v>
      </c>
      <c r="AW34" s="115">
        <f>(AV34-AU34)*100</f>
        <v>4.1624402129771703</v>
      </c>
      <c r="AY34" s="109">
        <f>AY32/AY28</f>
        <v>0.75345976422347516</v>
      </c>
      <c r="AZ34" s="109">
        <f>AZ32/AZ28</f>
        <v>0.77421704297159499</v>
      </c>
      <c r="BA34" s="115">
        <f>(AZ34-AY34)*100</f>
        <v>2.0757278748119834</v>
      </c>
      <c r="BC34" s="109" t="e">
        <f ca="1">BC32/BC28</f>
        <v>#NAME?</v>
      </c>
      <c r="BD34" s="109">
        <f>BD32/BD28</f>
        <v>0.93019583070120027</v>
      </c>
      <c r="BE34" s="115" t="e">
        <f ca="1">(BD34-BC34)*100</f>
        <v>#NAME?</v>
      </c>
      <c r="BG34" s="109" t="s">
        <v>1517</v>
      </c>
      <c r="BH34" s="109" t="s">
        <v>1517</v>
      </c>
      <c r="BI34" s="903" t="s">
        <v>1517</v>
      </c>
      <c r="BK34" s="109" t="e">
        <f ca="1">BK32/BK28</f>
        <v>#NAME?</v>
      </c>
      <c r="BL34" s="109">
        <f>BL32/BL28</f>
        <v>0.80466200466200466</v>
      </c>
      <c r="BM34" s="115" t="e">
        <f ca="1">(BL34-BK34)*100</f>
        <v>#NAME?</v>
      </c>
      <c r="BO34" s="899"/>
      <c r="BQ34" s="109" t="e">
        <f ca="1">BQ32/BQ28</f>
        <v>#NAME?</v>
      </c>
      <c r="BR34" s="109">
        <f>BR32/BR28</f>
        <v>0.67938972075361592</v>
      </c>
      <c r="BS34" s="115" t="e">
        <f ca="1">(BR34-BQ34)*100</f>
        <v>#NAME?</v>
      </c>
      <c r="BU34" s="1139" t="s">
        <v>1795</v>
      </c>
      <c r="BW34" s="109" t="e">
        <f ca="1">BW32/BW28</f>
        <v>#NAME?</v>
      </c>
      <c r="BX34" s="109">
        <f>BX32/BX28</f>
        <v>0.67938972075361592</v>
      </c>
      <c r="BY34" s="115" t="e">
        <f ca="1">(BX34-BW34)*100</f>
        <v>#NAME?</v>
      </c>
      <c r="CA34" s="109" t="e">
        <f ca="1">CA32/CA28</f>
        <v>#NAME?</v>
      </c>
      <c r="CB34" s="109">
        <f>CB32/CB28</f>
        <v>0.69930799762484375</v>
      </c>
      <c r="CC34" s="115" t="e">
        <f ca="1">(CB34-CA34)*100</f>
        <v>#NAME?</v>
      </c>
      <c r="CE34" s="109" t="e">
        <f ca="1">CE32/CE28</f>
        <v>#NAME?</v>
      </c>
      <c r="CF34" s="109">
        <f>CF32/CF28</f>
        <v>0.71227181105907833</v>
      </c>
      <c r="CG34" s="115" t="e">
        <f ca="1">(CF34-CE34)*100</f>
        <v>#NAME?</v>
      </c>
      <c r="CI34" s="109" t="e">
        <f ca="1">CI32/CI28</f>
        <v>#NAME?</v>
      </c>
      <c r="CJ34" s="109">
        <f>CJ32/CJ28</f>
        <v>0.71666035111439819</v>
      </c>
      <c r="CK34" s="115" t="e">
        <f ca="1">(CJ34-CI34)*100</f>
        <v>#NAME?</v>
      </c>
      <c r="CM34" s="109" t="e">
        <f ca="1">CM32/CM28</f>
        <v>#NAME?</v>
      </c>
      <c r="CN34" s="109">
        <f>CN32/CN28</f>
        <v>0.75849196044802891</v>
      </c>
      <c r="CO34" s="115" t="e">
        <f ca="1">(CN34-CM34)*100</f>
        <v>#NAME?</v>
      </c>
      <c r="CP34" s="1550"/>
      <c r="CQ34" s="109" t="e">
        <f ca="1">CQ32/CQ28</f>
        <v>#NAME?</v>
      </c>
      <c r="CR34" s="109">
        <f>CR32/CR28</f>
        <v>0.77532289316930225</v>
      </c>
      <c r="CS34" s="115" t="e">
        <f ca="1">(CR34-CQ34)*100</f>
        <v>#NAME?</v>
      </c>
      <c r="CT34" s="1550"/>
      <c r="CU34" s="1185" t="s">
        <v>1791</v>
      </c>
      <c r="CW34" s="109" t="e">
        <f ca="1">CW32/CW28</f>
        <v>#NAME?</v>
      </c>
      <c r="CX34" s="109">
        <f>CX32/CX28</f>
        <v>0.75849196044802891</v>
      </c>
      <c r="CY34" s="115" t="e">
        <f ca="1">(CX34-CW34)*100</f>
        <v>#NAME?</v>
      </c>
    </row>
    <row r="35" spans="2:103" ht="13.5" customHeight="1" outlineLevel="1">
      <c r="G35" s="901"/>
      <c r="H35" s="109"/>
      <c r="J35" s="109"/>
      <c r="K35" s="109"/>
      <c r="L35" s="109"/>
      <c r="M35" s="109"/>
      <c r="O35" s="109"/>
      <c r="P35" s="109"/>
      <c r="Q35" s="115"/>
      <c r="S35" s="109"/>
      <c r="T35" s="109"/>
      <c r="U35" s="115"/>
      <c r="V35" s="241"/>
      <c r="W35" s="109"/>
      <c r="X35" s="109"/>
      <c r="Y35" s="115"/>
      <c r="Z35" s="241"/>
      <c r="AA35" s="109"/>
      <c r="AB35" s="109"/>
      <c r="AC35" s="115"/>
      <c r="AE35" s="109"/>
      <c r="AF35" s="115"/>
      <c r="AH35" s="109"/>
      <c r="AI35" s="109"/>
      <c r="AJ35" s="115"/>
      <c r="AL35" s="109"/>
      <c r="AM35" s="109"/>
      <c r="AO35" s="109"/>
      <c r="AQ35" s="109"/>
      <c r="AR35" s="109"/>
      <c r="AS35" s="115"/>
      <c r="AU35" s="109"/>
      <c r="AV35" s="109"/>
      <c r="AW35" s="115"/>
      <c r="AY35" s="109"/>
      <c r="AZ35" s="109"/>
      <c r="BA35" s="115"/>
      <c r="BC35" s="109"/>
      <c r="BD35" s="109"/>
      <c r="BE35" s="115"/>
      <c r="BG35" s="109"/>
      <c r="BH35" s="109"/>
      <c r="BI35" s="903"/>
      <c r="BK35" s="109"/>
      <c r="BL35" s="109"/>
      <c r="BM35" s="115"/>
      <c r="BO35" s="899"/>
      <c r="BQ35" s="109"/>
      <c r="BR35" s="109"/>
      <c r="BS35" s="115"/>
      <c r="BU35" s="1120"/>
      <c r="BW35" s="109"/>
      <c r="BX35" s="109"/>
      <c r="BY35" s="115"/>
      <c r="CA35" s="109"/>
      <c r="CB35" s="109"/>
      <c r="CC35" s="115"/>
      <c r="CE35" s="109"/>
      <c r="CF35" s="109"/>
      <c r="CG35" s="115"/>
      <c r="CI35" s="111"/>
      <c r="CJ35" s="111"/>
      <c r="CK35" s="115"/>
      <c r="CM35" s="111"/>
      <c r="CN35" s="111"/>
      <c r="CO35" s="115"/>
      <c r="CP35" s="1550"/>
      <c r="CQ35" s="111"/>
      <c r="CR35" s="111"/>
      <c r="CS35" s="115"/>
      <c r="CT35" s="1550"/>
      <c r="CU35" s="1185" t="s">
        <v>1783</v>
      </c>
      <c r="CW35" s="111" t="e">
        <f ca="1">BW32+CC32+CG32+CK32+CW32</f>
        <v>#NAME?</v>
      </c>
      <c r="CX35" s="111">
        <f>BX32+CD32+CH32+CL32+CX32</f>
        <v>9624.8320707469411</v>
      </c>
      <c r="CY35" s="115"/>
    </row>
    <row r="36" spans="2:103" ht="4.5" customHeight="1" outlineLevel="1">
      <c r="G36" s="112"/>
      <c r="O36" s="86"/>
      <c r="P36" s="86"/>
      <c r="Q36" s="108"/>
      <c r="S36" s="86"/>
      <c r="T36" s="86"/>
      <c r="U36" s="108"/>
      <c r="W36" s="86"/>
      <c r="X36" s="86"/>
      <c r="Y36" s="108"/>
      <c r="AA36" s="86"/>
      <c r="AB36" s="86"/>
      <c r="AC36" s="108"/>
      <c r="AE36" s="86"/>
      <c r="AF36" s="108"/>
      <c r="AH36" s="86"/>
      <c r="AJ36" s="108"/>
      <c r="AL36" s="86"/>
      <c r="AM36" s="86"/>
      <c r="AO36" s="86"/>
      <c r="AQ36" s="86"/>
      <c r="AR36" s="86"/>
      <c r="AS36" s="108"/>
      <c r="AU36" s="86"/>
      <c r="AW36" s="108"/>
      <c r="AY36" s="86"/>
      <c r="BA36" s="108"/>
      <c r="BC36" s="86"/>
      <c r="BE36" s="108"/>
      <c r="BG36" s="86"/>
      <c r="BH36" s="86"/>
      <c r="BI36" s="904"/>
      <c r="BK36" s="86"/>
      <c r="BM36" s="108"/>
      <c r="BO36" s="899"/>
      <c r="BQ36" s="86"/>
      <c r="BS36" s="108"/>
      <c r="BW36" s="86"/>
      <c r="BY36" s="108"/>
      <c r="CA36" s="86"/>
      <c r="CC36" s="108"/>
      <c r="CE36" s="86"/>
      <c r="CG36" s="108"/>
      <c r="CI36" s="86"/>
      <c r="CK36" s="108"/>
      <c r="CM36" s="86"/>
      <c r="CO36" s="108"/>
      <c r="CQ36" s="86"/>
      <c r="CS36" s="108"/>
      <c r="CU36" s="1120"/>
      <c r="CW36" s="86"/>
      <c r="CY36" s="108"/>
    </row>
    <row r="37" spans="2:103" ht="13.5" customHeight="1" outlineLevel="1">
      <c r="E37" s="119" t="s">
        <v>1768</v>
      </c>
      <c r="G37" s="122" t="s">
        <v>1766</v>
      </c>
      <c r="H37" s="246"/>
      <c r="J37" s="246"/>
      <c r="K37" s="246"/>
      <c r="L37" s="246"/>
      <c r="M37" s="246"/>
      <c r="N37" s="245"/>
      <c r="O37" s="125"/>
      <c r="P37" s="246"/>
      <c r="Q37" s="124"/>
      <c r="R37" s="245"/>
      <c r="S37" s="246"/>
      <c r="T37" s="246"/>
      <c r="U37" s="247"/>
      <c r="V37" s="245"/>
      <c r="W37" s="246"/>
      <c r="X37" s="246"/>
      <c r="Y37" s="247"/>
      <c r="Z37" s="245"/>
      <c r="AA37" s="246"/>
      <c r="AB37" s="246"/>
      <c r="AC37" s="247"/>
      <c r="AD37" s="245"/>
      <c r="AE37" s="246"/>
      <c r="AF37" s="124"/>
      <c r="AG37" s="245"/>
      <c r="AH37" s="674"/>
      <c r="AI37" s="674"/>
      <c r="AJ37" s="905"/>
      <c r="AK37" s="245"/>
      <c r="AL37" s="674"/>
      <c r="AM37" s="674"/>
      <c r="AN37" s="245"/>
      <c r="AO37" s="674"/>
      <c r="AP37" s="245"/>
      <c r="AQ37" s="674"/>
      <c r="AR37" s="674"/>
      <c r="AS37" s="124"/>
      <c r="AT37" s="245"/>
      <c r="AU37" s="674"/>
      <c r="AV37" s="674"/>
      <c r="AW37" s="124"/>
      <c r="AX37" s="245"/>
      <c r="AY37" s="674"/>
      <c r="AZ37" s="674"/>
      <c r="BA37" s="124"/>
      <c r="BB37" s="245"/>
      <c r="BC37" s="674"/>
      <c r="BD37" s="674"/>
      <c r="BE37" s="124"/>
      <c r="BF37" s="245"/>
      <c r="BG37" s="674"/>
      <c r="BH37" s="674"/>
      <c r="BI37" s="905"/>
      <c r="BJ37" s="245"/>
      <c r="BK37" s="674"/>
      <c r="BL37" s="674"/>
      <c r="BM37" s="905"/>
      <c r="BN37" s="245"/>
      <c r="BO37" s="658"/>
      <c r="BP37" s="245"/>
      <c r="BQ37" s="674" cm="1">
        <f t="array" ref="BQ37">_xll.VAData($C$2, BQ$6, "EPS Basic", $C$5, "SD", "","","")</f>
        <v>8.1673818952380106</v>
      </c>
      <c r="BR37" s="674">
        <f>OpMod!$AC$268</f>
        <v>8.1631379446287493</v>
      </c>
      <c r="BS37" s="124">
        <f>BR37/BQ37-1</f>
        <v>-5.196219135701341E-4</v>
      </c>
      <c r="BT37" s="245"/>
      <c r="BU37" s="1094"/>
      <c r="BV37" s="245"/>
      <c r="BW37" s="674" cm="1">
        <f t="array" ref="BW37">_xll.VAData($C$2, BW$6, "EPS Basic", $C$5, "SD", "","","")</f>
        <v>8.1673818952380106</v>
      </c>
      <c r="BX37" s="674">
        <f>'Income Statement'!AA104</f>
        <v>8.4933208882291691</v>
      </c>
      <c r="BY37" s="124">
        <f>BX37/BW37-1</f>
        <v>3.9907402050245455E-2</v>
      </c>
      <c r="BZ37" s="245"/>
      <c r="CA37" s="674" cm="1">
        <f t="array" ref="CA37">_xll.VAData($C$2, CA$6, "EPS Basic", $C$5, "SD", "","","")</f>
        <v>10.551957192016403</v>
      </c>
      <c r="CB37" s="674">
        <f>'Income Statement'!AB104</f>
        <v>11.031574492477478</v>
      </c>
      <c r="CC37" s="124">
        <f>CB37/CA37-1</f>
        <v>4.5452923257114142E-2</v>
      </c>
      <c r="CD37" s="245"/>
      <c r="CE37" s="674" cm="1">
        <f t="array" ref="CE37">_xll.VAData($C$2, CE$6, "EPS Basic", $C$5, "SD", "","","")</f>
        <v>12.072908154314939</v>
      </c>
      <c r="CF37" s="674">
        <f>'Income Statement'!AC104</f>
        <v>12.701904383026944</v>
      </c>
      <c r="CG37" s="124">
        <f>CF37/CE37-1</f>
        <v>5.2099810639841371E-2</v>
      </c>
      <c r="CH37" s="245"/>
      <c r="CI37" s="674" cm="1">
        <f t="array" ref="CI37">_xll.VAData($C$2, CI$6, "EPS Basic", $C$5, "SD", "","","")</f>
        <v>13.597744505883648</v>
      </c>
      <c r="CJ37" s="674">
        <f>'Income Statement'!AD104</f>
        <v>14.294125521387324</v>
      </c>
      <c r="CK37" s="124">
        <f>CJ37/CI37-1</f>
        <v>5.1212979858707985E-2</v>
      </c>
      <c r="CL37" s="245"/>
      <c r="CM37" s="674" cm="1">
        <f t="array" ref="CM37">_xll.VAData($C$2, CM$6, "EPS Basic", $C$5, "SD", "","","")</f>
        <v>14.493627313923017</v>
      </c>
      <c r="CN37" s="674">
        <f>'Income Statement'!AE104</f>
        <v>15.169268867230878</v>
      </c>
      <c r="CO37" s="124">
        <f>CN37/CM37-1</f>
        <v>4.6616456920954397E-2</v>
      </c>
      <c r="CP37" s="1548"/>
      <c r="CQ37" s="674" cm="1">
        <f t="array" ref="CQ37">_xll.VAData($C$2, CQ$6, "EPS Basic", $C$5, "SD", "","","")</f>
        <v>15.035995181923866</v>
      </c>
      <c r="CR37" s="674">
        <f>'Income Statement'!AF104</f>
        <v>16.068314554691664</v>
      </c>
      <c r="CS37" s="124">
        <f>CR37/CQ37-1</f>
        <v>6.8656537879770108E-2</v>
      </c>
      <c r="CT37" s="1548"/>
      <c r="CU37" s="1094"/>
      <c r="CW37" s="674" cm="1">
        <f t="array" ref="CW37">_xll.VAData($C$2, CW$6, "EPS Basic", $C$5, "SD", "","","")</f>
        <v>14.493627313923017</v>
      </c>
      <c r="CX37" s="674">
        <f>OpMod!$AG$268</f>
        <v>14.910150710574953</v>
      </c>
      <c r="CY37" s="124">
        <f>CX37/CW37-1</f>
        <v>2.8738381885382802E-2</v>
      </c>
    </row>
    <row r="38" spans="2:103" ht="13.5" customHeight="1" outlineLevel="1">
      <c r="G38" s="901" t="s">
        <v>2096</v>
      </c>
      <c r="H38" s="1610"/>
      <c r="J38" s="1610"/>
      <c r="K38" s="1610"/>
      <c r="L38" s="1610"/>
      <c r="M38" s="1610"/>
      <c r="N38" s="245"/>
      <c r="O38" s="242"/>
      <c r="P38" s="1610"/>
      <c r="Q38" s="1607"/>
      <c r="R38" s="245"/>
      <c r="S38" s="1610"/>
      <c r="T38" s="1610"/>
      <c r="U38" s="1611"/>
      <c r="V38" s="245"/>
      <c r="W38" s="1610"/>
      <c r="X38" s="1610"/>
      <c r="Y38" s="1611"/>
      <c r="Z38" s="245"/>
      <c r="AA38" s="1610"/>
      <c r="AB38" s="1610"/>
      <c r="AC38" s="1611"/>
      <c r="AD38" s="245"/>
      <c r="AE38" s="1610"/>
      <c r="AF38" s="1607"/>
      <c r="AG38" s="245"/>
      <c r="AH38" s="1612"/>
      <c r="AI38" s="1612"/>
      <c r="AJ38" s="1613"/>
      <c r="AK38" s="245"/>
      <c r="AL38" s="1612"/>
      <c r="AM38" s="1612"/>
      <c r="AN38" s="245"/>
      <c r="AO38" s="1612"/>
      <c r="AP38" s="245"/>
      <c r="AQ38" s="1612"/>
      <c r="AR38" s="1612"/>
      <c r="AS38" s="1607"/>
      <c r="AT38" s="245"/>
      <c r="AU38" s="1612"/>
      <c r="AV38" s="1612"/>
      <c r="AW38" s="1607"/>
      <c r="AX38" s="245"/>
      <c r="AY38" s="1612"/>
      <c r="AZ38" s="1612"/>
      <c r="BA38" s="1607"/>
      <c r="BB38" s="245"/>
      <c r="BC38" s="1612"/>
      <c r="BD38" s="1612"/>
      <c r="BE38" s="1607"/>
      <c r="BF38" s="245"/>
      <c r="BG38" s="1612"/>
      <c r="BH38" s="1612"/>
      <c r="BI38" s="1613"/>
      <c r="BJ38" s="245"/>
      <c r="BK38" s="1612"/>
      <c r="BL38" s="1612"/>
      <c r="BM38" s="1613"/>
      <c r="BN38" s="245"/>
      <c r="BO38" s="1609"/>
      <c r="BP38" s="245"/>
      <c r="BQ38" s="1612"/>
      <c r="BR38" s="1612"/>
      <c r="BS38" s="1607"/>
      <c r="BT38" s="245"/>
      <c r="BU38" s="1172"/>
      <c r="BV38" s="245"/>
      <c r="BW38" s="1547">
        <f>BW37/'Income Statement'!$Z$104-1</f>
        <v>0.10747870219413747</v>
      </c>
      <c r="BX38" s="1547">
        <f>BX37/'Income Statement'!$Z$104-1</f>
        <v>0.15167530002468288</v>
      </c>
      <c r="BY38" s="1607"/>
      <c r="BZ38" s="245"/>
      <c r="CA38" s="1547">
        <f>CA37/BW37-1</f>
        <v>0.29196324199909363</v>
      </c>
      <c r="CB38" s="1547">
        <f>CB37/BX37-1</f>
        <v>0.29885290308129719</v>
      </c>
      <c r="CC38" s="1552"/>
      <c r="CD38" s="1615"/>
      <c r="CE38" s="1547">
        <f>CE37/CA37-1</f>
        <v>0.14413922788175126</v>
      </c>
      <c r="CF38" s="1547">
        <f>CF37/CB37-1</f>
        <v>0.151413553132282</v>
      </c>
      <c r="CG38" s="1552"/>
      <c r="CH38" s="1615"/>
      <c r="CI38" s="1547">
        <f>CI37/CE37-1</f>
        <v>0.12630232352291371</v>
      </c>
      <c r="CJ38" s="1547">
        <f>CJ37/CF37-1</f>
        <v>0.12535294632574945</v>
      </c>
      <c r="CK38" s="1552"/>
      <c r="CL38" s="1615"/>
      <c r="CM38" s="1547">
        <f>CM37/CI37-1</f>
        <v>6.5884662537358807E-2</v>
      </c>
      <c r="CN38" s="1547">
        <f>CN37/CJ37-1</f>
        <v>6.1223986352584969E-2</v>
      </c>
      <c r="CO38" s="1552"/>
      <c r="CP38" s="1547"/>
      <c r="CQ38" s="1547">
        <f>CQ37/CM37-1</f>
        <v>3.7421126972116525E-2</v>
      </c>
      <c r="CR38" s="1547">
        <f>CR37/CN37-1</f>
        <v>5.926756888085305E-2</v>
      </c>
      <c r="CS38" s="1607"/>
      <c r="CT38" s="1548"/>
      <c r="CU38" s="1094"/>
      <c r="CW38" s="674"/>
      <c r="CX38" s="674"/>
      <c r="CY38" s="124"/>
    </row>
    <row r="39" spans="2:103" ht="4.5" customHeight="1" outlineLevel="1">
      <c r="G39" s="112"/>
      <c r="O39" s="86"/>
      <c r="P39" s="86"/>
      <c r="Q39" s="108"/>
      <c r="S39" s="86"/>
      <c r="T39" s="86"/>
      <c r="U39" s="108"/>
      <c r="W39" s="86"/>
      <c r="X39" s="86"/>
      <c r="Y39" s="108"/>
      <c r="AA39" s="86"/>
      <c r="AB39" s="86"/>
      <c r="AC39" s="108"/>
      <c r="AE39" s="86"/>
      <c r="AF39" s="108"/>
      <c r="AH39" s="86"/>
      <c r="AJ39" s="108"/>
      <c r="AL39" s="86"/>
      <c r="AM39" s="86"/>
      <c r="AO39" s="86"/>
      <c r="AQ39" s="86"/>
      <c r="AR39" s="86"/>
      <c r="AS39" s="108"/>
      <c r="AU39" s="86"/>
      <c r="AW39" s="108"/>
      <c r="AY39" s="86"/>
      <c r="BA39" s="108"/>
      <c r="BC39" s="86"/>
      <c r="BE39" s="108"/>
      <c r="BG39" s="86"/>
      <c r="BH39" s="86"/>
      <c r="BI39" s="904"/>
      <c r="BK39" s="86"/>
      <c r="BM39" s="108"/>
      <c r="BO39" s="899"/>
      <c r="BQ39" s="86"/>
      <c r="BS39" s="108"/>
      <c r="BU39" s="1120"/>
      <c r="BW39" s="86"/>
      <c r="BY39" s="108"/>
      <c r="CA39" s="86"/>
      <c r="CC39" s="108"/>
      <c r="CE39" s="86"/>
      <c r="CG39" s="108"/>
      <c r="CI39" s="86"/>
      <c r="CK39" s="108"/>
      <c r="CM39" s="86"/>
      <c r="CO39" s="108"/>
      <c r="CQ39" s="86"/>
      <c r="CS39" s="108"/>
      <c r="CU39" s="1120"/>
      <c r="CW39" s="86"/>
      <c r="CY39" s="108"/>
    </row>
    <row r="40" spans="2:103" ht="13.5" customHeight="1" outlineLevel="1">
      <c r="E40" s="119" t="s">
        <v>1662</v>
      </c>
      <c r="G40" s="122" t="s">
        <v>1767</v>
      </c>
      <c r="H40" s="246"/>
      <c r="J40" s="246"/>
      <c r="K40" s="246"/>
      <c r="L40" s="246"/>
      <c r="M40" s="246"/>
      <c r="N40" s="245"/>
      <c r="O40" s="125"/>
      <c r="P40" s="246"/>
      <c r="Q40" s="124"/>
      <c r="R40" s="245"/>
      <c r="S40" s="246"/>
      <c r="T40" s="246"/>
      <c r="U40" s="247"/>
      <c r="V40" s="245"/>
      <c r="W40" s="246"/>
      <c r="X40" s="246"/>
      <c r="Y40" s="247"/>
      <c r="Z40" s="245"/>
      <c r="AA40" s="246"/>
      <c r="AB40" s="246"/>
      <c r="AC40" s="247"/>
      <c r="AD40" s="245"/>
      <c r="AE40" s="246"/>
      <c r="AF40" s="124"/>
      <c r="AG40" s="245"/>
      <c r="AH40" s="674" t="s">
        <v>1517</v>
      </c>
      <c r="AI40" s="674" t="s">
        <v>1517</v>
      </c>
      <c r="AJ40" s="905" t="s">
        <v>1517</v>
      </c>
      <c r="AK40" s="245"/>
      <c r="AL40" s="674" t="e">
        <f ca="1">_xll.VisibleAlpha.UDF.VAData($C$2,AL$6,$E40,$E$11,"CD","IMPL",$C$6)</f>
        <v>#NAME?</v>
      </c>
      <c r="AM40" s="674" t="e">
        <f ca="1">_xll.VisibleAlpha.UDF.VAData($C$2,AM$6,$E40,$E$11,"CD","IMPL",$C$6)</f>
        <v>#NAME?</v>
      </c>
      <c r="AN40" s="245"/>
      <c r="AO40" s="674" t="s">
        <v>1517</v>
      </c>
      <c r="AP40" s="245"/>
      <c r="AQ40" s="674" t="s">
        <v>1517</v>
      </c>
      <c r="AR40" s="674" t="s">
        <v>1517</v>
      </c>
      <c r="AS40" s="124" t="s">
        <v>1517</v>
      </c>
      <c r="AT40" s="245"/>
      <c r="AU40" s="674">
        <v>2.1</v>
      </c>
      <c r="AV40" s="674">
        <f>'Income Statement'!$Y$109</f>
        <v>2.2000000000000002</v>
      </c>
      <c r="AW40" s="124">
        <f>AV40/AU40-1</f>
        <v>4.7619047619047672E-2</v>
      </c>
      <c r="AX40" s="245"/>
      <c r="AY40" s="674">
        <v>2.7</v>
      </c>
      <c r="AZ40" s="674">
        <f>'Income Statement'!$Z$109</f>
        <v>2.9</v>
      </c>
      <c r="BA40" s="124">
        <f>AZ40/AY40-1</f>
        <v>7.4074074074073959E-2</v>
      </c>
      <c r="BB40" s="245"/>
      <c r="BC40" s="674" t="e">
        <f ca="1">_xll.VisibleAlpha.UDF.VAData($C$2,BC$6,$E40,$E$11,"CD","IMPL",$C$6)</f>
        <v>#NAME?</v>
      </c>
      <c r="BD40" s="674">
        <f>'Income Statement'!$Y$109</f>
        <v>2.2000000000000002</v>
      </c>
      <c r="BE40" s="124" t="e">
        <f ca="1">BD40/BC40-1</f>
        <v>#NAME?</v>
      </c>
      <c r="BF40" s="245"/>
      <c r="BG40" s="674" t="s">
        <v>1517</v>
      </c>
      <c r="BH40" s="674" t="s">
        <v>1517</v>
      </c>
      <c r="BI40" s="905" t="s">
        <v>1517</v>
      </c>
      <c r="BJ40" s="245"/>
      <c r="BK40" s="674" t="s">
        <v>1517</v>
      </c>
      <c r="BL40" s="674" t="s">
        <v>1517</v>
      </c>
      <c r="BM40" s="905" t="s">
        <v>1517</v>
      </c>
      <c r="BN40" s="245"/>
      <c r="BO40" s="658"/>
      <c r="BP40" s="245"/>
      <c r="BQ40" s="674" t="e">
        <f ca="1">_xll.VisibleAlpha.UDF.VAData($C$2,BQ$6,$E40,$E$11,"CD","IMPL",$C$6)</f>
        <v>#NAME?</v>
      </c>
      <c r="BR40" s="674">
        <f>'Income Statement'!$AA$109</f>
        <v>3.397328355291668</v>
      </c>
      <c r="BS40" s="124" t="e">
        <f ca="1">BR40/BQ40-1</f>
        <v>#NAME?</v>
      </c>
      <c r="BT40" s="245"/>
      <c r="BU40" s="1094"/>
      <c r="BV40" s="245"/>
      <c r="BW40" s="674" t="e">
        <f ca="1">_xll.VisibleAlpha.UDF.VAData($C$2,BW$6,$E40,$E$11,"CD","IMPL",$C$6)</f>
        <v>#NAME?</v>
      </c>
      <c r="BX40" s="674">
        <f>'Income Statement'!$AA$109</f>
        <v>3.397328355291668</v>
      </c>
      <c r="BY40" s="124" t="e">
        <f ca="1">BX40/BW40-1</f>
        <v>#NAME?</v>
      </c>
      <c r="BZ40" s="245"/>
      <c r="CA40" s="674" t="e">
        <f ca="1">_xll.VisibleAlpha.UDF.VAData($C$2,CA$6,$E40,$E$11,"CD","IMPL",$C$6)</f>
        <v>#NAME?</v>
      </c>
      <c r="CB40" s="674">
        <f>'Income Statement'!$AB$109</f>
        <v>4.4126297969909913</v>
      </c>
      <c r="CC40" s="124" t="e">
        <f ca="1">CB40/CA40-1</f>
        <v>#NAME?</v>
      </c>
      <c r="CD40" s="245"/>
      <c r="CE40" s="674" t="e">
        <f ca="1">_xll.VisibleAlpha.UDF.VAData($C$2,CE$6,$E40,$E$11,"CD","IMPL",$C$6)</f>
        <v>#NAME?</v>
      </c>
      <c r="CF40" s="674">
        <f>'Income Statement'!$AC$109</f>
        <v>5.0807617532107781</v>
      </c>
      <c r="CG40" s="124" t="e">
        <f ca="1">CF40/CE40-1</f>
        <v>#NAME?</v>
      </c>
      <c r="CH40" s="245"/>
      <c r="CI40" s="674" t="e">
        <f ca="1">_xll.VisibleAlpha.UDF.VAData($C$2,CI$6,$E40,$E$11,"CD","IMPL",$C$6)</f>
        <v>#NAME?</v>
      </c>
      <c r="CJ40" s="674">
        <f>'Income Statement'!$AD$109</f>
        <v>5.7176502085549297</v>
      </c>
      <c r="CK40" s="124" t="e">
        <f ca="1">CJ40/CI40-1</f>
        <v>#NAME?</v>
      </c>
      <c r="CL40" s="245"/>
      <c r="CM40" s="674" t="e">
        <f ca="1">_xll.VisibleAlpha.UDF.VAData($C$2,CM$6,$E40,$E$11,"CD","IMPL",$C$6)</f>
        <v>#NAME?</v>
      </c>
      <c r="CN40" s="674">
        <f>'Income Statement'!$AE$109</f>
        <v>6.0677075468923514</v>
      </c>
      <c r="CO40" s="124" t="e">
        <f ca="1">CN40/CM40-1</f>
        <v>#NAME?</v>
      </c>
      <c r="CP40" s="1548"/>
      <c r="CQ40" s="674" t="e">
        <f ca="1">_xll.VisibleAlpha.UDF.VAData($C$2,CQ$6,$E40,$E$11,"CD","IMPL",$C$6)</f>
        <v>#NAME?</v>
      </c>
      <c r="CR40" s="674">
        <f>'Income Statement'!$AF$109</f>
        <v>6.427325821876666</v>
      </c>
      <c r="CS40" s="124" t="e">
        <f ca="1">CR40/CQ40-1</f>
        <v>#NAME?</v>
      </c>
      <c r="CT40" s="1548"/>
      <c r="CU40" s="1094"/>
      <c r="CW40" s="674" t="e">
        <f ca="1">_xll.VisibleAlpha.UDF.VAData($C$2,CW$6,$E40,$E$11,"CD","IMPL",$C$6)</f>
        <v>#NAME?</v>
      </c>
      <c r="CX40" s="674">
        <f>'Income Statement'!$AE$109</f>
        <v>6.0677075468923514</v>
      </c>
      <c r="CY40" s="124" t="e">
        <f ca="1">CX40/CW40-1</f>
        <v>#NAME?</v>
      </c>
    </row>
    <row r="41" spans="2:103" ht="4.5" customHeight="1" outlineLevel="1">
      <c r="G41" s="112"/>
      <c r="O41" s="86"/>
      <c r="P41" s="86"/>
      <c r="Q41" s="108"/>
      <c r="S41" s="86"/>
      <c r="T41" s="86"/>
      <c r="U41" s="108"/>
      <c r="W41" s="86"/>
      <c r="X41" s="86"/>
      <c r="Y41" s="108"/>
      <c r="AA41" s="86"/>
      <c r="AB41" s="86"/>
      <c r="AC41" s="108"/>
      <c r="AE41" s="86"/>
      <c r="AF41" s="108"/>
      <c r="AH41" s="86"/>
      <c r="AJ41" s="108"/>
      <c r="AL41" s="86"/>
      <c r="AM41" s="86"/>
      <c r="AO41" s="86"/>
      <c r="AQ41" s="86"/>
      <c r="AR41" s="86"/>
      <c r="AS41" s="108"/>
      <c r="AU41" s="86"/>
      <c r="AW41" s="108"/>
      <c r="AY41" s="86"/>
      <c r="BA41" s="108"/>
      <c r="BC41" s="86"/>
      <c r="BE41" s="108"/>
      <c r="BG41" s="86"/>
      <c r="BH41" s="86"/>
      <c r="BI41" s="108"/>
      <c r="BK41" s="86"/>
      <c r="BM41" s="108"/>
      <c r="BO41" s="899"/>
      <c r="BQ41" s="86"/>
      <c r="BS41" s="108"/>
      <c r="BU41" s="1120"/>
      <c r="BW41" s="86"/>
      <c r="BY41" s="108"/>
      <c r="CA41" s="86"/>
      <c r="CC41" s="108"/>
      <c r="CE41" s="86"/>
      <c r="CG41" s="108"/>
      <c r="CI41" s="86"/>
      <c r="CK41" s="108"/>
      <c r="CM41" s="86"/>
      <c r="CO41" s="108"/>
      <c r="CQ41" s="86"/>
      <c r="CS41" s="108"/>
      <c r="CU41" s="1120"/>
      <c r="CW41" s="86"/>
      <c r="CY41" s="108"/>
    </row>
    <row r="42" spans="2:103">
      <c r="E42" s="119" t="s">
        <v>1417</v>
      </c>
      <c r="G42" s="122" t="s">
        <v>1612</v>
      </c>
      <c r="H42" s="246">
        <f>'Aerospace Propulsion Division'!$W$104</f>
        <v>7.0999999999999994E-2</v>
      </c>
      <c r="J42" s="246" t="e">
        <f>'Aerospace Propulsion Division'!#REF!</f>
        <v>#REF!</v>
      </c>
      <c r="K42" s="246" t="e">
        <f>'Aerospace Propulsion Division'!#REF!</f>
        <v>#REF!</v>
      </c>
      <c r="L42" s="246" t="e">
        <f>'Aerospace Propulsion Division'!#REF!</f>
        <v>#REF!</v>
      </c>
      <c r="M42" s="246">
        <f>'Aerospace Propulsion Division'!$X$104</f>
        <v>0.29299999999999998</v>
      </c>
      <c r="N42" s="245"/>
      <c r="O42" s="125" t="s">
        <v>1517</v>
      </c>
      <c r="P42" s="246" t="e">
        <f>'Aerospace Propulsion Division'!#REF!</f>
        <v>#REF!</v>
      </c>
      <c r="Q42" s="124" t="s">
        <v>1517</v>
      </c>
      <c r="R42" s="245"/>
      <c r="S42" s="246" t="e">
        <f ca="1">_xll.VisibleAlpha.UDF.VAData($C$2,S$6,$E42,$E$11,"CD","IMPL",$C$6)/100</f>
        <v>#NAME?</v>
      </c>
      <c r="T42" s="246" t="e">
        <f>'Aerospace Propulsion Division'!#REF!</f>
        <v>#REF!</v>
      </c>
      <c r="U42" s="247" t="e">
        <f ca="1">(T42-S42)*100</f>
        <v>#REF!</v>
      </c>
      <c r="V42" s="245"/>
      <c r="W42" s="246" t="e">
        <f ca="1">_xll.VisibleAlpha.UDF.VAData($C$2,W$6,$E42,$E$11,"CD","IMPL",$C$6)/100</f>
        <v>#NAME?</v>
      </c>
      <c r="X42" s="246" t="e">
        <f>'Aerospace Propulsion Division'!#REF!</f>
        <v>#REF!</v>
      </c>
      <c r="Y42" s="247" t="e">
        <f ca="1">(X42-W42)*100</f>
        <v>#REF!</v>
      </c>
      <c r="Z42" s="245"/>
      <c r="AA42" s="246" t="e">
        <f ca="1">_xll.VisibleAlpha.UDF.VAData($C$2,AA$6,$E42,$E$11,"CD","IMPL",$C$6)/100</f>
        <v>#NAME?</v>
      </c>
      <c r="AB42" s="246" t="e">
        <f>'Aerospace Propulsion Division'!#REF!</f>
        <v>#REF!</v>
      </c>
      <c r="AC42" s="247" t="e">
        <f ca="1">(AB42-AA42)*100</f>
        <v>#REF!</v>
      </c>
      <c r="AD42" s="245"/>
      <c r="AE42" s="246" t="s">
        <v>1517</v>
      </c>
      <c r="AF42" s="124" t="s">
        <v>1517</v>
      </c>
      <c r="AG42" s="245"/>
      <c r="AH42" s="246" t="e">
        <f ca="1">_xll.VisibleAlpha.UDF.VAData($C$2,AH$6,$E42,$E$11,"CD","IMPL",$C$6)/100</f>
        <v>#NAME?</v>
      </c>
      <c r="AI42" s="246" t="e">
        <f>'Aerospace Propulsion Division'!#REF!</f>
        <v>#REF!</v>
      </c>
      <c r="AJ42" s="247" t="e">
        <f ca="1">(AI42-AH42)*100</f>
        <v>#REF!</v>
      </c>
      <c r="AK42" s="245"/>
      <c r="AL42" s="246" t="e">
        <f ca="1">_xll.VisibleAlpha.UDF.VAData($C$2,AL$6,$E42,$E$11,"CD","IMPL",$C$6)/100</f>
        <v>#NAME?</v>
      </c>
      <c r="AM42" s="246" t="e">
        <f ca="1">_xll.VisibleAlpha.UDF.VAData($C$2,AM$6,$E42,$E$11,"CD","IMPL",$C$6)/100</f>
        <v>#NAME?</v>
      </c>
      <c r="AN42" s="245"/>
      <c r="AO42" s="246" t="s">
        <v>1517</v>
      </c>
      <c r="AP42" s="245"/>
      <c r="AQ42" s="246" t="s">
        <v>1517</v>
      </c>
      <c r="AR42" s="246" t="e">
        <f>'Aerospace Propulsion Division'!#REF!</f>
        <v>#REF!</v>
      </c>
      <c r="AS42" s="247" t="s">
        <v>1517</v>
      </c>
      <c r="AT42" s="245"/>
      <c r="AU42" s="246">
        <v>0.32</v>
      </c>
      <c r="AV42" s="246">
        <f>'Aerospace Propulsion Division'!$Y$104</f>
        <v>0.32900000000000001</v>
      </c>
      <c r="AW42" s="247">
        <f>(AV42-AU42)*100</f>
        <v>0.9000000000000008</v>
      </c>
      <c r="AX42" s="245"/>
      <c r="AY42" s="246">
        <v>0.17100000000000001</v>
      </c>
      <c r="AZ42" s="246">
        <f>'Aerospace Propulsion Division'!$Z$104</f>
        <v>0.249</v>
      </c>
      <c r="BA42" s="247">
        <f>(AZ42-AY42)*100</f>
        <v>7.7999999999999989</v>
      </c>
      <c r="BB42" s="245"/>
      <c r="BC42" s="246" t="e">
        <f ca="1">_xll.VisibleAlpha.UDF.VAData($C$2,BC$6,$E42,$E$11,"CD","IMPL",$C$6)/100</f>
        <v>#NAME?</v>
      </c>
      <c r="BD42" s="246">
        <f>'Aerospace Propulsion Division'!$Y$104</f>
        <v>0.32900000000000001</v>
      </c>
      <c r="BE42" s="247" t="e">
        <f ca="1">(BD42-BC42)*100</f>
        <v>#NAME?</v>
      </c>
      <c r="BF42" s="245"/>
      <c r="BG42" s="246" t="e">
        <f ca="1">_xll.VisibleAlpha.UDF.VAData($C$2,BG$6,$E42,$E$11,"CD","IMPL",$C$6)/100</f>
        <v>#NAME?</v>
      </c>
      <c r="BH42" s="246" t="e">
        <f>'Aerospace Propulsion Division'!#REF!</f>
        <v>#REF!</v>
      </c>
      <c r="BI42" s="247" t="e">
        <f ca="1">(BH42-BG42)*100</f>
        <v>#REF!</v>
      </c>
      <c r="BJ42" s="245"/>
      <c r="BK42" s="246" t="e">
        <f ca="1">_xll.VisibleAlpha.UDF.VAData($C$2,BK$6,$E42,$E$11,"CD","IMPL",$C$6)/100</f>
        <v>#NAME?</v>
      </c>
      <c r="BL42" s="246" t="e">
        <f>'Aerospace Propulsion Division'!#REF!</f>
        <v>#REF!</v>
      </c>
      <c r="BM42" s="247" t="e">
        <f ca="1">(BL42-BK42)*100</f>
        <v>#REF!</v>
      </c>
      <c r="BN42" s="245"/>
      <c r="BO42" s="658"/>
      <c r="BP42" s="245"/>
      <c r="BQ42" s="246" t="e">
        <f ca="1">_xll.VisibleAlpha.UDF.VAData($C$2,BQ$6,$E42,$E$11,"CD","IMPL",$C$6)/100</f>
        <v>#NAME?</v>
      </c>
      <c r="BR42" s="246">
        <f>'Aerospace Propulsion Division'!$AA$105</f>
        <v>0.1832842541739117</v>
      </c>
      <c r="BS42" s="247" t="e">
        <f ca="1">(BR42-BQ42)*100</f>
        <v>#NAME?</v>
      </c>
      <c r="BT42" s="245"/>
      <c r="BU42" s="1094"/>
      <c r="BV42" s="245"/>
      <c r="BW42" s="246" t="e">
        <f ca="1">_xll.VisibleAlpha.UDF.VAData($C$2,BW$6,$E42,$E$11,"CD","IMPL",$C$6)/100</f>
        <v>#NAME?</v>
      </c>
      <c r="BX42" s="246">
        <f>'Aerospace Propulsion Division'!$AA$105</f>
        <v>0.1832842541739117</v>
      </c>
      <c r="BY42" s="247" t="e">
        <f ca="1">(BX42-BW42)*100</f>
        <v>#NAME?</v>
      </c>
      <c r="BZ42" s="245"/>
      <c r="CA42" s="246" t="e">
        <f ca="1">_xll.VisibleAlpha.UDF.VAData($C$2,CA$6,$E42,$E$11,"CD","IMPL",$C$6)/100</f>
        <v>#NAME?</v>
      </c>
      <c r="CB42" s="246">
        <f>'Aerospace Propulsion Division'!$AB$104</f>
        <v>0.17526346312665564</v>
      </c>
      <c r="CC42" s="247" t="e">
        <f ca="1">(CB42-CA42)*100</f>
        <v>#NAME?</v>
      </c>
      <c r="CD42" s="245"/>
      <c r="CE42" s="246" t="e">
        <f ca="1">_xll.VisibleAlpha.UDF.VAData($C$2,CE$6,$E42,$E$11,"CD","IMPL",$C$6)/100</f>
        <v>#NAME?</v>
      </c>
      <c r="CF42" s="246">
        <f>'Aerospace Propulsion Division'!$AC$104</f>
        <v>0.11739398677555801</v>
      </c>
      <c r="CG42" s="247" t="e">
        <f ca="1">(CF42-CE42)*100</f>
        <v>#NAME?</v>
      </c>
      <c r="CH42" s="245"/>
      <c r="CI42" s="246" t="e">
        <f ca="1">_xll.VisibleAlpha.UDF.VAData($C$2,CI$6,$E42,$E$11,"CD","IMPL",$C$6)/100</f>
        <v>#NAME?</v>
      </c>
      <c r="CJ42" s="246">
        <f>'Aerospace Propulsion Division'!$AD$104</f>
        <v>9.0926018381547902E-2</v>
      </c>
      <c r="CK42" s="247" t="e">
        <f ca="1">(CJ42-CI42)*100</f>
        <v>#NAME?</v>
      </c>
      <c r="CL42" s="245"/>
      <c r="CM42" s="246" t="e">
        <f ca="1">_xll.VisibleAlpha.UDF.VAData($C$2,CM$6,$E42,$E$11,"CD","IMPL",$C$6)/100</f>
        <v>#NAME?</v>
      </c>
      <c r="CN42" s="246">
        <f>'Aerospace Propulsion Division'!$AE$104</f>
        <v>3.266897009737102E-2</v>
      </c>
      <c r="CO42" s="247" t="e">
        <f ca="1">(CN42-CM42)*100</f>
        <v>#NAME?</v>
      </c>
      <c r="CP42" s="1551"/>
      <c r="CQ42" s="246" t="e">
        <f ca="1">_xll.VisibleAlpha.UDF.VAData($C$2,CQ$6,$E42,$E$11,"CD","IMPL",$C$6)/100</f>
        <v>#NAME?</v>
      </c>
      <c r="CR42" s="246">
        <f>'Aerospace Propulsion Division'!$AF$104</f>
        <v>3.2137506289123374E-2</v>
      </c>
      <c r="CS42" s="247" t="e">
        <f ca="1">(CR42-CQ42)*100</f>
        <v>#NAME?</v>
      </c>
      <c r="CT42" s="1551"/>
      <c r="CU42" s="1094"/>
      <c r="CW42" s="246" t="e">
        <f ca="1">_xll.VisibleAlpha.UDF.VAData($C$2,CW$6,$E42,$E$11,"CD","IMPL",$C$6)/100</f>
        <v>#NAME?</v>
      </c>
      <c r="CX42" s="246">
        <f>'Aerospace Propulsion Division'!$AE$104</f>
        <v>3.266897009737102E-2</v>
      </c>
      <c r="CY42" s="247" t="e">
        <f ca="1">(CX42-CW42)*100</f>
        <v>#NAME?</v>
      </c>
    </row>
    <row r="43" spans="2:103" ht="24" hidden="1">
      <c r="G43" s="122" t="s">
        <v>1691</v>
      </c>
      <c r="H43" s="246">
        <f>'Aerospace Propulsion Division'!$W$169</f>
        <v>0</v>
      </c>
      <c r="J43" s="246" t="e">
        <f>'Aerospace Propulsion Division'!#REF!</f>
        <v>#REF!</v>
      </c>
      <c r="K43" s="246" t="e">
        <f>'Aerospace Propulsion Division'!#REF!</f>
        <v>#REF!</v>
      </c>
      <c r="L43" s="246" t="e">
        <f>'Aerospace Propulsion Division'!#REF!</f>
        <v>#REF!</v>
      </c>
      <c r="M43" s="246">
        <f>'Aerospace Propulsion Division'!$X$169</f>
        <v>0.29937500000000017</v>
      </c>
      <c r="N43" s="245"/>
      <c r="O43" s="125" t="s">
        <v>1517</v>
      </c>
      <c r="P43" s="246" t="e">
        <f>OpMod!#REF!</f>
        <v>#REF!</v>
      </c>
      <c r="Q43" s="124" t="s">
        <v>1517</v>
      </c>
      <c r="R43" s="245"/>
      <c r="S43" s="246" t="e">
        <f ca="1">_xll.VisibleAlpha.UDF.VAData($C$2,S$6,$E43,$E$11,"CD","IMPL",$C$6)/100</f>
        <v>#NAME?</v>
      </c>
      <c r="T43" s="246" t="e">
        <f>OpMod!#REF!</f>
        <v>#REF!</v>
      </c>
      <c r="U43" s="247" t="e">
        <f ca="1">(T43-S43)*100</f>
        <v>#REF!</v>
      </c>
      <c r="V43" s="245"/>
      <c r="W43" s="246" t="e">
        <f ca="1">_xll.VisibleAlpha.UDF.VAData($C$2,W$6,$E43,$E$11,"CD","IMPL",$C$6)/100</f>
        <v>#NAME?</v>
      </c>
      <c r="X43" s="246" t="e">
        <f>OpMod!#REF!</f>
        <v>#REF!</v>
      </c>
      <c r="Y43" s="247" t="e">
        <f ca="1">(X43-W43)*100</f>
        <v>#REF!</v>
      </c>
      <c r="Z43" s="245"/>
      <c r="AA43" s="246" t="e">
        <f ca="1">_xll.VisibleAlpha.UDF.VAData($C$2,AA$6,$E43,$E$11,"CD","IMPL",$C$6)/100</f>
        <v>#NAME?</v>
      </c>
      <c r="AB43" s="246" t="e">
        <f>OpMod!#REF!</f>
        <v>#REF!</v>
      </c>
      <c r="AC43" s="247" t="e">
        <f ca="1">(AB43-AA43)*100</f>
        <v>#REF!</v>
      </c>
      <c r="AD43" s="245"/>
      <c r="AE43" s="246" t="s">
        <v>1517</v>
      </c>
      <c r="AF43" s="124" t="s">
        <v>1517</v>
      </c>
      <c r="AG43" s="245"/>
      <c r="AH43" s="246" t="e">
        <f ca="1">_xll.VisibleAlpha.UDF.VAData($C$2,AH$6,$E43,$E$11,"CD","IMPL",$C$6)/100</f>
        <v>#NAME?</v>
      </c>
      <c r="AI43" s="246" t="e">
        <f>'Aerospace Propulsion Division'!#REF!</f>
        <v>#REF!</v>
      </c>
      <c r="AJ43" s="247" t="e">
        <f ca="1">(AI43-AH43)*100</f>
        <v>#REF!</v>
      </c>
      <c r="AK43" s="245"/>
      <c r="AL43" s="246" t="s">
        <v>1517</v>
      </c>
      <c r="AM43" s="246" t="s">
        <v>1517</v>
      </c>
      <c r="AN43" s="245"/>
      <c r="AO43" s="246" t="s">
        <v>1517</v>
      </c>
      <c r="AP43" s="245"/>
      <c r="AQ43" s="246" t="s">
        <v>1517</v>
      </c>
      <c r="AR43" s="246" t="s">
        <v>1517</v>
      </c>
      <c r="AS43" s="247" t="s">
        <v>1517</v>
      </c>
      <c r="AT43" s="245"/>
      <c r="AU43" s="246" t="s">
        <v>1517</v>
      </c>
      <c r="AV43" s="246">
        <f>'Aerospace Propulsion Division'!$Y$169</f>
        <v>0.36042499999999977</v>
      </c>
      <c r="AW43" s="247" t="s">
        <v>1517</v>
      </c>
      <c r="AX43" s="245"/>
      <c r="AY43" s="246" t="s">
        <v>1517</v>
      </c>
      <c r="AZ43" s="246">
        <f>'Aerospace Propulsion Division'!$Z$169</f>
        <v>0.10617500000000013</v>
      </c>
      <c r="BA43" s="247" t="s">
        <v>1517</v>
      </c>
      <c r="BB43" s="245"/>
      <c r="BC43" s="246" t="s">
        <v>1517</v>
      </c>
      <c r="BD43" s="246">
        <f>'Aerospace Propulsion Division'!$Y$169</f>
        <v>0.36042499999999977</v>
      </c>
      <c r="BE43" s="247" t="s">
        <v>1517</v>
      </c>
      <c r="BF43" s="245"/>
      <c r="BG43" s="246"/>
      <c r="BH43" s="246"/>
      <c r="BI43" s="247"/>
      <c r="BJ43" s="245"/>
      <c r="BK43" s="246" t="e">
        <f ca="1">_xll.VisibleAlpha.UDF.VAData($C$2,BK$6,$E43,$E$11,"CD","IMPL",$C$6)/100</f>
        <v>#NAME?</v>
      </c>
      <c r="BL43" s="246" t="e">
        <f>'Aerospace Propulsion Division'!#REF!</f>
        <v>#REF!</v>
      </c>
      <c r="BM43" s="247" t="e">
        <f ca="1">(BL43-BK43)*100</f>
        <v>#REF!</v>
      </c>
      <c r="BN43" s="245"/>
      <c r="BO43" s="900"/>
      <c r="BP43" s="245"/>
      <c r="BQ43" s="246" t="s">
        <v>1517</v>
      </c>
      <c r="BR43" s="246">
        <f>'Aerospace Propulsion Division'!$Z$169</f>
        <v>0.10617500000000013</v>
      </c>
      <c r="BS43" s="247" t="s">
        <v>1517</v>
      </c>
      <c r="BT43" s="245"/>
      <c r="BU43" s="1187" t="s">
        <v>1790</v>
      </c>
      <c r="BV43" s="245"/>
      <c r="BW43" s="246" t="s">
        <v>1517</v>
      </c>
      <c r="BX43" s="246">
        <f>'Aerospace Propulsion Division'!$AA$169</f>
        <v>0.21352187128320321</v>
      </c>
      <c r="BY43" s="247" t="s">
        <v>1517</v>
      </c>
      <c r="BZ43" s="245"/>
      <c r="CA43" s="246" t="s">
        <v>1517</v>
      </c>
      <c r="CB43" s="246">
        <f>'Aerospace Propulsion Division'!$AB$169</f>
        <v>0.11173247058823521</v>
      </c>
      <c r="CC43" s="247" t="s">
        <v>1517</v>
      </c>
      <c r="CD43" s="245"/>
      <c r="CE43" s="246" t="s">
        <v>1517</v>
      </c>
      <c r="CF43" s="246">
        <f>'Aerospace Propulsion Division'!$AC$169</f>
        <v>-6.1405405405404734E-3</v>
      </c>
      <c r="CG43" s="247" t="s">
        <v>1517</v>
      </c>
      <c r="CH43" s="245"/>
      <c r="CI43" s="246" t="s">
        <v>1517</v>
      </c>
      <c r="CJ43" s="246">
        <f>'Aerospace Propulsion Division'!$AD$169</f>
        <v>-5.5719700068166511E-2</v>
      </c>
      <c r="CK43" s="247" t="s">
        <v>1517</v>
      </c>
      <c r="CL43" s="245"/>
      <c r="CM43" s="246" t="s">
        <v>1517</v>
      </c>
      <c r="CN43" s="246">
        <f>'Aerospace Propulsion Division'!$AD$169</f>
        <v>-5.5719700068166511E-2</v>
      </c>
      <c r="CO43" s="247" t="s">
        <v>1517</v>
      </c>
      <c r="CP43" s="1551"/>
      <c r="CQ43" s="246" t="s">
        <v>1517</v>
      </c>
      <c r="CR43" s="246">
        <f>'Aerospace Propulsion Division'!$AD$169</f>
        <v>-5.5719700068166511E-2</v>
      </c>
      <c r="CS43" s="247" t="s">
        <v>1517</v>
      </c>
      <c r="CT43" s="1551"/>
      <c r="CU43" s="1172"/>
      <c r="CW43" s="246" t="s">
        <v>1517</v>
      </c>
      <c r="CX43" s="246">
        <f>'Aerospace Propulsion Division'!$AD$169</f>
        <v>-5.5719700068166511E-2</v>
      </c>
      <c r="CY43" s="247" t="s">
        <v>1517</v>
      </c>
    </row>
    <row r="44" spans="2:103" s="552" customFormat="1" ht="24">
      <c r="B44" s="619"/>
      <c r="E44" s="938" t="s">
        <v>1719</v>
      </c>
      <c r="F44" s="939"/>
      <c r="G44" s="940" t="s">
        <v>1764</v>
      </c>
      <c r="H44" s="131"/>
      <c r="J44" s="131"/>
      <c r="K44" s="131"/>
      <c r="L44" s="131"/>
      <c r="M44" s="131"/>
      <c r="N44" s="570"/>
      <c r="O44" s="941"/>
      <c r="P44" s="131"/>
      <c r="Q44" s="942"/>
      <c r="R44" s="570"/>
      <c r="S44" s="131"/>
      <c r="T44" s="131"/>
      <c r="U44" s="943"/>
      <c r="V44" s="570"/>
      <c r="W44" s="131"/>
      <c r="X44" s="131"/>
      <c r="Y44" s="943"/>
      <c r="Z44" s="570"/>
      <c r="AA44" s="131"/>
      <c r="AB44" s="131"/>
      <c r="AC44" s="943"/>
      <c r="AD44" s="570"/>
      <c r="AE44" s="131"/>
      <c r="AF44" s="942"/>
      <c r="AG44" s="570"/>
      <c r="AH44" s="941" t="e">
        <f ca="1">_xll.VisibleAlpha.UDF.VAData($C$2,AH$6,$E44,$E$11,"CD","IMPL",$C$6)</f>
        <v>#NAME?</v>
      </c>
      <c r="AI44" s="131" t="s">
        <v>1517</v>
      </c>
      <c r="AJ44" s="943" t="s">
        <v>1517</v>
      </c>
      <c r="AK44" s="570"/>
      <c r="AL44" s="941" t="e">
        <f ca="1">_xll.VisibleAlpha.UDF.VAData($C$2,AL$6,$E44,$E$11,"CD","IMPL",$C$6)</f>
        <v>#NAME?</v>
      </c>
      <c r="AM44" s="941" t="e">
        <f ca="1">_xll.VisibleAlpha.UDF.VAData($C$2,AM$6,$E44,$E$11,"CD","IMPL",$C$6)</f>
        <v>#NAME?</v>
      </c>
      <c r="AN44" s="570"/>
      <c r="AO44" s="131"/>
      <c r="AP44" s="570"/>
      <c r="AQ44" s="131"/>
      <c r="AR44" s="131"/>
      <c r="AS44" s="943"/>
      <c r="AT44" s="570"/>
      <c r="AU44" s="131"/>
      <c r="AV44" s="131"/>
      <c r="AW44" s="943"/>
      <c r="AX44" s="570"/>
      <c r="AY44" s="131"/>
      <c r="AZ44" s="131"/>
      <c r="BA44" s="943"/>
      <c r="BB44" s="570"/>
      <c r="BC44" s="131"/>
      <c r="BD44" s="131"/>
      <c r="BE44" s="943"/>
      <c r="BF44" s="570"/>
      <c r="BG44" s="131" t="s">
        <v>1517</v>
      </c>
      <c r="BH44" s="131" t="s">
        <v>1517</v>
      </c>
      <c r="BI44" s="944" t="s">
        <v>1517</v>
      </c>
      <c r="BJ44" s="570"/>
      <c r="BK44" s="941" t="e">
        <f ca="1">_xll.VisibleAlpha.UDF.VAData($C$2,BK$6,$E44,$E$11,"CD","IMPL",$C$6)</f>
        <v>#NAME?</v>
      </c>
      <c r="BL44" s="131" t="s">
        <v>1517</v>
      </c>
      <c r="BM44" s="943" t="s">
        <v>1517</v>
      </c>
      <c r="BN44" s="570"/>
      <c r="BO44" s="937" t="s">
        <v>1850</v>
      </c>
      <c r="BP44" s="570"/>
      <c r="BQ44" s="941" t="e">
        <f ca="1">_xll.VisibleAlpha.UDF.VAData($C$2,BQ$6,$E44,$E$11,"CD","IMPL",$C$6)</f>
        <v>#NAME?</v>
      </c>
      <c r="BR44" s="941">
        <f>'Aerospace Propulsion Division'!$AA$27</f>
        <v>1817</v>
      </c>
      <c r="BS44" s="942" t="e">
        <f ca="1">BR44/BQ44-1</f>
        <v>#NAME?</v>
      </c>
      <c r="BT44" s="570"/>
      <c r="BU44" s="1093" t="s">
        <v>1793</v>
      </c>
      <c r="BV44" s="570"/>
      <c r="BW44" s="941" t="e">
        <f ca="1">_xll.VisibleAlpha.UDF.VAData($C$2,BW$6,$E44,$E$11,"CD","IMPL",$C$6)</f>
        <v>#NAME?</v>
      </c>
      <c r="BX44" s="941">
        <f>'Aerospace Propulsion Division'!$AA$27</f>
        <v>1817</v>
      </c>
      <c r="BY44" s="942" t="e">
        <f ca="1">BX44/BW44-1</f>
        <v>#NAME?</v>
      </c>
      <c r="BZ44" s="570"/>
      <c r="CA44" s="941" t="e">
        <f ca="1">_xll.VisibleAlpha.UDF.VAData($C$2,CA$6,$E44,$E$11,"CD","IMPL",$C$6)</f>
        <v>#NAME?</v>
      </c>
      <c r="CB44" s="941">
        <f>'Aerospace Propulsion Division'!$AB$27</f>
        <v>1957</v>
      </c>
      <c r="CC44" s="942" t="e">
        <f ca="1">CB44/CA44-1</f>
        <v>#NAME?</v>
      </c>
      <c r="CD44" s="570"/>
      <c r="CE44" s="941" t="e">
        <f ca="1">_xll.VisibleAlpha.UDF.VAData($C$2,CE$6,$E44,$E$11,"CD","IMPL",$C$6)</f>
        <v>#NAME?</v>
      </c>
      <c r="CF44" s="941">
        <f>'Aerospace Propulsion Division'!$AC$27</f>
        <v>2146</v>
      </c>
      <c r="CG44" s="942" t="e">
        <f ca="1">CF44/CE44-1</f>
        <v>#NAME?</v>
      </c>
      <c r="CH44" s="570"/>
      <c r="CI44" s="941" t="e">
        <f ca="1">_xll.VisibleAlpha.UDF.VAData($C$2,CI$6,$E44,$E$11,"CD","IMPL",$C$6)</f>
        <v>#NAME?</v>
      </c>
      <c r="CJ44" s="941">
        <f>'Aerospace Propulsion Division'!$AD$27</f>
        <v>2253.3000000000002</v>
      </c>
      <c r="CK44" s="942" t="e">
        <f ca="1">CJ44/CI44-1</f>
        <v>#NAME?</v>
      </c>
      <c r="CL44" s="570"/>
      <c r="CM44" s="941" t="e">
        <f ca="1">_xll.VisibleAlpha.UDF.VAData($C$2,CM$6,$E44,$E$11,"CD","IMPL",$C$6)</f>
        <v>#NAME?</v>
      </c>
      <c r="CN44" s="941">
        <f>'Aerospace Propulsion Division'!$AE$27</f>
        <v>2365.9650000000001</v>
      </c>
      <c r="CO44" s="942" t="e">
        <f ca="1">CN44/CM44-1</f>
        <v>#NAME?</v>
      </c>
      <c r="CP44" s="571"/>
      <c r="CQ44" s="941" t="e">
        <f ca="1">_xll.VisibleAlpha.UDF.VAData($C$2,CQ$6,$E44,$E$11,"CD","IMPL",$C$6)</f>
        <v>#NAME?</v>
      </c>
      <c r="CR44" s="941">
        <f>'Aerospace Propulsion Division'!$AF$27</f>
        <v>2484.2632500000004</v>
      </c>
      <c r="CS44" s="942" t="e">
        <f ca="1">CR44/CQ44-1</f>
        <v>#NAME?</v>
      </c>
      <c r="CT44" s="571"/>
      <c r="CU44" s="1120"/>
      <c r="CW44" s="941" t="e">
        <f ca="1">_xll.VisibleAlpha.UDF.VAData($C$2,CW$6,$E44,$E$11,"CD","IMPL",$C$6)</f>
        <v>#NAME?</v>
      </c>
      <c r="CX44" s="941">
        <f>'Aerospace Propulsion Division'!$AE$27</f>
        <v>2365.9650000000001</v>
      </c>
      <c r="CY44" s="942" t="e">
        <f ca="1">CX44/CW44-1</f>
        <v>#NAME?</v>
      </c>
    </row>
    <row r="45" spans="2:103" ht="4.5" customHeight="1">
      <c r="Q45" s="116"/>
      <c r="U45" s="116"/>
      <c r="Y45" s="116"/>
      <c r="AC45" s="116"/>
      <c r="AF45" s="116"/>
      <c r="AJ45" s="116"/>
      <c r="AS45" s="116"/>
      <c r="AW45" s="116"/>
      <c r="BA45" s="116"/>
      <c r="BE45" s="116"/>
      <c r="BI45" s="116"/>
      <c r="BM45" s="116"/>
      <c r="BO45" s="773"/>
      <c r="BS45" s="116"/>
      <c r="BU45" s="1143"/>
      <c r="BY45" s="116"/>
      <c r="CC45" s="116"/>
      <c r="CG45" s="116"/>
      <c r="CK45" s="116"/>
      <c r="CO45" s="116"/>
      <c r="CS45" s="116"/>
      <c r="CU45" s="1095"/>
      <c r="CY45" s="116"/>
    </row>
    <row r="46" spans="2:103" ht="12.75" customHeight="1">
      <c r="G46" s="249" t="s">
        <v>1551</v>
      </c>
      <c r="J46" s="155"/>
      <c r="K46" s="155"/>
      <c r="L46" s="155"/>
      <c r="M46" s="155"/>
      <c r="O46" s="157"/>
      <c r="P46" s="155"/>
      <c r="S46" s="157"/>
      <c r="T46" s="155"/>
      <c r="W46" s="157"/>
      <c r="X46" s="155"/>
      <c r="AA46" s="157"/>
      <c r="AB46" s="155"/>
      <c r="AE46" s="157"/>
      <c r="AH46" s="157"/>
      <c r="AI46" s="155"/>
      <c r="AL46" s="157"/>
      <c r="AM46" s="155"/>
      <c r="BK46" s="157"/>
      <c r="BL46" s="155"/>
      <c r="BX46" s="1201"/>
      <c r="BY46" s="155"/>
      <c r="CU46" s="1143"/>
    </row>
    <row r="47" spans="2:103">
      <c r="G47" s="249"/>
      <c r="AR47" s="676"/>
      <c r="AV47" s="676"/>
      <c r="AZ47" s="676"/>
      <c r="BD47" s="676"/>
      <c r="BU47" s="1186"/>
    </row>
    <row r="48" spans="2:103">
      <c r="G48" s="249"/>
      <c r="AR48" s="676"/>
      <c r="AV48" s="676"/>
      <c r="AZ48" s="676"/>
      <c r="BD48" s="676"/>
      <c r="BU48" s="1186"/>
    </row>
    <row r="49" spans="7:132">
      <c r="G49" s="249"/>
      <c r="AR49" s="676"/>
      <c r="AV49" s="676"/>
      <c r="AZ49" s="676"/>
      <c r="BD49" s="676"/>
      <c r="BU49" s="1186"/>
    </row>
    <row r="50" spans="7:132">
      <c r="G50" s="249"/>
      <c r="AR50" s="676"/>
      <c r="AV50" s="676"/>
      <c r="AZ50" s="676"/>
      <c r="BD50" s="676"/>
      <c r="BU50" s="1186"/>
    </row>
    <row r="51" spans="7:132">
      <c r="G51" s="249"/>
      <c r="AR51" s="676"/>
      <c r="AV51" s="676"/>
      <c r="AZ51" s="676"/>
      <c r="BD51" s="676"/>
      <c r="BU51" s="1186"/>
    </row>
    <row r="52" spans="7:132">
      <c r="G52" s="249"/>
      <c r="AR52" s="676"/>
      <c r="AV52" s="676"/>
      <c r="AZ52" s="676"/>
      <c r="BD52" s="676"/>
      <c r="BU52" s="1186"/>
      <c r="DR52" s="1676" t="s">
        <v>1835</v>
      </c>
      <c r="DS52" s="1676"/>
      <c r="DZ52" s="956" t="s">
        <v>1753</v>
      </c>
    </row>
    <row r="53" spans="7:132">
      <c r="G53" s="249"/>
      <c r="AR53" s="676"/>
      <c r="AV53" s="676"/>
      <c r="AZ53" s="676"/>
      <c r="BD53" s="676"/>
      <c r="BU53" s="1186"/>
      <c r="CW53" s="587"/>
      <c r="CX53" s="85"/>
      <c r="CY53" s="587"/>
      <c r="CZ53" s="85"/>
      <c r="DA53" s="1677" t="s">
        <v>1704</v>
      </c>
      <c r="DB53" s="1677"/>
      <c r="DC53" s="685"/>
      <c r="DD53" s="85"/>
      <c r="DE53" s="685"/>
      <c r="DF53" s="685"/>
      <c r="DG53" s="85"/>
      <c r="DH53" s="587"/>
      <c r="DK53" s="587"/>
      <c r="DP53" s="587"/>
      <c r="DR53" s="1681" t="s">
        <v>1836</v>
      </c>
      <c r="DS53" s="1681"/>
      <c r="DU53" s="587"/>
      <c r="DZ53" s="955" t="s">
        <v>1752</v>
      </c>
    </row>
    <row r="54" spans="7:132" ht="4.5" customHeight="1">
      <c r="G54" s="249"/>
      <c r="AR54" s="676"/>
      <c r="AV54" s="676"/>
      <c r="AZ54" s="676"/>
      <c r="BD54" s="676"/>
      <c r="BU54" s="1186"/>
      <c r="CW54" s="587"/>
      <c r="CX54" s="85"/>
      <c r="CY54" s="587"/>
      <c r="CZ54" s="85"/>
      <c r="DA54" s="672"/>
      <c r="DB54" s="688"/>
      <c r="DC54" s="780"/>
      <c r="DD54" s="85"/>
      <c r="DE54" s="587"/>
      <c r="DF54" s="587"/>
      <c r="DG54" s="85"/>
      <c r="DH54" s="766"/>
      <c r="DK54" s="587"/>
      <c r="DP54" s="766"/>
      <c r="DU54" s="766"/>
      <c r="DW54" s="907"/>
      <c r="DX54" s="908"/>
      <c r="EB54" s="957"/>
    </row>
    <row r="55" spans="7:132">
      <c r="G55" s="249"/>
      <c r="AR55" s="676"/>
      <c r="AV55" s="676"/>
      <c r="AZ55" s="676"/>
      <c r="BD55" s="676"/>
      <c r="BU55" s="1186"/>
      <c r="CW55" s="595" t="s">
        <v>732</v>
      </c>
      <c r="CX55" s="85"/>
      <c r="CY55" s="686" t="s">
        <v>740</v>
      </c>
      <c r="CZ55" s="85"/>
      <c r="DA55" s="687" t="s">
        <v>1659</v>
      </c>
      <c r="DB55" s="689" t="s">
        <v>1712</v>
      </c>
      <c r="DC55" s="781" t="s">
        <v>1670</v>
      </c>
      <c r="DD55" s="85"/>
      <c r="DE55" s="701" t="s">
        <v>1659</v>
      </c>
      <c r="DF55" s="701" t="s">
        <v>1712</v>
      </c>
      <c r="DG55" s="85"/>
      <c r="DH55" s="747" t="s">
        <v>1397</v>
      </c>
      <c r="DK55" s="595" t="s">
        <v>732</v>
      </c>
      <c r="DM55" s="1678" t="s">
        <v>1659</v>
      </c>
      <c r="DN55" s="1678"/>
      <c r="DP55" s="747" t="s">
        <v>1397</v>
      </c>
      <c r="DR55" s="1678" t="s">
        <v>1729</v>
      </c>
      <c r="DS55" s="1678"/>
      <c r="DU55" s="747" t="s">
        <v>1832</v>
      </c>
      <c r="DW55" s="1679" t="s">
        <v>1730</v>
      </c>
      <c r="DX55" s="1680"/>
      <c r="DZ55" s="953" t="s">
        <v>1731</v>
      </c>
      <c r="EB55" s="1215" t="s">
        <v>1732</v>
      </c>
    </row>
    <row r="56" spans="7:132">
      <c r="G56" s="249"/>
      <c r="AR56" s="676"/>
      <c r="AV56" s="676"/>
      <c r="AZ56" s="676"/>
      <c r="BD56" s="676"/>
      <c r="BU56" s="1186"/>
      <c r="CW56" s="82" t="s">
        <v>1394</v>
      </c>
      <c r="CX56" s="245"/>
      <c r="CY56" s="686" t="s">
        <v>1634</v>
      </c>
      <c r="CZ56" s="245"/>
      <c r="DA56" s="687" t="s">
        <v>1421</v>
      </c>
      <c r="DB56" s="764" t="s">
        <v>1421</v>
      </c>
      <c r="DC56" s="781" t="s">
        <v>1713</v>
      </c>
      <c r="DD56" s="245"/>
      <c r="DE56" s="701" t="s">
        <v>1674</v>
      </c>
      <c r="DF56" s="701" t="s">
        <v>1674</v>
      </c>
      <c r="DG56" s="245"/>
      <c r="DH56" s="747" t="s">
        <v>1635</v>
      </c>
      <c r="DK56" s="82" t="s">
        <v>1394</v>
      </c>
      <c r="DM56" s="743" t="s">
        <v>1743</v>
      </c>
      <c r="DN56" s="743" t="s">
        <v>1697</v>
      </c>
      <c r="DP56" s="747" t="s">
        <v>1635</v>
      </c>
      <c r="DR56" s="743" t="s">
        <v>1697</v>
      </c>
      <c r="DS56" s="743" t="s">
        <v>1831</v>
      </c>
      <c r="DU56" s="747" t="s">
        <v>1785</v>
      </c>
      <c r="DW56" s="909" t="s">
        <v>1721</v>
      </c>
      <c r="DX56" s="910" t="s">
        <v>1697</v>
      </c>
      <c r="DZ56" s="954" t="s">
        <v>1697</v>
      </c>
      <c r="EB56" s="1214" t="s">
        <v>1697</v>
      </c>
    </row>
    <row r="57" spans="7:132">
      <c r="G57" s="249"/>
      <c r="AR57" s="676"/>
      <c r="AV57" s="676"/>
      <c r="AZ57" s="676"/>
      <c r="BD57" s="676"/>
      <c r="BU57" s="1186"/>
      <c r="CW57" s="596" t="s">
        <v>1267</v>
      </c>
      <c r="CX57" s="620"/>
      <c r="CY57" s="553"/>
      <c r="CZ57" s="620"/>
      <c r="DA57" s="634"/>
      <c r="DB57" s="690"/>
      <c r="DC57" s="777"/>
      <c r="DD57" s="620"/>
      <c r="DE57" s="737"/>
      <c r="DF57" s="737"/>
      <c r="DG57" s="620"/>
      <c r="DH57" s="767"/>
      <c r="DK57" s="596" t="s">
        <v>1267</v>
      </c>
      <c r="DM57" s="596"/>
      <c r="DN57" s="596"/>
      <c r="DP57" s="767"/>
      <c r="DR57" s="596"/>
      <c r="DS57" s="596"/>
      <c r="DU57" s="767"/>
      <c r="DW57" s="911"/>
      <c r="DX57" s="912"/>
      <c r="DZ57" s="596"/>
      <c r="EB57" s="958"/>
    </row>
    <row r="58" spans="7:132">
      <c r="G58" s="249"/>
      <c r="AR58" s="676"/>
      <c r="AV58" s="676"/>
      <c r="AZ58" s="676"/>
      <c r="BD58" s="676"/>
      <c r="BU58" s="1186"/>
      <c r="CW58" s="559" t="s">
        <v>1402</v>
      </c>
      <c r="CX58" s="609"/>
      <c r="CY58" s="99">
        <f>'Income Statement'!$Y$5</f>
        <v>11876</v>
      </c>
      <c r="CZ58" s="609"/>
      <c r="DA58" s="635">
        <f>'GSe vs Consensus'!$BR$13</f>
        <v>15370.630147753953</v>
      </c>
      <c r="DB58" s="691" t="e">
        <f ca="1">'GSe vs Consensus'!$BQ$13</f>
        <v>#NAME?</v>
      </c>
      <c r="DC58" s="1009" t="e">
        <f ca="1">DA58/DB58-1</f>
        <v>#NAME?</v>
      </c>
      <c r="DD58" s="609"/>
      <c r="DE58" s="990">
        <f t="shared" ref="DE58:DF60" si="37">DA58/$CY58-1</f>
        <v>0.29425986424334405</v>
      </c>
      <c r="DF58" s="990" t="e">
        <f t="shared" ca="1" si="37"/>
        <v>#NAME?</v>
      </c>
      <c r="DG58" s="609"/>
      <c r="DH58" s="768"/>
      <c r="DK58" s="559" t="s">
        <v>1402</v>
      </c>
      <c r="DM58" s="560">
        <v>3339</v>
      </c>
      <c r="DN58" s="99">
        <v>13184.937570725149</v>
      </c>
      <c r="DP58" s="768"/>
      <c r="DR58" s="560">
        <v>13443</v>
      </c>
      <c r="DS58" s="560">
        <v>15115</v>
      </c>
      <c r="DU58" s="768"/>
      <c r="DW58" s="966" t="e">
        <f>DM58/#REF!-1</f>
        <v>#REF!</v>
      </c>
      <c r="DX58" s="968">
        <f>DN58/DR58-1</f>
        <v>-1.9196788609302295E-2</v>
      </c>
      <c r="DZ58" s="560">
        <v>13528</v>
      </c>
      <c r="EB58" s="970">
        <f>DR58/DZ58-1</f>
        <v>-6.2832643406268707E-3</v>
      </c>
    </row>
    <row r="59" spans="7:132">
      <c r="G59" s="249"/>
      <c r="AR59" s="676"/>
      <c r="AV59" s="676"/>
      <c r="AZ59" s="676"/>
      <c r="BD59" s="676"/>
      <c r="BU59" s="1186"/>
      <c r="CW59" s="559" t="s">
        <v>1404</v>
      </c>
      <c r="CX59" s="617"/>
      <c r="CY59" s="99">
        <f>'Income Statement'!$Y$6</f>
        <v>8835</v>
      </c>
      <c r="CZ59" s="617"/>
      <c r="DA59" s="635">
        <f>'GSe vs Consensus'!$BR$14</f>
        <v>12191.476774649433</v>
      </c>
      <c r="DB59" s="691" t="e">
        <f ca="1">'GSe vs Consensus'!$BQ$14</f>
        <v>#NAME?</v>
      </c>
      <c r="DC59" s="1009" t="e">
        <f t="shared" ref="DC59:DC61" ca="1" si="38">DA59/DB59-1</f>
        <v>#NAME?</v>
      </c>
      <c r="DD59" s="617"/>
      <c r="DE59" s="990">
        <f t="shared" si="37"/>
        <v>0.37990682225800021</v>
      </c>
      <c r="DF59" s="990" t="e">
        <f t="shared" ca="1" si="37"/>
        <v>#NAME?</v>
      </c>
      <c r="DG59" s="617"/>
      <c r="DH59" s="768"/>
      <c r="DK59" s="559" t="s">
        <v>1404</v>
      </c>
      <c r="DM59" s="560">
        <v>2527</v>
      </c>
      <c r="DN59" s="99">
        <v>10707.090649076501</v>
      </c>
      <c r="DP59" s="768"/>
      <c r="DR59" s="560">
        <v>10612</v>
      </c>
      <c r="DS59" s="560">
        <v>11761</v>
      </c>
      <c r="DU59" s="768"/>
      <c r="DW59" s="966" t="e">
        <f>DM59/#REF!-1</f>
        <v>#REF!</v>
      </c>
      <c r="DX59" s="968">
        <f>DN59/DR59-1</f>
        <v>8.9606717938655045E-3</v>
      </c>
      <c r="DZ59" s="560">
        <v>10617</v>
      </c>
      <c r="EB59" s="970">
        <f>DR59/DZ59-1</f>
        <v>-4.7094282754078787E-4</v>
      </c>
    </row>
    <row r="60" spans="7:132">
      <c r="G60" s="249"/>
      <c r="AR60" s="676"/>
      <c r="AV60" s="676"/>
      <c r="AZ60" s="676"/>
      <c r="BD60" s="676"/>
      <c r="BU60" s="1186"/>
      <c r="CW60" s="559" t="s">
        <v>1293</v>
      </c>
      <c r="CX60" s="617"/>
      <c r="CY60" s="99">
        <f>'Income Statement'!$Y$7</f>
        <v>2477</v>
      </c>
      <c r="CZ60" s="617"/>
      <c r="DA60" s="635">
        <f>'GSe vs Consensus'!$BR$15</f>
        <v>3423.86</v>
      </c>
      <c r="DB60" s="691" t="e">
        <f ca="1">'GSe vs Consensus'!$BQ$15</f>
        <v>#NAME?</v>
      </c>
      <c r="DC60" s="1009" t="e">
        <f t="shared" ca="1" si="38"/>
        <v>#NAME?</v>
      </c>
      <c r="DD60" s="617"/>
      <c r="DE60" s="990">
        <f t="shared" si="37"/>
        <v>0.38226079935405743</v>
      </c>
      <c r="DF60" s="990" t="e">
        <f t="shared" ca="1" si="37"/>
        <v>#NAME?</v>
      </c>
      <c r="DG60" s="617"/>
      <c r="DH60" s="768"/>
      <c r="DK60" s="559" t="s">
        <v>1293</v>
      </c>
      <c r="DM60" s="560">
        <v>771</v>
      </c>
      <c r="DN60" s="99">
        <v>3042.0762942980091</v>
      </c>
      <c r="DP60" s="768"/>
      <c r="DR60" s="560">
        <v>3039</v>
      </c>
      <c r="DS60" s="560">
        <v>3477</v>
      </c>
      <c r="DU60" s="768"/>
      <c r="DW60" s="966" t="e">
        <f>DM60/#REF!-1</f>
        <v>#REF!</v>
      </c>
      <c r="DX60" s="968">
        <f>DN60/DR60-1</f>
        <v>1.0122718979956868E-3</v>
      </c>
      <c r="DZ60" s="560">
        <v>3000</v>
      </c>
      <c r="EB60" s="970">
        <f>DR60/DZ60-1</f>
        <v>1.2999999999999901E-2</v>
      </c>
    </row>
    <row r="61" spans="7:132" hidden="1">
      <c r="G61" s="249"/>
      <c r="AR61" s="676"/>
      <c r="AV61" s="676"/>
      <c r="AZ61" s="676"/>
      <c r="BD61" s="676"/>
      <c r="BU61" s="1186"/>
      <c r="CW61" s="559" t="s">
        <v>776</v>
      </c>
      <c r="CX61" s="621"/>
      <c r="CY61" s="99">
        <f>'Income Statement'!$Y$8</f>
        <v>11</v>
      </c>
      <c r="CZ61" s="621"/>
      <c r="DA61" s="635">
        <f>'GSe vs Consensus'!$BR$16</f>
        <v>10</v>
      </c>
      <c r="DB61" s="691" t="e">
        <f ca="1">'GSe vs Consensus'!$BQ$16</f>
        <v>#NAME?</v>
      </c>
      <c r="DC61" s="1009" t="e">
        <f t="shared" ca="1" si="38"/>
        <v>#NAME?</v>
      </c>
      <c r="DD61" s="621"/>
      <c r="DE61" s="990"/>
      <c r="DF61" s="990"/>
      <c r="DG61" s="621"/>
      <c r="DH61" s="768"/>
      <c r="DK61" s="559" t="s">
        <v>776</v>
      </c>
      <c r="DM61" s="560"/>
      <c r="DN61" s="99">
        <v>11</v>
      </c>
      <c r="DP61" s="768"/>
      <c r="DR61" s="560"/>
      <c r="DS61" s="560"/>
      <c r="DU61" s="768"/>
      <c r="DW61" s="966" t="e">
        <f>DM61/#REF!-1</f>
        <v>#REF!</v>
      </c>
      <c r="DX61" s="968" t="e">
        <f>DN61/DR61-1</f>
        <v>#DIV/0!</v>
      </c>
      <c r="DZ61" s="560"/>
      <c r="EB61" s="970"/>
    </row>
    <row r="62" spans="7:132">
      <c r="G62" s="249"/>
      <c r="AR62" s="676"/>
      <c r="AV62" s="676"/>
      <c r="AZ62" s="676"/>
      <c r="BD62" s="676"/>
      <c r="BU62" s="1186"/>
      <c r="CW62" s="597" t="s">
        <v>1408</v>
      </c>
      <c r="CX62" s="576"/>
      <c r="CY62" s="123">
        <f>'Income Statement'!$Y$9</f>
        <v>23199</v>
      </c>
      <c r="CZ62" s="576"/>
      <c r="DA62" s="636">
        <f>'GSe vs Consensus'!$BR$17</f>
        <v>27317</v>
      </c>
      <c r="DB62" s="692" t="e">
        <f ca="1">'GSe vs Consensus'!$BQ$17</f>
        <v>#NAME?</v>
      </c>
      <c r="DC62" s="1010" t="e">
        <f ca="1">DA62/DB62-1</f>
        <v>#NAME?</v>
      </c>
      <c r="DD62" s="576"/>
      <c r="DE62" s="991">
        <f>DA62/$CY62-1</f>
        <v>0.17750765119186163</v>
      </c>
      <c r="DF62" s="991" t="e">
        <f ca="1">DB62/$CY62-1</f>
        <v>#NAME?</v>
      </c>
      <c r="DG62" s="576"/>
      <c r="DH62" s="658" t="s">
        <v>1756</v>
      </c>
      <c r="DK62" s="597" t="s">
        <v>1408</v>
      </c>
      <c r="DM62" s="564">
        <v>6639</v>
      </c>
      <c r="DN62" s="123">
        <v>26945.104514099658</v>
      </c>
      <c r="DP62" s="658" t="s">
        <v>1756</v>
      </c>
      <c r="DR62" s="564">
        <v>27157</v>
      </c>
      <c r="DS62" s="564">
        <v>30610</v>
      </c>
      <c r="DU62" s="658" t="s">
        <v>1833</v>
      </c>
      <c r="DW62" s="967" t="e">
        <f>DM62/#REF!-1</f>
        <v>#REF!</v>
      </c>
      <c r="DX62" s="969">
        <f>DN62/DR62-1</f>
        <v>-7.8026102257371388E-3</v>
      </c>
      <c r="DZ62" s="1211">
        <v>27223</v>
      </c>
      <c r="EB62" s="1212">
        <f>DR62/DZ62-1</f>
        <v>-2.4244205267605068E-3</v>
      </c>
    </row>
    <row r="63" spans="7:132">
      <c r="CW63" s="568" t="s">
        <v>287</v>
      </c>
      <c r="CX63" s="576"/>
      <c r="CY63" s="132"/>
      <c r="CZ63" s="576"/>
      <c r="DA63" s="637"/>
      <c r="DB63" s="693"/>
      <c r="DC63" s="1011"/>
      <c r="DD63" s="576"/>
      <c r="DE63" s="132"/>
      <c r="DF63" s="132"/>
      <c r="DG63" s="576"/>
      <c r="DH63" s="767"/>
      <c r="DK63" s="568" t="s">
        <v>287</v>
      </c>
      <c r="DM63" s="132"/>
      <c r="DN63" s="105"/>
      <c r="DP63" s="767"/>
      <c r="DR63" s="132"/>
      <c r="DS63" s="132"/>
      <c r="DU63" s="767"/>
      <c r="DW63" s="960"/>
      <c r="DX63" s="961"/>
      <c r="DZ63" s="132"/>
      <c r="EB63" s="964"/>
    </row>
    <row r="64" spans="7:132">
      <c r="CW64" s="632" t="s">
        <v>978</v>
      </c>
      <c r="CX64" s="576"/>
      <c r="CY64" s="633">
        <f>'Income Statement'!$Y$19</f>
        <v>2390</v>
      </c>
      <c r="CZ64" s="576"/>
      <c r="DA64" s="638">
        <f>'GSe vs Consensus'!$BR$21</f>
        <v>3498.7921191512232</v>
      </c>
      <c r="DB64" s="694" t="e">
        <f ca="1">'GSe vs Consensus'!$BQ$21</f>
        <v>#NAME?</v>
      </c>
      <c r="DC64" s="1009" t="e">
        <f ca="1">DA64/DB64-1</f>
        <v>#NAME?</v>
      </c>
      <c r="DD64" s="576"/>
      <c r="DE64" s="990">
        <f>DA64/$CY64-1</f>
        <v>0.46392975696703909</v>
      </c>
      <c r="DF64" s="990" t="e">
        <f ca="1">DB64/$CY64-1</f>
        <v>#NAME?</v>
      </c>
      <c r="DG64" s="576"/>
      <c r="DH64" s="767"/>
      <c r="DK64" s="632" t="s">
        <v>978</v>
      </c>
      <c r="DM64" s="111" t="s">
        <v>1517</v>
      </c>
      <c r="DN64" s="111">
        <v>2910.4903311897051</v>
      </c>
      <c r="DP64" s="767"/>
      <c r="DR64" s="633">
        <v>2853</v>
      </c>
      <c r="DS64" s="633">
        <v>3188</v>
      </c>
      <c r="DU64" s="767"/>
      <c r="DW64" s="966" t="s">
        <v>1517</v>
      </c>
      <c r="DX64" s="968">
        <f>DN64/DR64-1</f>
        <v>2.0150834626605274E-2</v>
      </c>
      <c r="DZ64" s="633">
        <v>2853</v>
      </c>
      <c r="EB64" s="970">
        <f>DR64/DZ64-1</f>
        <v>0</v>
      </c>
    </row>
    <row r="65" spans="101:132">
      <c r="CW65" s="581" t="s">
        <v>996</v>
      </c>
      <c r="CX65" s="576"/>
      <c r="CY65" s="669">
        <f>CY64/CY58</f>
        <v>0.20124621084540248</v>
      </c>
      <c r="CZ65" s="576"/>
      <c r="DA65" s="666">
        <f>'GSe vs Consensus'!$BR$22</f>
        <v>0.227628411165855</v>
      </c>
      <c r="DB65" s="695" t="e">
        <f ca="1">'GSe vs Consensus'!$BQ$22</f>
        <v>#NAME?</v>
      </c>
      <c r="DC65" s="1012" t="e">
        <f ca="1">(DA65-DB65)*100</f>
        <v>#NAME?</v>
      </c>
      <c r="DD65" s="576"/>
      <c r="DE65" s="994">
        <f>(DA65-$CY65)*100</f>
        <v>2.6382200320452522</v>
      </c>
      <c r="DF65" s="994" t="e">
        <f ca="1">(DB65-$CY65)*100</f>
        <v>#NAME?</v>
      </c>
      <c r="DG65" s="576"/>
      <c r="DH65" s="768"/>
      <c r="DK65" s="581" t="s">
        <v>996</v>
      </c>
      <c r="DM65" s="669" t="s">
        <v>1517</v>
      </c>
      <c r="DN65" s="669">
        <f>DN64/DN58</f>
        <v>0.22074358073958125</v>
      </c>
      <c r="DP65" s="768"/>
      <c r="DR65" s="669">
        <f>DR64/DR58</f>
        <v>0.21222941307743806</v>
      </c>
      <c r="DS65" s="669">
        <f>DS64/DS58</f>
        <v>0.21091630830301025</v>
      </c>
      <c r="DU65" s="768"/>
      <c r="DW65" s="962" t="s">
        <v>1517</v>
      </c>
      <c r="DX65" s="963">
        <f>(DN65-DR65)*100</f>
        <v>0.85141676621431905</v>
      </c>
      <c r="DZ65" s="669">
        <v>0.21089591957421644</v>
      </c>
      <c r="EB65" s="965">
        <f>(DR65-DZ65)*100</f>
        <v>0.13334935032216222</v>
      </c>
    </row>
    <row r="66" spans="101:132">
      <c r="CW66" s="559" t="s">
        <v>1404</v>
      </c>
      <c r="CX66" s="571"/>
      <c r="CY66" s="633">
        <f>'Income Statement'!$Y$20</f>
        <v>992</v>
      </c>
      <c r="CZ66" s="571"/>
      <c r="DA66" s="638">
        <f>'GSe vs Consensus'!$BR$23</f>
        <v>1601.943770022559</v>
      </c>
      <c r="DB66" s="694" t="e">
        <f ca="1">'GSe vs Consensus'!$BQ$23</f>
        <v>#NAME?</v>
      </c>
      <c r="DC66" s="1009" t="e">
        <f ca="1">DA66/DB66-1</f>
        <v>#NAME?</v>
      </c>
      <c r="DD66" s="571"/>
      <c r="DE66" s="990">
        <f>DA66/$CY66-1</f>
        <v>0.61486267139370865</v>
      </c>
      <c r="DF66" s="990" t="e">
        <f ca="1">DB66/$CY66-1</f>
        <v>#NAME?</v>
      </c>
      <c r="DG66" s="571"/>
      <c r="DH66" s="769"/>
      <c r="DK66" s="559" t="s">
        <v>1404</v>
      </c>
      <c r="DM66" s="111" t="s">
        <v>1517</v>
      </c>
      <c r="DN66" s="111">
        <v>1353.4263972212764</v>
      </c>
      <c r="DP66" s="769"/>
      <c r="DR66" s="633">
        <v>1314</v>
      </c>
      <c r="DS66" s="633">
        <v>1585</v>
      </c>
      <c r="DU66" s="769"/>
      <c r="DW66" s="966" t="s">
        <v>1517</v>
      </c>
      <c r="DX66" s="968">
        <f>DN66/DR66-1</f>
        <v>3.0004868509342808E-2</v>
      </c>
      <c r="DZ66" s="633">
        <v>1319</v>
      </c>
      <c r="EB66" s="970">
        <f>DR66/DZ66-1</f>
        <v>-3.7907505686125553E-3</v>
      </c>
    </row>
    <row r="67" spans="101:132">
      <c r="CW67" s="581" t="s">
        <v>996</v>
      </c>
      <c r="CX67" s="622"/>
      <c r="CY67" s="669">
        <f>CY66/CY59</f>
        <v>0.11228070175438597</v>
      </c>
      <c r="CZ67" s="622"/>
      <c r="DA67" s="666">
        <f>'GSe vs Consensus'!$BR$24</f>
        <v>0.13139866479125725</v>
      </c>
      <c r="DB67" s="695" t="e">
        <f ca="1">'GSe vs Consensus'!$BQ$24</f>
        <v>#NAME?</v>
      </c>
      <c r="DC67" s="1012" t="e">
        <f ca="1">(DA67-DB67)*100</f>
        <v>#NAME?</v>
      </c>
      <c r="DD67" s="622"/>
      <c r="DE67" s="994">
        <f>(DA67-$CY67)*100</f>
        <v>1.9117963036871286</v>
      </c>
      <c r="DF67" s="994" t="e">
        <f ca="1">(DB67-$CY67)*100</f>
        <v>#NAME?</v>
      </c>
      <c r="DG67" s="622"/>
      <c r="DH67" s="768"/>
      <c r="DK67" s="581" t="s">
        <v>996</v>
      </c>
      <c r="DM67" s="669" t="s">
        <v>1517</v>
      </c>
      <c r="DN67" s="669">
        <f>DN66/DN59</f>
        <v>0.12640468280129963</v>
      </c>
      <c r="DP67" s="768"/>
      <c r="DR67" s="669">
        <f>DR66/DR59</f>
        <v>0.12382208820203543</v>
      </c>
      <c r="DS67" s="669">
        <f>DS66/DS59</f>
        <v>0.1347674517473004</v>
      </c>
      <c r="DU67" s="768"/>
      <c r="DW67" s="962" t="s">
        <v>1517</v>
      </c>
      <c r="DX67" s="963">
        <f>(DN67-DR67)*100</f>
        <v>0.25825945992642013</v>
      </c>
      <c r="DZ67" s="669">
        <v>0.1242347179052463</v>
      </c>
      <c r="EB67" s="965">
        <f>(DR67-DZ67)*100</f>
        <v>-4.1262970321087611E-2</v>
      </c>
    </row>
    <row r="68" spans="101:132">
      <c r="CW68" s="559" t="s">
        <v>1293</v>
      </c>
      <c r="CX68" s="552"/>
      <c r="CY68" s="633">
        <f>'Income Statement'!$Y$21</f>
        <v>-116</v>
      </c>
      <c r="CZ68" s="552"/>
      <c r="DA68" s="638">
        <f>'GSe vs Consensus'!$BR$25</f>
        <v>106.69281550872572</v>
      </c>
      <c r="DB68" s="694" t="e">
        <f ca="1">'GSe vs Consensus'!$BQ$25</f>
        <v>#NAME?</v>
      </c>
      <c r="DC68" s="1009" t="e">
        <f ca="1">DA68/DB68-1</f>
        <v>#NAME?</v>
      </c>
      <c r="DD68" s="552"/>
      <c r="DE68" s="990">
        <f>DA68/$CY68-1</f>
        <v>-1.9197656509372907</v>
      </c>
      <c r="DF68" s="990" t="e">
        <f ca="1">DB68/$CY68-1</f>
        <v>#NAME?</v>
      </c>
      <c r="DG68" s="552"/>
      <c r="DH68" s="769"/>
      <c r="DK68" s="559" t="s">
        <v>1293</v>
      </c>
      <c r="DM68" s="111" t="s">
        <v>1517</v>
      </c>
      <c r="DN68" s="111">
        <v>46.476243132030305</v>
      </c>
      <c r="DP68" s="769"/>
      <c r="DR68" s="633">
        <v>47</v>
      </c>
      <c r="DS68" s="633">
        <v>146</v>
      </c>
      <c r="DU68" s="769"/>
      <c r="DW68" s="966" t="s">
        <v>1517</v>
      </c>
      <c r="DX68" s="968">
        <f>DN68/DR68-1</f>
        <v>-1.1143763148291352E-2</v>
      </c>
      <c r="DZ68" s="633">
        <v>46</v>
      </c>
      <c r="EB68" s="970">
        <f>DR68/DZ68-1</f>
        <v>2.1739130434782705E-2</v>
      </c>
    </row>
    <row r="69" spans="101:132">
      <c r="CW69" s="581" t="s">
        <v>996</v>
      </c>
      <c r="CX69" s="576"/>
      <c r="CY69" s="669">
        <f>CY68/CY60</f>
        <v>-4.6830843762616065E-2</v>
      </c>
      <c r="CZ69" s="576"/>
      <c r="DA69" s="666">
        <f>'GSe vs Consensus'!$BR$26</f>
        <v>3.1161559032415378E-2</v>
      </c>
      <c r="DB69" s="695" t="e">
        <f ca="1">'GSe vs Consensus'!$BQ$26</f>
        <v>#NAME?</v>
      </c>
      <c r="DC69" s="1012" t="e">
        <f ca="1">(DA69-DB69)*100</f>
        <v>#NAME?</v>
      </c>
      <c r="DD69" s="576"/>
      <c r="DE69" s="994">
        <f>(DA69-$CY69)*100</f>
        <v>7.7992402795031444</v>
      </c>
      <c r="DF69" s="994" t="e">
        <f ca="1">(DB69-$CY69)*100</f>
        <v>#NAME?</v>
      </c>
      <c r="DG69" s="576"/>
      <c r="DH69" s="768"/>
      <c r="DK69" s="581" t="s">
        <v>996</v>
      </c>
      <c r="DM69" s="669" t="s">
        <v>1517</v>
      </c>
      <c r="DN69" s="669">
        <f>DN68/DN60</f>
        <v>1.527780326191825E-2</v>
      </c>
      <c r="DO69" s="669"/>
      <c r="DP69" s="768"/>
      <c r="DQ69" s="669"/>
      <c r="DR69" s="669">
        <f>DR68/DR60</f>
        <v>1.5465613688713393E-2</v>
      </c>
      <c r="DS69" s="669">
        <f>DS68/DS60</f>
        <v>4.1990221455277539E-2</v>
      </c>
      <c r="DU69" s="768"/>
      <c r="DW69" s="962" t="s">
        <v>1517</v>
      </c>
      <c r="DX69" s="963">
        <f>(DN69-DR69)*100</f>
        <v>-1.8781042679514269E-2</v>
      </c>
      <c r="DZ69" s="669">
        <v>1.5333333333333332E-2</v>
      </c>
      <c r="EB69" s="965">
        <f>(DR69-DZ69)*100</f>
        <v>1.3228035538006069E-2</v>
      </c>
    </row>
    <row r="70" spans="101:132" hidden="1">
      <c r="CW70" s="559" t="s">
        <v>1413</v>
      </c>
      <c r="CX70" s="552"/>
      <c r="CY70" s="633"/>
      <c r="CZ70" s="552"/>
      <c r="DA70" s="638"/>
      <c r="DB70" s="694"/>
      <c r="DC70" s="1009"/>
      <c r="DD70" s="552"/>
      <c r="DE70" s="990"/>
      <c r="DF70" s="990"/>
      <c r="DG70" s="552"/>
      <c r="DH70" s="769"/>
      <c r="DK70" s="559" t="s">
        <v>1413</v>
      </c>
      <c r="DM70" s="111"/>
      <c r="DN70" s="111">
        <v>-105</v>
      </c>
      <c r="DP70" s="769"/>
      <c r="DR70" s="633">
        <v>-100</v>
      </c>
      <c r="DS70" s="633"/>
      <c r="DU70" s="769"/>
      <c r="DW70" s="966"/>
      <c r="DX70" s="968">
        <f>-(DN70/DR70-1)</f>
        <v>-5.0000000000000044E-2</v>
      </c>
      <c r="DZ70" s="633">
        <v>-100</v>
      </c>
      <c r="EB70" s="970">
        <f>DR70/DZ70-1</f>
        <v>0</v>
      </c>
    </row>
    <row r="71" spans="101:132">
      <c r="CW71" s="631" t="s">
        <v>1415</v>
      </c>
      <c r="CX71" s="618"/>
      <c r="CY71" s="564">
        <f>'Income Statement'!$Y$23</f>
        <v>3166</v>
      </c>
      <c r="CZ71" s="618"/>
      <c r="DA71" s="636">
        <f>'GSe vs Consensus'!$BR$28</f>
        <v>5179.0617839715915</v>
      </c>
      <c r="DB71" s="692" t="e">
        <f ca="1">'GSe vs Consensus'!$BQ$28</f>
        <v>#NAME?</v>
      </c>
      <c r="DC71" s="1010" t="e">
        <f ca="1">DA71/DB71-1</f>
        <v>#NAME?</v>
      </c>
      <c r="DD71" s="618"/>
      <c r="DE71" s="991">
        <f>DA71/$CY71-1</f>
        <v>0.63583758179772309</v>
      </c>
      <c r="DF71" s="991" t="e">
        <f ca="1">DB71/$CY71-1</f>
        <v>#NAME?</v>
      </c>
      <c r="DG71" s="618"/>
      <c r="DH71" s="658" t="s">
        <v>1757</v>
      </c>
      <c r="DK71" s="631" t="s">
        <v>1415</v>
      </c>
      <c r="DM71" s="125" t="s">
        <v>1517</v>
      </c>
      <c r="DN71" s="125">
        <v>4205.3929715430122</v>
      </c>
      <c r="DP71" s="658" t="s">
        <v>1757</v>
      </c>
      <c r="DR71" s="564">
        <v>4132</v>
      </c>
      <c r="DS71" s="564">
        <v>4814</v>
      </c>
      <c r="DU71" s="658" t="s">
        <v>1787</v>
      </c>
      <c r="DW71" s="967" t="s">
        <v>1517</v>
      </c>
      <c r="DX71" s="969">
        <f>DN71/DR71-1</f>
        <v>1.7762093790661293E-2</v>
      </c>
      <c r="DZ71" s="1211">
        <v>4102</v>
      </c>
      <c r="EB71" s="1212">
        <f>DR71/DZ71-1</f>
        <v>7.3135056070210425E-3</v>
      </c>
    </row>
    <row r="72" spans="101:132">
      <c r="CW72" s="581" t="s">
        <v>996</v>
      </c>
      <c r="CX72" s="576"/>
      <c r="CY72" s="670">
        <f>CY71/CY62</f>
        <v>0.13647139962929436</v>
      </c>
      <c r="CZ72" s="576"/>
      <c r="DA72" s="667">
        <f>'GSe vs Consensus'!$BR$30</f>
        <v>0.18959116242528798</v>
      </c>
      <c r="DB72" s="696" t="e">
        <f ca="1">'GSe vs Consensus'!$BQ$30</f>
        <v>#NAME?</v>
      </c>
      <c r="DC72" s="1012" t="e">
        <f ca="1">(DA72-DB72)*100</f>
        <v>#NAME?</v>
      </c>
      <c r="DD72" s="576"/>
      <c r="DE72" s="994">
        <f>(DA72-$CY72)*100</f>
        <v>5.3119762795993619</v>
      </c>
      <c r="DF72" s="994" t="e">
        <f ca="1">(DB72-$CY72)*100</f>
        <v>#NAME?</v>
      </c>
      <c r="DG72" s="576"/>
      <c r="DH72" s="770" t="s">
        <v>1758</v>
      </c>
      <c r="DK72" s="581" t="s">
        <v>996</v>
      </c>
      <c r="DM72" s="670" t="s">
        <v>1517</v>
      </c>
      <c r="DN72" s="670">
        <f>DN71/DN62</f>
        <v>0.15607261680289425</v>
      </c>
      <c r="DO72" s="670"/>
      <c r="DP72" s="770" t="s">
        <v>1758</v>
      </c>
      <c r="DQ72" s="670"/>
      <c r="DR72" s="670">
        <f>DR71/DR62</f>
        <v>0.15215229959126561</v>
      </c>
      <c r="DS72" s="670">
        <f>DS71/DS62</f>
        <v>0.15726886638353479</v>
      </c>
      <c r="DU72" s="770"/>
      <c r="DW72" s="962" t="s">
        <v>1517</v>
      </c>
      <c r="DX72" s="963">
        <f>(DN72-DR72)*100</f>
        <v>0.39203172116286378</v>
      </c>
      <c r="DZ72" s="670">
        <v>0.15068140910259706</v>
      </c>
      <c r="EB72" s="965">
        <f>(DR72-DZ72)*100</f>
        <v>0.14708904886685525</v>
      </c>
    </row>
    <row r="73" spans="101:132">
      <c r="CW73" s="631" t="s">
        <v>979</v>
      </c>
      <c r="CX73" s="576"/>
      <c r="CY73" s="564">
        <f>'Cashflow Statement'!$Y$57</f>
        <v>2945</v>
      </c>
      <c r="CZ73" s="576"/>
      <c r="DA73" s="636">
        <f>'GSe vs Consensus'!$BR$32</f>
        <v>3518.6013391781835</v>
      </c>
      <c r="DB73" s="692" t="e">
        <f ca="1">'GSe vs Consensus'!$BQ$32</f>
        <v>#NAME?</v>
      </c>
      <c r="DC73" s="1010" t="e">
        <f ca="1">DA73/DB73-1</f>
        <v>#NAME?</v>
      </c>
      <c r="DD73" s="576"/>
      <c r="DE73" s="991">
        <f>DA73/$CY73-1</f>
        <v>0.19477125269208262</v>
      </c>
      <c r="DF73" s="991" t="e">
        <f ca="1">DB73/$CY73-1</f>
        <v>#NAME?</v>
      </c>
      <c r="DG73" s="576"/>
      <c r="DH73" s="658" t="s">
        <v>1711</v>
      </c>
      <c r="DK73" s="631" t="s">
        <v>979</v>
      </c>
      <c r="DM73" s="564" t="s">
        <v>1517</v>
      </c>
      <c r="DN73" s="564">
        <v>2895.2698027181477</v>
      </c>
      <c r="DP73" s="658" t="s">
        <v>1711</v>
      </c>
      <c r="DR73" s="564">
        <v>3001</v>
      </c>
      <c r="DS73" s="564">
        <v>3030</v>
      </c>
      <c r="DU73" s="658" t="s">
        <v>1834</v>
      </c>
      <c r="DW73" s="967" t="s">
        <v>1517</v>
      </c>
      <c r="DX73" s="969">
        <f>DN73/DR73-1</f>
        <v>-3.5231655208881163E-2</v>
      </c>
      <c r="DZ73" s="1211">
        <v>2978</v>
      </c>
      <c r="EB73" s="1212">
        <f>DR73/DZ73-1</f>
        <v>7.7233042310276279E-3</v>
      </c>
    </row>
    <row r="74" spans="101:132">
      <c r="CW74" s="631" t="s">
        <v>267</v>
      </c>
      <c r="CX74" s="618"/>
      <c r="CY74" s="776">
        <f>'Income Statement'!$Y$109</f>
        <v>2.2000000000000002</v>
      </c>
      <c r="CZ74" s="618"/>
      <c r="DA74" s="782">
        <f>'GSe vs Consensus'!$BR$40</f>
        <v>3.397328355291668</v>
      </c>
      <c r="DB74" s="697" t="e">
        <f ca="1">'GSe vs Consensus'!$BQ$40</f>
        <v>#NAME?</v>
      </c>
      <c r="DC74" s="1010" t="e">
        <f ca="1">DA74/DB74-1</f>
        <v>#NAME?</v>
      </c>
      <c r="DD74" s="618"/>
      <c r="DE74" s="991">
        <f>DA74/$CY74-1</f>
        <v>0.54424016149621268</v>
      </c>
      <c r="DF74" s="991" t="e">
        <f ca="1">DB74/$CY74-1</f>
        <v>#NAME?</v>
      </c>
      <c r="DG74" s="618"/>
      <c r="DH74" s="771"/>
      <c r="DK74" s="631" t="s">
        <v>267</v>
      </c>
      <c r="DM74" s="744" t="s">
        <v>1517</v>
      </c>
      <c r="DN74" s="744">
        <v>2.6629119718940837</v>
      </c>
      <c r="DP74" s="771"/>
      <c r="DR74" s="744" t="s">
        <v>1517</v>
      </c>
      <c r="DS74" s="744"/>
      <c r="DU74" s="771"/>
      <c r="DW74" s="915" t="s">
        <v>1517</v>
      </c>
      <c r="DX74" s="916" t="s">
        <v>1517</v>
      </c>
      <c r="DZ74" s="744" t="s">
        <v>1517</v>
      </c>
      <c r="EB74" s="1213" t="s">
        <v>1517</v>
      </c>
    </row>
    <row r="75" spans="101:132">
      <c r="CW75" s="631" t="s">
        <v>1633</v>
      </c>
      <c r="CX75" s="576"/>
      <c r="CY75" s="671">
        <f>'Aerospace Propulsion Division'!$Y$104</f>
        <v>0.32900000000000001</v>
      </c>
      <c r="CZ75" s="576"/>
      <c r="DA75" s="668">
        <f>'GSe vs Consensus'!$BR$42</f>
        <v>0.1832842541739117</v>
      </c>
      <c r="DB75" s="698" t="e">
        <f ca="1">'GSe vs Consensus'!$BQ$42</f>
        <v>#NAME?</v>
      </c>
      <c r="DC75" s="1013" t="e">
        <f ca="1">(DA75-DB75)*100</f>
        <v>#NAME?</v>
      </c>
      <c r="DD75" s="576"/>
      <c r="DE75" s="1014">
        <f>(DA75-$CY75)*100</f>
        <v>-14.571574582608832</v>
      </c>
      <c r="DF75" s="1014" t="e">
        <f ca="1">(DB75-$CY75)*100</f>
        <v>#NAME?</v>
      </c>
      <c r="DG75" s="576"/>
      <c r="DH75" s="658" t="s">
        <v>1739</v>
      </c>
      <c r="DK75" s="631" t="s">
        <v>1633</v>
      </c>
      <c r="DM75" s="671">
        <v>0</v>
      </c>
      <c r="DN75" s="671">
        <v>704.59125313791105</v>
      </c>
      <c r="DP75" s="658"/>
      <c r="DR75" s="744" t="s">
        <v>1517</v>
      </c>
      <c r="DS75" s="744"/>
      <c r="DU75" s="658"/>
      <c r="DW75" s="915" t="s">
        <v>1517</v>
      </c>
      <c r="DX75" s="916" t="s">
        <v>1517</v>
      </c>
      <c r="DZ75" s="744" t="s">
        <v>1517</v>
      </c>
      <c r="EB75" s="1213" t="s">
        <v>1517</v>
      </c>
    </row>
    <row r="76" spans="101:132" ht="3.75" customHeight="1">
      <c r="CW76" s="588"/>
      <c r="CX76" s="588"/>
      <c r="CY76" s="588"/>
      <c r="CZ76" s="588"/>
      <c r="DA76" s="714"/>
      <c r="DB76" s="715"/>
      <c r="DC76" s="778"/>
      <c r="DD76" s="588"/>
      <c r="DE76" s="588"/>
      <c r="DF76" s="588"/>
      <c r="DG76" s="588"/>
      <c r="DH76" s="772"/>
      <c r="DK76" s="588"/>
      <c r="DP76" s="773"/>
      <c r="DU76" s="773"/>
      <c r="DW76" s="913" t="s">
        <v>1517</v>
      </c>
      <c r="DX76" s="914"/>
      <c r="EB76" s="959"/>
    </row>
    <row r="77" spans="101:132">
      <c r="CW77" s="597" t="s">
        <v>1718</v>
      </c>
      <c r="CX77" s="576"/>
      <c r="CY77" s="564">
        <v>1570</v>
      </c>
      <c r="CZ77" s="576"/>
      <c r="DA77" s="636">
        <f>'Aerospace Propulsion Division'!Z27</f>
        <v>1407</v>
      </c>
      <c r="DB77" s="692" cm="1">
        <f t="array" ref="DB77">_xll.VisibleAlpha.UDF.VAData("SAF_FR", "FY-2024", "Deliveries - LEAP engines", "Consensus", "CD", "IMPL","","")</f>
        <v>1418.376</v>
      </c>
      <c r="DC77" s="1010">
        <f>DA77/DB77-1</f>
        <v>-8.0204402781772766E-3</v>
      </c>
      <c r="DD77" s="588"/>
      <c r="DE77" s="991">
        <f>DA77/$CY77-1</f>
        <v>-0.10382165605095539</v>
      </c>
      <c r="DF77" s="991">
        <f>DB77/$CY77-1</f>
        <v>-9.6575796178343998E-2</v>
      </c>
      <c r="DG77" s="588"/>
      <c r="DH77" s="658" t="s">
        <v>1759</v>
      </c>
    </row>
    <row r="78" spans="101:132" ht="3" customHeight="1">
      <c r="CY78" s="588"/>
      <c r="DA78" s="699"/>
      <c r="DB78" s="700"/>
      <c r="DC78" s="779"/>
      <c r="DH78" s="773"/>
    </row>
    <row r="79" spans="101:132">
      <c r="CW79" s="765" t="s">
        <v>1708</v>
      </c>
    </row>
  </sheetData>
  <mergeCells count="6">
    <mergeCell ref="DR52:DS52"/>
    <mergeCell ref="DA53:DB53"/>
    <mergeCell ref="DM55:DN55"/>
    <mergeCell ref="DW55:DX55"/>
    <mergeCell ref="DR53:DS53"/>
    <mergeCell ref="DR55:DS55"/>
  </mergeCells>
  <printOptions horizontalCentered="1" verticalCentered="1"/>
  <pageMargins left="0.70866141732283472" right="0.70866141732283472" top="0.74803149606299213" bottom="0.74803149606299213" header="0.31496062992125984" footer="0.31496062992125984"/>
  <pageSetup paperSize="9" orientation="landscape" r:id="rId1"/>
  <customProperties>
    <customPr name="Qube.Worksheet.Visibility" r:id="rId2"/>
    <customPr name="QXL_SHEET_ID" r:id="rId3"/>
  </customProperties>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6">
    <tabColor rgb="FFFF0000"/>
    <pageSetUpPr autoPageBreaks="0" fitToPage="1"/>
  </sheetPr>
  <dimension ref="A1:GE1310"/>
  <sheetViews>
    <sheetView showGridLines="0" zoomScale="90" zoomScaleNormal="90" workbookViewId="0">
      <pane xSplit="3" ySplit="9" topLeftCell="H231" activePane="bottomRight" state="frozen"/>
      <selection activeCell="W54" sqref="W54"/>
      <selection pane="topRight" activeCell="W54" sqref="W54"/>
      <selection pane="bottomLeft" activeCell="W54" sqref="W54"/>
      <selection pane="bottomRight" activeCell="W54" sqref="W54"/>
    </sheetView>
  </sheetViews>
  <sheetFormatPr defaultColWidth="7.75" defaultRowHeight="11.25" outlineLevelRow="2" outlineLevelCol="1"/>
  <cols>
    <col min="1" max="1" width="8.875" style="213" customWidth="1"/>
    <col min="2" max="2" width="0.75" style="213" customWidth="1"/>
    <col min="3" max="3" width="45.5" style="213" customWidth="1"/>
    <col min="4" max="19" width="8.125" style="213" customWidth="1" outlineLevel="1"/>
    <col min="20" max="30" width="8.125" style="213" customWidth="1"/>
    <col min="31" max="32" width="7.75" style="213" customWidth="1"/>
    <col min="33" max="39" width="7.75" style="213" customWidth="1" outlineLevel="1"/>
    <col min="40" max="40" width="1.125" style="213" customWidth="1"/>
    <col min="41" max="41" width="7.75" style="213"/>
    <col min="42" max="42" width="54.25" style="213" customWidth="1"/>
    <col min="43" max="43" width="9.875" style="213" customWidth="1"/>
    <col min="44" max="44" width="15.25" style="213" bestFit="1" customWidth="1"/>
    <col min="45" max="45" width="14.5" style="213" bestFit="1" customWidth="1"/>
    <col min="46" max="46" width="7.75" style="213" customWidth="1"/>
    <col min="47" max="51" width="7.75" style="213" customWidth="1" outlineLevel="1"/>
    <col min="52" max="52" width="9.125" style="213" customWidth="1" outlineLevel="1"/>
    <col min="53" max="70" width="8.125" style="213" customWidth="1" outlineLevel="1"/>
    <col min="71" max="82" width="8.125" style="213" customWidth="1"/>
    <col min="83" max="92" width="8.125" style="213" customWidth="1" outlineLevel="1"/>
    <col min="93" max="93" width="8.125" style="213" customWidth="1"/>
    <col min="94" max="94" width="7.75" style="213" customWidth="1"/>
    <col min="95" max="95" width="7.75" style="213"/>
    <col min="96" max="139" width="8.125" style="213" customWidth="1" outlineLevel="1"/>
    <col min="140" max="140" width="8.125" style="213" customWidth="1"/>
    <col min="141" max="143" width="8.75" style="213" bestFit="1" customWidth="1"/>
    <col min="144" max="144" width="8.125" style="213" customWidth="1"/>
    <col min="145" max="145" width="8.5" style="213" bestFit="1" customWidth="1"/>
    <col min="146" max="146" width="8.75" style="213" bestFit="1" customWidth="1"/>
    <col min="147" max="147" width="8.5" style="213" bestFit="1" customWidth="1"/>
    <col min="148" max="148" width="8.125" style="213" customWidth="1"/>
    <col min="149" max="155" width="8.5" style="213" bestFit="1" customWidth="1"/>
    <col min="156" max="159" width="8.5" style="213" customWidth="1" outlineLevel="1"/>
    <col min="160" max="160" width="7.75" style="213"/>
    <col min="161" max="161" width="29" style="213" customWidth="1"/>
    <col min="162" max="16384" width="7.75" style="213"/>
  </cols>
  <sheetData>
    <row r="1" spans="1:187" s="193" customFormat="1" ht="14.25" hidden="1" outlineLevel="1">
      <c r="AE1"/>
      <c r="AF1"/>
      <c r="AG1"/>
      <c r="AH1"/>
      <c r="AI1"/>
      <c r="AJ1"/>
      <c r="AK1"/>
      <c r="AL1"/>
      <c r="AM1"/>
      <c r="AP1" s="213"/>
      <c r="AQ1" s="213"/>
      <c r="AT1" s="213"/>
      <c r="AU1" s="213"/>
      <c r="AV1" s="213"/>
      <c r="AW1" s="213"/>
      <c r="AX1" s="213"/>
      <c r="AY1" s="213"/>
      <c r="AZ1" s="213"/>
    </row>
    <row r="2" spans="1:187" s="193" customFormat="1" ht="14.25" hidden="1" outlineLevel="1">
      <c r="W2" s="189"/>
      <c r="X2" s="190"/>
      <c r="Y2" s="190"/>
      <c r="Z2" s="190"/>
      <c r="AA2" s="190"/>
      <c r="AB2" s="190"/>
      <c r="AC2" s="190"/>
      <c r="AD2" s="190"/>
      <c r="AE2"/>
      <c r="AF2"/>
      <c r="AG2"/>
      <c r="AH2"/>
      <c r="AI2"/>
      <c r="AJ2"/>
      <c r="AK2"/>
      <c r="AL2"/>
      <c r="AM2"/>
      <c r="AP2" s="213"/>
      <c r="AQ2" s="213"/>
      <c r="AT2" s="213"/>
      <c r="AU2" s="213"/>
      <c r="AV2" s="213"/>
      <c r="AW2" s="213"/>
      <c r="AX2" s="213"/>
      <c r="AY2" s="213"/>
      <c r="AZ2" s="213"/>
      <c r="BA2" s="190"/>
      <c r="BB2" s="190"/>
      <c r="BC2" s="190"/>
      <c r="BD2" s="190"/>
      <c r="BE2" s="190"/>
      <c r="BF2" s="190"/>
      <c r="BG2" s="190"/>
      <c r="BH2" s="190"/>
      <c r="BI2" s="190"/>
      <c r="BJ2" s="190"/>
      <c r="BK2" s="190"/>
      <c r="BL2" s="190"/>
      <c r="BM2" s="190"/>
      <c r="BN2" s="190"/>
      <c r="BO2" s="190"/>
      <c r="BP2" s="190"/>
      <c r="BQ2" s="190"/>
      <c r="BR2" s="190"/>
      <c r="BS2" s="190"/>
      <c r="BT2" s="190"/>
      <c r="BU2" s="190"/>
      <c r="BV2" s="190"/>
      <c r="BW2" s="190"/>
      <c r="BX2" s="190"/>
      <c r="BY2" s="190"/>
      <c r="BZ2" s="190"/>
      <c r="CA2" s="190"/>
      <c r="CB2" s="190"/>
      <c r="CC2" s="190"/>
      <c r="CD2" s="190"/>
      <c r="CE2" s="190"/>
      <c r="CF2" s="190"/>
      <c r="CG2" s="190"/>
      <c r="CH2" s="190"/>
      <c r="CI2" s="190"/>
      <c r="CJ2" s="190"/>
      <c r="CK2" s="190"/>
      <c r="CL2" s="190"/>
      <c r="CM2" s="190"/>
      <c r="CN2" s="190"/>
      <c r="CO2" s="190"/>
      <c r="CR2" s="190"/>
      <c r="CS2" s="190"/>
      <c r="CT2" s="190"/>
      <c r="CU2" s="190"/>
      <c r="CV2" s="190"/>
      <c r="CW2" s="190"/>
      <c r="CX2" s="190"/>
      <c r="CY2" s="190"/>
      <c r="CZ2" s="190"/>
      <c r="DA2" s="190"/>
      <c r="DB2" s="190"/>
      <c r="DC2" s="190"/>
      <c r="DD2" s="190"/>
      <c r="DE2" s="190"/>
      <c r="DF2" s="190"/>
      <c r="DG2" s="190"/>
      <c r="DH2" s="190"/>
      <c r="DI2" s="190"/>
      <c r="DJ2" s="190"/>
      <c r="DK2" s="190"/>
      <c r="DL2" s="190"/>
      <c r="DM2" s="190"/>
      <c r="DN2" s="190"/>
      <c r="DO2" s="190"/>
      <c r="DP2" s="190"/>
      <c r="DQ2" s="190"/>
      <c r="DR2" s="190"/>
      <c r="DS2" s="190"/>
      <c r="DT2" s="190"/>
      <c r="DU2" s="190"/>
      <c r="DV2" s="190"/>
      <c r="DW2" s="190"/>
      <c r="DX2" s="190"/>
      <c r="DY2" s="190"/>
      <c r="DZ2" s="190"/>
      <c r="EA2" s="190"/>
      <c r="EB2" s="190"/>
      <c r="EC2" s="190"/>
      <c r="ED2" s="190"/>
      <c r="EE2" s="190"/>
      <c r="EF2" s="190"/>
      <c r="EG2" s="190"/>
      <c r="EH2" s="190"/>
      <c r="EI2" s="190"/>
      <c r="EJ2" s="190"/>
      <c r="EN2" s="190"/>
      <c r="ER2" s="190"/>
    </row>
    <row r="3" spans="1:187" s="193" customFormat="1" ht="14.25" hidden="1" outlineLevel="1">
      <c r="X3" s="191"/>
      <c r="Y3" s="191"/>
      <c r="Z3" s="191"/>
      <c r="AA3" s="191"/>
      <c r="AB3" s="191"/>
      <c r="AC3" s="191"/>
      <c r="AD3" s="191"/>
      <c r="AE3"/>
      <c r="AF3"/>
      <c r="AG3"/>
      <c r="AH3"/>
      <c r="AI3"/>
      <c r="AJ3"/>
      <c r="AK3"/>
      <c r="AL3"/>
      <c r="AM3"/>
      <c r="AP3" s="213"/>
      <c r="AQ3" s="213"/>
      <c r="AT3" s="213"/>
      <c r="AU3" s="213"/>
      <c r="AV3" s="213"/>
      <c r="AW3" s="213"/>
      <c r="AX3" s="213"/>
      <c r="AY3" s="213"/>
      <c r="AZ3" s="213"/>
      <c r="BA3" s="191"/>
      <c r="BB3" s="191"/>
      <c r="BC3" s="191"/>
      <c r="BD3" s="191"/>
      <c r="BE3" s="191"/>
      <c r="BF3" s="191"/>
      <c r="BG3" s="191"/>
      <c r="BH3" s="191"/>
      <c r="BI3" s="191"/>
      <c r="BJ3" s="191"/>
      <c r="BK3" s="191"/>
      <c r="BL3" s="191"/>
      <c r="BM3" s="191"/>
      <c r="BN3" s="191"/>
      <c r="BO3" s="191"/>
      <c r="BP3" s="191"/>
      <c r="BQ3" s="191"/>
      <c r="BR3" s="191"/>
      <c r="BS3" s="191"/>
      <c r="BT3" s="191"/>
      <c r="BU3" s="191"/>
      <c r="BV3" s="191"/>
      <c r="BW3" s="191"/>
      <c r="BX3" s="191"/>
      <c r="BY3" s="191"/>
      <c r="BZ3" s="191"/>
      <c r="CA3" s="191"/>
      <c r="CB3" s="191"/>
      <c r="CC3" s="191"/>
      <c r="CD3" s="191"/>
      <c r="CE3" s="191"/>
      <c r="CF3" s="191"/>
      <c r="CG3" s="191"/>
      <c r="CH3" s="191"/>
      <c r="CI3" s="191"/>
      <c r="CJ3" s="191"/>
      <c r="CK3" s="191"/>
      <c r="CL3" s="191"/>
      <c r="CM3" s="191"/>
      <c r="CN3" s="191"/>
      <c r="CO3" s="191"/>
      <c r="CR3" s="191"/>
      <c r="CS3" s="191"/>
      <c r="CT3" s="191"/>
      <c r="CU3" s="191"/>
      <c r="CV3" s="191"/>
      <c r="CW3" s="191"/>
      <c r="CX3" s="191"/>
      <c r="CY3" s="191"/>
      <c r="CZ3" s="191"/>
      <c r="DA3" s="191"/>
      <c r="DB3" s="191"/>
      <c r="DC3" s="191"/>
      <c r="DD3" s="191"/>
      <c r="DE3" s="191"/>
      <c r="DF3" s="191"/>
      <c r="DG3" s="191"/>
      <c r="DH3" s="191"/>
      <c r="DI3" s="191"/>
      <c r="DJ3" s="191"/>
      <c r="DK3" s="191"/>
      <c r="DL3" s="191"/>
      <c r="DM3" s="191"/>
      <c r="DN3" s="191"/>
      <c r="DO3" s="191"/>
      <c r="DP3" s="191"/>
      <c r="DQ3" s="191"/>
      <c r="DR3" s="191"/>
      <c r="DS3" s="191"/>
      <c r="DT3" s="191"/>
      <c r="DU3" s="191"/>
      <c r="DV3" s="191"/>
      <c r="DW3" s="191"/>
      <c r="DX3" s="191"/>
      <c r="DY3" s="191"/>
      <c r="DZ3" s="191"/>
      <c r="EA3" s="191"/>
      <c r="EB3" s="191"/>
      <c r="EC3" s="191"/>
      <c r="ED3" s="191"/>
      <c r="EE3" s="191"/>
      <c r="EF3" s="191"/>
      <c r="EG3" s="191"/>
      <c r="EH3" s="191"/>
      <c r="EI3" s="191"/>
      <c r="EJ3" s="191"/>
      <c r="EN3" s="191"/>
      <c r="ER3" s="191"/>
    </row>
    <row r="4" spans="1:187" s="193" customFormat="1" ht="14.25" hidden="1" outlineLevel="1">
      <c r="W4" s="189"/>
      <c r="X4" s="190"/>
      <c r="Y4" s="190"/>
      <c r="Z4" s="190"/>
      <c r="AA4" s="190"/>
      <c r="AB4" s="190"/>
      <c r="AC4" s="190"/>
      <c r="AD4" s="190"/>
      <c r="AE4"/>
      <c r="AF4"/>
      <c r="AG4"/>
      <c r="AH4"/>
      <c r="AI4"/>
      <c r="AJ4"/>
      <c r="AK4"/>
      <c r="AL4"/>
      <c r="AM4"/>
      <c r="AP4" s="213"/>
      <c r="AQ4" s="213"/>
      <c r="AT4" s="213"/>
      <c r="AU4" s="213"/>
      <c r="AV4" s="213"/>
      <c r="AW4" s="213"/>
      <c r="AX4" s="213"/>
      <c r="AY4" s="213"/>
      <c r="AZ4" s="213"/>
      <c r="BA4" s="190"/>
      <c r="BB4" s="190"/>
      <c r="BC4" s="190"/>
      <c r="BD4" s="190"/>
      <c r="BE4" s="190"/>
      <c r="BF4" s="190"/>
      <c r="BG4" s="190"/>
      <c r="BH4" s="190"/>
      <c r="BI4" s="190"/>
      <c r="BJ4" s="190"/>
      <c r="BK4" s="190"/>
      <c r="BL4" s="190"/>
      <c r="BM4" s="190"/>
      <c r="BN4" s="190"/>
      <c r="BO4" s="190"/>
      <c r="BP4" s="190"/>
      <c r="BQ4" s="190"/>
      <c r="BR4" s="190"/>
      <c r="BS4" s="190"/>
      <c r="BT4" s="190"/>
      <c r="BU4" s="190"/>
      <c r="BV4" s="190"/>
      <c r="BW4" s="190"/>
      <c r="BX4" s="190"/>
      <c r="BY4" s="190"/>
      <c r="BZ4" s="190"/>
      <c r="CA4" s="190"/>
      <c r="CB4" s="190"/>
      <c r="CC4" s="190"/>
      <c r="CD4" s="190"/>
      <c r="CE4" s="190"/>
      <c r="CF4" s="190"/>
      <c r="CG4" s="190"/>
      <c r="CH4" s="190"/>
      <c r="CI4" s="190"/>
      <c r="CJ4" s="190"/>
      <c r="CK4" s="190"/>
      <c r="CL4" s="190"/>
      <c r="CM4" s="190"/>
      <c r="CN4" s="190"/>
      <c r="CO4" s="190"/>
      <c r="CR4" s="190"/>
      <c r="CS4" s="190"/>
      <c r="CT4" s="190"/>
      <c r="CU4" s="190"/>
      <c r="CV4" s="190"/>
      <c r="CW4" s="190"/>
      <c r="CX4" s="190"/>
      <c r="CY4" s="190"/>
      <c r="CZ4" s="190"/>
      <c r="DA4" s="190"/>
      <c r="DB4" s="190"/>
      <c r="DC4" s="190"/>
      <c r="DD4" s="190"/>
      <c r="DE4" s="190"/>
      <c r="DF4" s="190"/>
      <c r="DG4" s="190"/>
      <c r="DH4" s="190"/>
      <c r="DI4" s="190"/>
      <c r="DJ4" s="190"/>
      <c r="DK4" s="190"/>
      <c r="DL4" s="190"/>
      <c r="DM4" s="190"/>
      <c r="DN4" s="190"/>
      <c r="DO4" s="190"/>
      <c r="DP4" s="190"/>
      <c r="DQ4" s="190"/>
      <c r="DR4" s="190"/>
      <c r="DS4" s="190"/>
      <c r="DT4" s="190"/>
      <c r="DU4" s="190"/>
      <c r="DV4" s="190"/>
      <c r="DW4" s="190"/>
      <c r="DX4" s="190"/>
      <c r="DY4" s="190"/>
      <c r="DZ4" s="190"/>
      <c r="EA4" s="190"/>
      <c r="EB4" s="190"/>
      <c r="EC4" s="190"/>
      <c r="ED4" s="190"/>
      <c r="EE4" s="190"/>
      <c r="EF4" s="190"/>
      <c r="EG4" s="190"/>
      <c r="EH4" s="190"/>
      <c r="EI4" s="190"/>
      <c r="EJ4" s="190"/>
      <c r="EN4" s="190"/>
      <c r="ER4" s="190"/>
    </row>
    <row r="5" spans="1:187" s="193" customFormat="1" ht="14.25" hidden="1" outlineLevel="1">
      <c r="X5" s="191"/>
      <c r="Y5" s="191"/>
      <c r="Z5" s="191"/>
      <c r="AA5" s="191"/>
      <c r="AB5" s="191"/>
      <c r="AC5" s="191"/>
      <c r="AD5" s="191"/>
      <c r="AE5"/>
      <c r="AF5"/>
      <c r="AG5"/>
      <c r="AH5"/>
      <c r="AI5"/>
      <c r="AJ5"/>
      <c r="AK5"/>
      <c r="AL5"/>
      <c r="AM5"/>
      <c r="AP5" s="213"/>
      <c r="AQ5" s="213"/>
      <c r="AT5" s="213"/>
      <c r="AU5" s="213"/>
      <c r="AV5" s="213"/>
      <c r="AW5" s="213"/>
      <c r="AX5" s="213"/>
      <c r="AY5" s="213"/>
      <c r="AZ5" s="213"/>
      <c r="BA5" s="191"/>
      <c r="BB5" s="191"/>
      <c r="BC5" s="191"/>
      <c r="BD5" s="191"/>
      <c r="BE5" s="191"/>
      <c r="BF5" s="191"/>
      <c r="BG5" s="191"/>
      <c r="BH5" s="191"/>
      <c r="BI5" s="191"/>
      <c r="BJ5" s="191"/>
      <c r="BK5" s="191"/>
      <c r="BL5" s="191"/>
      <c r="BM5" s="191"/>
      <c r="BN5" s="191"/>
      <c r="BO5" s="191"/>
      <c r="BP5" s="191"/>
      <c r="BQ5" s="191"/>
      <c r="BR5" s="191"/>
      <c r="BS5" s="191"/>
      <c r="BT5" s="191"/>
      <c r="BU5" s="191"/>
      <c r="BV5" s="191"/>
      <c r="BW5" s="191"/>
      <c r="BX5" s="191"/>
      <c r="BY5" s="191"/>
      <c r="BZ5" s="191"/>
      <c r="CA5" s="191"/>
      <c r="CB5" s="191"/>
      <c r="CC5" s="191"/>
      <c r="CD5" s="191"/>
      <c r="CE5" s="191"/>
      <c r="CF5" s="191"/>
      <c r="CG5" s="191"/>
      <c r="CH5" s="191"/>
      <c r="CI5" s="191"/>
      <c r="CJ5" s="191"/>
      <c r="CK5" s="191"/>
      <c r="CL5" s="191"/>
      <c r="CM5" s="191"/>
      <c r="CN5" s="191"/>
      <c r="CO5" s="191"/>
      <c r="CR5" s="191"/>
      <c r="CS5" s="191"/>
      <c r="CT5" s="191"/>
      <c r="CU5" s="191"/>
      <c r="CV5" s="191"/>
      <c r="CW5" s="191"/>
      <c r="CX5" s="191"/>
      <c r="CY5" s="191"/>
      <c r="CZ5" s="191"/>
      <c r="DA5" s="191"/>
      <c r="DB5" s="191"/>
      <c r="DC5" s="191"/>
      <c r="DD5" s="191"/>
      <c r="DE5" s="191"/>
      <c r="DF5" s="191"/>
      <c r="DG5" s="191"/>
      <c r="DH5" s="191"/>
      <c r="DI5" s="191"/>
      <c r="DJ5" s="191"/>
      <c r="DK5" s="191"/>
      <c r="DL5" s="191"/>
      <c r="DM5" s="191"/>
      <c r="DN5" s="191"/>
      <c r="DO5" s="191"/>
      <c r="DP5" s="191"/>
      <c r="DQ5" s="191"/>
      <c r="DR5" s="191"/>
      <c r="DS5" s="191"/>
      <c r="DT5" s="191"/>
      <c r="DU5" s="191"/>
      <c r="DV5" s="191"/>
      <c r="DW5" s="191"/>
      <c r="DX5" s="191"/>
      <c r="DY5" s="191"/>
      <c r="DZ5" s="191"/>
      <c r="EA5" s="191"/>
      <c r="EB5" s="191"/>
      <c r="EC5" s="191"/>
      <c r="ED5" s="191"/>
      <c r="EE5" s="191"/>
      <c r="EF5" s="191"/>
      <c r="EG5" s="191"/>
      <c r="EH5" s="191"/>
      <c r="EI5" s="191"/>
      <c r="EJ5" s="191"/>
      <c r="EN5" s="191"/>
      <c r="ER5" s="191"/>
    </row>
    <row r="6" spans="1:187" s="193" customFormat="1" ht="12" customHeight="1" collapsed="1" thickBot="1">
      <c r="C6" s="317"/>
      <c r="D6" s="317"/>
      <c r="E6" s="317"/>
      <c r="F6" s="317"/>
      <c r="G6" s="317"/>
      <c r="H6" s="317"/>
      <c r="I6" s="317"/>
      <c r="J6" s="317"/>
      <c r="K6" s="317"/>
      <c r="L6" s="317"/>
      <c r="M6" s="317"/>
      <c r="N6" s="317"/>
      <c r="O6" s="317"/>
      <c r="P6" s="317"/>
      <c r="Q6" s="317"/>
      <c r="R6" s="317"/>
      <c r="S6" s="317"/>
      <c r="T6" s="317"/>
      <c r="U6" s="317"/>
      <c r="V6" s="317"/>
      <c r="W6" s="317"/>
      <c r="X6" s="317"/>
      <c r="Y6" s="317"/>
      <c r="Z6" s="317"/>
      <c r="AA6" s="317"/>
      <c r="AB6" s="317"/>
      <c r="AC6" s="194"/>
      <c r="AD6" s="194"/>
      <c r="AE6" s="194"/>
      <c r="AF6" s="194"/>
      <c r="AG6" s="194"/>
      <c r="AH6" s="194"/>
      <c r="AI6" s="194"/>
      <c r="AJ6" s="194"/>
      <c r="AK6" s="194"/>
      <c r="AL6" s="194"/>
      <c r="AM6" s="194"/>
      <c r="AO6" s="194"/>
      <c r="AP6" s="194"/>
      <c r="AR6" s="194"/>
      <c r="AS6" s="194"/>
      <c r="BA6" s="317"/>
      <c r="BB6" s="317"/>
      <c r="BC6" s="317"/>
      <c r="BD6" s="317"/>
      <c r="BE6" s="317"/>
      <c r="BF6" s="317"/>
      <c r="BG6" s="317"/>
      <c r="BH6" s="317"/>
      <c r="BI6" s="317"/>
      <c r="BJ6" s="317"/>
      <c r="BK6" s="317"/>
      <c r="BL6" s="317"/>
      <c r="BM6" s="317"/>
      <c r="BN6" s="317"/>
      <c r="BO6" s="317"/>
      <c r="BP6" s="317"/>
      <c r="BQ6" s="317"/>
      <c r="BR6" s="317"/>
      <c r="BS6" s="317"/>
      <c r="BT6" s="317"/>
      <c r="BU6" s="317"/>
      <c r="BV6" s="317"/>
      <c r="BW6" s="317"/>
      <c r="BX6" s="317"/>
      <c r="BY6" s="317"/>
      <c r="BZ6" s="317"/>
      <c r="CA6" s="317"/>
      <c r="CB6" s="317"/>
      <c r="CC6" s="317"/>
      <c r="CD6" s="317"/>
      <c r="CE6" s="317"/>
      <c r="CF6" s="317"/>
      <c r="CG6" s="317"/>
      <c r="CH6" s="317"/>
      <c r="CI6" s="317"/>
      <c r="CJ6" s="317"/>
      <c r="CK6" s="317"/>
      <c r="CL6" s="317"/>
      <c r="CM6" s="317"/>
      <c r="CN6" s="317"/>
      <c r="CO6" s="318"/>
      <c r="CR6" s="317"/>
      <c r="CS6" s="317"/>
      <c r="CT6" s="317"/>
      <c r="CU6" s="317"/>
      <c r="CV6" s="317"/>
      <c r="CW6" s="317"/>
      <c r="CX6" s="317"/>
      <c r="CY6" s="317"/>
      <c r="CZ6" s="317"/>
      <c r="DA6" s="317"/>
      <c r="DB6" s="317"/>
      <c r="DC6" s="317"/>
      <c r="DD6" s="317"/>
      <c r="DE6" s="317"/>
      <c r="DF6" s="317"/>
      <c r="DG6" s="317"/>
      <c r="DH6" s="317"/>
      <c r="DI6" s="317"/>
      <c r="DJ6" s="317"/>
      <c r="DK6" s="317"/>
      <c r="DL6" s="317"/>
      <c r="DM6" s="317"/>
      <c r="DN6" s="317"/>
      <c r="DO6" s="317"/>
      <c r="DP6" s="317"/>
      <c r="DQ6" s="317"/>
      <c r="DR6" s="317"/>
      <c r="DS6" s="317"/>
      <c r="DT6" s="317"/>
      <c r="DU6" s="317"/>
      <c r="DV6" s="317"/>
      <c r="DW6" s="317"/>
      <c r="DX6" s="317"/>
      <c r="DY6" s="317"/>
      <c r="DZ6" s="317"/>
      <c r="EA6" s="317"/>
      <c r="EB6" s="317"/>
      <c r="EC6" s="317"/>
      <c r="ED6" s="317"/>
      <c r="EE6" s="317"/>
      <c r="EF6" s="317"/>
      <c r="EG6" s="317"/>
      <c r="EH6" s="317"/>
      <c r="EI6" s="317"/>
      <c r="EJ6" s="317"/>
      <c r="EK6" s="194"/>
      <c r="EL6" s="194"/>
      <c r="EM6" s="194"/>
      <c r="EN6" s="317"/>
      <c r="EO6" s="317"/>
      <c r="EP6" s="194"/>
      <c r="EQ6" s="194"/>
      <c r="ER6" s="317"/>
      <c r="ES6" s="317"/>
      <c r="ET6" s="194"/>
      <c r="EU6" s="194"/>
      <c r="EV6" s="194"/>
      <c r="EW6" s="194"/>
      <c r="EX6" s="194"/>
      <c r="EY6" s="194"/>
      <c r="EZ6" s="194"/>
      <c r="FA6" s="194"/>
      <c r="FB6" s="194"/>
      <c r="FC6" s="194"/>
    </row>
    <row r="7" spans="1:187" s="193" customFormat="1" ht="12" thickTop="1">
      <c r="C7" s="318"/>
      <c r="D7" s="189"/>
      <c r="E7" s="189"/>
      <c r="F7" s="189"/>
      <c r="G7" s="189"/>
      <c r="H7" s="189"/>
      <c r="I7" s="189"/>
      <c r="J7" s="189"/>
      <c r="K7" s="189"/>
      <c r="L7" s="189"/>
      <c r="M7" s="189"/>
      <c r="N7" s="189"/>
      <c r="O7" s="189"/>
      <c r="P7" s="189"/>
      <c r="Q7" s="189"/>
      <c r="R7" s="189"/>
      <c r="S7" s="189"/>
      <c r="T7" s="189"/>
      <c r="U7" s="189"/>
      <c r="V7" s="189"/>
      <c r="W7" s="189"/>
      <c r="X7" s="189"/>
      <c r="Y7" s="189"/>
      <c r="Z7" s="189"/>
      <c r="AA7" s="189"/>
      <c r="AB7" s="189"/>
      <c r="AC7" s="189"/>
      <c r="AD7" s="189"/>
      <c r="AE7" s="189"/>
      <c r="AF7" s="189"/>
      <c r="AG7" s="189"/>
      <c r="AQ7" s="213"/>
      <c r="AT7" s="213"/>
      <c r="AU7" s="213"/>
      <c r="AV7" s="213"/>
      <c r="AW7" s="213"/>
      <c r="AX7" s="213"/>
      <c r="AY7" s="213"/>
      <c r="AZ7" s="213"/>
      <c r="BA7" s="189" t="str">
        <f t="shared" ref="BA7:CN7" si="0">LEFT(BA9,2)</f>
        <v>1H</v>
      </c>
      <c r="BB7" s="189" t="str">
        <f t="shared" si="0"/>
        <v>2H</v>
      </c>
      <c r="BC7" s="189" t="str">
        <f t="shared" si="0"/>
        <v>1H</v>
      </c>
      <c r="BD7" s="189" t="str">
        <f t="shared" si="0"/>
        <v>2H</v>
      </c>
      <c r="BE7" s="189" t="str">
        <f t="shared" si="0"/>
        <v>1H</v>
      </c>
      <c r="BF7" s="189" t="str">
        <f t="shared" si="0"/>
        <v>2H</v>
      </c>
      <c r="BG7" s="189" t="str">
        <f t="shared" si="0"/>
        <v>1H</v>
      </c>
      <c r="BH7" s="189" t="str">
        <f t="shared" si="0"/>
        <v>2H</v>
      </c>
      <c r="BI7" s="189" t="str">
        <f t="shared" si="0"/>
        <v>1H</v>
      </c>
      <c r="BJ7" s="189" t="str">
        <f t="shared" si="0"/>
        <v>2H</v>
      </c>
      <c r="BK7" s="189" t="str">
        <f t="shared" si="0"/>
        <v>1H</v>
      </c>
      <c r="BL7" s="189" t="str">
        <f t="shared" si="0"/>
        <v>2H</v>
      </c>
      <c r="BM7" s="189" t="str">
        <f t="shared" si="0"/>
        <v>1H</v>
      </c>
      <c r="BN7" s="189" t="str">
        <f t="shared" si="0"/>
        <v>2H</v>
      </c>
      <c r="BO7" s="189" t="str">
        <f t="shared" si="0"/>
        <v>1H</v>
      </c>
      <c r="BP7" s="189" t="str">
        <f t="shared" si="0"/>
        <v>2H</v>
      </c>
      <c r="BQ7" s="189" t="str">
        <f t="shared" si="0"/>
        <v>1H</v>
      </c>
      <c r="BR7" s="189" t="str">
        <f t="shared" si="0"/>
        <v>2H</v>
      </c>
      <c r="BS7" s="189" t="str">
        <f t="shared" si="0"/>
        <v>1H</v>
      </c>
      <c r="BT7" s="189" t="str">
        <f t="shared" si="0"/>
        <v>2H</v>
      </c>
      <c r="BU7" s="189" t="str">
        <f t="shared" si="0"/>
        <v>1H</v>
      </c>
      <c r="BV7" s="189" t="str">
        <f t="shared" si="0"/>
        <v>2H</v>
      </c>
      <c r="BW7" s="189" t="str">
        <f t="shared" si="0"/>
        <v>1H</v>
      </c>
      <c r="BX7" s="189" t="str">
        <f t="shared" si="0"/>
        <v>2H</v>
      </c>
      <c r="BY7" s="189" t="str">
        <f t="shared" si="0"/>
        <v>1H</v>
      </c>
      <c r="BZ7" s="189" t="str">
        <f t="shared" si="0"/>
        <v>2H</v>
      </c>
      <c r="CA7" s="189" t="str">
        <f t="shared" si="0"/>
        <v>1H</v>
      </c>
      <c r="CB7" s="189" t="str">
        <f t="shared" si="0"/>
        <v>2H</v>
      </c>
      <c r="CC7" s="189" t="str">
        <f t="shared" si="0"/>
        <v>1H</v>
      </c>
      <c r="CD7" s="189" t="str">
        <f t="shared" si="0"/>
        <v>2H</v>
      </c>
      <c r="CE7" s="189" t="str">
        <f t="shared" si="0"/>
        <v>1H</v>
      </c>
      <c r="CF7" s="189" t="str">
        <f t="shared" si="0"/>
        <v>2H</v>
      </c>
      <c r="CG7" s="189" t="str">
        <f t="shared" si="0"/>
        <v>1H</v>
      </c>
      <c r="CH7" s="189" t="str">
        <f t="shared" si="0"/>
        <v>2H</v>
      </c>
      <c r="CI7" s="189" t="str">
        <f t="shared" si="0"/>
        <v>1H</v>
      </c>
      <c r="CJ7" s="189" t="str">
        <f t="shared" si="0"/>
        <v>2H</v>
      </c>
      <c r="CK7" s="189" t="str">
        <f t="shared" si="0"/>
        <v>1H</v>
      </c>
      <c r="CL7" s="189" t="str">
        <f t="shared" si="0"/>
        <v>2H</v>
      </c>
      <c r="CM7" s="189" t="str">
        <f t="shared" si="0"/>
        <v>1H</v>
      </c>
      <c r="CN7" s="189" t="str">
        <f t="shared" si="0"/>
        <v>2H</v>
      </c>
      <c r="CO7" s="189"/>
      <c r="CR7" s="189" t="str">
        <f t="shared" ref="CR7:DW7" si="1">IF(OR(LEFT(CR9,2)="1Q",LEFT(CR9,2)="2Q"),"1H","2H")</f>
        <v>1H</v>
      </c>
      <c r="CS7" s="189" t="str">
        <f t="shared" si="1"/>
        <v>1H</v>
      </c>
      <c r="CT7" s="189" t="str">
        <f t="shared" si="1"/>
        <v>2H</v>
      </c>
      <c r="CU7" s="189" t="str">
        <f t="shared" si="1"/>
        <v>2H</v>
      </c>
      <c r="CV7" s="189" t="str">
        <f t="shared" si="1"/>
        <v>1H</v>
      </c>
      <c r="CW7" s="189" t="str">
        <f t="shared" si="1"/>
        <v>1H</v>
      </c>
      <c r="CX7" s="189" t="str">
        <f t="shared" si="1"/>
        <v>2H</v>
      </c>
      <c r="CY7" s="189" t="str">
        <f t="shared" si="1"/>
        <v>2H</v>
      </c>
      <c r="CZ7" s="189" t="str">
        <f t="shared" si="1"/>
        <v>1H</v>
      </c>
      <c r="DA7" s="189" t="str">
        <f t="shared" si="1"/>
        <v>1H</v>
      </c>
      <c r="DB7" s="189" t="str">
        <f t="shared" si="1"/>
        <v>2H</v>
      </c>
      <c r="DC7" s="189" t="str">
        <f t="shared" si="1"/>
        <v>2H</v>
      </c>
      <c r="DD7" s="189" t="str">
        <f t="shared" si="1"/>
        <v>1H</v>
      </c>
      <c r="DE7" s="189" t="str">
        <f t="shared" si="1"/>
        <v>1H</v>
      </c>
      <c r="DF7" s="189" t="str">
        <f t="shared" si="1"/>
        <v>2H</v>
      </c>
      <c r="DG7" s="189" t="str">
        <f t="shared" si="1"/>
        <v>2H</v>
      </c>
      <c r="DH7" s="189" t="str">
        <f t="shared" si="1"/>
        <v>1H</v>
      </c>
      <c r="DI7" s="189" t="str">
        <f t="shared" si="1"/>
        <v>1H</v>
      </c>
      <c r="DJ7" s="189" t="str">
        <f t="shared" si="1"/>
        <v>2H</v>
      </c>
      <c r="DK7" s="189" t="str">
        <f t="shared" si="1"/>
        <v>2H</v>
      </c>
      <c r="DL7" s="189" t="str">
        <f t="shared" si="1"/>
        <v>1H</v>
      </c>
      <c r="DM7" s="189" t="str">
        <f t="shared" si="1"/>
        <v>1H</v>
      </c>
      <c r="DN7" s="189" t="str">
        <f t="shared" si="1"/>
        <v>2H</v>
      </c>
      <c r="DO7" s="189" t="str">
        <f t="shared" si="1"/>
        <v>2H</v>
      </c>
      <c r="DP7" s="189" t="str">
        <f t="shared" si="1"/>
        <v>1H</v>
      </c>
      <c r="DQ7" s="189" t="str">
        <f t="shared" si="1"/>
        <v>1H</v>
      </c>
      <c r="DR7" s="189" t="str">
        <f t="shared" si="1"/>
        <v>2H</v>
      </c>
      <c r="DS7" s="189" t="str">
        <f t="shared" si="1"/>
        <v>2H</v>
      </c>
      <c r="DT7" s="189" t="str">
        <f t="shared" si="1"/>
        <v>1H</v>
      </c>
      <c r="DU7" s="189" t="str">
        <f t="shared" si="1"/>
        <v>1H</v>
      </c>
      <c r="DV7" s="189" t="str">
        <f t="shared" si="1"/>
        <v>2H</v>
      </c>
      <c r="DW7" s="189" t="str">
        <f t="shared" si="1"/>
        <v>2H</v>
      </c>
      <c r="DX7" s="189" t="str">
        <f t="shared" ref="DX7:FC7" si="2">IF(OR(LEFT(DX9,2)="1Q",LEFT(DX9,2)="2Q"),"1H","2H")</f>
        <v>1H</v>
      </c>
      <c r="DY7" s="189" t="str">
        <f t="shared" si="2"/>
        <v>1H</v>
      </c>
      <c r="DZ7" s="189" t="str">
        <f t="shared" si="2"/>
        <v>2H</v>
      </c>
      <c r="EA7" s="189" t="str">
        <f t="shared" si="2"/>
        <v>2H</v>
      </c>
      <c r="EB7" s="189" t="str">
        <f t="shared" si="2"/>
        <v>1H</v>
      </c>
      <c r="EC7" s="189" t="str">
        <f t="shared" si="2"/>
        <v>1H</v>
      </c>
      <c r="ED7" s="189" t="str">
        <f t="shared" si="2"/>
        <v>2H</v>
      </c>
      <c r="EE7" s="189" t="str">
        <f t="shared" si="2"/>
        <v>2H</v>
      </c>
      <c r="EF7" s="189" t="str">
        <f t="shared" si="2"/>
        <v>1H</v>
      </c>
      <c r="EG7" s="189" t="str">
        <f t="shared" si="2"/>
        <v>1H</v>
      </c>
      <c r="EH7" s="189" t="str">
        <f t="shared" si="2"/>
        <v>2H</v>
      </c>
      <c r="EI7" s="189" t="str">
        <f t="shared" si="2"/>
        <v>2H</v>
      </c>
      <c r="EJ7" s="189" t="str">
        <f t="shared" si="2"/>
        <v>1H</v>
      </c>
      <c r="EK7" s="189" t="str">
        <f t="shared" si="2"/>
        <v>1H</v>
      </c>
      <c r="EL7" s="189" t="str">
        <f t="shared" si="2"/>
        <v>2H</v>
      </c>
      <c r="EM7" s="189" t="str">
        <f t="shared" si="2"/>
        <v>2H</v>
      </c>
      <c r="EN7" s="189" t="str">
        <f t="shared" si="2"/>
        <v>1H</v>
      </c>
      <c r="EO7" s="189" t="str">
        <f t="shared" si="2"/>
        <v>1H</v>
      </c>
      <c r="EP7" s="189" t="str">
        <f t="shared" si="2"/>
        <v>2H</v>
      </c>
      <c r="EQ7" s="189" t="str">
        <f t="shared" si="2"/>
        <v>2H</v>
      </c>
      <c r="ER7" s="189" t="str">
        <f t="shared" si="2"/>
        <v>1H</v>
      </c>
      <c r="ES7" s="189" t="str">
        <f t="shared" si="2"/>
        <v>1H</v>
      </c>
      <c r="ET7" s="189" t="str">
        <f t="shared" si="2"/>
        <v>2H</v>
      </c>
      <c r="EU7" s="189" t="str">
        <f t="shared" si="2"/>
        <v>2H</v>
      </c>
      <c r="EV7" s="189" t="str">
        <f t="shared" si="2"/>
        <v>1H</v>
      </c>
      <c r="EW7" s="189" t="str">
        <f t="shared" si="2"/>
        <v>1H</v>
      </c>
      <c r="EX7" s="189" t="str">
        <f t="shared" si="2"/>
        <v>2H</v>
      </c>
      <c r="EY7" s="189" t="str">
        <f t="shared" si="2"/>
        <v>2H</v>
      </c>
      <c r="EZ7" s="189" t="str">
        <f t="shared" si="2"/>
        <v>1H</v>
      </c>
      <c r="FA7" s="189" t="str">
        <f t="shared" si="2"/>
        <v>1H</v>
      </c>
      <c r="FB7" s="189" t="str">
        <f t="shared" si="2"/>
        <v>2H</v>
      </c>
      <c r="FC7" s="189" t="str">
        <f t="shared" si="2"/>
        <v>2H</v>
      </c>
    </row>
    <row r="8" spans="1:187" s="193" customFormat="1">
      <c r="C8" s="318"/>
      <c r="D8" s="189">
        <v>2000</v>
      </c>
      <c r="E8" s="189">
        <v>2001</v>
      </c>
      <c r="F8" s="189">
        <v>2002</v>
      </c>
      <c r="G8" s="189">
        <v>2003</v>
      </c>
      <c r="H8" s="189">
        <v>2004</v>
      </c>
      <c r="I8" s="189">
        <v>2005</v>
      </c>
      <c r="J8" s="189">
        <v>2006</v>
      </c>
      <c r="K8" s="189">
        <v>2007</v>
      </c>
      <c r="L8" s="189">
        <v>2008</v>
      </c>
      <c r="M8" s="189">
        <v>2009</v>
      </c>
      <c r="N8" s="189">
        <v>2010</v>
      </c>
      <c r="O8" s="189">
        <v>2011</v>
      </c>
      <c r="P8" s="189">
        <v>2012</v>
      </c>
      <c r="Q8" s="189">
        <v>2013</v>
      </c>
      <c r="R8" s="189">
        <v>2014</v>
      </c>
      <c r="S8" s="189">
        <v>2015</v>
      </c>
      <c r="T8" s="189">
        <v>2016</v>
      </c>
      <c r="U8" s="189">
        <v>2017</v>
      </c>
      <c r="V8" s="189">
        <f t="shared" ref="V8:AG8" si="3">U8+1</f>
        <v>2018</v>
      </c>
      <c r="W8" s="189">
        <f t="shared" si="3"/>
        <v>2019</v>
      </c>
      <c r="X8" s="189">
        <f t="shared" si="3"/>
        <v>2020</v>
      </c>
      <c r="Y8" s="189">
        <f t="shared" si="3"/>
        <v>2021</v>
      </c>
      <c r="Z8" s="189">
        <f t="shared" si="3"/>
        <v>2022</v>
      </c>
      <c r="AA8" s="189">
        <f t="shared" si="3"/>
        <v>2023</v>
      </c>
      <c r="AB8" s="189">
        <f t="shared" si="3"/>
        <v>2024</v>
      </c>
      <c r="AC8" s="189">
        <f t="shared" si="3"/>
        <v>2025</v>
      </c>
      <c r="AD8" s="189">
        <f t="shared" si="3"/>
        <v>2026</v>
      </c>
      <c r="AE8" s="189">
        <f t="shared" si="3"/>
        <v>2027</v>
      </c>
      <c r="AF8" s="189">
        <f t="shared" si="3"/>
        <v>2028</v>
      </c>
      <c r="AG8" s="189">
        <f t="shared" si="3"/>
        <v>2029</v>
      </c>
      <c r="AH8" s="193">
        <v>2030</v>
      </c>
      <c r="AI8" s="193">
        <v>2031</v>
      </c>
      <c r="AJ8" s="193">
        <v>2032</v>
      </c>
      <c r="AK8" s="193">
        <v>2033</v>
      </c>
      <c r="AL8" s="193">
        <v>2034</v>
      </c>
      <c r="AM8" s="193">
        <v>2035</v>
      </c>
      <c r="AQ8" s="213"/>
      <c r="AR8" s="193" t="s">
        <v>1449</v>
      </c>
      <c r="AT8" s="213"/>
      <c r="AU8" s="213"/>
      <c r="AV8" s="213"/>
      <c r="AW8" s="213"/>
      <c r="AX8" s="213"/>
      <c r="AY8" s="213"/>
      <c r="AZ8" s="213"/>
      <c r="BA8" s="189">
        <v>2011</v>
      </c>
      <c r="BB8" s="189">
        <v>2011</v>
      </c>
      <c r="BC8" s="189">
        <f t="shared" ref="BC8:CN8" si="4">BA8+1</f>
        <v>2012</v>
      </c>
      <c r="BD8" s="189">
        <f t="shared" si="4"/>
        <v>2012</v>
      </c>
      <c r="BE8" s="189">
        <f t="shared" si="4"/>
        <v>2013</v>
      </c>
      <c r="BF8" s="189">
        <f t="shared" si="4"/>
        <v>2013</v>
      </c>
      <c r="BG8" s="189">
        <f t="shared" si="4"/>
        <v>2014</v>
      </c>
      <c r="BH8" s="189">
        <f t="shared" si="4"/>
        <v>2014</v>
      </c>
      <c r="BI8" s="189">
        <f t="shared" si="4"/>
        <v>2015</v>
      </c>
      <c r="BJ8" s="189">
        <f t="shared" si="4"/>
        <v>2015</v>
      </c>
      <c r="BK8" s="189">
        <f t="shared" si="4"/>
        <v>2016</v>
      </c>
      <c r="BL8" s="189">
        <f t="shared" si="4"/>
        <v>2016</v>
      </c>
      <c r="BM8" s="189">
        <f t="shared" si="4"/>
        <v>2017</v>
      </c>
      <c r="BN8" s="189">
        <f t="shared" si="4"/>
        <v>2017</v>
      </c>
      <c r="BO8" s="189">
        <f t="shared" si="4"/>
        <v>2018</v>
      </c>
      <c r="BP8" s="189">
        <f t="shared" si="4"/>
        <v>2018</v>
      </c>
      <c r="BQ8" s="189">
        <f t="shared" si="4"/>
        <v>2019</v>
      </c>
      <c r="BR8" s="189">
        <f t="shared" si="4"/>
        <v>2019</v>
      </c>
      <c r="BS8" s="189">
        <f t="shared" si="4"/>
        <v>2020</v>
      </c>
      <c r="BT8" s="189">
        <f t="shared" si="4"/>
        <v>2020</v>
      </c>
      <c r="BU8" s="189">
        <f t="shared" si="4"/>
        <v>2021</v>
      </c>
      <c r="BV8" s="189">
        <f t="shared" si="4"/>
        <v>2021</v>
      </c>
      <c r="BW8" s="189">
        <f t="shared" si="4"/>
        <v>2022</v>
      </c>
      <c r="BX8" s="189">
        <f t="shared" si="4"/>
        <v>2022</v>
      </c>
      <c r="BY8" s="189">
        <f t="shared" si="4"/>
        <v>2023</v>
      </c>
      <c r="BZ8" s="189">
        <f t="shared" si="4"/>
        <v>2023</v>
      </c>
      <c r="CA8" s="189">
        <f t="shared" si="4"/>
        <v>2024</v>
      </c>
      <c r="CB8" s="189">
        <f t="shared" si="4"/>
        <v>2024</v>
      </c>
      <c r="CC8" s="189">
        <f t="shared" si="4"/>
        <v>2025</v>
      </c>
      <c r="CD8" s="189">
        <f t="shared" si="4"/>
        <v>2025</v>
      </c>
      <c r="CE8" s="189">
        <f t="shared" si="4"/>
        <v>2026</v>
      </c>
      <c r="CF8" s="189">
        <f t="shared" si="4"/>
        <v>2026</v>
      </c>
      <c r="CG8" s="189">
        <f t="shared" si="4"/>
        <v>2027</v>
      </c>
      <c r="CH8" s="189">
        <f t="shared" si="4"/>
        <v>2027</v>
      </c>
      <c r="CI8" s="189">
        <f t="shared" si="4"/>
        <v>2028</v>
      </c>
      <c r="CJ8" s="189">
        <f t="shared" si="4"/>
        <v>2028</v>
      </c>
      <c r="CK8" s="189">
        <f t="shared" si="4"/>
        <v>2029</v>
      </c>
      <c r="CL8" s="189">
        <f t="shared" si="4"/>
        <v>2029</v>
      </c>
      <c r="CM8" s="189">
        <f t="shared" si="4"/>
        <v>2030</v>
      </c>
      <c r="CN8" s="189">
        <f t="shared" si="4"/>
        <v>2030</v>
      </c>
      <c r="CO8" s="189"/>
      <c r="CR8" s="189">
        <v>2011</v>
      </c>
      <c r="CS8" s="189">
        <v>2011</v>
      </c>
      <c r="CT8" s="189">
        <v>2011</v>
      </c>
      <c r="CU8" s="189">
        <v>2011</v>
      </c>
      <c r="CV8" s="189">
        <f t="shared" ref="CV8:EA8" si="5">CR8+1</f>
        <v>2012</v>
      </c>
      <c r="CW8" s="189">
        <f t="shared" si="5"/>
        <v>2012</v>
      </c>
      <c r="CX8" s="189">
        <f t="shared" si="5"/>
        <v>2012</v>
      </c>
      <c r="CY8" s="189">
        <f t="shared" si="5"/>
        <v>2012</v>
      </c>
      <c r="CZ8" s="189">
        <f t="shared" si="5"/>
        <v>2013</v>
      </c>
      <c r="DA8" s="189">
        <f t="shared" si="5"/>
        <v>2013</v>
      </c>
      <c r="DB8" s="189">
        <f t="shared" si="5"/>
        <v>2013</v>
      </c>
      <c r="DC8" s="189">
        <f t="shared" si="5"/>
        <v>2013</v>
      </c>
      <c r="DD8" s="189">
        <f t="shared" si="5"/>
        <v>2014</v>
      </c>
      <c r="DE8" s="189">
        <f t="shared" si="5"/>
        <v>2014</v>
      </c>
      <c r="DF8" s="189">
        <f t="shared" si="5"/>
        <v>2014</v>
      </c>
      <c r="DG8" s="189">
        <f t="shared" si="5"/>
        <v>2014</v>
      </c>
      <c r="DH8" s="189">
        <f t="shared" si="5"/>
        <v>2015</v>
      </c>
      <c r="DI8" s="189">
        <f t="shared" si="5"/>
        <v>2015</v>
      </c>
      <c r="DJ8" s="189">
        <f t="shared" si="5"/>
        <v>2015</v>
      </c>
      <c r="DK8" s="189">
        <f t="shared" si="5"/>
        <v>2015</v>
      </c>
      <c r="DL8" s="189">
        <f t="shared" si="5"/>
        <v>2016</v>
      </c>
      <c r="DM8" s="189">
        <f t="shared" si="5"/>
        <v>2016</v>
      </c>
      <c r="DN8" s="189">
        <f t="shared" si="5"/>
        <v>2016</v>
      </c>
      <c r="DO8" s="189">
        <f t="shared" si="5"/>
        <v>2016</v>
      </c>
      <c r="DP8" s="189">
        <f t="shared" si="5"/>
        <v>2017</v>
      </c>
      <c r="DQ8" s="189">
        <f t="shared" si="5"/>
        <v>2017</v>
      </c>
      <c r="DR8" s="189">
        <f t="shared" si="5"/>
        <v>2017</v>
      </c>
      <c r="DS8" s="189">
        <f t="shared" si="5"/>
        <v>2017</v>
      </c>
      <c r="DT8" s="189">
        <f t="shared" si="5"/>
        <v>2018</v>
      </c>
      <c r="DU8" s="189">
        <f t="shared" si="5"/>
        <v>2018</v>
      </c>
      <c r="DV8" s="189">
        <f t="shared" si="5"/>
        <v>2018</v>
      </c>
      <c r="DW8" s="189">
        <f t="shared" si="5"/>
        <v>2018</v>
      </c>
      <c r="DX8" s="189">
        <f t="shared" si="5"/>
        <v>2019</v>
      </c>
      <c r="DY8" s="189">
        <f t="shared" si="5"/>
        <v>2019</v>
      </c>
      <c r="DZ8" s="189">
        <f t="shared" si="5"/>
        <v>2019</v>
      </c>
      <c r="EA8" s="189">
        <f t="shared" si="5"/>
        <v>2019</v>
      </c>
      <c r="EB8" s="189">
        <f t="shared" ref="EB8:FC8" si="6">DX8+1</f>
        <v>2020</v>
      </c>
      <c r="EC8" s="189">
        <f t="shared" si="6"/>
        <v>2020</v>
      </c>
      <c r="ED8" s="189">
        <f t="shared" si="6"/>
        <v>2020</v>
      </c>
      <c r="EE8" s="189">
        <f t="shared" si="6"/>
        <v>2020</v>
      </c>
      <c r="EF8" s="189">
        <f t="shared" si="6"/>
        <v>2021</v>
      </c>
      <c r="EG8" s="189">
        <f t="shared" si="6"/>
        <v>2021</v>
      </c>
      <c r="EH8" s="189">
        <f t="shared" si="6"/>
        <v>2021</v>
      </c>
      <c r="EI8" s="189">
        <f t="shared" si="6"/>
        <v>2021</v>
      </c>
      <c r="EJ8" s="189">
        <f t="shared" si="6"/>
        <v>2022</v>
      </c>
      <c r="EK8" s="189">
        <f t="shared" si="6"/>
        <v>2022</v>
      </c>
      <c r="EL8" s="189">
        <f t="shared" si="6"/>
        <v>2022</v>
      </c>
      <c r="EM8" s="189">
        <f t="shared" si="6"/>
        <v>2022</v>
      </c>
      <c r="EN8" s="189">
        <f t="shared" si="6"/>
        <v>2023</v>
      </c>
      <c r="EO8" s="189">
        <f t="shared" si="6"/>
        <v>2023</v>
      </c>
      <c r="EP8" s="189">
        <f t="shared" si="6"/>
        <v>2023</v>
      </c>
      <c r="EQ8" s="189">
        <f t="shared" si="6"/>
        <v>2023</v>
      </c>
      <c r="ER8" s="189">
        <f t="shared" si="6"/>
        <v>2024</v>
      </c>
      <c r="ES8" s="189">
        <f t="shared" si="6"/>
        <v>2024</v>
      </c>
      <c r="ET8" s="189">
        <f t="shared" si="6"/>
        <v>2024</v>
      </c>
      <c r="EU8" s="189">
        <f t="shared" si="6"/>
        <v>2024</v>
      </c>
      <c r="EV8" s="189">
        <f t="shared" si="6"/>
        <v>2025</v>
      </c>
      <c r="EW8" s="189">
        <f t="shared" si="6"/>
        <v>2025</v>
      </c>
      <c r="EX8" s="189">
        <f t="shared" si="6"/>
        <v>2025</v>
      </c>
      <c r="EY8" s="189">
        <f t="shared" si="6"/>
        <v>2025</v>
      </c>
      <c r="EZ8" s="189">
        <f t="shared" si="6"/>
        <v>2026</v>
      </c>
      <c r="FA8" s="189">
        <f t="shared" si="6"/>
        <v>2026</v>
      </c>
      <c r="FB8" s="189">
        <f t="shared" si="6"/>
        <v>2026</v>
      </c>
      <c r="FC8" s="189">
        <f t="shared" si="6"/>
        <v>2026</v>
      </c>
    </row>
    <row r="9" spans="1:187" s="193" customFormat="1" ht="15" customHeight="1">
      <c r="C9" s="305" t="s">
        <v>732</v>
      </c>
      <c r="D9" s="305">
        <v>2000</v>
      </c>
      <c r="E9" s="305">
        <v>2001</v>
      </c>
      <c r="F9" s="305">
        <v>2002</v>
      </c>
      <c r="G9" s="305">
        <v>2003</v>
      </c>
      <c r="H9" s="305">
        <v>2004</v>
      </c>
      <c r="I9" s="305">
        <v>2005</v>
      </c>
      <c r="J9" s="305">
        <v>2006</v>
      </c>
      <c r="K9" s="305">
        <v>2007</v>
      </c>
      <c r="L9" s="305">
        <v>2008</v>
      </c>
      <c r="M9" s="305">
        <v>2009</v>
      </c>
      <c r="N9" s="305">
        <v>2010</v>
      </c>
      <c r="O9" s="305">
        <v>2011</v>
      </c>
      <c r="P9" s="305">
        <v>2012</v>
      </c>
      <c r="Q9" s="305">
        <v>2013</v>
      </c>
      <c r="R9" s="305">
        <v>2014</v>
      </c>
      <c r="S9" s="305">
        <v>2015</v>
      </c>
      <c r="T9" s="305">
        <v>2016</v>
      </c>
      <c r="U9" s="305">
        <v>2017</v>
      </c>
      <c r="V9" s="305">
        <v>2018</v>
      </c>
      <c r="W9" s="305">
        <v>2019</v>
      </c>
      <c r="X9" s="305">
        <v>2020</v>
      </c>
      <c r="Y9" s="305">
        <v>2021</v>
      </c>
      <c r="Z9" s="305">
        <v>2022</v>
      </c>
      <c r="AA9" s="305">
        <v>2023</v>
      </c>
      <c r="AB9" s="305">
        <v>2024</v>
      </c>
      <c r="AC9" s="195" t="s">
        <v>954</v>
      </c>
      <c r="AD9" s="195" t="s">
        <v>1430</v>
      </c>
      <c r="AE9" s="196" t="s">
        <v>1450</v>
      </c>
      <c r="AF9" s="196" t="s">
        <v>1451</v>
      </c>
      <c r="AG9" s="196" t="s">
        <v>1452</v>
      </c>
      <c r="AH9" s="196" t="s">
        <v>1453</v>
      </c>
      <c r="AI9" s="196" t="s">
        <v>1454</v>
      </c>
      <c r="AJ9" s="196" t="s">
        <v>1455</v>
      </c>
      <c r="AK9" s="196" t="s">
        <v>1456</v>
      </c>
      <c r="AL9" s="196" t="s">
        <v>1457</v>
      </c>
      <c r="AM9" s="196" t="s">
        <v>1458</v>
      </c>
      <c r="AN9" s="197"/>
      <c r="AO9" s="338"/>
      <c r="AP9" s="537" t="s">
        <v>1379</v>
      </c>
      <c r="AR9" s="521" t="s">
        <v>1462</v>
      </c>
      <c r="AS9" s="521" t="s">
        <v>1576</v>
      </c>
      <c r="BA9" s="333" t="s">
        <v>1568</v>
      </c>
      <c r="BB9" s="333" t="s">
        <v>1569</v>
      </c>
      <c r="BC9" s="333" t="str">
        <f t="shared" ref="BC9:CB9" si="7">LEFT(BA9,3)&amp;VALUE(MID(BA9,4,4))+1</f>
        <v>1H 2012</v>
      </c>
      <c r="BD9" s="333" t="str">
        <f t="shared" si="7"/>
        <v>2H 2012</v>
      </c>
      <c r="BE9" s="333" t="str">
        <f t="shared" si="7"/>
        <v>1H 2013</v>
      </c>
      <c r="BF9" s="333" t="str">
        <f t="shared" si="7"/>
        <v>2H 2013</v>
      </c>
      <c r="BG9" s="333" t="str">
        <f t="shared" si="7"/>
        <v>1H 2014</v>
      </c>
      <c r="BH9" s="333" t="str">
        <f t="shared" si="7"/>
        <v>2H 2014</v>
      </c>
      <c r="BI9" s="333" t="str">
        <f t="shared" si="7"/>
        <v>1H 2015</v>
      </c>
      <c r="BJ9" s="333" t="str">
        <f t="shared" si="7"/>
        <v>2H 2015</v>
      </c>
      <c r="BK9" s="333" t="str">
        <f t="shared" si="7"/>
        <v>1H 2016</v>
      </c>
      <c r="BL9" s="333" t="str">
        <f t="shared" si="7"/>
        <v>2H 2016</v>
      </c>
      <c r="BM9" s="333" t="str">
        <f t="shared" si="7"/>
        <v>1H 2017</v>
      </c>
      <c r="BN9" s="333" t="str">
        <f t="shared" si="7"/>
        <v>2H 2017</v>
      </c>
      <c r="BO9" s="333" t="str">
        <f t="shared" si="7"/>
        <v>1H 2018</v>
      </c>
      <c r="BP9" s="333" t="str">
        <f t="shared" si="7"/>
        <v>2H 2018</v>
      </c>
      <c r="BQ9" s="333" t="str">
        <f t="shared" si="7"/>
        <v>1H 2019</v>
      </c>
      <c r="BR9" s="333" t="str">
        <f t="shared" si="7"/>
        <v>2H 2019</v>
      </c>
      <c r="BS9" s="333" t="str">
        <f t="shared" si="7"/>
        <v>1H 2020</v>
      </c>
      <c r="BT9" s="333" t="str">
        <f t="shared" si="7"/>
        <v>2H 2020</v>
      </c>
      <c r="BU9" s="333" t="str">
        <f t="shared" si="7"/>
        <v>1H 2021</v>
      </c>
      <c r="BV9" s="333" t="str">
        <f t="shared" si="7"/>
        <v>2H 2021</v>
      </c>
      <c r="BW9" s="333" t="str">
        <f t="shared" si="7"/>
        <v>1H 2022</v>
      </c>
      <c r="BX9" s="333" t="str">
        <f t="shared" si="7"/>
        <v>2H 2022</v>
      </c>
      <c r="BY9" s="333" t="str">
        <f t="shared" si="7"/>
        <v>1H 2023</v>
      </c>
      <c r="BZ9" s="333" t="str">
        <f t="shared" si="7"/>
        <v>2H 2023</v>
      </c>
      <c r="CA9" s="333" t="str">
        <f t="shared" si="7"/>
        <v>1H 2024</v>
      </c>
      <c r="CB9" s="333" t="str">
        <f t="shared" si="7"/>
        <v>2H 2024</v>
      </c>
      <c r="CC9" s="334" t="str">
        <f t="shared" ref="CC9:CN9" si="8">LEFT(CA9,3)&amp;VALUE(MID(CA9,4,4))+1&amp;"E"</f>
        <v>1H 2025E</v>
      </c>
      <c r="CD9" s="334" t="str">
        <f t="shared" si="8"/>
        <v>2H 2025E</v>
      </c>
      <c r="CE9" s="334" t="str">
        <f t="shared" si="8"/>
        <v>1H 2026E</v>
      </c>
      <c r="CF9" s="334" t="str">
        <f t="shared" si="8"/>
        <v>2H 2026E</v>
      </c>
      <c r="CG9" s="334" t="str">
        <f t="shared" si="8"/>
        <v>1H 2027E</v>
      </c>
      <c r="CH9" s="334" t="str">
        <f t="shared" si="8"/>
        <v>2H 2027E</v>
      </c>
      <c r="CI9" s="334" t="str">
        <f t="shared" si="8"/>
        <v>1H 2028E</v>
      </c>
      <c r="CJ9" s="334" t="str">
        <f t="shared" si="8"/>
        <v>2H 2028E</v>
      </c>
      <c r="CK9" s="334" t="str">
        <f t="shared" si="8"/>
        <v>1H 2029E</v>
      </c>
      <c r="CL9" s="334" t="str">
        <f t="shared" si="8"/>
        <v>2H 2029E</v>
      </c>
      <c r="CM9" s="334" t="str">
        <f t="shared" si="8"/>
        <v>1H 2030E</v>
      </c>
      <c r="CN9" s="334" t="str">
        <f t="shared" si="8"/>
        <v>2H 2030E</v>
      </c>
      <c r="CO9" s="474"/>
      <c r="CP9" s="189"/>
      <c r="CQ9" s="189"/>
      <c r="CR9" s="333" t="s">
        <v>1571</v>
      </c>
      <c r="CS9" s="333" t="s">
        <v>1572</v>
      </c>
      <c r="CT9" s="333" t="s">
        <v>1573</v>
      </c>
      <c r="CU9" s="333" t="s">
        <v>1574</v>
      </c>
      <c r="CV9" s="333" t="str">
        <f t="shared" ref="CV9:EA9" si="9">LEFT(CR9,3)&amp;VALUE(MID(CR9,4,4))+1</f>
        <v>1Q 2012</v>
      </c>
      <c r="CW9" s="333" t="str">
        <f t="shared" si="9"/>
        <v>2Q 2012</v>
      </c>
      <c r="CX9" s="333" t="str">
        <f t="shared" si="9"/>
        <v>3Q 2012</v>
      </c>
      <c r="CY9" s="333" t="str">
        <f t="shared" si="9"/>
        <v>4Q 2012</v>
      </c>
      <c r="CZ9" s="333" t="str">
        <f t="shared" si="9"/>
        <v>1Q 2013</v>
      </c>
      <c r="DA9" s="333" t="str">
        <f t="shared" si="9"/>
        <v>2Q 2013</v>
      </c>
      <c r="DB9" s="333" t="str">
        <f t="shared" si="9"/>
        <v>3Q 2013</v>
      </c>
      <c r="DC9" s="333" t="str">
        <f t="shared" si="9"/>
        <v>4Q 2013</v>
      </c>
      <c r="DD9" s="333" t="str">
        <f t="shared" si="9"/>
        <v>1Q 2014</v>
      </c>
      <c r="DE9" s="333" t="str">
        <f t="shared" si="9"/>
        <v>2Q 2014</v>
      </c>
      <c r="DF9" s="333" t="str">
        <f t="shared" si="9"/>
        <v>3Q 2014</v>
      </c>
      <c r="DG9" s="333" t="str">
        <f t="shared" si="9"/>
        <v>4Q 2014</v>
      </c>
      <c r="DH9" s="333" t="str">
        <f t="shared" si="9"/>
        <v>1Q 2015</v>
      </c>
      <c r="DI9" s="333" t="str">
        <f t="shared" si="9"/>
        <v>2Q 2015</v>
      </c>
      <c r="DJ9" s="333" t="str">
        <f t="shared" si="9"/>
        <v>3Q 2015</v>
      </c>
      <c r="DK9" s="333" t="str">
        <f t="shared" si="9"/>
        <v>4Q 2015</v>
      </c>
      <c r="DL9" s="333" t="str">
        <f t="shared" si="9"/>
        <v>1Q 2016</v>
      </c>
      <c r="DM9" s="333" t="str">
        <f t="shared" si="9"/>
        <v>2Q 2016</v>
      </c>
      <c r="DN9" s="333" t="str">
        <f t="shared" si="9"/>
        <v>3Q 2016</v>
      </c>
      <c r="DO9" s="333" t="str">
        <f t="shared" si="9"/>
        <v>4Q 2016</v>
      </c>
      <c r="DP9" s="333" t="str">
        <f t="shared" si="9"/>
        <v>1Q 2017</v>
      </c>
      <c r="DQ9" s="333" t="str">
        <f t="shared" si="9"/>
        <v>2Q 2017</v>
      </c>
      <c r="DR9" s="333" t="str">
        <f t="shared" si="9"/>
        <v>3Q 2017</v>
      </c>
      <c r="DS9" s="333" t="str">
        <f t="shared" si="9"/>
        <v>4Q 2017</v>
      </c>
      <c r="DT9" s="333" t="str">
        <f t="shared" si="9"/>
        <v>1Q 2018</v>
      </c>
      <c r="DU9" s="333" t="str">
        <f t="shared" si="9"/>
        <v>2Q 2018</v>
      </c>
      <c r="DV9" s="333" t="str">
        <f t="shared" si="9"/>
        <v>3Q 2018</v>
      </c>
      <c r="DW9" s="333" t="str">
        <f t="shared" si="9"/>
        <v>4Q 2018</v>
      </c>
      <c r="DX9" s="333" t="str">
        <f t="shared" si="9"/>
        <v>1Q 2019</v>
      </c>
      <c r="DY9" s="333" t="str">
        <f t="shared" si="9"/>
        <v>2Q 2019</v>
      </c>
      <c r="DZ9" s="333" t="str">
        <f t="shared" si="9"/>
        <v>3Q 2019</v>
      </c>
      <c r="EA9" s="333" t="str">
        <f t="shared" si="9"/>
        <v>4Q 2019</v>
      </c>
      <c r="EB9" s="333" t="str">
        <f t="shared" ref="EB9:EV9" si="10">LEFT(DX9,3)&amp;VALUE(MID(DX9,4,4))+1</f>
        <v>1Q 2020</v>
      </c>
      <c r="EC9" s="333" t="str">
        <f t="shared" si="10"/>
        <v>2Q 2020</v>
      </c>
      <c r="ED9" s="333" t="str">
        <f t="shared" si="10"/>
        <v>3Q 2020</v>
      </c>
      <c r="EE9" s="333" t="str">
        <f t="shared" si="10"/>
        <v>4Q 2020</v>
      </c>
      <c r="EF9" s="333" t="str">
        <f t="shared" si="10"/>
        <v>1Q 2021</v>
      </c>
      <c r="EG9" s="333" t="str">
        <f t="shared" si="10"/>
        <v>2Q 2021</v>
      </c>
      <c r="EH9" s="333" t="str">
        <f t="shared" si="10"/>
        <v>3Q 2021</v>
      </c>
      <c r="EI9" s="333" t="str">
        <f t="shared" si="10"/>
        <v>4Q 2021</v>
      </c>
      <c r="EJ9" s="333" t="str">
        <f t="shared" si="10"/>
        <v>1Q 2022</v>
      </c>
      <c r="EK9" s="333" t="str">
        <f t="shared" si="10"/>
        <v>2Q 2022</v>
      </c>
      <c r="EL9" s="333" t="str">
        <f t="shared" si="10"/>
        <v>3Q 2022</v>
      </c>
      <c r="EM9" s="333" t="str">
        <f t="shared" si="10"/>
        <v>4Q 2022</v>
      </c>
      <c r="EN9" s="333" t="str">
        <f t="shared" si="10"/>
        <v>1Q 2023</v>
      </c>
      <c r="EO9" s="333" t="str">
        <f t="shared" si="10"/>
        <v>2Q 2023</v>
      </c>
      <c r="EP9" s="333" t="str">
        <f t="shared" si="10"/>
        <v>3Q 2023</v>
      </c>
      <c r="EQ9" s="333" t="str">
        <f t="shared" si="10"/>
        <v>4Q 2023</v>
      </c>
      <c r="ER9" s="333" t="str">
        <f t="shared" si="10"/>
        <v>1Q 2024</v>
      </c>
      <c r="ES9" s="333" t="str">
        <f t="shared" si="10"/>
        <v>2Q 2024</v>
      </c>
      <c r="ET9" s="333" t="str">
        <f t="shared" si="10"/>
        <v>3Q 2024</v>
      </c>
      <c r="EU9" s="333" t="str">
        <f t="shared" si="10"/>
        <v>4Q 2024</v>
      </c>
      <c r="EV9" s="333" t="str">
        <f t="shared" si="10"/>
        <v>1Q 2025</v>
      </c>
      <c r="EW9" s="195" t="str">
        <f t="shared" ref="EW9:FC9" si="11">LEFT(ES9,3)&amp;VALUE(MID(ES9,4,4))+1&amp;"E"</f>
        <v>2Q 2025E</v>
      </c>
      <c r="EX9" s="195" t="str">
        <f t="shared" si="11"/>
        <v>3Q 2025E</v>
      </c>
      <c r="EY9" s="195" t="str">
        <f t="shared" si="11"/>
        <v>4Q 2025E</v>
      </c>
      <c r="EZ9" s="195" t="str">
        <f t="shared" si="11"/>
        <v>1Q 2026E</v>
      </c>
      <c r="FA9" s="195" t="str">
        <f t="shared" si="11"/>
        <v>2Q 2026E</v>
      </c>
      <c r="FB9" s="195" t="str">
        <f t="shared" si="11"/>
        <v>3Q 2026E</v>
      </c>
      <c r="FC9" s="195" t="str">
        <f t="shared" si="11"/>
        <v>4Q 2026E</v>
      </c>
      <c r="FE9" s="198" t="s">
        <v>1379</v>
      </c>
      <c r="FI9" s="199"/>
      <c r="FJ9" s="199"/>
    </row>
    <row r="10" spans="1:187" s="193" customFormat="1" ht="6" customHeight="1">
      <c r="D10" s="192"/>
      <c r="E10" s="192"/>
      <c r="F10" s="192"/>
      <c r="G10" s="192"/>
      <c r="H10" s="192"/>
      <c r="I10" s="192"/>
      <c r="J10" s="192"/>
      <c r="K10" s="192"/>
      <c r="L10" s="192"/>
      <c r="M10" s="192"/>
      <c r="N10" s="192"/>
      <c r="O10" s="200"/>
      <c r="P10" s="200"/>
      <c r="Q10" s="200"/>
      <c r="R10" s="200"/>
      <c r="S10" s="200"/>
      <c r="T10" s="200"/>
      <c r="U10" s="200"/>
      <c r="V10" s="200"/>
      <c r="W10" s="200"/>
      <c r="X10" s="200"/>
      <c r="Y10" s="200"/>
      <c r="Z10" s="200"/>
      <c r="AA10" s="200"/>
      <c r="AB10" s="200"/>
      <c r="AC10" s="200"/>
      <c r="AD10" s="200"/>
      <c r="AE10" s="200"/>
      <c r="AF10" s="200"/>
      <c r="AG10" s="200"/>
      <c r="AH10" s="200"/>
      <c r="AI10" s="200"/>
      <c r="AJ10" s="200"/>
      <c r="AK10" s="200"/>
      <c r="AL10" s="200"/>
      <c r="AM10" s="200"/>
      <c r="AN10" s="200"/>
      <c r="AO10" s="338"/>
      <c r="AR10" s="200"/>
      <c r="AS10" s="200"/>
      <c r="BA10" s="200"/>
      <c r="BB10" s="200"/>
      <c r="BC10" s="200"/>
      <c r="BD10" s="200"/>
      <c r="BE10" s="200"/>
      <c r="BF10" s="200"/>
      <c r="BG10" s="200"/>
      <c r="BH10" s="200"/>
      <c r="BI10" s="200"/>
      <c r="BJ10" s="200"/>
      <c r="BK10" s="200"/>
      <c r="BL10" s="200"/>
      <c r="BM10" s="200"/>
      <c r="BN10" s="200"/>
      <c r="BO10" s="200"/>
      <c r="BP10" s="200"/>
      <c r="BQ10" s="200"/>
      <c r="BR10" s="200"/>
      <c r="BS10" s="200"/>
      <c r="BT10" s="200"/>
      <c r="BU10" s="200"/>
      <c r="BV10" s="200"/>
      <c r="BW10" s="200"/>
      <c r="BX10" s="200"/>
      <c r="BY10" s="200"/>
      <c r="BZ10" s="200"/>
      <c r="CA10" s="200"/>
      <c r="CB10" s="200"/>
      <c r="CC10" s="200"/>
      <c r="CD10" s="200"/>
      <c r="CE10" s="200"/>
      <c r="CF10" s="200"/>
      <c r="CG10" s="200"/>
      <c r="CH10" s="200"/>
      <c r="CI10" s="200"/>
      <c r="CJ10" s="200"/>
      <c r="CK10" s="200"/>
      <c r="CL10" s="200"/>
      <c r="CM10" s="200"/>
      <c r="CN10" s="200"/>
      <c r="CO10" s="200"/>
      <c r="CR10" s="200"/>
      <c r="CS10" s="200"/>
      <c r="CT10" s="200"/>
      <c r="CU10" s="200"/>
      <c r="CV10" s="200"/>
      <c r="CW10" s="200"/>
      <c r="CX10" s="200"/>
      <c r="CY10" s="200"/>
      <c r="CZ10" s="200"/>
      <c r="DA10" s="200"/>
      <c r="DB10" s="200"/>
      <c r="DC10" s="200"/>
      <c r="DD10" s="200"/>
      <c r="DE10" s="200"/>
      <c r="DF10" s="200"/>
      <c r="DG10" s="200"/>
      <c r="DH10" s="200"/>
      <c r="DI10" s="200"/>
      <c r="DJ10" s="200"/>
      <c r="DK10" s="200"/>
      <c r="DL10" s="200"/>
      <c r="DM10" s="200"/>
      <c r="DN10" s="200"/>
      <c r="DO10" s="200"/>
      <c r="DP10" s="200"/>
      <c r="DQ10" s="200"/>
      <c r="DR10" s="200"/>
      <c r="DS10" s="200"/>
      <c r="DT10" s="200"/>
      <c r="DU10" s="200"/>
      <c r="DV10" s="200"/>
      <c r="DW10" s="200"/>
      <c r="DX10" s="200"/>
      <c r="DY10" s="200"/>
      <c r="DZ10" s="200"/>
      <c r="EA10" s="200"/>
      <c r="EB10" s="200"/>
      <c r="EC10" s="200"/>
      <c r="ED10" s="200"/>
      <c r="EE10" s="200"/>
      <c r="EF10" s="200"/>
      <c r="EG10" s="200"/>
      <c r="EH10" s="200"/>
      <c r="EI10" s="200"/>
      <c r="EJ10" s="200"/>
      <c r="EN10" s="200"/>
      <c r="EO10" s="200"/>
      <c r="ER10" s="200"/>
      <c r="ES10" s="200"/>
      <c r="ET10" s="200"/>
      <c r="FI10" s="201"/>
      <c r="FJ10" s="201"/>
      <c r="FK10" s="192"/>
      <c r="FL10" s="192"/>
      <c r="FM10" s="192"/>
      <c r="FO10" s="202"/>
      <c r="FP10" s="202"/>
      <c r="FQ10" s="202"/>
      <c r="FR10" s="203"/>
      <c r="FS10" s="204"/>
      <c r="FT10" s="204"/>
      <c r="FU10" s="204"/>
      <c r="FV10" s="204"/>
      <c r="FW10" s="204"/>
      <c r="FY10" s="205"/>
      <c r="FZ10" s="200"/>
      <c r="GA10" s="192"/>
      <c r="GB10" s="192"/>
      <c r="GD10" s="206"/>
      <c r="GE10" s="206"/>
    </row>
    <row r="11" spans="1:187">
      <c r="AO11" s="338"/>
      <c r="AP11" s="449"/>
      <c r="AR11" s="522"/>
      <c r="AS11" s="522"/>
      <c r="BA11" s="305"/>
      <c r="BB11" s="305"/>
      <c r="BC11" s="305"/>
      <c r="BD11" s="305"/>
      <c r="BE11" s="305"/>
      <c r="BF11" s="305"/>
      <c r="BG11" s="305"/>
      <c r="BH11" s="305"/>
      <c r="BI11" s="305"/>
      <c r="BJ11" s="305"/>
      <c r="BK11" s="305"/>
      <c r="BL11" s="305"/>
      <c r="BM11" s="305"/>
      <c r="BN11" s="305"/>
      <c r="BO11" s="305"/>
      <c r="BP11" s="305"/>
      <c r="BQ11" s="305"/>
      <c r="BR11" s="305"/>
      <c r="BS11" s="305"/>
      <c r="BT11" s="305"/>
      <c r="BU11" s="305"/>
      <c r="BV11" s="305"/>
      <c r="BW11" s="305"/>
      <c r="BX11" s="305"/>
      <c r="BY11" s="305"/>
      <c r="BZ11" s="305"/>
      <c r="CA11" s="305"/>
      <c r="CB11" s="305"/>
      <c r="CC11" s="332"/>
      <c r="CD11" s="332"/>
      <c r="CE11" s="332"/>
      <c r="CF11" s="332"/>
      <c r="CG11" s="332"/>
      <c r="CH11" s="332"/>
      <c r="CI11" s="332"/>
      <c r="CJ11" s="332"/>
      <c r="CK11" s="332"/>
      <c r="CL11" s="332"/>
      <c r="CM11" s="332"/>
      <c r="CN11" s="332"/>
      <c r="CO11" s="467"/>
      <c r="CR11" s="305"/>
      <c r="CS11" s="305"/>
      <c r="CT11" s="305"/>
      <c r="CU11" s="305"/>
      <c r="CV11" s="305"/>
      <c r="CW11" s="305"/>
      <c r="CX11" s="305"/>
      <c r="CY11" s="305"/>
      <c r="CZ11" s="305"/>
      <c r="DA11" s="305"/>
      <c r="DB11" s="305"/>
      <c r="DC11" s="305"/>
      <c r="DD11" s="305"/>
      <c r="DE11" s="305"/>
      <c r="DF11" s="305"/>
      <c r="DG11" s="305"/>
      <c r="DH11" s="305"/>
      <c r="DI11" s="305"/>
      <c r="DJ11" s="305"/>
      <c r="DK11" s="305"/>
      <c r="DL11" s="305"/>
      <c r="DM11" s="305"/>
      <c r="DN11" s="305"/>
      <c r="DO11" s="305"/>
      <c r="DP11" s="305"/>
      <c r="DQ11" s="305"/>
      <c r="DR11" s="305"/>
      <c r="DS11" s="305"/>
      <c r="DT11" s="305"/>
      <c r="DU11" s="305"/>
      <c r="DV11" s="305"/>
      <c r="DW11" s="305"/>
      <c r="DX11" s="305"/>
      <c r="DY11" s="305"/>
      <c r="DZ11" s="305"/>
      <c r="EA11" s="305"/>
      <c r="EB11" s="305"/>
      <c r="EC11" s="305"/>
      <c r="ED11" s="305"/>
      <c r="EE11" s="305"/>
      <c r="EF11" s="305"/>
      <c r="EG11" s="305"/>
      <c r="EH11" s="305"/>
      <c r="EI11" s="305"/>
      <c r="EJ11" s="305"/>
      <c r="EK11" s="305"/>
      <c r="EL11" s="305"/>
      <c r="EM11" s="305"/>
      <c r="EN11" s="305"/>
      <c r="EO11" s="305"/>
      <c r="EP11" s="305"/>
      <c r="EQ11" s="305"/>
      <c r="ER11" s="305"/>
      <c r="ES11" s="305"/>
      <c r="ET11" s="305"/>
      <c r="EU11" s="305"/>
      <c r="EV11" s="305"/>
      <c r="EW11" s="332"/>
      <c r="EX11" s="332"/>
      <c r="EY11" s="332"/>
      <c r="EZ11" s="332"/>
      <c r="FA11" s="332"/>
      <c r="FB11" s="332"/>
      <c r="FC11" s="332"/>
    </row>
    <row r="12" spans="1:187">
      <c r="AO12" s="338"/>
      <c r="AP12" s="449"/>
      <c r="AR12" s="522"/>
      <c r="AS12" s="522"/>
      <c r="BA12" s="308"/>
      <c r="BB12" s="308"/>
      <c r="BC12" s="308"/>
      <c r="BD12" s="308"/>
      <c r="BE12" s="308"/>
      <c r="BF12" s="308"/>
      <c r="BG12" s="308"/>
      <c r="BH12" s="308"/>
      <c r="BI12" s="308"/>
      <c r="BJ12" s="308"/>
      <c r="BK12" s="308"/>
      <c r="BL12" s="308"/>
      <c r="BM12" s="308"/>
      <c r="BN12" s="308"/>
      <c r="BO12" s="308"/>
      <c r="BP12" s="308"/>
      <c r="BQ12" s="308"/>
      <c r="BR12" s="308"/>
      <c r="BS12" s="308"/>
      <c r="BT12" s="308"/>
      <c r="BU12" s="308"/>
      <c r="BV12" s="308"/>
      <c r="BW12" s="308"/>
      <c r="BX12" s="308"/>
      <c r="BY12" s="308"/>
      <c r="BZ12" s="308"/>
      <c r="CA12" s="308"/>
      <c r="CB12" s="308"/>
      <c r="CC12" s="308"/>
      <c r="CD12" s="308"/>
      <c r="CE12" s="308"/>
      <c r="CF12" s="308"/>
      <c r="CG12" s="308"/>
      <c r="CH12" s="308"/>
      <c r="CI12" s="308"/>
      <c r="CJ12" s="308"/>
      <c r="CK12" s="308"/>
      <c r="CL12" s="308"/>
      <c r="CM12" s="308"/>
      <c r="CN12" s="308"/>
      <c r="CO12" s="339"/>
      <c r="CR12" s="308"/>
      <c r="CS12" s="308"/>
      <c r="CT12" s="308"/>
      <c r="CU12" s="308"/>
      <c r="CV12" s="308"/>
      <c r="CW12" s="308"/>
      <c r="CX12" s="308"/>
      <c r="CY12" s="308"/>
      <c r="CZ12" s="308"/>
      <c r="DA12" s="308"/>
      <c r="DB12" s="308"/>
      <c r="DC12" s="308"/>
      <c r="DD12" s="308"/>
      <c r="DE12" s="308"/>
      <c r="DF12" s="308"/>
      <c r="DG12" s="308"/>
      <c r="DH12" s="308"/>
      <c r="DI12" s="308"/>
      <c r="DJ12" s="308"/>
      <c r="DK12" s="308"/>
      <c r="DL12" s="308"/>
      <c r="DM12" s="308"/>
      <c r="DN12" s="308"/>
      <c r="DO12" s="308"/>
      <c r="DP12" s="308"/>
      <c r="DQ12" s="308"/>
      <c r="DR12" s="308"/>
      <c r="DS12" s="308"/>
      <c r="DT12" s="308"/>
      <c r="DU12" s="308"/>
      <c r="DV12" s="308"/>
      <c r="DW12" s="308"/>
      <c r="DX12" s="308"/>
      <c r="DY12" s="308"/>
      <c r="DZ12" s="308"/>
      <c r="EA12" s="308"/>
      <c r="EB12" s="308"/>
      <c r="EC12" s="308"/>
      <c r="ED12" s="308"/>
      <c r="EE12" s="308"/>
      <c r="EF12" s="308"/>
      <c r="EG12" s="308"/>
      <c r="EH12" s="308"/>
      <c r="EI12" s="308"/>
      <c r="EJ12" s="308"/>
      <c r="EK12" s="308"/>
      <c r="EL12" s="308"/>
      <c r="EM12" s="308"/>
      <c r="EN12" s="308"/>
      <c r="EO12" s="308"/>
      <c r="EP12" s="308"/>
      <c r="EQ12" s="308"/>
      <c r="ER12" s="308"/>
      <c r="ES12" s="308"/>
      <c r="ET12" s="308"/>
      <c r="EU12" s="308"/>
      <c r="EV12" s="308"/>
      <c r="EW12" s="308"/>
      <c r="EX12" s="308"/>
      <c r="EY12" s="308"/>
      <c r="EZ12" s="308"/>
      <c r="FA12" s="308"/>
      <c r="FB12" s="308"/>
      <c r="FC12" s="308"/>
    </row>
    <row r="13" spans="1:187" s="193" customFormat="1" ht="14.25" customHeight="1">
      <c r="A13" s="315"/>
      <c r="B13" s="192"/>
      <c r="AI13" s="316">
        <f>'Income Statement'!AF149</f>
        <v>1.18469</v>
      </c>
      <c r="AJ13" s="316">
        <f>AI13</f>
        <v>1.18469</v>
      </c>
      <c r="AK13" s="316">
        <f>AJ13</f>
        <v>1.18469</v>
      </c>
      <c r="AL13" s="316">
        <f>AK13</f>
        <v>1.18469</v>
      </c>
      <c r="AM13" s="316">
        <f>AL13</f>
        <v>1.18469</v>
      </c>
      <c r="AN13" s="200"/>
      <c r="AO13" s="338"/>
      <c r="AP13" s="524" t="s">
        <v>1581</v>
      </c>
      <c r="AR13" s="522"/>
      <c r="AS13" s="522"/>
      <c r="BA13" s="309">
        <f t="shared" ref="BA13:BR13" si="12">AVERAGEIFS($CR13:$EY13,$CR$7:$EY$7,BA$7,$CR$8:$EY$8,BA$8)</f>
        <v>1.3924000000000001</v>
      </c>
      <c r="BB13" s="309">
        <f t="shared" si="12"/>
        <v>1.3924000000000001</v>
      </c>
      <c r="BC13" s="309">
        <f t="shared" si="12"/>
        <v>1.2855785440613019</v>
      </c>
      <c r="BD13" s="309">
        <f t="shared" si="12"/>
        <v>1.2855785440613019</v>
      </c>
      <c r="BE13" s="309">
        <f t="shared" si="12"/>
        <v>1.3283</v>
      </c>
      <c r="BF13" s="309">
        <f t="shared" si="12"/>
        <v>1.3283</v>
      </c>
      <c r="BG13" s="309">
        <f t="shared" si="12"/>
        <v>1.3284</v>
      </c>
      <c r="BH13" s="309">
        <f t="shared" si="12"/>
        <v>1.3284</v>
      </c>
      <c r="BI13" s="309">
        <f t="shared" si="12"/>
        <v>1.1095999999999999</v>
      </c>
      <c r="BJ13" s="309">
        <f t="shared" si="12"/>
        <v>1.1095999999999999</v>
      </c>
      <c r="BK13" s="309">
        <f t="shared" si="12"/>
        <v>1.1067</v>
      </c>
      <c r="BL13" s="309">
        <f t="shared" si="12"/>
        <v>1.1067</v>
      </c>
      <c r="BM13" s="309">
        <f t="shared" si="12"/>
        <v>1.1296999999999999</v>
      </c>
      <c r="BN13" s="309">
        <f t="shared" si="12"/>
        <v>1.1296999999999999</v>
      </c>
      <c r="BO13" s="309">
        <f t="shared" si="12"/>
        <v>1.1808000000000001</v>
      </c>
      <c r="BP13" s="309">
        <f t="shared" si="12"/>
        <v>1.1808000000000001</v>
      </c>
      <c r="BQ13" s="309">
        <f t="shared" si="12"/>
        <v>1.1202219216417912</v>
      </c>
      <c r="BR13" s="309">
        <f t="shared" si="12"/>
        <v>1.1202219216417912</v>
      </c>
      <c r="BS13" s="309">
        <f t="shared" ref="BS13:CF13" si="13">AVERAGEIFS($CR13:$FC13,$CR$7:$FC$7,BS$7,$CR$8:$FC$8,BS$8)</f>
        <v>1.1417730410447762</v>
      </c>
      <c r="BT13" s="309">
        <f t="shared" si="13"/>
        <v>1.1417730410447762</v>
      </c>
      <c r="BU13" s="309">
        <f t="shared" si="13"/>
        <v>1.1826485576923091</v>
      </c>
      <c r="BV13" s="309">
        <f t="shared" si="13"/>
        <v>1.1826485576923091</v>
      </c>
      <c r="BW13" s="309">
        <f t="shared" si="13"/>
        <v>1.0535101224253887</v>
      </c>
      <c r="BX13" s="309">
        <f t="shared" si="13"/>
        <v>1.0535101224253887</v>
      </c>
      <c r="BY13" s="309">
        <f t="shared" si="13"/>
        <v>1.0813423257273662</v>
      </c>
      <c r="BZ13" s="309">
        <f t="shared" si="13"/>
        <v>1.0813423257273662</v>
      </c>
      <c r="CA13" s="309">
        <f t="shared" si="13"/>
        <v>1.0866374605926854</v>
      </c>
      <c r="CB13" s="309">
        <f t="shared" si="13"/>
        <v>1.0866374605926854</v>
      </c>
      <c r="CC13" s="335">
        <f t="shared" si="13"/>
        <v>1.1220845624527969</v>
      </c>
      <c r="CD13" s="335">
        <f t="shared" si="13"/>
        <v>1.1220845624527969</v>
      </c>
      <c r="CE13" s="335">
        <f t="shared" si="13"/>
        <v>1.18469</v>
      </c>
      <c r="CF13" s="335">
        <f t="shared" si="13"/>
        <v>1.18469</v>
      </c>
      <c r="CG13" s="213"/>
      <c r="CH13" s="213"/>
      <c r="CI13" s="213"/>
      <c r="CJ13" s="213"/>
      <c r="CK13" s="213"/>
      <c r="CL13" s="213"/>
      <c r="CM13" s="213"/>
      <c r="CN13" s="213"/>
      <c r="CO13" s="309"/>
      <c r="CR13" s="309">
        <f>INDEX('Income Statement'!$H$149:$AB$149,MATCH(CR$8,$J$8:$AD$8,0))</f>
        <v>1.3924000000000001</v>
      </c>
      <c r="CS13" s="309">
        <f>INDEX('Income Statement'!$H$149:$AB$149,MATCH(CS$8,$J$8:$AD$8,0))</f>
        <v>1.3924000000000001</v>
      </c>
      <c r="CT13" s="309">
        <f>INDEX('Income Statement'!$H$149:$AB$149,MATCH(CT$8,$J$8:$AD$8,0))</f>
        <v>1.3924000000000001</v>
      </c>
      <c r="CU13" s="309">
        <f>INDEX('Income Statement'!$H$149:$AB$149,MATCH(CU$8,$J$8:$AD$8,0))</f>
        <v>1.3924000000000001</v>
      </c>
      <c r="CV13" s="309">
        <f>INDEX('Income Statement'!$H$149:$AB$149,MATCH(CV$8,$J$8:$AD$8,0))</f>
        <v>1.2855785440613019</v>
      </c>
      <c r="CW13" s="309">
        <f>INDEX('Income Statement'!$H$149:$AB$149,MATCH(CW$8,$J$8:$AD$8,0))</f>
        <v>1.2855785440613019</v>
      </c>
      <c r="CX13" s="309">
        <f>INDEX('Income Statement'!$H$149:$AB$149,MATCH(CX$8,$J$8:$AD$8,0))</f>
        <v>1.2855785440613019</v>
      </c>
      <c r="CY13" s="309">
        <f>INDEX('Income Statement'!$H$149:$AB$149,MATCH(CY$8,$J$8:$AD$8,0))</f>
        <v>1.2855785440613019</v>
      </c>
      <c r="CZ13" s="309">
        <f>INDEX('Income Statement'!$H$149:$AB$149,MATCH(CZ$8,$J$8:$AD$8,0))</f>
        <v>1.3283</v>
      </c>
      <c r="DA13" s="309">
        <f>INDEX('Income Statement'!$H$149:$AB$149,MATCH(DA$8,$J$8:$AD$8,0))</f>
        <v>1.3283</v>
      </c>
      <c r="DB13" s="309">
        <f>INDEX('Income Statement'!$H$149:$AB$149,MATCH(DB$8,$J$8:$AD$8,0))</f>
        <v>1.3283</v>
      </c>
      <c r="DC13" s="309">
        <f>INDEX('Income Statement'!$H$149:$AB$149,MATCH(DC$8,$J$8:$AD$8,0))</f>
        <v>1.3283</v>
      </c>
      <c r="DD13" s="309">
        <f>INDEX('Income Statement'!$H$149:$AB$149,MATCH(DD$8,$J$8:$AD$8,0))</f>
        <v>1.3284</v>
      </c>
      <c r="DE13" s="309">
        <f>INDEX('Income Statement'!$H$149:$AB$149,MATCH(DE$8,$J$8:$AD$8,0))</f>
        <v>1.3284</v>
      </c>
      <c r="DF13" s="309">
        <f>INDEX('Income Statement'!$H$149:$AB$149,MATCH(DF$8,$J$8:$AD$8,0))</f>
        <v>1.3284</v>
      </c>
      <c r="DG13" s="309">
        <f>INDEX('Income Statement'!$H$149:$AB$149,MATCH(DG$8,$J$8:$AD$8,0))</f>
        <v>1.3284</v>
      </c>
      <c r="DH13" s="309">
        <f>INDEX('Income Statement'!$H$149:$AB$149,MATCH(DH$8,$J$8:$AD$8,0))</f>
        <v>1.1095999999999999</v>
      </c>
      <c r="DI13" s="309">
        <f>INDEX('Income Statement'!$H$149:$AB$149,MATCH(DI$8,$J$8:$AD$8,0))</f>
        <v>1.1095999999999999</v>
      </c>
      <c r="DJ13" s="309">
        <f>INDEX('Income Statement'!$H$149:$AB$149,MATCH(DJ$8,$J$8:$AD$8,0))</f>
        <v>1.1095999999999999</v>
      </c>
      <c r="DK13" s="309">
        <f>INDEX('Income Statement'!$H$149:$AB$149,MATCH(DK$8,$J$8:$AD$8,0))</f>
        <v>1.1095999999999999</v>
      </c>
      <c r="DL13" s="309">
        <f>INDEX('Income Statement'!$H$149:$AB$149,MATCH(DL$8,$J$8:$AD$8,0))</f>
        <v>1.1067</v>
      </c>
      <c r="DM13" s="309">
        <f>INDEX('Income Statement'!$H$149:$AB$149,MATCH(DM$8,$J$8:$AD$8,0))</f>
        <v>1.1067</v>
      </c>
      <c r="DN13" s="309">
        <f>INDEX('Income Statement'!$H$149:$AB$149,MATCH(DN$8,$J$8:$AD$8,0))</f>
        <v>1.1067</v>
      </c>
      <c r="DO13" s="309">
        <f>INDEX('Income Statement'!$H$149:$AB$149,MATCH(DO$8,$J$8:$AD$8,0))</f>
        <v>1.1067</v>
      </c>
      <c r="DP13" s="309">
        <f>INDEX('Income Statement'!$H$149:$AB$149,MATCH(DP$8,$J$8:$AD$8,0))</f>
        <v>1.1296999999999999</v>
      </c>
      <c r="DQ13" s="309">
        <f>INDEX('Income Statement'!$H$149:$AB$149,MATCH(DQ$8,$J$8:$AD$8,0))</f>
        <v>1.1296999999999999</v>
      </c>
      <c r="DR13" s="309">
        <f>INDEX('Income Statement'!$H$149:$AB$149,MATCH(DR$8,$J$8:$AD$8,0))</f>
        <v>1.1296999999999999</v>
      </c>
      <c r="DS13" s="309">
        <f>INDEX('Income Statement'!$H$149:$AB$149,MATCH(DS$8,$J$8:$AD$8,0))</f>
        <v>1.1296999999999999</v>
      </c>
      <c r="DT13" s="309">
        <f>INDEX('Income Statement'!$H$149:$AB$149,MATCH(DT$8,$J$8:$AD$8,0))</f>
        <v>1.1808000000000001</v>
      </c>
      <c r="DU13" s="309">
        <f>INDEX('Income Statement'!$H$149:$AB$149,MATCH(DU$8,$J$8:$AD$8,0))</f>
        <v>1.1808000000000001</v>
      </c>
      <c r="DV13" s="309">
        <f>INDEX('Income Statement'!$H$149:$AB$149,MATCH(DV$8,$J$8:$AD$8,0))</f>
        <v>1.1808000000000001</v>
      </c>
      <c r="DW13" s="309">
        <f>INDEX('Income Statement'!$H$149:$AB$149,MATCH(DW$8,$J$8:$AD$8,0))</f>
        <v>1.1808000000000001</v>
      </c>
      <c r="DX13" s="309">
        <f>INDEX('Income Statement'!$H$149:$AB$149,MATCH(DX$8,$J$8:$AD$8,0))</f>
        <v>1.1202219216417912</v>
      </c>
      <c r="DY13" s="309">
        <f>INDEX('Income Statement'!$H$149:$AB$149,MATCH(DY$8,$J$8:$AD$8,0))</f>
        <v>1.1202219216417912</v>
      </c>
      <c r="DZ13" s="309">
        <f>INDEX('Income Statement'!$H$149:$AB$149,MATCH(DZ$8,$J$8:$AD$8,0))</f>
        <v>1.1202219216417912</v>
      </c>
      <c r="EA13" s="309">
        <f>INDEX('Income Statement'!$H$149:$AB$149,MATCH(EA$8,$J$8:$AD$8,0))</f>
        <v>1.1202219216417912</v>
      </c>
      <c r="EB13" s="309">
        <f>INDEX('Income Statement'!$H$149:$AB$149,MATCH(EB$8,$J$8:$AD$8,0))</f>
        <v>1.1417730410447762</v>
      </c>
      <c r="EC13" s="309">
        <f>INDEX('Income Statement'!$H$149:$AB$149,MATCH(EC$8,$J$8:$AD$8,0))</f>
        <v>1.1417730410447762</v>
      </c>
      <c r="ED13" s="309">
        <f>INDEX('Income Statement'!$H$149:$AB$149,MATCH(ED$8,$J$8:$AD$8,0))</f>
        <v>1.1417730410447762</v>
      </c>
      <c r="EE13" s="309">
        <f>INDEX('Income Statement'!$H$149:$AB$149,MATCH(EE$8,$J$8:$AD$8,0))</f>
        <v>1.1417730410447762</v>
      </c>
      <c r="EF13" s="309">
        <f>INDEX('Income Statement'!$H$149:$AB$149,MATCH(EF$8,$J$8:$AD$8,0))</f>
        <v>1.1826485576923091</v>
      </c>
      <c r="EG13" s="309">
        <f>INDEX('Income Statement'!$H$149:$AB$149,MATCH(EG$8,$J$8:$AD$8,0))</f>
        <v>1.1826485576923091</v>
      </c>
      <c r="EH13" s="309">
        <f>INDEX('Income Statement'!$H$149:$AB$149,MATCH(EH$8,$J$8:$AD$8,0))</f>
        <v>1.1826485576923091</v>
      </c>
      <c r="EI13" s="309">
        <f>INDEX('Income Statement'!$H$149:$AB$149,MATCH(EI$8,$J$8:$AD$8,0))</f>
        <v>1.1826485576923091</v>
      </c>
      <c r="EJ13" s="309">
        <f>INDEX('Income Statement'!$H$149:$AB$149,MATCH(EJ$8,$J$8:$AD$8,0))</f>
        <v>1.0535101224253887</v>
      </c>
      <c r="EK13" s="309">
        <f>INDEX('Income Statement'!$H$149:$AB$149,MATCH(EK$8,$J$8:$AD$8,0))</f>
        <v>1.0535101224253887</v>
      </c>
      <c r="EL13" s="309">
        <f>INDEX('Income Statement'!$H$149:$AB$149,MATCH(EL$8,$J$8:$AD$8,0))</f>
        <v>1.0535101224253887</v>
      </c>
      <c r="EM13" s="309">
        <f>INDEX('Income Statement'!$H$149:$AB$149,MATCH(EM$8,$J$8:$AD$8,0))</f>
        <v>1.0535101224253887</v>
      </c>
      <c r="EN13" s="309">
        <f>INDEX('Income Statement'!$H$149:$AB$149,MATCH(EN$8,$J$8:$AD$8,0))</f>
        <v>1.0813423257273662</v>
      </c>
      <c r="EO13" s="309">
        <f>INDEX('Income Statement'!$H$149:$AB$149,MATCH(EO$8,$J$8:$AD$8,0))</f>
        <v>1.0813423257273662</v>
      </c>
      <c r="EP13" s="309">
        <f>INDEX('Income Statement'!$H$149:$AB$149,MATCH(EP$8,$J$8:$AD$8,0))</f>
        <v>1.0813423257273662</v>
      </c>
      <c r="EQ13" s="309">
        <f>INDEX('Income Statement'!$H$149:$AB$149,MATCH(EQ$8,$J$8:$AD$8,0))</f>
        <v>1.0813423257273662</v>
      </c>
      <c r="ER13" s="309">
        <f>INDEX('Income Statement'!$H$149:$AB$149,MATCH(ER$8,$J$8:$AD$8,0))</f>
        <v>1.0866374605926854</v>
      </c>
      <c r="ES13" s="309">
        <f>INDEX('Income Statement'!$H$149:$AB$149,MATCH(ES$8,$J$8:$AD$8,0))</f>
        <v>1.0866374605926854</v>
      </c>
      <c r="ET13" s="309">
        <f>INDEX('Income Statement'!$H$149:$AB$149,MATCH(ET$8,$J$8:$AD$8,0))</f>
        <v>1.0866374605926854</v>
      </c>
      <c r="EU13" s="309">
        <f>INDEX('Income Statement'!$H$149:$AE$149,MATCH(EU$8,$J$8:$AM$8,0))</f>
        <v>1.0866374605926854</v>
      </c>
      <c r="EV13" s="309">
        <f>INDEX('Income Statement'!$H$149:$AE$149,MATCH(EV$8,$J$8:$AM$8,0))</f>
        <v>1.1220845624527969</v>
      </c>
      <c r="EW13" s="335">
        <f>INDEX('Income Statement'!$H$149:$AE$149,MATCH(EW$8,$J$8:$AM$8,0))</f>
        <v>1.1220845624527969</v>
      </c>
      <c r="EX13" s="335">
        <f>INDEX('Income Statement'!$H$149:$AE$149,MATCH(EX$8,$J$8:$AM$8,0))</f>
        <v>1.1220845624527969</v>
      </c>
      <c r="EY13" s="335">
        <f>INDEX('Income Statement'!$H$149:$AE$149,MATCH(EY$8,$J$8:$AM$8,0))</f>
        <v>1.1220845624527969</v>
      </c>
      <c r="EZ13" s="335">
        <f>INDEX('Income Statement'!$H$149:$AE$149,MATCH(EZ$8,$J$8:$AM$8,0))</f>
        <v>1.18469</v>
      </c>
      <c r="FA13" s="335">
        <f>INDEX('Income Statement'!$H$149:$AE$149,MATCH(FA$8,$J$8:$AM$8,0))</f>
        <v>1.18469</v>
      </c>
      <c r="FB13" s="335">
        <f>INDEX('Income Statement'!$H$149:$AE$149,MATCH(FB$8,$J$8:$AM$8,0))</f>
        <v>1.18469</v>
      </c>
      <c r="FC13" s="335">
        <f>INDEX('Income Statement'!$H$149:$AE$149,MATCH(FC$8,$J$8:$AM$8,0))</f>
        <v>1.18469</v>
      </c>
      <c r="FI13" s="201"/>
      <c r="FK13" s="192"/>
      <c r="FL13" s="192"/>
      <c r="FM13" s="192"/>
      <c r="FO13" s="202"/>
      <c r="FP13" s="202"/>
      <c r="FQ13" s="202"/>
      <c r="FR13" s="203"/>
      <c r="FS13" s="204"/>
      <c r="FT13" s="204"/>
      <c r="FU13" s="204"/>
      <c r="FV13" s="204"/>
      <c r="FW13" s="204"/>
      <c r="FY13" s="205"/>
      <c r="FZ13" s="200"/>
      <c r="GA13" s="192"/>
      <c r="GB13" s="192"/>
      <c r="GD13" s="206"/>
      <c r="GE13" s="206"/>
    </row>
    <row r="14" spans="1:187">
      <c r="AO14" s="338"/>
      <c r="AP14" s="449"/>
      <c r="AR14" s="449"/>
      <c r="AS14" s="449"/>
    </row>
    <row r="15" spans="1:187">
      <c r="AO15" s="338"/>
      <c r="AP15" s="449"/>
      <c r="AR15" s="449"/>
      <c r="AS15" s="449"/>
      <c r="BA15" s="308"/>
      <c r="BB15" s="308"/>
      <c r="BC15" s="308"/>
      <c r="BD15" s="308"/>
      <c r="BE15" s="308"/>
      <c r="BF15" s="308"/>
      <c r="BG15" s="308"/>
      <c r="BH15" s="308"/>
      <c r="BI15" s="308"/>
      <c r="BJ15" s="308"/>
      <c r="BK15" s="308"/>
      <c r="BL15" s="308"/>
      <c r="BM15" s="308"/>
      <c r="BN15" s="308"/>
      <c r="BO15" s="308"/>
      <c r="BP15" s="308"/>
      <c r="BQ15" s="308"/>
      <c r="BR15" s="308"/>
      <c r="BS15" s="308"/>
      <c r="BT15" s="308"/>
      <c r="BU15" s="308"/>
      <c r="BV15" s="308"/>
      <c r="BW15" s="308"/>
      <c r="BX15" s="308"/>
      <c r="BY15" s="308"/>
      <c r="BZ15" s="308"/>
      <c r="CA15" s="308"/>
      <c r="CB15" s="308"/>
      <c r="CC15" s="308"/>
      <c r="CD15" s="308"/>
      <c r="CE15" s="308"/>
      <c r="CF15" s="308"/>
      <c r="CG15" s="308"/>
      <c r="CH15" s="308"/>
      <c r="CI15" s="308"/>
      <c r="CJ15" s="308"/>
      <c r="CK15" s="308"/>
      <c r="CL15" s="308"/>
      <c r="CM15" s="308"/>
      <c r="CN15" s="308"/>
      <c r="CO15" s="339"/>
      <c r="CR15" s="308"/>
      <c r="CS15" s="308"/>
      <c r="CT15" s="308"/>
      <c r="CU15" s="308"/>
      <c r="CV15" s="308"/>
      <c r="CW15" s="308"/>
      <c r="CX15" s="308"/>
      <c r="CY15" s="308"/>
      <c r="CZ15" s="308"/>
      <c r="DA15" s="308"/>
      <c r="DB15" s="308"/>
      <c r="DC15" s="308"/>
      <c r="DD15" s="308"/>
      <c r="DE15" s="308"/>
      <c r="DF15" s="308"/>
      <c r="DG15" s="308"/>
      <c r="DH15" s="308"/>
      <c r="DI15" s="308"/>
      <c r="DJ15" s="308"/>
      <c r="DK15" s="308"/>
      <c r="DL15" s="308"/>
      <c r="DM15" s="308"/>
      <c r="DN15" s="308"/>
      <c r="DO15" s="308"/>
      <c r="DP15" s="308"/>
      <c r="DQ15" s="308"/>
      <c r="DR15" s="308"/>
      <c r="DS15" s="308"/>
      <c r="DT15" s="308"/>
      <c r="DU15" s="308"/>
      <c r="DV15" s="308"/>
      <c r="DW15" s="308"/>
      <c r="DX15" s="308"/>
      <c r="DY15" s="308"/>
      <c r="DZ15" s="308"/>
      <c r="EA15" s="308"/>
      <c r="EB15" s="308"/>
      <c r="EC15" s="308"/>
      <c r="ED15" s="308"/>
      <c r="EE15" s="308"/>
      <c r="EF15" s="308"/>
      <c r="EG15" s="308"/>
      <c r="EH15" s="308"/>
      <c r="EI15" s="308"/>
      <c r="EJ15" s="308"/>
      <c r="EK15" s="308"/>
      <c r="EL15" s="308"/>
      <c r="EM15" s="308"/>
      <c r="EN15" s="308"/>
      <c r="EO15" s="308"/>
      <c r="EP15" s="308"/>
      <c r="EQ15" s="308"/>
      <c r="ER15" s="308"/>
      <c r="ES15" s="308"/>
      <c r="ET15" s="308"/>
      <c r="EU15" s="308"/>
      <c r="EV15" s="308"/>
      <c r="EW15" s="308"/>
      <c r="EX15" s="308"/>
      <c r="EY15" s="308"/>
      <c r="EZ15" s="308"/>
      <c r="FA15" s="308"/>
      <c r="FB15" s="308"/>
      <c r="FC15" s="308"/>
    </row>
    <row r="16" spans="1:187">
      <c r="AO16" s="338"/>
      <c r="AP16" s="449"/>
      <c r="AR16" s="449"/>
      <c r="AS16" s="449"/>
      <c r="BA16" s="497"/>
      <c r="BB16" s="497"/>
      <c r="BC16" s="497"/>
      <c r="BD16" s="497"/>
      <c r="BE16" s="497"/>
      <c r="BF16" s="497"/>
      <c r="BG16" s="497"/>
      <c r="BH16" s="497"/>
      <c r="BI16" s="497"/>
      <c r="BJ16" s="497"/>
      <c r="BK16" s="497"/>
      <c r="BL16" s="497"/>
      <c r="BM16" s="497"/>
      <c r="BN16" s="497"/>
      <c r="BO16" s="497"/>
      <c r="BP16" s="497"/>
      <c r="BQ16" s="497"/>
      <c r="BR16" s="497"/>
      <c r="BS16" s="497"/>
      <c r="BT16" s="497"/>
      <c r="BU16" s="497"/>
      <c r="BV16" s="497"/>
      <c r="BW16" s="497"/>
      <c r="BX16" s="497"/>
      <c r="BY16" s="497"/>
      <c r="BZ16" s="497"/>
      <c r="CA16" s="497"/>
      <c r="CB16" s="497"/>
      <c r="CC16" s="497"/>
      <c r="CD16" s="497"/>
      <c r="CE16" s="497"/>
      <c r="CF16" s="497"/>
      <c r="CG16" s="310"/>
      <c r="CH16" s="310"/>
      <c r="CI16" s="310"/>
      <c r="CJ16" s="310"/>
      <c r="CK16" s="310"/>
      <c r="CL16" s="310"/>
      <c r="CM16" s="310"/>
      <c r="CN16" s="310"/>
      <c r="CO16" s="310"/>
      <c r="CR16" s="497"/>
      <c r="CS16" s="497"/>
      <c r="CT16" s="497"/>
      <c r="CU16" s="497"/>
      <c r="CV16" s="497"/>
      <c r="CW16" s="497"/>
      <c r="CX16" s="497"/>
      <c r="CY16" s="497"/>
      <c r="CZ16" s="497"/>
      <c r="DA16" s="497"/>
      <c r="DB16" s="497"/>
      <c r="DC16" s="497"/>
      <c r="DD16" s="497"/>
      <c r="DE16" s="497"/>
      <c r="DF16" s="497"/>
      <c r="DG16" s="497"/>
      <c r="DH16" s="497"/>
      <c r="DI16" s="497"/>
      <c r="DJ16" s="497"/>
      <c r="DK16" s="497"/>
      <c r="DL16" s="497"/>
      <c r="DM16" s="497"/>
      <c r="DN16" s="497"/>
      <c r="DO16" s="497"/>
      <c r="DP16" s="497"/>
      <c r="DQ16" s="497"/>
      <c r="DR16" s="497"/>
      <c r="DS16" s="497"/>
      <c r="DT16" s="497"/>
      <c r="DU16" s="497"/>
      <c r="DV16" s="497"/>
      <c r="DW16" s="497"/>
      <c r="DX16" s="497"/>
      <c r="DY16" s="497"/>
      <c r="DZ16" s="497"/>
      <c r="EA16" s="497"/>
      <c r="EB16" s="497"/>
      <c r="EC16" s="497"/>
      <c r="ED16" s="497"/>
      <c r="EE16" s="497"/>
      <c r="EF16" s="497"/>
      <c r="EG16" s="497"/>
      <c r="EH16" s="497"/>
      <c r="EI16" s="497"/>
      <c r="EJ16" s="497"/>
      <c r="EK16" s="497"/>
      <c r="EL16" s="497"/>
      <c r="EM16" s="497"/>
      <c r="EN16" s="497"/>
      <c r="EO16" s="497"/>
      <c r="EP16" s="497"/>
      <c r="EQ16" s="497"/>
      <c r="ER16" s="497"/>
      <c r="ES16" s="497"/>
      <c r="ET16" s="497"/>
      <c r="EU16" s="497"/>
      <c r="EV16" s="497"/>
      <c r="EW16" s="497"/>
      <c r="EX16" s="497"/>
      <c r="EY16" s="497"/>
      <c r="EZ16" s="497"/>
      <c r="FA16" s="497"/>
      <c r="FB16" s="497"/>
      <c r="FC16" s="497"/>
    </row>
    <row r="17" spans="3:159">
      <c r="AO17" s="338"/>
      <c r="AP17" s="449"/>
      <c r="AR17" s="449"/>
      <c r="AS17" s="449"/>
      <c r="BA17" s="498"/>
      <c r="BB17" s="498"/>
      <c r="BC17" s="498"/>
      <c r="BD17" s="498"/>
      <c r="BE17" s="498"/>
      <c r="BF17" s="498"/>
      <c r="BG17" s="498"/>
      <c r="BH17" s="498"/>
      <c r="BI17" s="498"/>
      <c r="BJ17" s="498"/>
      <c r="BK17" s="498"/>
      <c r="BL17" s="498"/>
      <c r="BM17" s="498"/>
      <c r="BN17" s="498"/>
      <c r="BO17" s="498"/>
      <c r="BP17" s="498"/>
      <c r="BQ17" s="498"/>
      <c r="BR17" s="498"/>
      <c r="BS17" s="498"/>
      <c r="BT17" s="498"/>
      <c r="BU17" s="498"/>
      <c r="BV17" s="498"/>
      <c r="BW17" s="498"/>
      <c r="BX17" s="498"/>
      <c r="BY17" s="498"/>
      <c r="BZ17" s="498"/>
      <c r="CA17" s="498"/>
      <c r="CB17" s="498"/>
      <c r="CC17" s="498"/>
      <c r="CD17" s="497"/>
      <c r="CE17" s="498"/>
      <c r="CF17" s="497"/>
      <c r="CG17" s="312"/>
      <c r="CH17" s="312"/>
      <c r="CI17" s="312"/>
      <c r="CJ17" s="312"/>
      <c r="CK17" s="312"/>
      <c r="CL17" s="312"/>
      <c r="CM17" s="312"/>
      <c r="CN17" s="312"/>
      <c r="CO17" s="210"/>
      <c r="CR17" s="498"/>
      <c r="CS17" s="498"/>
      <c r="CT17" s="498"/>
      <c r="CU17" s="498"/>
      <c r="CV17" s="498"/>
      <c r="CW17" s="498"/>
      <c r="CX17" s="498"/>
      <c r="CY17" s="498"/>
      <c r="CZ17" s="498"/>
      <c r="DA17" s="498"/>
      <c r="DB17" s="498"/>
      <c r="DC17" s="498"/>
      <c r="DD17" s="498"/>
      <c r="DE17" s="498"/>
      <c r="DF17" s="498"/>
      <c r="DG17" s="498"/>
      <c r="DH17" s="498"/>
      <c r="DI17" s="498"/>
      <c r="DJ17" s="498"/>
      <c r="DK17" s="498"/>
      <c r="DL17" s="498"/>
      <c r="DM17" s="498"/>
      <c r="DN17" s="498"/>
      <c r="DO17" s="498"/>
      <c r="DP17" s="498"/>
      <c r="DQ17" s="498"/>
      <c r="DR17" s="498"/>
      <c r="DS17" s="498"/>
      <c r="DT17" s="498"/>
      <c r="DU17" s="498"/>
      <c r="DV17" s="498"/>
      <c r="DW17" s="498"/>
      <c r="DX17" s="498"/>
      <c r="DY17" s="498"/>
      <c r="DZ17" s="498"/>
      <c r="EA17" s="498"/>
      <c r="EB17" s="498"/>
      <c r="EC17" s="498"/>
      <c r="ED17" s="498"/>
      <c r="EE17" s="498"/>
      <c r="EF17" s="498"/>
      <c r="EG17" s="498"/>
      <c r="EH17" s="498"/>
      <c r="EI17" s="498"/>
      <c r="EJ17" s="498"/>
      <c r="EK17" s="498"/>
      <c r="EL17" s="498"/>
      <c r="EM17" s="498"/>
      <c r="EN17" s="498"/>
      <c r="EO17" s="498"/>
      <c r="EP17" s="498"/>
      <c r="EQ17" s="498"/>
      <c r="ER17" s="498"/>
      <c r="ES17" s="498"/>
      <c r="ET17" s="498"/>
      <c r="EU17" s="498"/>
      <c r="EV17" s="498"/>
      <c r="EW17" s="498"/>
      <c r="EX17" s="498"/>
      <c r="EY17" s="498"/>
      <c r="EZ17" s="498"/>
      <c r="FA17" s="498"/>
      <c r="FB17" s="498"/>
      <c r="FC17" s="498"/>
    </row>
    <row r="18" spans="3:159" ht="14.25" customHeight="1">
      <c r="AO18" s="338"/>
      <c r="AP18" s="449"/>
      <c r="AR18" s="449"/>
      <c r="AS18" s="449"/>
      <c r="BA18" s="499"/>
      <c r="BB18" s="499"/>
      <c r="BC18" s="499"/>
      <c r="BD18" s="499"/>
      <c r="BE18" s="499"/>
      <c r="BF18" s="499"/>
      <c r="BG18" s="499"/>
      <c r="BH18" s="499"/>
      <c r="BI18" s="499"/>
      <c r="BJ18" s="499"/>
      <c r="BK18" s="499"/>
      <c r="BL18" s="499"/>
      <c r="BM18" s="499"/>
      <c r="BN18" s="499"/>
      <c r="BO18" s="499"/>
      <c r="BP18" s="499"/>
      <c r="BQ18" s="499"/>
      <c r="BR18" s="499"/>
      <c r="BS18" s="499"/>
      <c r="BT18" s="499"/>
      <c r="BU18" s="499"/>
      <c r="BV18" s="499"/>
      <c r="BW18" s="499"/>
      <c r="BX18" s="499"/>
      <c r="BY18" s="499"/>
      <c r="BZ18" s="499"/>
      <c r="CA18" s="499"/>
      <c r="CB18" s="499"/>
      <c r="CC18" s="499"/>
      <c r="CD18" s="497"/>
      <c r="CE18" s="499"/>
      <c r="CF18" s="497"/>
      <c r="CG18" s="207"/>
      <c r="CH18" s="207"/>
      <c r="CI18" s="207"/>
      <c r="CJ18" s="207"/>
      <c r="CK18" s="207"/>
      <c r="CL18" s="207"/>
      <c r="CM18" s="207"/>
      <c r="CN18" s="207"/>
      <c r="CO18" s="207"/>
      <c r="CR18" s="499"/>
      <c r="CS18" s="499"/>
      <c r="CT18" s="499"/>
      <c r="CU18" s="499"/>
      <c r="CV18" s="499"/>
      <c r="CW18" s="499"/>
      <c r="CX18" s="499"/>
      <c r="CY18" s="499"/>
      <c r="CZ18" s="499"/>
      <c r="DA18" s="499"/>
      <c r="DB18" s="499"/>
      <c r="DC18" s="499"/>
      <c r="DD18" s="499"/>
      <c r="DE18" s="499"/>
      <c r="DF18" s="499"/>
      <c r="DG18" s="499"/>
      <c r="DH18" s="499"/>
      <c r="DI18" s="499"/>
      <c r="DJ18" s="499"/>
      <c r="DK18" s="499"/>
      <c r="DL18" s="499"/>
      <c r="DM18" s="499"/>
      <c r="DN18" s="499"/>
      <c r="DO18" s="499"/>
      <c r="DP18" s="499"/>
      <c r="DQ18" s="499"/>
      <c r="DR18" s="499"/>
      <c r="DS18" s="499"/>
      <c r="DT18" s="499"/>
      <c r="DU18" s="499"/>
      <c r="DV18" s="499"/>
      <c r="DW18" s="499"/>
      <c r="DX18" s="499"/>
      <c r="DY18" s="499"/>
      <c r="DZ18" s="499"/>
      <c r="EA18" s="499"/>
      <c r="EB18" s="499"/>
      <c r="EC18" s="499"/>
      <c r="ED18" s="499"/>
      <c r="EE18" s="499"/>
      <c r="EF18" s="499"/>
      <c r="EG18" s="499"/>
      <c r="EH18" s="499"/>
      <c r="EI18" s="499"/>
      <c r="EJ18" s="499"/>
      <c r="EK18" s="499"/>
      <c r="EL18" s="499"/>
      <c r="EM18" s="499"/>
      <c r="EN18" s="499"/>
      <c r="EO18" s="499"/>
      <c r="EP18" s="499"/>
      <c r="EQ18" s="499"/>
      <c r="ER18" s="499"/>
      <c r="ES18" s="499"/>
      <c r="ET18" s="499"/>
      <c r="EU18" s="499"/>
      <c r="EV18" s="499"/>
      <c r="EW18" s="499"/>
      <c r="EX18" s="499"/>
      <c r="EY18" s="499"/>
      <c r="EZ18" s="499"/>
      <c r="FA18" s="499"/>
      <c r="FB18" s="499"/>
      <c r="FC18" s="499"/>
    </row>
    <row r="19" spans="3:159">
      <c r="AO19" s="338"/>
      <c r="AP19" s="449"/>
      <c r="AR19" s="449"/>
      <c r="AS19" s="449"/>
      <c r="BA19" s="500"/>
      <c r="BB19" s="500"/>
      <c r="BC19" s="500"/>
      <c r="BD19" s="500"/>
      <c r="BE19" s="500"/>
      <c r="BF19" s="500"/>
      <c r="BG19" s="500"/>
      <c r="BH19" s="500"/>
      <c r="BI19" s="500"/>
      <c r="BJ19" s="500"/>
      <c r="BK19" s="500"/>
      <c r="BL19" s="500"/>
      <c r="BM19" s="500"/>
      <c r="BN19" s="500"/>
      <c r="BO19" s="500"/>
      <c r="BP19" s="500"/>
      <c r="BQ19" s="500"/>
      <c r="BR19" s="500"/>
      <c r="BS19" s="500"/>
      <c r="BT19" s="500"/>
      <c r="BU19" s="500"/>
      <c r="BV19" s="500"/>
      <c r="BW19" s="500"/>
      <c r="BX19" s="500"/>
      <c r="BY19" s="500"/>
      <c r="BZ19" s="500"/>
      <c r="CA19" s="500"/>
      <c r="CB19" s="500"/>
      <c r="CC19" s="500"/>
      <c r="CD19" s="497"/>
      <c r="CE19" s="500"/>
      <c r="CF19" s="497"/>
      <c r="CG19" s="313"/>
      <c r="CH19" s="313"/>
      <c r="CI19" s="313"/>
      <c r="CJ19" s="313"/>
      <c r="CK19" s="313"/>
      <c r="CL19" s="313"/>
      <c r="CM19" s="313"/>
      <c r="CN19" s="313"/>
      <c r="CO19" s="313"/>
      <c r="CR19" s="500"/>
      <c r="CS19" s="500"/>
      <c r="CT19" s="500"/>
      <c r="CU19" s="500"/>
      <c r="CV19" s="500"/>
      <c r="CW19" s="500"/>
      <c r="CX19" s="500"/>
      <c r="CY19" s="500"/>
      <c r="CZ19" s="500"/>
      <c r="DA19" s="500"/>
      <c r="DB19" s="500"/>
      <c r="DC19" s="500"/>
      <c r="DD19" s="500"/>
      <c r="DE19" s="500"/>
      <c r="DF19" s="500"/>
      <c r="DG19" s="500"/>
      <c r="DH19" s="500"/>
      <c r="DI19" s="500"/>
      <c r="DJ19" s="500"/>
      <c r="DK19" s="500"/>
      <c r="DL19" s="500"/>
      <c r="DM19" s="500"/>
      <c r="DN19" s="500"/>
      <c r="DO19" s="500"/>
      <c r="DP19" s="500"/>
      <c r="DQ19" s="500"/>
      <c r="DR19" s="500"/>
      <c r="DS19" s="500"/>
      <c r="DT19" s="500"/>
      <c r="DU19" s="500"/>
      <c r="DV19" s="500"/>
      <c r="DW19" s="500"/>
      <c r="DX19" s="500"/>
      <c r="DY19" s="500"/>
      <c r="DZ19" s="500"/>
      <c r="EA19" s="500"/>
      <c r="EB19" s="500"/>
      <c r="EC19" s="500"/>
      <c r="ED19" s="500"/>
      <c r="EE19" s="500"/>
      <c r="EF19" s="500"/>
      <c r="EG19" s="500"/>
      <c r="EH19" s="500"/>
      <c r="EI19" s="500"/>
      <c r="EJ19" s="500"/>
      <c r="EK19" s="500"/>
      <c r="EL19" s="500"/>
      <c r="EM19" s="500"/>
      <c r="EN19" s="500"/>
      <c r="EO19" s="500"/>
      <c r="EP19" s="500"/>
      <c r="EQ19" s="500"/>
      <c r="ER19" s="500"/>
      <c r="ES19" s="500"/>
      <c r="ET19" s="500"/>
      <c r="EU19" s="500"/>
      <c r="EV19" s="500"/>
      <c r="EW19" s="500"/>
      <c r="EX19" s="500"/>
      <c r="EY19" s="500"/>
      <c r="EZ19" s="500"/>
      <c r="FA19" s="500"/>
      <c r="FB19" s="500"/>
      <c r="FC19" s="500"/>
    </row>
    <row r="20" spans="3:159">
      <c r="AO20" s="338"/>
      <c r="AP20" s="449" t="s">
        <v>1602</v>
      </c>
      <c r="AR20" s="449"/>
      <c r="AS20" s="449"/>
      <c r="BA20" s="501"/>
      <c r="BB20" s="501"/>
      <c r="BC20" s="501"/>
      <c r="BD20" s="501"/>
      <c r="BE20" s="501"/>
      <c r="BF20" s="501"/>
      <c r="BG20" s="501"/>
      <c r="BH20" s="501"/>
      <c r="BI20" s="501"/>
      <c r="BJ20" s="501"/>
      <c r="BK20" s="501"/>
      <c r="BL20" s="501"/>
      <c r="BM20" s="501"/>
      <c r="BN20" s="501"/>
      <c r="BO20" s="501"/>
      <c r="BP20" s="501"/>
      <c r="BQ20" s="501"/>
      <c r="BR20" s="501"/>
      <c r="BS20" s="501"/>
      <c r="BT20" s="501"/>
      <c r="BU20" s="501"/>
      <c r="BV20" s="501"/>
      <c r="BW20" s="501"/>
      <c r="BX20" s="501"/>
      <c r="BY20" s="501"/>
      <c r="BZ20" s="501"/>
      <c r="CA20" s="501"/>
      <c r="CB20" s="501"/>
      <c r="CC20" s="501"/>
      <c r="CD20" s="497"/>
      <c r="CE20" s="501"/>
      <c r="CF20" s="497"/>
      <c r="CG20" s="200"/>
      <c r="CH20" s="200"/>
      <c r="CI20" s="200"/>
      <c r="CJ20" s="200"/>
      <c r="CK20" s="200"/>
      <c r="CL20" s="200"/>
      <c r="CM20" s="200"/>
      <c r="CN20" s="200"/>
      <c r="CO20" s="200"/>
      <c r="CR20" s="501"/>
      <c r="CS20" s="501"/>
      <c r="CT20" s="501"/>
      <c r="CU20" s="501"/>
      <c r="CV20" s="501"/>
      <c r="CW20" s="501"/>
      <c r="CX20" s="501"/>
      <c r="CY20" s="501"/>
      <c r="CZ20" s="501"/>
      <c r="DA20" s="501"/>
      <c r="DB20" s="501"/>
      <c r="DC20" s="501"/>
      <c r="DD20" s="501"/>
      <c r="DE20" s="501"/>
      <c r="DF20" s="501"/>
      <c r="DG20" s="501"/>
      <c r="DH20" s="501"/>
      <c r="DI20" s="501"/>
      <c r="DJ20" s="501"/>
      <c r="DK20" s="501"/>
      <c r="DL20" s="501"/>
      <c r="DM20" s="501"/>
      <c r="DN20" s="501"/>
      <c r="DO20" s="501"/>
      <c r="DP20" s="501"/>
      <c r="DQ20" s="501"/>
      <c r="DR20" s="501"/>
      <c r="DS20" s="501"/>
      <c r="DT20" s="501"/>
      <c r="DU20" s="501"/>
      <c r="DV20" s="501"/>
      <c r="DW20" s="501"/>
      <c r="DX20" s="501"/>
      <c r="DY20" s="501"/>
      <c r="DZ20" s="501"/>
      <c r="EA20" s="501"/>
      <c r="EB20" s="501"/>
      <c r="EC20" s="501"/>
      <c r="ED20" s="501"/>
      <c r="EE20" s="501"/>
      <c r="EF20" s="501"/>
      <c r="EG20" s="501"/>
      <c r="EH20" s="501"/>
      <c r="EI20" s="501"/>
      <c r="EJ20" s="501"/>
      <c r="EK20" s="501"/>
      <c r="EL20" s="501"/>
      <c r="EM20" s="501"/>
      <c r="EN20" s="501"/>
      <c r="EO20" s="501"/>
      <c r="EP20" s="501"/>
      <c r="EQ20" s="501"/>
      <c r="ER20" s="501"/>
      <c r="ES20" s="501"/>
      <c r="ET20" s="501"/>
      <c r="EU20" s="501"/>
      <c r="EV20" s="501"/>
      <c r="EW20" s="501"/>
      <c r="EX20" s="501"/>
      <c r="EY20" s="501"/>
      <c r="EZ20" s="501"/>
      <c r="FA20" s="501"/>
      <c r="FB20" s="501"/>
      <c r="FC20" s="501"/>
    </row>
    <row r="21" spans="3:159">
      <c r="AO21" s="338"/>
      <c r="AP21" s="449"/>
      <c r="AR21" s="449"/>
      <c r="AS21" s="449"/>
      <c r="BA21" s="501"/>
      <c r="BB21" s="501"/>
      <c r="BC21" s="501"/>
      <c r="BD21" s="501"/>
      <c r="BE21" s="501"/>
      <c r="BF21" s="501"/>
      <c r="BG21" s="501"/>
      <c r="BH21" s="501"/>
      <c r="BI21" s="501"/>
      <c r="BJ21" s="501"/>
      <c r="BK21" s="501"/>
      <c r="BL21" s="501"/>
      <c r="BM21" s="501"/>
      <c r="BN21" s="501"/>
      <c r="BO21" s="501"/>
      <c r="BP21" s="501"/>
      <c r="BQ21" s="501"/>
      <c r="BR21" s="501"/>
      <c r="BS21" s="501"/>
      <c r="BT21" s="501"/>
      <c r="BU21" s="501"/>
      <c r="BV21" s="501"/>
      <c r="BW21" s="501"/>
      <c r="BX21" s="501"/>
      <c r="BY21" s="501"/>
      <c r="BZ21" s="501"/>
      <c r="CA21" s="501"/>
      <c r="CB21" s="501"/>
      <c r="CC21" s="501"/>
      <c r="CD21" s="497"/>
      <c r="CE21" s="501"/>
      <c r="CF21" s="497"/>
      <c r="CG21" s="200"/>
      <c r="CH21" s="200"/>
      <c r="CI21" s="200"/>
      <c r="CJ21" s="200"/>
      <c r="CK21" s="200"/>
      <c r="CL21" s="200"/>
      <c r="CM21" s="200"/>
      <c r="CN21" s="200"/>
      <c r="CO21" s="200"/>
      <c r="CR21" s="501"/>
      <c r="CS21" s="501"/>
      <c r="CT21" s="501"/>
      <c r="CU21" s="501"/>
      <c r="CV21" s="501"/>
      <c r="CW21" s="501"/>
      <c r="CX21" s="501"/>
      <c r="CY21" s="501"/>
      <c r="CZ21" s="501"/>
      <c r="DA21" s="501"/>
      <c r="DB21" s="501"/>
      <c r="DC21" s="501"/>
      <c r="DD21" s="501"/>
      <c r="DE21" s="501"/>
      <c r="DF21" s="501"/>
      <c r="DG21" s="501"/>
      <c r="DH21" s="501"/>
      <c r="DI21" s="501"/>
      <c r="DJ21" s="501"/>
      <c r="DK21" s="501"/>
      <c r="DL21" s="501"/>
      <c r="DM21" s="501"/>
      <c r="DN21" s="501"/>
      <c r="DO21" s="501"/>
      <c r="DP21" s="501"/>
      <c r="DQ21" s="501"/>
      <c r="DR21" s="501"/>
      <c r="DS21" s="501"/>
      <c r="DT21" s="501"/>
      <c r="DU21" s="501"/>
      <c r="DV21" s="501"/>
      <c r="DW21" s="501"/>
      <c r="DX21" s="501"/>
      <c r="DY21" s="501"/>
      <c r="DZ21" s="501"/>
      <c r="EA21" s="501"/>
      <c r="EB21" s="501"/>
      <c r="EC21" s="501"/>
      <c r="ED21" s="501"/>
      <c r="EE21" s="501"/>
      <c r="EF21" s="501"/>
      <c r="EG21" s="501"/>
      <c r="EH21" s="501"/>
      <c r="EI21" s="501"/>
      <c r="EJ21" s="501"/>
      <c r="EK21" s="501"/>
      <c r="EL21" s="501"/>
      <c r="EM21" s="501"/>
      <c r="EN21" s="501"/>
      <c r="EO21" s="501"/>
      <c r="EP21" s="501"/>
      <c r="EQ21" s="501"/>
      <c r="ER21" s="501"/>
      <c r="ES21" s="501"/>
      <c r="ET21" s="501"/>
      <c r="EU21" s="501"/>
      <c r="EV21" s="501"/>
      <c r="EW21" s="501"/>
      <c r="EX21" s="501"/>
      <c r="EY21" s="501"/>
      <c r="EZ21" s="501"/>
      <c r="FA21" s="501"/>
      <c r="FB21" s="501"/>
      <c r="FC21" s="501"/>
    </row>
    <row r="22" spans="3:159">
      <c r="AO22" s="338"/>
      <c r="AP22" s="525"/>
      <c r="AR22" s="449"/>
      <c r="AS22" s="449"/>
      <c r="BA22" s="498"/>
      <c r="BB22" s="498"/>
      <c r="BC22" s="498"/>
      <c r="BD22" s="498"/>
      <c r="BE22" s="498"/>
      <c r="BF22" s="498"/>
      <c r="BG22" s="498"/>
      <c r="BH22" s="498"/>
      <c r="BI22" s="498"/>
      <c r="BJ22" s="498"/>
      <c r="BK22" s="498"/>
      <c r="BL22" s="498"/>
      <c r="BM22" s="498"/>
      <c r="BN22" s="498"/>
      <c r="BO22" s="498"/>
      <c r="BP22" s="498"/>
      <c r="BQ22" s="498"/>
      <c r="BR22" s="498"/>
      <c r="BS22" s="498"/>
      <c r="BT22" s="498"/>
      <c r="BU22" s="498"/>
      <c r="BV22" s="498"/>
      <c r="BW22" s="498"/>
      <c r="BX22" s="498"/>
      <c r="BY22" s="498"/>
      <c r="BZ22" s="498"/>
      <c r="CA22" s="498"/>
      <c r="CB22" s="498"/>
      <c r="CC22" s="498"/>
      <c r="CD22" s="497"/>
      <c r="CE22" s="498"/>
      <c r="CF22" s="497"/>
      <c r="CG22" s="312"/>
      <c r="CH22" s="312"/>
      <c r="CI22" s="312"/>
      <c r="CJ22" s="312"/>
      <c r="CK22" s="312"/>
      <c r="CL22" s="312"/>
      <c r="CM22" s="312"/>
      <c r="CN22" s="312"/>
      <c r="CO22" s="210"/>
      <c r="CR22" s="498"/>
      <c r="CS22" s="498"/>
      <c r="CT22" s="498"/>
      <c r="CU22" s="498"/>
      <c r="CV22" s="498"/>
      <c r="CW22" s="498"/>
      <c r="CX22" s="498"/>
      <c r="CY22" s="498"/>
      <c r="CZ22" s="498"/>
      <c r="DA22" s="498"/>
      <c r="DB22" s="498"/>
      <c r="DC22" s="498"/>
      <c r="DD22" s="498"/>
      <c r="DE22" s="498"/>
      <c r="DF22" s="498"/>
      <c r="DG22" s="498"/>
      <c r="DH22" s="498"/>
      <c r="DI22" s="498"/>
      <c r="DJ22" s="498"/>
      <c r="DK22" s="498"/>
      <c r="DL22" s="498"/>
      <c r="DM22" s="498"/>
      <c r="DN22" s="498"/>
      <c r="DO22" s="498"/>
      <c r="DP22" s="498"/>
      <c r="DQ22" s="498"/>
      <c r="DR22" s="498"/>
      <c r="DS22" s="498"/>
      <c r="DT22" s="498"/>
      <c r="DU22" s="498"/>
      <c r="DV22" s="498"/>
      <c r="DW22" s="498"/>
      <c r="DX22" s="498"/>
      <c r="DY22" s="498"/>
      <c r="DZ22" s="498"/>
      <c r="EA22" s="498"/>
      <c r="EB22" s="498"/>
      <c r="EC22" s="498"/>
      <c r="ED22" s="498"/>
      <c r="EE22" s="498"/>
      <c r="EF22" s="498"/>
      <c r="EG22" s="498"/>
      <c r="EH22" s="498"/>
      <c r="EI22" s="498"/>
      <c r="EJ22" s="498"/>
      <c r="EK22" s="498"/>
      <c r="EL22" s="498"/>
      <c r="EM22" s="498"/>
      <c r="EN22" s="498"/>
      <c r="EO22" s="498"/>
      <c r="EP22" s="498"/>
      <c r="EQ22" s="498"/>
      <c r="ER22" s="498"/>
      <c r="ES22" s="498"/>
      <c r="ET22" s="498"/>
      <c r="EU22" s="498"/>
      <c r="EV22" s="498"/>
      <c r="EW22" s="498"/>
      <c r="EX22" s="498"/>
      <c r="EY22" s="498"/>
      <c r="EZ22" s="498"/>
      <c r="FA22" s="498"/>
      <c r="FB22" s="498"/>
      <c r="FC22" s="498"/>
    </row>
    <row r="23" spans="3:159">
      <c r="AO23" s="338"/>
      <c r="AP23" s="524" t="s">
        <v>1581</v>
      </c>
      <c r="AR23" s="449"/>
      <c r="AS23" s="449"/>
      <c r="BA23" s="498"/>
      <c r="BB23" s="498"/>
      <c r="BC23" s="498"/>
      <c r="BD23" s="498"/>
      <c r="BE23" s="498"/>
      <c r="BF23" s="498"/>
      <c r="BG23" s="498"/>
      <c r="BH23" s="498"/>
      <c r="BI23" s="498"/>
      <c r="BJ23" s="498"/>
      <c r="BK23" s="498"/>
      <c r="BL23" s="498"/>
      <c r="BM23" s="498"/>
      <c r="BN23" s="498"/>
      <c r="BO23" s="498"/>
      <c r="BP23" s="498"/>
      <c r="BQ23" s="498"/>
      <c r="BR23" s="498"/>
      <c r="BS23" s="498"/>
      <c r="BT23" s="498"/>
      <c r="BU23" s="498"/>
      <c r="BV23" s="498"/>
      <c r="BW23" s="498"/>
      <c r="BX23" s="498"/>
      <c r="BY23" s="498"/>
      <c r="BZ23" s="498"/>
      <c r="CA23" s="498"/>
      <c r="CB23" s="498"/>
      <c r="CC23" s="498"/>
      <c r="CD23" s="497"/>
      <c r="CE23" s="498"/>
      <c r="CF23" s="497"/>
      <c r="CG23" s="312"/>
      <c r="CH23" s="312"/>
      <c r="CI23" s="312"/>
      <c r="CJ23" s="312"/>
      <c r="CK23" s="312"/>
      <c r="CL23" s="312"/>
      <c r="CM23" s="312"/>
      <c r="CN23" s="312"/>
      <c r="CO23" s="210"/>
      <c r="CR23" s="498"/>
      <c r="CS23" s="498"/>
      <c r="CT23" s="498"/>
      <c r="CU23" s="498"/>
      <c r="CV23" s="498"/>
      <c r="CW23" s="498"/>
      <c r="CX23" s="498"/>
      <c r="CY23" s="498"/>
      <c r="CZ23" s="498"/>
      <c r="DA23" s="498"/>
      <c r="DB23" s="498"/>
      <c r="DC23" s="498"/>
      <c r="DD23" s="498"/>
      <c r="DE23" s="498"/>
      <c r="DF23" s="498"/>
      <c r="DG23" s="498"/>
      <c r="DH23" s="498"/>
      <c r="DI23" s="498"/>
      <c r="DJ23" s="498"/>
      <c r="DK23" s="498"/>
      <c r="DL23" s="498"/>
      <c r="DM23" s="498"/>
      <c r="DN23" s="498"/>
      <c r="DO23" s="498"/>
      <c r="DP23" s="498"/>
      <c r="DQ23" s="498"/>
      <c r="DR23" s="498"/>
      <c r="DS23" s="498"/>
      <c r="DT23" s="498"/>
      <c r="DU23" s="498"/>
      <c r="DV23" s="498"/>
      <c r="DW23" s="498"/>
      <c r="DX23" s="498"/>
      <c r="DY23" s="498"/>
      <c r="DZ23" s="498"/>
      <c r="EA23" s="498"/>
      <c r="EB23" s="498"/>
      <c r="EC23" s="498"/>
      <c r="ED23" s="498"/>
      <c r="EE23" s="498"/>
      <c r="EF23" s="498"/>
      <c r="EG23" s="498"/>
      <c r="EH23" s="498"/>
      <c r="EI23" s="498"/>
      <c r="EJ23" s="498"/>
      <c r="EK23" s="498"/>
      <c r="EL23" s="498"/>
      <c r="EM23" s="498"/>
      <c r="EN23" s="498"/>
      <c r="EO23" s="498"/>
      <c r="EP23" s="498"/>
      <c r="EQ23" s="498"/>
      <c r="ER23" s="498"/>
      <c r="ES23" s="498"/>
      <c r="ET23" s="498"/>
      <c r="EU23" s="498"/>
      <c r="EV23" s="498"/>
      <c r="EW23" s="498"/>
      <c r="EX23" s="498"/>
      <c r="EY23" s="498"/>
      <c r="EZ23" s="498"/>
      <c r="FA23" s="498"/>
      <c r="FB23" s="498"/>
      <c r="FC23" s="498"/>
    </row>
    <row r="24" spans="3:159">
      <c r="AI24" s="57"/>
      <c r="AJ24" s="57"/>
      <c r="AK24" s="57"/>
      <c r="AL24" s="57"/>
      <c r="AM24" s="57"/>
      <c r="AN24" s="57"/>
      <c r="AO24" s="338"/>
      <c r="AP24" s="449"/>
      <c r="AR24" s="449"/>
      <c r="AS24" s="449"/>
      <c r="BA24" s="500"/>
      <c r="BB24" s="500"/>
      <c r="BC24" s="500"/>
      <c r="BD24" s="500"/>
      <c r="BE24" s="500"/>
      <c r="BF24" s="500"/>
      <c r="BG24" s="500"/>
      <c r="BH24" s="500"/>
      <c r="BI24" s="500"/>
      <c r="BJ24" s="500"/>
      <c r="BK24" s="500"/>
      <c r="BL24" s="500"/>
      <c r="BM24" s="500"/>
      <c r="BN24" s="500"/>
      <c r="BO24" s="500"/>
      <c r="BP24" s="500"/>
      <c r="BQ24" s="500"/>
      <c r="BR24" s="500"/>
      <c r="BS24" s="500"/>
      <c r="BT24" s="500"/>
      <c r="BU24" s="500"/>
      <c r="BV24" s="500"/>
      <c r="BW24" s="500"/>
      <c r="BX24" s="500"/>
      <c r="BY24" s="500"/>
      <c r="BZ24" s="500"/>
      <c r="CA24" s="500"/>
      <c r="CB24" s="500"/>
      <c r="CC24" s="500"/>
      <c r="CD24" s="497"/>
      <c r="CE24" s="500"/>
      <c r="CF24" s="497"/>
      <c r="CG24" s="313"/>
      <c r="CH24" s="313"/>
      <c r="CI24" s="313"/>
      <c r="CJ24" s="313"/>
      <c r="CK24" s="313"/>
      <c r="CL24" s="313"/>
      <c r="CM24" s="313"/>
      <c r="CN24" s="313"/>
      <c r="CO24" s="313"/>
      <c r="CR24" s="500"/>
      <c r="CS24" s="500"/>
      <c r="CT24" s="500"/>
      <c r="CU24" s="500"/>
      <c r="CV24" s="500"/>
      <c r="CW24" s="500"/>
      <c r="CX24" s="500"/>
      <c r="CY24" s="500"/>
      <c r="CZ24" s="500"/>
      <c r="DA24" s="500"/>
      <c r="DB24" s="500"/>
      <c r="DC24" s="500"/>
      <c r="DD24" s="500"/>
      <c r="DE24" s="500"/>
      <c r="DF24" s="500"/>
      <c r="DG24" s="500"/>
      <c r="DH24" s="500"/>
      <c r="DI24" s="500"/>
      <c r="DJ24" s="500"/>
      <c r="DK24" s="500"/>
      <c r="DL24" s="500"/>
      <c r="DM24" s="500"/>
      <c r="DN24" s="500"/>
      <c r="DO24" s="500"/>
      <c r="DP24" s="500"/>
      <c r="DQ24" s="500"/>
      <c r="DR24" s="500"/>
      <c r="DS24" s="500"/>
      <c r="DT24" s="500"/>
      <c r="DU24" s="500"/>
      <c r="DV24" s="500"/>
      <c r="DW24" s="500"/>
      <c r="DX24" s="500"/>
      <c r="DY24" s="500"/>
      <c r="DZ24" s="500"/>
      <c r="EA24" s="500"/>
      <c r="EB24" s="500"/>
      <c r="EC24" s="500"/>
      <c r="ED24" s="500"/>
      <c r="EE24" s="500"/>
      <c r="EF24" s="500"/>
      <c r="EG24" s="500"/>
      <c r="EH24" s="500"/>
      <c r="EI24" s="500"/>
      <c r="EJ24" s="500"/>
      <c r="EK24" s="500"/>
      <c r="EL24" s="500"/>
      <c r="EM24" s="500"/>
      <c r="EN24" s="500"/>
      <c r="EO24" s="500"/>
      <c r="EP24" s="500"/>
      <c r="EQ24" s="500"/>
      <c r="ER24" s="500"/>
      <c r="ES24" s="500"/>
      <c r="ET24" s="500"/>
      <c r="EU24" s="500"/>
      <c r="EV24" s="500"/>
      <c r="EW24" s="500"/>
      <c r="EX24" s="500"/>
      <c r="EY24" s="500"/>
      <c r="EZ24" s="500"/>
      <c r="FA24" s="500"/>
      <c r="FB24" s="500"/>
      <c r="FC24" s="500"/>
    </row>
    <row r="25" spans="3:159">
      <c r="AO25" s="338"/>
      <c r="AP25" s="449"/>
      <c r="AR25" s="449"/>
      <c r="AS25" s="449"/>
      <c r="BA25" s="501"/>
      <c r="BB25" s="501"/>
      <c r="BC25" s="501"/>
      <c r="BD25" s="501"/>
      <c r="BE25" s="501"/>
      <c r="BF25" s="501"/>
      <c r="BG25" s="501"/>
      <c r="BH25" s="501"/>
      <c r="BI25" s="501"/>
      <c r="BJ25" s="501"/>
      <c r="BK25" s="501"/>
      <c r="BL25" s="501"/>
      <c r="BM25" s="501"/>
      <c r="BN25" s="501"/>
      <c r="BO25" s="501"/>
      <c r="BP25" s="501"/>
      <c r="BQ25" s="501"/>
      <c r="BR25" s="501"/>
      <c r="BS25" s="501"/>
      <c r="BT25" s="501"/>
      <c r="BU25" s="501"/>
      <c r="BV25" s="501"/>
      <c r="BW25" s="501"/>
      <c r="BX25" s="501"/>
      <c r="BY25" s="501"/>
      <c r="BZ25" s="501"/>
      <c r="CA25" s="501"/>
      <c r="CB25" s="501"/>
      <c r="CC25" s="501"/>
      <c r="CD25" s="497"/>
      <c r="CE25" s="501"/>
      <c r="CF25" s="497"/>
      <c r="CG25" s="200"/>
      <c r="CH25" s="200"/>
      <c r="CI25" s="200"/>
      <c r="CJ25" s="200"/>
      <c r="CK25" s="200"/>
      <c r="CL25" s="200"/>
      <c r="CM25" s="200"/>
      <c r="CN25" s="200"/>
      <c r="CO25" s="200"/>
      <c r="CR25" s="501"/>
      <c r="CS25" s="501"/>
      <c r="CT25" s="501"/>
      <c r="CU25" s="501"/>
      <c r="CV25" s="501"/>
      <c r="CW25" s="501"/>
      <c r="CX25" s="501"/>
      <c r="CY25" s="501"/>
      <c r="CZ25" s="501"/>
      <c r="DA25" s="501"/>
      <c r="DB25" s="501"/>
      <c r="DC25" s="501"/>
      <c r="DD25" s="501"/>
      <c r="DE25" s="501"/>
      <c r="DF25" s="501"/>
      <c r="DG25" s="501"/>
      <c r="DH25" s="501"/>
      <c r="DI25" s="501"/>
      <c r="DJ25" s="501"/>
      <c r="DK25" s="501"/>
      <c r="DL25" s="501"/>
      <c r="DM25" s="501"/>
      <c r="DN25" s="501"/>
      <c r="DO25" s="501"/>
      <c r="DP25" s="501"/>
      <c r="DQ25" s="501"/>
      <c r="DR25" s="501"/>
      <c r="DS25" s="501"/>
      <c r="DT25" s="501"/>
      <c r="DU25" s="501"/>
      <c r="DV25" s="501"/>
      <c r="DW25" s="501"/>
      <c r="DX25" s="501"/>
      <c r="DY25" s="501"/>
      <c r="DZ25" s="501"/>
      <c r="EA25" s="501"/>
      <c r="EB25" s="501"/>
      <c r="EC25" s="501"/>
      <c r="ED25" s="501"/>
      <c r="EE25" s="501"/>
      <c r="EF25" s="501"/>
      <c r="EG25" s="501"/>
      <c r="EH25" s="501"/>
      <c r="EI25" s="501"/>
      <c r="EJ25" s="501"/>
      <c r="EK25" s="501"/>
      <c r="EL25" s="501"/>
      <c r="EM25" s="501"/>
      <c r="EN25" s="501"/>
      <c r="EO25" s="501"/>
      <c r="EP25" s="501"/>
      <c r="EQ25" s="501"/>
      <c r="ER25" s="501"/>
      <c r="ES25" s="501"/>
      <c r="ET25" s="501"/>
      <c r="EU25" s="501"/>
      <c r="EV25" s="501"/>
      <c r="EW25" s="501"/>
      <c r="EX25" s="501"/>
      <c r="EY25" s="501"/>
      <c r="EZ25" s="501"/>
      <c r="FA25" s="501"/>
      <c r="FB25" s="501"/>
      <c r="FC25" s="501"/>
    </row>
    <row r="26" spans="3:159">
      <c r="V26" s="234"/>
      <c r="W26" s="234"/>
      <c r="X26" s="234"/>
      <c r="Y26" s="234"/>
      <c r="Z26" s="234"/>
      <c r="AA26" s="234"/>
      <c r="AB26" s="234"/>
      <c r="AC26" s="234"/>
      <c r="AD26" s="234"/>
      <c r="AE26" s="234"/>
      <c r="AF26" s="234"/>
      <c r="AG26" s="234"/>
      <c r="AH26" s="234"/>
      <c r="AO26" s="338"/>
      <c r="AP26" s="449"/>
      <c r="AR26" s="449"/>
      <c r="AS26" s="449"/>
    </row>
    <row r="27" spans="3:159">
      <c r="C27" s="305" t="s">
        <v>1466</v>
      </c>
      <c r="D27" s="305"/>
      <c r="E27" s="305"/>
      <c r="F27" s="305"/>
      <c r="G27" s="305"/>
      <c r="H27" s="305"/>
      <c r="I27" s="305"/>
      <c r="J27" s="305"/>
      <c r="K27" s="305"/>
      <c r="L27" s="305"/>
      <c r="M27" s="305"/>
      <c r="N27" s="305"/>
      <c r="O27" s="305"/>
      <c r="P27" s="305"/>
      <c r="Q27" s="305"/>
      <c r="R27" s="305"/>
      <c r="S27" s="305"/>
      <c r="T27" s="305"/>
      <c r="U27" s="305"/>
      <c r="V27" s="305"/>
      <c r="W27" s="305"/>
      <c r="X27" s="305"/>
      <c r="Y27" s="215"/>
      <c r="Z27" s="215"/>
      <c r="AA27" s="215"/>
      <c r="AB27" s="215"/>
      <c r="AC27" s="195"/>
      <c r="AD27" s="195"/>
      <c r="AE27" s="195"/>
      <c r="AF27" s="195"/>
      <c r="AG27" s="195"/>
      <c r="AH27" s="195"/>
      <c r="AO27" s="338"/>
      <c r="AP27" s="449"/>
      <c r="AR27" s="449"/>
      <c r="AS27" s="449"/>
      <c r="BA27" s="305"/>
      <c r="BB27" s="305"/>
      <c r="BC27" s="305"/>
      <c r="BD27" s="305"/>
      <c r="BE27" s="305"/>
      <c r="BF27" s="305"/>
      <c r="BG27" s="305"/>
      <c r="BH27" s="305"/>
      <c r="BI27" s="305"/>
      <c r="BJ27" s="305"/>
      <c r="BK27" s="305"/>
      <c r="BL27" s="305"/>
      <c r="BM27" s="305"/>
      <c r="BN27" s="305"/>
      <c r="BO27" s="305"/>
      <c r="BP27" s="305"/>
      <c r="BQ27" s="305"/>
      <c r="BR27" s="305"/>
      <c r="BS27" s="305"/>
      <c r="BT27" s="305"/>
      <c r="BU27" s="305"/>
      <c r="BV27" s="305"/>
      <c r="BW27" s="305"/>
      <c r="BX27" s="305"/>
      <c r="BY27" s="305"/>
      <c r="BZ27" s="305"/>
      <c r="CA27" s="305"/>
      <c r="CB27" s="305"/>
      <c r="CC27" s="332"/>
      <c r="CD27" s="332"/>
      <c r="CE27" s="332"/>
      <c r="CF27" s="332"/>
      <c r="CG27" s="332"/>
      <c r="CH27" s="332"/>
      <c r="CI27" s="332"/>
      <c r="CJ27" s="332"/>
      <c r="CK27" s="332"/>
      <c r="CL27" s="332"/>
      <c r="CM27" s="332"/>
      <c r="CN27" s="332"/>
      <c r="CO27" s="467"/>
      <c r="CR27" s="305"/>
      <c r="CS27" s="305"/>
      <c r="CT27" s="305"/>
      <c r="CU27" s="305"/>
      <c r="CV27" s="305"/>
      <c r="CW27" s="305"/>
      <c r="CX27" s="305"/>
      <c r="CY27" s="305"/>
      <c r="CZ27" s="305"/>
      <c r="DA27" s="305"/>
      <c r="DB27" s="305"/>
      <c r="DC27" s="305"/>
      <c r="DD27" s="305"/>
      <c r="DE27" s="305"/>
      <c r="DF27" s="305"/>
      <c r="DG27" s="305"/>
      <c r="DH27" s="305"/>
      <c r="DI27" s="305"/>
      <c r="DJ27" s="305"/>
      <c r="DK27" s="305"/>
      <c r="DL27" s="305"/>
      <c r="DM27" s="305"/>
      <c r="DN27" s="305"/>
      <c r="DO27" s="305"/>
      <c r="DP27" s="305"/>
      <c r="DQ27" s="305"/>
      <c r="DR27" s="305"/>
      <c r="DS27" s="305"/>
      <c r="DT27" s="305"/>
      <c r="DU27" s="305"/>
      <c r="DV27" s="305"/>
      <c r="DW27" s="305"/>
      <c r="DX27" s="305"/>
      <c r="DY27" s="305"/>
      <c r="DZ27" s="305"/>
      <c r="EA27" s="305"/>
      <c r="EB27" s="305"/>
      <c r="EC27" s="305"/>
      <c r="ED27" s="305"/>
      <c r="EE27" s="305"/>
      <c r="EF27" s="305"/>
      <c r="EG27" s="305"/>
      <c r="EH27" s="305"/>
      <c r="EI27" s="305"/>
      <c r="EJ27" s="305"/>
      <c r="EK27" s="305"/>
      <c r="EL27" s="305"/>
      <c r="EM27" s="305"/>
      <c r="EN27" s="305"/>
      <c r="EO27" s="305"/>
      <c r="EP27" s="305"/>
      <c r="EQ27" s="305"/>
      <c r="ER27" s="305"/>
      <c r="ES27" s="305"/>
      <c r="ET27" s="305"/>
      <c r="EU27" s="305"/>
      <c r="EV27" s="332"/>
      <c r="EW27" s="332"/>
      <c r="EX27" s="332"/>
      <c r="EY27" s="332"/>
      <c r="EZ27" s="332"/>
      <c r="FA27" s="332"/>
      <c r="FB27" s="332"/>
      <c r="FC27" s="332"/>
    </row>
    <row r="28" spans="3:159">
      <c r="C28" s="306" t="s">
        <v>1467</v>
      </c>
      <c r="D28" s="307"/>
      <c r="E28" s="307"/>
      <c r="F28" s="307"/>
      <c r="G28" s="307"/>
      <c r="H28" s="307"/>
      <c r="I28" s="307"/>
      <c r="J28" s="307"/>
      <c r="K28" s="307"/>
      <c r="L28" s="307"/>
      <c r="M28" s="307"/>
      <c r="N28" s="307"/>
      <c r="O28" s="308"/>
      <c r="P28" s="308"/>
      <c r="Q28" s="308"/>
      <c r="R28" s="308"/>
      <c r="S28" s="308"/>
      <c r="T28" s="308"/>
      <c r="U28" s="308"/>
      <c r="V28" s="308"/>
      <c r="W28" s="308"/>
      <c r="X28" s="308"/>
      <c r="Y28" s="308"/>
      <c r="Z28" s="308"/>
      <c r="AA28" s="308"/>
      <c r="AB28" s="308"/>
      <c r="AC28" s="308"/>
      <c r="AD28" s="308"/>
      <c r="AE28" s="308"/>
      <c r="AF28" s="308"/>
      <c r="AG28" s="308"/>
      <c r="AH28" s="308"/>
      <c r="AO28" s="338"/>
      <c r="AP28" s="449"/>
      <c r="AR28" s="449"/>
      <c r="AS28" s="449"/>
      <c r="BA28" s="308"/>
      <c r="BB28" s="308"/>
      <c r="BC28" s="308"/>
      <c r="BD28" s="308"/>
      <c r="BE28" s="308"/>
      <c r="BF28" s="308"/>
      <c r="BG28" s="308"/>
      <c r="BH28" s="308"/>
      <c r="BI28" s="308"/>
      <c r="BJ28" s="308"/>
      <c r="BK28" s="308"/>
      <c r="BL28" s="308"/>
      <c r="BM28" s="308"/>
      <c r="BN28" s="308"/>
      <c r="BO28" s="308"/>
      <c r="BP28" s="308"/>
      <c r="BQ28" s="308"/>
      <c r="BR28" s="308"/>
      <c r="BS28" s="308"/>
      <c r="BT28" s="308"/>
      <c r="BU28" s="308"/>
      <c r="BV28" s="308"/>
      <c r="BW28" s="308"/>
      <c r="BX28" s="308"/>
      <c r="BY28" s="308"/>
      <c r="BZ28" s="308"/>
      <c r="CA28" s="308"/>
      <c r="CB28" s="308"/>
      <c r="CC28" s="308"/>
      <c r="CD28" s="308"/>
      <c r="CE28" s="308"/>
      <c r="CF28" s="308"/>
      <c r="CG28" s="308"/>
      <c r="CH28" s="308"/>
      <c r="CI28" s="308"/>
      <c r="CJ28" s="308"/>
      <c r="CK28" s="308"/>
      <c r="CL28" s="308"/>
      <c r="CM28" s="308"/>
      <c r="CN28" s="308"/>
      <c r="CO28" s="339"/>
      <c r="CR28" s="308"/>
      <c r="CS28" s="308"/>
      <c r="CT28" s="308"/>
      <c r="CU28" s="308"/>
      <c r="CV28" s="308"/>
      <c r="CW28" s="308"/>
      <c r="CX28" s="308"/>
      <c r="CY28" s="308"/>
      <c r="CZ28" s="308"/>
      <c r="DA28" s="308"/>
      <c r="DB28" s="308"/>
      <c r="DC28" s="308"/>
      <c r="DD28" s="308"/>
      <c r="DE28" s="308"/>
      <c r="DF28" s="308"/>
      <c r="DG28" s="308"/>
      <c r="DH28" s="308"/>
      <c r="DI28" s="308"/>
      <c r="DJ28" s="308"/>
      <c r="DK28" s="308"/>
      <c r="DL28" s="308"/>
      <c r="DM28" s="308"/>
      <c r="DN28" s="308"/>
      <c r="DO28" s="308"/>
      <c r="DP28" s="308"/>
      <c r="DQ28" s="308"/>
      <c r="DR28" s="308"/>
      <c r="DS28" s="308"/>
      <c r="DT28" s="308"/>
      <c r="DU28" s="308"/>
      <c r="DV28" s="308"/>
      <c r="DW28" s="308"/>
      <c r="DX28" s="308"/>
      <c r="DY28" s="308"/>
      <c r="DZ28" s="308"/>
      <c r="EA28" s="308"/>
      <c r="EB28" s="308"/>
      <c r="EC28" s="308"/>
      <c r="ED28" s="308"/>
      <c r="EE28" s="308"/>
      <c r="EF28" s="308"/>
      <c r="EG28" s="308"/>
      <c r="EH28" s="308"/>
      <c r="EI28" s="308"/>
      <c r="EJ28" s="308"/>
      <c r="EK28" s="308"/>
      <c r="EL28" s="308"/>
      <c r="EM28" s="308"/>
      <c r="EN28" s="308"/>
      <c r="EO28" s="308"/>
      <c r="EP28" s="308"/>
      <c r="EQ28" s="308"/>
      <c r="ER28" s="308"/>
      <c r="ES28" s="308"/>
      <c r="ET28" s="308"/>
      <c r="EU28" s="308"/>
      <c r="EV28" s="308"/>
      <c r="EW28" s="308"/>
      <c r="EX28" s="308"/>
      <c r="EY28" s="308"/>
      <c r="EZ28" s="308"/>
      <c r="FA28" s="308"/>
      <c r="FB28" s="308"/>
      <c r="FC28" s="308"/>
    </row>
    <row r="29" spans="3:159">
      <c r="C29" s="213" t="s">
        <v>982</v>
      </c>
      <c r="D29" s="200"/>
      <c r="E29" s="200"/>
      <c r="F29" s="200"/>
      <c r="G29" s="200"/>
      <c r="H29" s="200"/>
      <c r="I29" s="200"/>
      <c r="J29" s="200"/>
      <c r="K29" s="200"/>
      <c r="L29" s="200"/>
      <c r="M29" s="200"/>
      <c r="N29" s="200"/>
      <c r="O29" s="511" t="s">
        <v>1517</v>
      </c>
      <c r="P29" s="511" t="s">
        <v>1517</v>
      </c>
      <c r="Q29" s="511" t="s">
        <v>1517</v>
      </c>
      <c r="R29" s="511" t="s">
        <v>1517</v>
      </c>
      <c r="S29" s="511" t="s">
        <v>1517</v>
      </c>
      <c r="T29" s="511" t="s">
        <v>1517</v>
      </c>
      <c r="U29" s="511" t="s">
        <v>1517</v>
      </c>
      <c r="V29" s="511" t="s">
        <v>1517</v>
      </c>
      <c r="W29" s="511" t="s">
        <v>1517</v>
      </c>
      <c r="X29" s="511" t="s">
        <v>1517</v>
      </c>
      <c r="Y29" s="511" t="s">
        <v>1517</v>
      </c>
      <c r="Z29" s="511" t="s">
        <v>1517</v>
      </c>
      <c r="AA29" s="511" t="s">
        <v>1517</v>
      </c>
      <c r="AB29" s="511" t="s">
        <v>1517</v>
      </c>
      <c r="AC29" s="228"/>
      <c r="AD29" s="228"/>
      <c r="AE29" s="228"/>
      <c r="AF29" s="228"/>
      <c r="AG29" s="228"/>
      <c r="AH29" s="228"/>
      <c r="AO29" s="639"/>
      <c r="AP29" s="449"/>
      <c r="AR29" s="449"/>
      <c r="AS29" s="449"/>
      <c r="BA29" s="511" t="s">
        <v>1517</v>
      </c>
      <c r="BB29" s="511" t="s">
        <v>1517</v>
      </c>
      <c r="BC29" s="511" t="s">
        <v>1517</v>
      </c>
      <c r="BD29" s="511" t="s">
        <v>1517</v>
      </c>
      <c r="BE29" s="511" t="s">
        <v>1517</v>
      </c>
      <c r="BF29" s="511" t="s">
        <v>1517</v>
      </c>
      <c r="BG29" s="511" t="s">
        <v>1517</v>
      </c>
      <c r="BH29" s="511" t="s">
        <v>1517</v>
      </c>
      <c r="BI29" s="511" t="s">
        <v>1517</v>
      </c>
      <c r="BJ29" s="511" t="s">
        <v>1517</v>
      </c>
      <c r="BK29" s="511" t="s">
        <v>1517</v>
      </c>
      <c r="BL29" s="511" t="s">
        <v>1517</v>
      </c>
      <c r="BM29" s="511" t="s">
        <v>1517</v>
      </c>
      <c r="BN29" s="511" t="s">
        <v>1517</v>
      </c>
      <c r="BO29" s="511" t="s">
        <v>1517</v>
      </c>
      <c r="BP29" s="511" t="s">
        <v>1517</v>
      </c>
      <c r="BQ29" s="511" t="s">
        <v>1517</v>
      </c>
      <c r="BR29" s="511" t="s">
        <v>1517</v>
      </c>
      <c r="BS29" s="511" t="s">
        <v>1517</v>
      </c>
      <c r="BT29" s="511" t="s">
        <v>1517</v>
      </c>
      <c r="BU29" s="511" t="s">
        <v>1517</v>
      </c>
      <c r="BV29" s="511" t="s">
        <v>1517</v>
      </c>
      <c r="BW29" s="511" t="s">
        <v>1517</v>
      </c>
      <c r="BX29" s="511" t="s">
        <v>1517</v>
      </c>
      <c r="BY29" s="511" t="s">
        <v>1517</v>
      </c>
      <c r="BZ29" s="511" t="s">
        <v>1517</v>
      </c>
      <c r="CA29" s="511" t="s">
        <v>1517</v>
      </c>
      <c r="CB29" s="511" t="s">
        <v>1517</v>
      </c>
      <c r="CC29" s="514"/>
      <c r="CD29" s="514"/>
      <c r="CE29" s="514"/>
      <c r="CF29" s="514"/>
      <c r="CG29" s="511"/>
      <c r="CH29" s="511"/>
      <c r="CI29" s="511"/>
      <c r="CJ29" s="511"/>
      <c r="CK29" s="511"/>
      <c r="CL29" s="511"/>
      <c r="CM29" s="511"/>
      <c r="CN29" s="511"/>
      <c r="CO29" s="511"/>
      <c r="CP29" s="513"/>
      <c r="CQ29" s="513"/>
      <c r="CR29" s="511" t="s">
        <v>1517</v>
      </c>
      <c r="CS29" s="511" t="s">
        <v>1517</v>
      </c>
      <c r="CT29" s="511" t="s">
        <v>1517</v>
      </c>
      <c r="CU29" s="511" t="s">
        <v>1517</v>
      </c>
      <c r="CV29" s="511" t="s">
        <v>1517</v>
      </c>
      <c r="CW29" s="511" t="s">
        <v>1517</v>
      </c>
      <c r="CX29" s="511" t="s">
        <v>1517</v>
      </c>
      <c r="CY29" s="511" t="s">
        <v>1517</v>
      </c>
      <c r="CZ29" s="511" t="s">
        <v>1517</v>
      </c>
      <c r="DA29" s="511" t="s">
        <v>1517</v>
      </c>
      <c r="DB29" s="511" t="s">
        <v>1517</v>
      </c>
      <c r="DC29" s="511" t="s">
        <v>1517</v>
      </c>
      <c r="DD29" s="511" t="s">
        <v>1517</v>
      </c>
      <c r="DE29" s="511" t="s">
        <v>1517</v>
      </c>
      <c r="DF29" s="511" t="s">
        <v>1517</v>
      </c>
      <c r="DG29" s="511" t="s">
        <v>1517</v>
      </c>
      <c r="DH29" s="511" t="s">
        <v>1517</v>
      </c>
      <c r="DI29" s="511" t="s">
        <v>1517</v>
      </c>
      <c r="DJ29" s="511" t="s">
        <v>1517</v>
      </c>
      <c r="DK29" s="511" t="s">
        <v>1517</v>
      </c>
      <c r="DL29" s="511" t="s">
        <v>1517</v>
      </c>
      <c r="DM29" s="511" t="s">
        <v>1517</v>
      </c>
      <c r="DN29" s="511" t="s">
        <v>1517</v>
      </c>
      <c r="DO29" s="511" t="s">
        <v>1517</v>
      </c>
      <c r="DP29" s="511" t="s">
        <v>1517</v>
      </c>
      <c r="DQ29" s="511" t="s">
        <v>1517</v>
      </c>
      <c r="DR29" s="511" t="s">
        <v>1517</v>
      </c>
      <c r="DS29" s="511" t="s">
        <v>1517</v>
      </c>
      <c r="DT29" s="511" t="s">
        <v>1517</v>
      </c>
      <c r="DU29" s="511" t="s">
        <v>1517</v>
      </c>
      <c r="DV29" s="511" t="s">
        <v>1517</v>
      </c>
      <c r="DW29" s="511" t="s">
        <v>1517</v>
      </c>
      <c r="DX29" s="511" t="s">
        <v>1517</v>
      </c>
      <c r="DY29" s="511" t="s">
        <v>1517</v>
      </c>
      <c r="DZ29" s="511" t="s">
        <v>1517</v>
      </c>
      <c r="EA29" s="511" t="s">
        <v>1517</v>
      </c>
      <c r="EB29" s="511" t="s">
        <v>1517</v>
      </c>
      <c r="EC29" s="511" t="s">
        <v>1517</v>
      </c>
      <c r="ED29" s="511" t="s">
        <v>1517</v>
      </c>
      <c r="EE29" s="511" t="s">
        <v>1517</v>
      </c>
      <c r="EF29" s="511" t="s">
        <v>1517</v>
      </c>
      <c r="EG29" s="511" t="s">
        <v>1517</v>
      </c>
      <c r="EH29" s="511" t="s">
        <v>1517</v>
      </c>
      <c r="EI29" s="511" t="s">
        <v>1517</v>
      </c>
      <c r="EJ29" s="511" t="s">
        <v>1517</v>
      </c>
      <c r="EK29" s="511" t="s">
        <v>1517</v>
      </c>
      <c r="EL29" s="511" t="s">
        <v>1517</v>
      </c>
      <c r="EM29" s="511" t="s">
        <v>1517</v>
      </c>
      <c r="EN29" s="511" t="s">
        <v>1517</v>
      </c>
      <c r="EO29" s="511" t="s">
        <v>1517</v>
      </c>
      <c r="EP29" s="511" t="s">
        <v>1517</v>
      </c>
      <c r="EQ29" s="511" t="s">
        <v>1517</v>
      </c>
      <c r="ER29" s="511" t="s">
        <v>1517</v>
      </c>
      <c r="ES29" s="511" t="s">
        <v>1517</v>
      </c>
      <c r="ET29" s="511" t="s">
        <v>1517</v>
      </c>
      <c r="EU29" s="511" t="s">
        <v>1517</v>
      </c>
      <c r="EV29" s="228"/>
      <c r="EW29" s="228"/>
      <c r="EX29" s="228"/>
      <c r="EY29" s="228"/>
      <c r="EZ29" s="228"/>
      <c r="FA29" s="228"/>
      <c r="FB29" s="228"/>
      <c r="FC29" s="228"/>
    </row>
    <row r="30" spans="3:159">
      <c r="C30" s="213" t="s">
        <v>1012</v>
      </c>
      <c r="D30" s="200"/>
      <c r="E30" s="200"/>
      <c r="F30" s="200"/>
      <c r="G30" s="200"/>
      <c r="H30" s="200"/>
      <c r="I30" s="200"/>
      <c r="J30" s="200"/>
      <c r="K30" s="200"/>
      <c r="L30" s="200"/>
      <c r="M30" s="200"/>
      <c r="N30" s="200"/>
      <c r="O30" s="200">
        <f>SUM(BA30:BB30)</f>
        <v>0</v>
      </c>
      <c r="P30" s="200">
        <f>SUM(BC30:BD30)</f>
        <v>0</v>
      </c>
      <c r="Q30" s="200">
        <f>SUM(BE30:BF30)</f>
        <v>415</v>
      </c>
      <c r="R30" s="200">
        <f>SUM(BG30:BH30)</f>
        <v>1193</v>
      </c>
      <c r="S30" s="200">
        <f>SUM(BI30:BJ30)</f>
        <v>785</v>
      </c>
      <c r="T30" s="200">
        <f>SUM(BK30:BL30)</f>
        <v>1167</v>
      </c>
      <c r="U30" s="200">
        <f>SUM(BM30:BN30)</f>
        <v>1418</v>
      </c>
      <c r="V30" s="200">
        <f>SUM(BO30:BP30)</f>
        <v>3637</v>
      </c>
      <c r="W30" s="200">
        <f>SUM(BQ30:BR30)</f>
        <v>1568</v>
      </c>
      <c r="X30" s="200">
        <f>SUM(BS30:BT30)</f>
        <v>351</v>
      </c>
      <c r="Y30" s="200">
        <f>SUM(BU30:BV30)</f>
        <v>1457</v>
      </c>
      <c r="Z30" s="200">
        <f>SUM(BW30:BX30)</f>
        <v>1515</v>
      </c>
      <c r="AA30" s="200">
        <f>SUM(BY30:BZ30)</f>
        <v>2508</v>
      </c>
      <c r="AB30" s="200">
        <f>SUM(CA30:CB30)</f>
        <v>3014</v>
      </c>
      <c r="AC30" s="228"/>
      <c r="AD30" s="228"/>
      <c r="AE30" s="228"/>
      <c r="AF30" s="228"/>
      <c r="AG30" s="228"/>
      <c r="AH30" s="228"/>
      <c r="AO30" s="640">
        <f>100/23000</f>
        <v>4.3478260869565218E-3</v>
      </c>
      <c r="AP30" s="449"/>
      <c r="AR30" s="449"/>
      <c r="AS30" s="449"/>
      <c r="BA30" s="208">
        <f t="shared" ref="BA30:BK30" si="14">SUM(DB30:DC30)</f>
        <v>0</v>
      </c>
      <c r="BB30" s="208">
        <f t="shared" si="14"/>
        <v>0</v>
      </c>
      <c r="BC30" s="208">
        <f t="shared" si="14"/>
        <v>0</v>
      </c>
      <c r="BD30" s="208">
        <f t="shared" si="14"/>
        <v>0</v>
      </c>
      <c r="BE30" s="208">
        <f t="shared" si="14"/>
        <v>0</v>
      </c>
      <c r="BF30" s="208">
        <f t="shared" si="14"/>
        <v>415</v>
      </c>
      <c r="BG30" s="208">
        <f t="shared" si="14"/>
        <v>633</v>
      </c>
      <c r="BH30" s="208">
        <f t="shared" si="14"/>
        <v>560</v>
      </c>
      <c r="BI30" s="208">
        <f t="shared" si="14"/>
        <v>342</v>
      </c>
      <c r="BJ30" s="208">
        <f t="shared" si="14"/>
        <v>443</v>
      </c>
      <c r="BK30" s="208">
        <f t="shared" si="14"/>
        <v>708</v>
      </c>
      <c r="BL30" s="208">
        <f>SUM(DN30:DO30)</f>
        <v>459</v>
      </c>
      <c r="BM30" s="208">
        <f>SUM(DP30:DQ30)</f>
        <v>1021</v>
      </c>
      <c r="BN30" s="208">
        <f>SUM(DR30:DS30)</f>
        <v>397</v>
      </c>
      <c r="BO30" s="208">
        <f>SUM(DT30:DU30)</f>
        <v>1434</v>
      </c>
      <c r="BP30" s="208">
        <f>SUM(DV30:DW30)</f>
        <v>2203</v>
      </c>
      <c r="BQ30" s="208">
        <f>SUM(DX30:DY30)</f>
        <v>1329</v>
      </c>
      <c r="BR30" s="208">
        <f>SUM(DZ30:EA30)</f>
        <v>239</v>
      </c>
      <c r="BS30" s="208">
        <f t="shared" ref="BS30:CB30" si="15">SUMIFS($CR30:$FC30,$CR$8:$FC$8,BS$8,$CR$7:$FC$7,BS$7)</f>
        <v>30</v>
      </c>
      <c r="BT30" s="208">
        <f t="shared" si="15"/>
        <v>321</v>
      </c>
      <c r="BU30" s="208">
        <f t="shared" si="15"/>
        <v>579</v>
      </c>
      <c r="BV30" s="208">
        <f t="shared" si="15"/>
        <v>878</v>
      </c>
      <c r="BW30" s="208">
        <f t="shared" si="15"/>
        <v>835</v>
      </c>
      <c r="BX30" s="208">
        <f t="shared" si="15"/>
        <v>680</v>
      </c>
      <c r="BY30" s="208">
        <f t="shared" si="15"/>
        <v>742</v>
      </c>
      <c r="BZ30" s="208">
        <f t="shared" si="15"/>
        <v>1766</v>
      </c>
      <c r="CA30" s="208">
        <f t="shared" si="15"/>
        <v>1209</v>
      </c>
      <c r="CB30" s="208">
        <f t="shared" si="15"/>
        <v>1805</v>
      </c>
      <c r="CC30" s="466"/>
      <c r="CD30" s="514"/>
      <c r="CE30" s="466"/>
      <c r="CF30" s="514"/>
      <c r="CG30" s="511"/>
      <c r="CH30" s="511"/>
      <c r="CI30" s="511"/>
      <c r="CJ30" s="511"/>
      <c r="CK30" s="511"/>
      <c r="CL30" s="511"/>
      <c r="CM30" s="511"/>
      <c r="CN30" s="511"/>
      <c r="CO30" s="511"/>
      <c r="CP30" s="513"/>
      <c r="CQ30" s="513"/>
      <c r="CR30" s="511" t="s">
        <v>1517</v>
      </c>
      <c r="CS30" s="511" t="s">
        <v>1517</v>
      </c>
      <c r="CT30" s="511" t="s">
        <v>1517</v>
      </c>
      <c r="CU30" s="511" t="s">
        <v>1517</v>
      </c>
      <c r="CV30" s="511" t="s">
        <v>1517</v>
      </c>
      <c r="CW30" s="511" t="s">
        <v>1517</v>
      </c>
      <c r="CX30" s="511" t="s">
        <v>1517</v>
      </c>
      <c r="CY30" s="511" t="s">
        <v>1517</v>
      </c>
      <c r="CZ30" s="511" t="s">
        <v>1517</v>
      </c>
      <c r="DA30" s="511" t="s">
        <v>1517</v>
      </c>
      <c r="DB30" s="511" t="s">
        <v>1517</v>
      </c>
      <c r="DC30" s="511" t="s">
        <v>1517</v>
      </c>
      <c r="DD30" s="1004">
        <v>0</v>
      </c>
      <c r="DE30" s="1004">
        <v>0</v>
      </c>
      <c r="DF30" s="1004">
        <v>0</v>
      </c>
      <c r="DG30" s="1004">
        <v>0</v>
      </c>
      <c r="DH30" s="1004">
        <v>415</v>
      </c>
      <c r="DI30" s="1004">
        <v>218</v>
      </c>
      <c r="DJ30" s="1004">
        <v>342</v>
      </c>
      <c r="DK30" s="1004">
        <v>0</v>
      </c>
      <c r="DL30" s="1004">
        <v>443</v>
      </c>
      <c r="DM30" s="1004">
        <v>265</v>
      </c>
      <c r="DN30" s="1004">
        <v>204</v>
      </c>
      <c r="DO30" s="1004">
        <v>255</v>
      </c>
      <c r="DP30" s="1004">
        <v>653</v>
      </c>
      <c r="DQ30" s="1004">
        <v>368</v>
      </c>
      <c r="DR30" s="1004">
        <v>54</v>
      </c>
      <c r="DS30" s="1004">
        <v>343</v>
      </c>
      <c r="DT30" s="1004">
        <v>994</v>
      </c>
      <c r="DU30" s="1004">
        <v>440</v>
      </c>
      <c r="DV30" s="1004">
        <v>1555</v>
      </c>
      <c r="DW30" s="1004">
        <v>648</v>
      </c>
      <c r="DX30" s="1004">
        <v>636</v>
      </c>
      <c r="DY30" s="1004">
        <v>693</v>
      </c>
      <c r="DZ30" s="1004">
        <v>49</v>
      </c>
      <c r="EA30" s="1004">
        <v>190</v>
      </c>
      <c r="EB30" s="1004">
        <v>6</v>
      </c>
      <c r="EC30" s="1004">
        <v>24</v>
      </c>
      <c r="ED30" s="1004">
        <v>16</v>
      </c>
      <c r="EE30" s="1004">
        <v>305</v>
      </c>
      <c r="EF30" s="1004">
        <v>141</v>
      </c>
      <c r="EG30" s="1004">
        <v>438</v>
      </c>
      <c r="EH30" s="1004">
        <v>287</v>
      </c>
      <c r="EI30" s="1004">
        <v>591</v>
      </c>
      <c r="EJ30" s="1004">
        <v>442</v>
      </c>
      <c r="EK30" s="1004">
        <v>393</v>
      </c>
      <c r="EL30" s="1004">
        <v>101</v>
      </c>
      <c r="EM30" s="1004">
        <v>579</v>
      </c>
      <c r="EN30" s="1004">
        <v>281</v>
      </c>
      <c r="EO30" s="1004">
        <v>461</v>
      </c>
      <c r="EP30" s="1004">
        <v>713</v>
      </c>
      <c r="EQ30" s="1004">
        <v>1053</v>
      </c>
      <c r="ER30" s="1004">
        <v>594</v>
      </c>
      <c r="ES30" s="1004">
        <v>615</v>
      </c>
      <c r="ET30" s="1004">
        <v>714</v>
      </c>
      <c r="EU30" s="1004">
        <v>1091</v>
      </c>
      <c r="EV30" s="222"/>
      <c r="EW30" s="228"/>
      <c r="EX30" s="228"/>
      <c r="EY30" s="228"/>
      <c r="EZ30" s="228"/>
      <c r="FA30" s="228"/>
      <c r="FB30" s="228"/>
      <c r="FC30" s="228"/>
    </row>
    <row r="31" spans="3:159">
      <c r="C31" s="213" t="s">
        <v>1014</v>
      </c>
      <c r="D31" s="200"/>
      <c r="E31" s="200"/>
      <c r="F31" s="200"/>
      <c r="G31" s="200"/>
      <c r="H31" s="200"/>
      <c r="I31" s="200"/>
      <c r="J31" s="200"/>
      <c r="K31" s="200"/>
      <c r="L31" s="200"/>
      <c r="M31" s="200"/>
      <c r="N31" s="200"/>
      <c r="O31" s="511" t="s">
        <v>1517</v>
      </c>
      <c r="P31" s="511" t="s">
        <v>1517</v>
      </c>
      <c r="Q31" s="511" t="s">
        <v>1517</v>
      </c>
      <c r="R31" s="511" t="s">
        <v>1517</v>
      </c>
      <c r="S31" s="511" t="s">
        <v>1517</v>
      </c>
      <c r="T31" s="511" t="s">
        <v>1517</v>
      </c>
      <c r="U31" s="511" t="s">
        <v>1517</v>
      </c>
      <c r="V31" s="511" t="s">
        <v>1517</v>
      </c>
      <c r="W31" s="511" t="s">
        <v>1517</v>
      </c>
      <c r="X31" s="511" t="s">
        <v>1517</v>
      </c>
      <c r="Y31" s="511" t="s">
        <v>1517</v>
      </c>
      <c r="Z31" s="511" t="s">
        <v>1517</v>
      </c>
      <c r="AA31" s="511" t="s">
        <v>1517</v>
      </c>
      <c r="AB31" s="511" t="s">
        <v>1517</v>
      </c>
      <c r="AC31" s="228"/>
      <c r="AD31" s="228"/>
      <c r="AE31" s="228"/>
      <c r="AF31" s="228"/>
      <c r="AG31" s="228"/>
      <c r="AH31" s="228"/>
      <c r="AO31" s="338"/>
      <c r="AP31" s="449"/>
      <c r="AR31" s="449"/>
      <c r="AS31" s="449"/>
      <c r="BA31" s="511" t="s">
        <v>1517</v>
      </c>
      <c r="BB31" s="511" t="s">
        <v>1517</v>
      </c>
      <c r="BC31" s="511" t="s">
        <v>1517</v>
      </c>
      <c r="BD31" s="511" t="s">
        <v>1517</v>
      </c>
      <c r="BE31" s="511" t="s">
        <v>1517</v>
      </c>
      <c r="BF31" s="511" t="s">
        <v>1517</v>
      </c>
      <c r="BG31" s="511" t="s">
        <v>1517</v>
      </c>
      <c r="BH31" s="511" t="s">
        <v>1517</v>
      </c>
      <c r="BI31" s="511" t="s">
        <v>1517</v>
      </c>
      <c r="BJ31" s="511" t="s">
        <v>1517</v>
      </c>
      <c r="BK31" s="511" t="s">
        <v>1517</v>
      </c>
      <c r="BL31" s="511" t="s">
        <v>1517</v>
      </c>
      <c r="BM31" s="511" t="s">
        <v>1517</v>
      </c>
      <c r="BN31" s="511" t="s">
        <v>1517</v>
      </c>
      <c r="BO31" s="511" t="s">
        <v>1517</v>
      </c>
      <c r="BP31" s="511" t="s">
        <v>1517</v>
      </c>
      <c r="BQ31" s="511" t="s">
        <v>1517</v>
      </c>
      <c r="BR31" s="511" t="s">
        <v>1517</v>
      </c>
      <c r="BS31" s="511" t="s">
        <v>1517</v>
      </c>
      <c r="BT31" s="511" t="s">
        <v>1517</v>
      </c>
      <c r="BU31" s="511" t="s">
        <v>1517</v>
      </c>
      <c r="BV31" s="511" t="s">
        <v>1517</v>
      </c>
      <c r="BW31" s="511" t="s">
        <v>1517</v>
      </c>
      <c r="BX31" s="511" t="s">
        <v>1517</v>
      </c>
      <c r="BY31" s="511" t="s">
        <v>1517</v>
      </c>
      <c r="BZ31" s="511" t="s">
        <v>1517</v>
      </c>
      <c r="CA31" s="511" t="s">
        <v>1517</v>
      </c>
      <c r="CB31" s="511" t="s">
        <v>1517</v>
      </c>
      <c r="CC31" s="514"/>
      <c r="CD31" s="514"/>
      <c r="CE31" s="514"/>
      <c r="CF31" s="514"/>
      <c r="CG31" s="511"/>
      <c r="CH31" s="511"/>
      <c r="CI31" s="511"/>
      <c r="CJ31" s="511"/>
      <c r="CK31" s="511"/>
      <c r="CL31" s="511"/>
      <c r="CM31" s="511"/>
      <c r="CN31" s="511"/>
      <c r="CO31" s="511"/>
      <c r="CP31" s="513"/>
      <c r="CQ31" s="513"/>
      <c r="CR31" s="511" t="s">
        <v>1517</v>
      </c>
      <c r="CS31" s="511" t="s">
        <v>1517</v>
      </c>
      <c r="CT31" s="511" t="s">
        <v>1517</v>
      </c>
      <c r="CU31" s="511" t="s">
        <v>1517</v>
      </c>
      <c r="CV31" s="511" t="s">
        <v>1517</v>
      </c>
      <c r="CW31" s="511" t="s">
        <v>1517</v>
      </c>
      <c r="CX31" s="511" t="s">
        <v>1517</v>
      </c>
      <c r="CY31" s="511" t="s">
        <v>1517</v>
      </c>
      <c r="CZ31" s="511" t="s">
        <v>1517</v>
      </c>
      <c r="DA31" s="511" t="s">
        <v>1517</v>
      </c>
      <c r="DB31" s="511" t="s">
        <v>1517</v>
      </c>
      <c r="DC31" s="511" t="s">
        <v>1517</v>
      </c>
      <c r="DD31" s="511" t="s">
        <v>1517</v>
      </c>
      <c r="DE31" s="511" t="s">
        <v>1517</v>
      </c>
      <c r="DF31" s="511" t="s">
        <v>1517</v>
      </c>
      <c r="DG31" s="511" t="s">
        <v>1517</v>
      </c>
      <c r="DH31" s="511" t="s">
        <v>1517</v>
      </c>
      <c r="DI31" s="511" t="s">
        <v>1517</v>
      </c>
      <c r="DJ31" s="511" t="s">
        <v>1517</v>
      </c>
      <c r="DK31" s="511" t="s">
        <v>1517</v>
      </c>
      <c r="DL31" s="511" t="s">
        <v>1517</v>
      </c>
      <c r="DM31" s="511" t="s">
        <v>1517</v>
      </c>
      <c r="DN31" s="511" t="s">
        <v>1517</v>
      </c>
      <c r="DO31" s="511" t="s">
        <v>1517</v>
      </c>
      <c r="DP31" s="511" t="s">
        <v>1517</v>
      </c>
      <c r="DQ31" s="511" t="s">
        <v>1517</v>
      </c>
      <c r="DR31" s="511" t="s">
        <v>1517</v>
      </c>
      <c r="DS31" s="511" t="s">
        <v>1517</v>
      </c>
      <c r="DT31" s="511" t="s">
        <v>1517</v>
      </c>
      <c r="DU31" s="511" t="s">
        <v>1517</v>
      </c>
      <c r="DV31" s="511" t="s">
        <v>1517</v>
      </c>
      <c r="DW31" s="511" t="s">
        <v>1517</v>
      </c>
      <c r="DX31" s="511" t="s">
        <v>1517</v>
      </c>
      <c r="DY31" s="511" t="s">
        <v>1517</v>
      </c>
      <c r="DZ31" s="511" t="s">
        <v>1517</v>
      </c>
      <c r="EA31" s="511" t="s">
        <v>1517</v>
      </c>
      <c r="EB31" s="511" t="s">
        <v>1517</v>
      </c>
      <c r="EC31" s="511" t="s">
        <v>1517</v>
      </c>
      <c r="ED31" s="511" t="s">
        <v>1517</v>
      </c>
      <c r="EE31" s="511" t="s">
        <v>1517</v>
      </c>
      <c r="EF31" s="511" t="s">
        <v>1517</v>
      </c>
      <c r="EG31" s="511" t="s">
        <v>1517</v>
      </c>
      <c r="EH31" s="511" t="s">
        <v>1517</v>
      </c>
      <c r="EI31" s="511" t="s">
        <v>1517</v>
      </c>
      <c r="EJ31" s="511" t="s">
        <v>1517</v>
      </c>
      <c r="EK31" s="511" t="s">
        <v>1517</v>
      </c>
      <c r="EL31" s="511" t="s">
        <v>1517</v>
      </c>
      <c r="EM31" s="511" t="s">
        <v>1517</v>
      </c>
      <c r="EN31" s="511" t="s">
        <v>1517</v>
      </c>
      <c r="EO31" s="511" t="s">
        <v>1517</v>
      </c>
      <c r="EP31" s="511" t="s">
        <v>1517</v>
      </c>
      <c r="EQ31" s="511" t="s">
        <v>1517</v>
      </c>
      <c r="ER31" s="511" t="s">
        <v>1517</v>
      </c>
      <c r="ES31" s="511" t="s">
        <v>1517</v>
      </c>
      <c r="ET31" s="511" t="s">
        <v>1517</v>
      </c>
      <c r="EU31" s="511" t="s">
        <v>1517</v>
      </c>
      <c r="EV31" s="228"/>
      <c r="EW31" s="228"/>
      <c r="EX31" s="228"/>
      <c r="EY31" s="228"/>
      <c r="EZ31" s="228"/>
      <c r="FA31" s="228"/>
      <c r="FB31" s="228"/>
      <c r="FC31" s="228"/>
    </row>
    <row r="32" spans="3:159">
      <c r="C32" s="213" t="s">
        <v>988</v>
      </c>
      <c r="D32" s="200"/>
      <c r="E32" s="200"/>
      <c r="F32" s="200"/>
      <c r="G32" s="200"/>
      <c r="H32" s="200"/>
      <c r="I32" s="200"/>
      <c r="J32" s="200"/>
      <c r="K32" s="200"/>
      <c r="L32" s="200"/>
      <c r="M32" s="200"/>
      <c r="N32" s="200"/>
      <c r="O32" s="511" t="s">
        <v>1517</v>
      </c>
      <c r="P32" s="511" t="s">
        <v>1517</v>
      </c>
      <c r="Q32" s="511" t="s">
        <v>1517</v>
      </c>
      <c r="R32" s="511" t="s">
        <v>1517</v>
      </c>
      <c r="S32" s="511" t="s">
        <v>1517</v>
      </c>
      <c r="T32" s="511" t="s">
        <v>1517</v>
      </c>
      <c r="U32" s="511" t="s">
        <v>1517</v>
      </c>
      <c r="V32" s="511" t="s">
        <v>1517</v>
      </c>
      <c r="W32" s="511" t="s">
        <v>1517</v>
      </c>
      <c r="X32" s="511" t="s">
        <v>1517</v>
      </c>
      <c r="Y32" s="511" t="s">
        <v>1517</v>
      </c>
      <c r="Z32" s="511" t="s">
        <v>1517</v>
      </c>
      <c r="AA32" s="511" t="s">
        <v>1517</v>
      </c>
      <c r="AB32" s="511" t="s">
        <v>1517</v>
      </c>
      <c r="AC32" s="228"/>
      <c r="AD32" s="228"/>
      <c r="AE32" s="228"/>
      <c r="AF32" s="228"/>
      <c r="AG32" s="228"/>
      <c r="AH32" s="228"/>
      <c r="AO32" s="338"/>
      <c r="AP32" s="449"/>
      <c r="AR32" s="449"/>
      <c r="AS32" s="449"/>
      <c r="BA32" s="511" t="s">
        <v>1517</v>
      </c>
      <c r="BB32" s="511" t="s">
        <v>1517</v>
      </c>
      <c r="BC32" s="511" t="s">
        <v>1517</v>
      </c>
      <c r="BD32" s="511" t="s">
        <v>1517</v>
      </c>
      <c r="BE32" s="511" t="s">
        <v>1517</v>
      </c>
      <c r="BF32" s="511" t="s">
        <v>1517</v>
      </c>
      <c r="BG32" s="511" t="s">
        <v>1517</v>
      </c>
      <c r="BH32" s="511" t="s">
        <v>1517</v>
      </c>
      <c r="BI32" s="511" t="s">
        <v>1517</v>
      </c>
      <c r="BJ32" s="511" t="s">
        <v>1517</v>
      </c>
      <c r="BK32" s="511" t="s">
        <v>1517</v>
      </c>
      <c r="BL32" s="511" t="s">
        <v>1517</v>
      </c>
      <c r="BM32" s="511" t="s">
        <v>1517</v>
      </c>
      <c r="BN32" s="511" t="s">
        <v>1517</v>
      </c>
      <c r="BO32" s="511" t="s">
        <v>1517</v>
      </c>
      <c r="BP32" s="511" t="s">
        <v>1517</v>
      </c>
      <c r="BQ32" s="511" t="s">
        <v>1517</v>
      </c>
      <c r="BR32" s="511" t="s">
        <v>1517</v>
      </c>
      <c r="BS32" s="511" t="s">
        <v>1517</v>
      </c>
      <c r="BT32" s="511" t="s">
        <v>1517</v>
      </c>
      <c r="BU32" s="511" t="s">
        <v>1517</v>
      </c>
      <c r="BV32" s="511" t="s">
        <v>1517</v>
      </c>
      <c r="BW32" s="511" t="s">
        <v>1517</v>
      </c>
      <c r="BX32" s="511" t="s">
        <v>1517</v>
      </c>
      <c r="BY32" s="511" t="s">
        <v>1517</v>
      </c>
      <c r="BZ32" s="511" t="s">
        <v>1517</v>
      </c>
      <c r="CA32" s="511" t="s">
        <v>1517</v>
      </c>
      <c r="CB32" s="511" t="s">
        <v>1517</v>
      </c>
      <c r="CC32" s="514"/>
      <c r="CD32" s="514"/>
      <c r="CE32" s="514"/>
      <c r="CF32" s="514"/>
      <c r="CG32" s="511"/>
      <c r="CH32" s="511"/>
      <c r="CI32" s="511"/>
      <c r="CJ32" s="511"/>
      <c r="CK32" s="511"/>
      <c r="CL32" s="511"/>
      <c r="CM32" s="511"/>
      <c r="CN32" s="511"/>
      <c r="CO32" s="511"/>
      <c r="CP32" s="513"/>
      <c r="CQ32" s="513"/>
      <c r="CR32" s="511" t="s">
        <v>1517</v>
      </c>
      <c r="CS32" s="511" t="s">
        <v>1517</v>
      </c>
      <c r="CT32" s="511" t="s">
        <v>1517</v>
      </c>
      <c r="CU32" s="511" t="s">
        <v>1517</v>
      </c>
      <c r="CV32" s="511" t="s">
        <v>1517</v>
      </c>
      <c r="CW32" s="511" t="s">
        <v>1517</v>
      </c>
      <c r="CX32" s="511" t="s">
        <v>1517</v>
      </c>
      <c r="CY32" s="511" t="s">
        <v>1517</v>
      </c>
      <c r="CZ32" s="511" t="s">
        <v>1517</v>
      </c>
      <c r="DA32" s="511" t="s">
        <v>1517</v>
      </c>
      <c r="DB32" s="511" t="s">
        <v>1517</v>
      </c>
      <c r="DC32" s="511" t="s">
        <v>1517</v>
      </c>
      <c r="DD32" s="511" t="s">
        <v>1517</v>
      </c>
      <c r="DE32" s="511" t="s">
        <v>1517</v>
      </c>
      <c r="DF32" s="511" t="s">
        <v>1517</v>
      </c>
      <c r="DG32" s="511" t="s">
        <v>1517</v>
      </c>
      <c r="DH32" s="511" t="s">
        <v>1517</v>
      </c>
      <c r="DI32" s="511" t="s">
        <v>1517</v>
      </c>
      <c r="DJ32" s="511" t="s">
        <v>1517</v>
      </c>
      <c r="DK32" s="511" t="s">
        <v>1517</v>
      </c>
      <c r="DL32" s="511" t="s">
        <v>1517</v>
      </c>
      <c r="DM32" s="511" t="s">
        <v>1517</v>
      </c>
      <c r="DN32" s="511" t="s">
        <v>1517</v>
      </c>
      <c r="DO32" s="511" t="s">
        <v>1517</v>
      </c>
      <c r="DP32" s="511" t="s">
        <v>1517</v>
      </c>
      <c r="DQ32" s="511" t="s">
        <v>1517</v>
      </c>
      <c r="DR32" s="511" t="s">
        <v>1517</v>
      </c>
      <c r="DS32" s="511" t="s">
        <v>1517</v>
      </c>
      <c r="DT32" s="511" t="s">
        <v>1517</v>
      </c>
      <c r="DU32" s="511" t="s">
        <v>1517</v>
      </c>
      <c r="DV32" s="511" t="s">
        <v>1517</v>
      </c>
      <c r="DW32" s="511" t="s">
        <v>1517</v>
      </c>
      <c r="DX32" s="511" t="s">
        <v>1517</v>
      </c>
      <c r="DY32" s="511" t="s">
        <v>1517</v>
      </c>
      <c r="DZ32" s="511" t="s">
        <v>1517</v>
      </c>
      <c r="EA32" s="511" t="s">
        <v>1517</v>
      </c>
      <c r="EB32" s="511" t="s">
        <v>1517</v>
      </c>
      <c r="EC32" s="511" t="s">
        <v>1517</v>
      </c>
      <c r="ED32" s="511" t="s">
        <v>1517</v>
      </c>
      <c r="EE32" s="511" t="s">
        <v>1517</v>
      </c>
      <c r="EF32" s="511" t="s">
        <v>1517</v>
      </c>
      <c r="EG32" s="511" t="s">
        <v>1517</v>
      </c>
      <c r="EH32" s="511" t="s">
        <v>1517</v>
      </c>
      <c r="EI32" s="511" t="s">
        <v>1517</v>
      </c>
      <c r="EJ32" s="511" t="s">
        <v>1517</v>
      </c>
      <c r="EK32" s="511" t="s">
        <v>1517</v>
      </c>
      <c r="EL32" s="511" t="s">
        <v>1517</v>
      </c>
      <c r="EM32" s="511" t="s">
        <v>1517</v>
      </c>
      <c r="EN32" s="511" t="s">
        <v>1517</v>
      </c>
      <c r="EO32" s="511" t="s">
        <v>1517</v>
      </c>
      <c r="EP32" s="511" t="s">
        <v>1517</v>
      </c>
      <c r="EQ32" s="511" t="s">
        <v>1517</v>
      </c>
      <c r="ER32" s="511" t="s">
        <v>1517</v>
      </c>
      <c r="ES32" s="511" t="s">
        <v>1517</v>
      </c>
      <c r="ET32" s="511" t="s">
        <v>1517</v>
      </c>
      <c r="EU32" s="511" t="s">
        <v>1517</v>
      </c>
      <c r="EV32" s="228"/>
      <c r="EW32" s="228"/>
      <c r="EX32" s="228"/>
      <c r="EY32" s="228"/>
      <c r="EZ32" s="228"/>
      <c r="FA32" s="228"/>
      <c r="FB32" s="228"/>
      <c r="FC32" s="228"/>
    </row>
    <row r="33" spans="3:177">
      <c r="C33" s="213" t="s">
        <v>1013</v>
      </c>
      <c r="D33" s="200"/>
      <c r="E33" s="200"/>
      <c r="F33" s="200"/>
      <c r="G33" s="200"/>
      <c r="H33" s="200"/>
      <c r="I33" s="200"/>
      <c r="J33" s="200"/>
      <c r="K33" s="200"/>
      <c r="L33" s="200"/>
      <c r="M33" s="200"/>
      <c r="N33" s="200"/>
      <c r="O33" s="511" t="s">
        <v>1517</v>
      </c>
      <c r="P33" s="511" t="s">
        <v>1517</v>
      </c>
      <c r="Q33" s="511" t="s">
        <v>1517</v>
      </c>
      <c r="R33" s="511" t="s">
        <v>1517</v>
      </c>
      <c r="S33" s="511" t="s">
        <v>1517</v>
      </c>
      <c r="T33" s="511" t="s">
        <v>1517</v>
      </c>
      <c r="U33" s="511" t="s">
        <v>1517</v>
      </c>
      <c r="V33" s="511" t="s">
        <v>1517</v>
      </c>
      <c r="W33" s="511" t="s">
        <v>1517</v>
      </c>
      <c r="X33" s="511" t="s">
        <v>1517</v>
      </c>
      <c r="Y33" s="511" t="s">
        <v>1517</v>
      </c>
      <c r="Z33" s="511" t="s">
        <v>1517</v>
      </c>
      <c r="AA33" s="511" t="s">
        <v>1517</v>
      </c>
      <c r="AB33" s="511" t="s">
        <v>1517</v>
      </c>
      <c r="AC33" s="228"/>
      <c r="AD33" s="228"/>
      <c r="AE33" s="228"/>
      <c r="AF33" s="228"/>
      <c r="AG33" s="228"/>
      <c r="AH33" s="228"/>
      <c r="AO33" s="338"/>
      <c r="AP33" s="449"/>
      <c r="AR33" s="449"/>
      <c r="AS33" s="449"/>
      <c r="BA33" s="511" t="s">
        <v>1517</v>
      </c>
      <c r="BB33" s="511" t="s">
        <v>1517</v>
      </c>
      <c r="BC33" s="511" t="s">
        <v>1517</v>
      </c>
      <c r="BD33" s="511" t="s">
        <v>1517</v>
      </c>
      <c r="BE33" s="511" t="s">
        <v>1517</v>
      </c>
      <c r="BF33" s="511" t="s">
        <v>1517</v>
      </c>
      <c r="BG33" s="511" t="s">
        <v>1517</v>
      </c>
      <c r="BH33" s="511" t="s">
        <v>1517</v>
      </c>
      <c r="BI33" s="511" t="s">
        <v>1517</v>
      </c>
      <c r="BJ33" s="511" t="s">
        <v>1517</v>
      </c>
      <c r="BK33" s="511" t="s">
        <v>1517</v>
      </c>
      <c r="BL33" s="511" t="s">
        <v>1517</v>
      </c>
      <c r="BM33" s="511" t="s">
        <v>1517</v>
      </c>
      <c r="BN33" s="511" t="s">
        <v>1517</v>
      </c>
      <c r="BO33" s="511" t="s">
        <v>1517</v>
      </c>
      <c r="BP33" s="511" t="s">
        <v>1517</v>
      </c>
      <c r="BQ33" s="511" t="s">
        <v>1517</v>
      </c>
      <c r="BR33" s="511" t="s">
        <v>1517</v>
      </c>
      <c r="BS33" s="511" t="s">
        <v>1517</v>
      </c>
      <c r="BT33" s="511" t="s">
        <v>1517</v>
      </c>
      <c r="BU33" s="511" t="s">
        <v>1517</v>
      </c>
      <c r="BV33" s="511" t="s">
        <v>1517</v>
      </c>
      <c r="BW33" s="511" t="s">
        <v>1517</v>
      </c>
      <c r="BX33" s="511" t="s">
        <v>1517</v>
      </c>
      <c r="BY33" s="511" t="s">
        <v>1517</v>
      </c>
      <c r="BZ33" s="511" t="s">
        <v>1517</v>
      </c>
      <c r="CA33" s="511" t="s">
        <v>1517</v>
      </c>
      <c r="CB33" s="511" t="s">
        <v>1517</v>
      </c>
      <c r="CC33" s="514"/>
      <c r="CD33" s="514"/>
      <c r="CE33" s="514"/>
      <c r="CF33" s="514"/>
      <c r="CG33" s="511"/>
      <c r="CH33" s="511"/>
      <c r="CI33" s="511"/>
      <c r="CJ33" s="511"/>
      <c r="CK33" s="511"/>
      <c r="CL33" s="511"/>
      <c r="CM33" s="511"/>
      <c r="CN33" s="511"/>
      <c r="CO33" s="511"/>
      <c r="CP33" s="513"/>
      <c r="CQ33" s="513"/>
      <c r="CR33" s="511" t="s">
        <v>1517</v>
      </c>
      <c r="CS33" s="511" t="s">
        <v>1517</v>
      </c>
      <c r="CT33" s="511" t="s">
        <v>1517</v>
      </c>
      <c r="CU33" s="511" t="s">
        <v>1517</v>
      </c>
      <c r="CV33" s="511" t="s">
        <v>1517</v>
      </c>
      <c r="CW33" s="511" t="s">
        <v>1517</v>
      </c>
      <c r="CX33" s="511" t="s">
        <v>1517</v>
      </c>
      <c r="CY33" s="511" t="s">
        <v>1517</v>
      </c>
      <c r="CZ33" s="511" t="s">
        <v>1517</v>
      </c>
      <c r="DA33" s="511" t="s">
        <v>1517</v>
      </c>
      <c r="DB33" s="511" t="s">
        <v>1517</v>
      </c>
      <c r="DC33" s="511" t="s">
        <v>1517</v>
      </c>
      <c r="DD33" s="511" t="s">
        <v>1517</v>
      </c>
      <c r="DE33" s="511" t="s">
        <v>1517</v>
      </c>
      <c r="DF33" s="511" t="s">
        <v>1517</v>
      </c>
      <c r="DG33" s="511" t="s">
        <v>1517</v>
      </c>
      <c r="DH33" s="511" t="s">
        <v>1517</v>
      </c>
      <c r="DI33" s="511" t="s">
        <v>1517</v>
      </c>
      <c r="DJ33" s="511" t="s">
        <v>1517</v>
      </c>
      <c r="DK33" s="511" t="s">
        <v>1517</v>
      </c>
      <c r="DL33" s="511" t="s">
        <v>1517</v>
      </c>
      <c r="DM33" s="511" t="s">
        <v>1517</v>
      </c>
      <c r="DN33" s="511" t="s">
        <v>1517</v>
      </c>
      <c r="DO33" s="511" t="s">
        <v>1517</v>
      </c>
      <c r="DP33" s="511" t="s">
        <v>1517</v>
      </c>
      <c r="DQ33" s="511" t="s">
        <v>1517</v>
      </c>
      <c r="DR33" s="511" t="s">
        <v>1517</v>
      </c>
      <c r="DS33" s="511" t="s">
        <v>1517</v>
      </c>
      <c r="DT33" s="511" t="s">
        <v>1517</v>
      </c>
      <c r="DU33" s="511" t="s">
        <v>1517</v>
      </c>
      <c r="DV33" s="511" t="s">
        <v>1517</v>
      </c>
      <c r="DW33" s="511" t="s">
        <v>1517</v>
      </c>
      <c r="DX33" s="511" t="s">
        <v>1517</v>
      </c>
      <c r="DY33" s="511" t="s">
        <v>1517</v>
      </c>
      <c r="DZ33" s="511" t="s">
        <v>1517</v>
      </c>
      <c r="EA33" s="511" t="s">
        <v>1517</v>
      </c>
      <c r="EB33" s="511" t="s">
        <v>1517</v>
      </c>
      <c r="EC33" s="511" t="s">
        <v>1517</v>
      </c>
      <c r="ED33" s="511" t="s">
        <v>1517</v>
      </c>
      <c r="EE33" s="511" t="s">
        <v>1517</v>
      </c>
      <c r="EF33" s="511" t="s">
        <v>1517</v>
      </c>
      <c r="EG33" s="511" t="s">
        <v>1517</v>
      </c>
      <c r="EH33" s="511" t="s">
        <v>1517</v>
      </c>
      <c r="EI33" s="511" t="s">
        <v>1517</v>
      </c>
      <c r="EJ33" s="511" t="s">
        <v>1517</v>
      </c>
      <c r="EK33" s="511" t="s">
        <v>1517</v>
      </c>
      <c r="EL33" s="511" t="s">
        <v>1517</v>
      </c>
      <c r="EM33" s="511" t="s">
        <v>1517</v>
      </c>
      <c r="EN33" s="511" t="s">
        <v>1517</v>
      </c>
      <c r="EO33" s="511" t="s">
        <v>1517</v>
      </c>
      <c r="EP33" s="511" t="s">
        <v>1517</v>
      </c>
      <c r="EQ33" s="511" t="s">
        <v>1517</v>
      </c>
      <c r="ER33" s="511" t="s">
        <v>1517</v>
      </c>
      <c r="ES33" s="511" t="s">
        <v>1517</v>
      </c>
      <c r="ET33" s="511" t="s">
        <v>1517</v>
      </c>
      <c r="EU33" s="511" t="s">
        <v>1517</v>
      </c>
      <c r="EV33" s="228"/>
      <c r="EW33" s="228"/>
      <c r="EX33" s="228"/>
      <c r="EY33" s="228"/>
      <c r="EZ33" s="228"/>
      <c r="FA33" s="228"/>
      <c r="FB33" s="228"/>
      <c r="FC33" s="228"/>
    </row>
    <row r="34" spans="3:177">
      <c r="C34" s="213" t="s">
        <v>1150</v>
      </c>
      <c r="D34" s="200"/>
      <c r="E34" s="200"/>
      <c r="F34" s="200"/>
      <c r="G34" s="200"/>
      <c r="H34" s="200"/>
      <c r="I34" s="200"/>
      <c r="J34" s="200"/>
      <c r="K34" s="200"/>
      <c r="L34" s="200"/>
      <c r="M34" s="200"/>
      <c r="N34" s="200"/>
      <c r="O34" s="200">
        <f>SUM(BA34:BB34)</f>
        <v>0</v>
      </c>
      <c r="P34" s="200">
        <f>SUM(BC34:BD34)</f>
        <v>0</v>
      </c>
      <c r="Q34" s="200">
        <f>SUM(BE34:BF34)</f>
        <v>0</v>
      </c>
      <c r="R34" s="200">
        <f>SUM(BG34:BH34)</f>
        <v>200</v>
      </c>
      <c r="S34" s="200">
        <f>SUM(BI34:BJ34)</f>
        <v>237</v>
      </c>
      <c r="T34" s="200">
        <f>SUM(BK34:BL34)</f>
        <v>143</v>
      </c>
      <c r="U34" s="200">
        <f>SUM(BM34:BN34)</f>
        <v>92</v>
      </c>
      <c r="V34" s="200">
        <f>SUM(BO34:BP34)</f>
        <v>407</v>
      </c>
      <c r="W34" s="200">
        <f>SUM(BQ34:BR34)</f>
        <v>164</v>
      </c>
      <c r="X34" s="511" t="s">
        <v>1517</v>
      </c>
      <c r="Y34" s="511" t="s">
        <v>1517</v>
      </c>
      <c r="Z34" s="511" t="s">
        <v>1517</v>
      </c>
      <c r="AA34" s="511" t="s">
        <v>1517</v>
      </c>
      <c r="AB34" s="511" t="s">
        <v>1517</v>
      </c>
      <c r="AC34" s="228"/>
      <c r="AD34" s="228"/>
      <c r="AE34" s="228"/>
      <c r="AF34" s="228"/>
      <c r="AG34" s="228"/>
      <c r="AH34" s="228"/>
      <c r="AO34" s="338"/>
      <c r="AP34" s="449"/>
      <c r="AR34" s="449"/>
      <c r="AS34" s="449"/>
      <c r="BA34" s="511" t="s">
        <v>1517</v>
      </c>
      <c r="BB34" s="511" t="s">
        <v>1517</v>
      </c>
      <c r="BC34" s="511" t="s">
        <v>1517</v>
      </c>
      <c r="BD34" s="511" t="s">
        <v>1517</v>
      </c>
      <c r="BE34" s="511" t="s">
        <v>1517</v>
      </c>
      <c r="BF34" s="511" t="s">
        <v>1517</v>
      </c>
      <c r="BG34" s="208">
        <f>SUM(DD34:DE34)</f>
        <v>19</v>
      </c>
      <c r="BH34" s="208">
        <f>SUM(DF34:DG34)</f>
        <v>181</v>
      </c>
      <c r="BI34" s="208">
        <f>SUM(DH34:DI34)</f>
        <v>85</v>
      </c>
      <c r="BJ34" s="208">
        <f>SUM(DJ34:DK34)</f>
        <v>152</v>
      </c>
      <c r="BK34" s="208">
        <f>SUM(DL34:DM34)</f>
        <v>36</v>
      </c>
      <c r="BL34" s="208">
        <f>SUM(DN34:DO34)</f>
        <v>107</v>
      </c>
      <c r="BM34" s="208">
        <f>SUM(DP34:DQ34)</f>
        <v>34</v>
      </c>
      <c r="BN34" s="208">
        <f>SUM(DR34:DS34)</f>
        <v>58</v>
      </c>
      <c r="BO34" s="208">
        <f>SUM(DT34:DU34)</f>
        <v>293</v>
      </c>
      <c r="BP34" s="208">
        <f>SUM(DV34:DW34)</f>
        <v>114</v>
      </c>
      <c r="BQ34" s="208">
        <f>SUM(DX34:DY34)</f>
        <v>51</v>
      </c>
      <c r="BR34" s="208">
        <f>SUM(DZ34:EA34)</f>
        <v>113</v>
      </c>
      <c r="BS34" s="208">
        <f>SUM(EB34:EC34)</f>
        <v>0</v>
      </c>
      <c r="BT34" s="511" t="s">
        <v>1517</v>
      </c>
      <c r="BU34" s="511" t="s">
        <v>1517</v>
      </c>
      <c r="BV34" s="511" t="s">
        <v>1517</v>
      </c>
      <c r="BW34" s="511" t="s">
        <v>1517</v>
      </c>
      <c r="BX34" s="511" t="s">
        <v>1517</v>
      </c>
      <c r="BY34" s="511" t="s">
        <v>1517</v>
      </c>
      <c r="BZ34" s="511" t="s">
        <v>1517</v>
      </c>
      <c r="CA34" s="511" t="s">
        <v>1517</v>
      </c>
      <c r="CB34" s="511" t="s">
        <v>1517</v>
      </c>
      <c r="CC34" s="514"/>
      <c r="CD34" s="514"/>
      <c r="CE34" s="514"/>
      <c r="CF34" s="514"/>
      <c r="CG34" s="511"/>
      <c r="CH34" s="511"/>
      <c r="CI34" s="511"/>
      <c r="CJ34" s="511"/>
      <c r="CK34" s="511"/>
      <c r="CL34" s="511"/>
      <c r="CM34" s="511"/>
      <c r="CN34" s="511"/>
      <c r="CO34" s="511"/>
      <c r="CP34" s="513"/>
      <c r="CQ34" s="513"/>
      <c r="CR34" s="511" t="s">
        <v>1517</v>
      </c>
      <c r="CS34" s="511" t="s">
        <v>1517</v>
      </c>
      <c r="CT34" s="511" t="s">
        <v>1517</v>
      </c>
      <c r="CU34" s="511" t="s">
        <v>1517</v>
      </c>
      <c r="CV34" s="511" t="s">
        <v>1517</v>
      </c>
      <c r="CW34" s="511" t="s">
        <v>1517</v>
      </c>
      <c r="CX34" s="511" t="s">
        <v>1517</v>
      </c>
      <c r="CY34" s="511" t="s">
        <v>1517</v>
      </c>
      <c r="CZ34" s="511" t="s">
        <v>1517</v>
      </c>
      <c r="DA34" s="511" t="s">
        <v>1517</v>
      </c>
      <c r="DB34" s="511" t="s">
        <v>1517</v>
      </c>
      <c r="DC34" s="511" t="s">
        <v>1517</v>
      </c>
      <c r="DD34" s="511">
        <v>6</v>
      </c>
      <c r="DE34" s="511">
        <v>13</v>
      </c>
      <c r="DF34" s="511">
        <v>16</v>
      </c>
      <c r="DG34" s="511">
        <v>165</v>
      </c>
      <c r="DH34" s="511">
        <v>47</v>
      </c>
      <c r="DI34" s="511">
        <v>38</v>
      </c>
      <c r="DJ34" s="511">
        <v>84</v>
      </c>
      <c r="DK34" s="511">
        <v>68</v>
      </c>
      <c r="DL34" s="511">
        <v>7</v>
      </c>
      <c r="DM34" s="511">
        <v>29</v>
      </c>
      <c r="DN34" s="511">
        <v>17</v>
      </c>
      <c r="DO34" s="511">
        <v>90</v>
      </c>
      <c r="DP34" s="511">
        <v>12</v>
      </c>
      <c r="DQ34" s="511">
        <v>22</v>
      </c>
      <c r="DR34" s="511">
        <v>25</v>
      </c>
      <c r="DS34" s="511">
        <v>33</v>
      </c>
      <c r="DT34" s="511">
        <v>24</v>
      </c>
      <c r="DU34" s="511">
        <v>269</v>
      </c>
      <c r="DV34" s="511">
        <v>68</v>
      </c>
      <c r="DW34" s="511">
        <v>46</v>
      </c>
      <c r="DX34" s="511">
        <v>30</v>
      </c>
      <c r="DY34" s="511">
        <v>21</v>
      </c>
      <c r="DZ34" s="511">
        <v>99</v>
      </c>
      <c r="EA34" s="511">
        <v>14</v>
      </c>
      <c r="EB34" s="511" t="s">
        <v>1517</v>
      </c>
      <c r="EC34" s="511" t="s">
        <v>1517</v>
      </c>
      <c r="ED34" s="511" t="s">
        <v>1517</v>
      </c>
      <c r="EE34" s="511" t="s">
        <v>1517</v>
      </c>
      <c r="EF34" s="511" t="s">
        <v>1517</v>
      </c>
      <c r="EG34" s="511" t="s">
        <v>1517</v>
      </c>
      <c r="EH34" s="511" t="s">
        <v>1517</v>
      </c>
      <c r="EI34" s="511" t="s">
        <v>1517</v>
      </c>
      <c r="EJ34" s="511" t="s">
        <v>1517</v>
      </c>
      <c r="EK34" s="511" t="s">
        <v>1517</v>
      </c>
      <c r="EL34" s="511" t="s">
        <v>1517</v>
      </c>
      <c r="EM34" s="511" t="s">
        <v>1517</v>
      </c>
      <c r="EN34" s="511" t="s">
        <v>1517</v>
      </c>
      <c r="EO34" s="511" t="s">
        <v>1517</v>
      </c>
      <c r="EP34" s="511" t="s">
        <v>1517</v>
      </c>
      <c r="EQ34" s="511" t="s">
        <v>1517</v>
      </c>
      <c r="ER34" s="511" t="s">
        <v>1517</v>
      </c>
      <c r="ES34" s="511" t="s">
        <v>1517</v>
      </c>
      <c r="ET34" s="511" t="s">
        <v>1517</v>
      </c>
      <c r="EU34" s="511" t="s">
        <v>1517</v>
      </c>
      <c r="EV34" s="228"/>
      <c r="EW34" s="228"/>
      <c r="EX34" s="228"/>
      <c r="EY34" s="228"/>
      <c r="EZ34" s="228"/>
      <c r="FA34" s="228"/>
      <c r="FB34" s="228"/>
      <c r="FC34" s="228"/>
    </row>
    <row r="35" spans="3:177">
      <c r="C35" s="213" t="s">
        <v>1281</v>
      </c>
      <c r="D35" s="200"/>
      <c r="E35" s="200"/>
      <c r="F35" s="200"/>
      <c r="G35" s="200"/>
      <c r="H35" s="200"/>
      <c r="I35" s="200"/>
      <c r="J35" s="200"/>
      <c r="K35" s="200"/>
      <c r="L35" s="200"/>
      <c r="M35" s="200"/>
      <c r="N35" s="200"/>
      <c r="O35" s="511" t="s">
        <v>1517</v>
      </c>
      <c r="P35" s="511" t="s">
        <v>1517</v>
      </c>
      <c r="Q35" s="511" t="s">
        <v>1517</v>
      </c>
      <c r="R35" s="511" t="s">
        <v>1517</v>
      </c>
      <c r="S35" s="511" t="s">
        <v>1517</v>
      </c>
      <c r="T35" s="511" t="s">
        <v>1517</v>
      </c>
      <c r="U35" s="511" t="s">
        <v>1517</v>
      </c>
      <c r="V35" s="511" t="s">
        <v>1517</v>
      </c>
      <c r="W35" s="511" t="s">
        <v>1517</v>
      </c>
      <c r="X35" s="511" t="s">
        <v>1517</v>
      </c>
      <c r="Y35" s="511" t="s">
        <v>1517</v>
      </c>
      <c r="Z35" s="511" t="s">
        <v>1517</v>
      </c>
      <c r="AA35" s="511" t="s">
        <v>1517</v>
      </c>
      <c r="AB35" s="511" t="s">
        <v>1517</v>
      </c>
      <c r="AC35" s="228"/>
      <c r="AD35" s="228"/>
      <c r="AE35" s="228"/>
      <c r="AF35" s="228"/>
      <c r="AG35" s="228"/>
      <c r="AH35" s="228"/>
      <c r="AO35" s="338"/>
      <c r="AP35" s="449"/>
      <c r="AR35" s="449"/>
      <c r="AS35" s="449"/>
      <c r="BA35" s="511" t="s">
        <v>1517</v>
      </c>
      <c r="BB35" s="511" t="s">
        <v>1517</v>
      </c>
      <c r="BC35" s="511" t="s">
        <v>1517</v>
      </c>
      <c r="BD35" s="511" t="s">
        <v>1517</v>
      </c>
      <c r="BE35" s="511" t="s">
        <v>1517</v>
      </c>
      <c r="BF35" s="511" t="s">
        <v>1517</v>
      </c>
      <c r="BG35" s="511" t="s">
        <v>1517</v>
      </c>
      <c r="BH35" s="511" t="s">
        <v>1517</v>
      </c>
      <c r="BI35" s="511" t="s">
        <v>1517</v>
      </c>
      <c r="BJ35" s="511" t="s">
        <v>1517</v>
      </c>
      <c r="BK35" s="511" t="s">
        <v>1517</v>
      </c>
      <c r="BL35" s="511" t="s">
        <v>1517</v>
      </c>
      <c r="BM35" s="511" t="s">
        <v>1517</v>
      </c>
      <c r="BN35" s="511" t="s">
        <v>1517</v>
      </c>
      <c r="BO35" s="511" t="s">
        <v>1517</v>
      </c>
      <c r="BP35" s="511" t="s">
        <v>1517</v>
      </c>
      <c r="BQ35" s="511" t="s">
        <v>1517</v>
      </c>
      <c r="BR35" s="511" t="s">
        <v>1517</v>
      </c>
      <c r="BS35" s="511" t="s">
        <v>1517</v>
      </c>
      <c r="BT35" s="511" t="s">
        <v>1517</v>
      </c>
      <c r="BU35" s="511" t="s">
        <v>1517</v>
      </c>
      <c r="BV35" s="511" t="s">
        <v>1517</v>
      </c>
      <c r="BW35" s="511" t="s">
        <v>1517</v>
      </c>
      <c r="BX35" s="511" t="s">
        <v>1517</v>
      </c>
      <c r="BY35" s="511" t="s">
        <v>1517</v>
      </c>
      <c r="BZ35" s="511" t="s">
        <v>1517</v>
      </c>
      <c r="CA35" s="511" t="s">
        <v>1517</v>
      </c>
      <c r="CB35" s="511" t="s">
        <v>1517</v>
      </c>
      <c r="CC35" s="514"/>
      <c r="CD35" s="514"/>
      <c r="CE35" s="514"/>
      <c r="CF35" s="514"/>
      <c r="CG35" s="511"/>
      <c r="CH35" s="511"/>
      <c r="CI35" s="511"/>
      <c r="CJ35" s="511"/>
      <c r="CK35" s="511"/>
      <c r="CL35" s="511"/>
      <c r="CM35" s="511"/>
      <c r="CN35" s="511"/>
      <c r="CO35" s="511"/>
      <c r="CP35" s="513"/>
      <c r="CQ35" s="513"/>
      <c r="CR35" s="511" t="s">
        <v>1517</v>
      </c>
      <c r="CS35" s="511" t="s">
        <v>1517</v>
      </c>
      <c r="CT35" s="511" t="s">
        <v>1517</v>
      </c>
      <c r="CU35" s="511" t="s">
        <v>1517</v>
      </c>
      <c r="CV35" s="511" t="s">
        <v>1517</v>
      </c>
      <c r="CW35" s="511" t="s">
        <v>1517</v>
      </c>
      <c r="CX35" s="511" t="s">
        <v>1517</v>
      </c>
      <c r="CY35" s="511" t="s">
        <v>1517</v>
      </c>
      <c r="CZ35" s="511" t="s">
        <v>1517</v>
      </c>
      <c r="DA35" s="511" t="s">
        <v>1517</v>
      </c>
      <c r="DB35" s="511" t="s">
        <v>1517</v>
      </c>
      <c r="DC35" s="511" t="s">
        <v>1517</v>
      </c>
      <c r="DD35" s="511" t="s">
        <v>1517</v>
      </c>
      <c r="DE35" s="511" t="s">
        <v>1517</v>
      </c>
      <c r="DF35" s="511" t="s">
        <v>1517</v>
      </c>
      <c r="DG35" s="511" t="s">
        <v>1517</v>
      </c>
      <c r="DH35" s="511" t="s">
        <v>1517</v>
      </c>
      <c r="DI35" s="511" t="s">
        <v>1517</v>
      </c>
      <c r="DJ35" s="511" t="s">
        <v>1517</v>
      </c>
      <c r="DK35" s="511" t="s">
        <v>1517</v>
      </c>
      <c r="DL35" s="511" t="s">
        <v>1517</v>
      </c>
      <c r="DM35" s="511" t="s">
        <v>1517</v>
      </c>
      <c r="DN35" s="511" t="s">
        <v>1517</v>
      </c>
      <c r="DO35" s="511" t="s">
        <v>1517</v>
      </c>
      <c r="DP35" s="511" t="s">
        <v>1517</v>
      </c>
      <c r="DQ35" s="511" t="s">
        <v>1517</v>
      </c>
      <c r="DR35" s="511" t="s">
        <v>1517</v>
      </c>
      <c r="DS35" s="511" t="s">
        <v>1517</v>
      </c>
      <c r="DT35" s="511" t="s">
        <v>1517</v>
      </c>
      <c r="DU35" s="511" t="s">
        <v>1517</v>
      </c>
      <c r="DV35" s="511" t="s">
        <v>1517</v>
      </c>
      <c r="DW35" s="511" t="s">
        <v>1517</v>
      </c>
      <c r="DX35" s="511" t="s">
        <v>1517</v>
      </c>
      <c r="DY35" s="511" t="s">
        <v>1517</v>
      </c>
      <c r="DZ35" s="511" t="s">
        <v>1517</v>
      </c>
      <c r="EA35" s="511" t="s">
        <v>1517</v>
      </c>
      <c r="EB35" s="511" t="s">
        <v>1517</v>
      </c>
      <c r="EC35" s="511" t="s">
        <v>1517</v>
      </c>
      <c r="ED35" s="511" t="s">
        <v>1517</v>
      </c>
      <c r="EE35" s="511" t="s">
        <v>1517</v>
      </c>
      <c r="EF35" s="511" t="s">
        <v>1517</v>
      </c>
      <c r="EG35" s="511" t="s">
        <v>1517</v>
      </c>
      <c r="EH35" s="511" t="s">
        <v>1517</v>
      </c>
      <c r="EI35" s="511" t="s">
        <v>1517</v>
      </c>
      <c r="EJ35" s="511" t="s">
        <v>1517</v>
      </c>
      <c r="EK35" s="511" t="s">
        <v>1517</v>
      </c>
      <c r="EL35" s="511" t="s">
        <v>1517</v>
      </c>
      <c r="EM35" s="511" t="s">
        <v>1517</v>
      </c>
      <c r="EN35" s="511" t="s">
        <v>1517</v>
      </c>
      <c r="EO35" s="511" t="s">
        <v>1517</v>
      </c>
      <c r="EP35" s="511" t="s">
        <v>1517</v>
      </c>
      <c r="EQ35" s="511" t="s">
        <v>1517</v>
      </c>
      <c r="ER35" s="511" t="s">
        <v>1517</v>
      </c>
      <c r="ES35" s="511" t="s">
        <v>1517</v>
      </c>
      <c r="ET35" s="511" t="s">
        <v>1517</v>
      </c>
      <c r="EU35" s="511" t="s">
        <v>1517</v>
      </c>
      <c r="EV35" s="228"/>
      <c r="EW35" s="228"/>
      <c r="EX35" s="228"/>
      <c r="EY35" s="228"/>
      <c r="EZ35" s="228"/>
      <c r="FA35" s="228"/>
      <c r="FB35" s="228"/>
      <c r="FC35" s="228"/>
    </row>
    <row r="36" spans="3:177">
      <c r="C36" s="213" t="s">
        <v>986</v>
      </c>
      <c r="D36" s="200"/>
      <c r="E36" s="200"/>
      <c r="F36" s="200"/>
      <c r="G36" s="200"/>
      <c r="H36" s="200"/>
      <c r="I36" s="200"/>
      <c r="J36" s="200"/>
      <c r="K36" s="200"/>
      <c r="L36" s="200"/>
      <c r="M36" s="200"/>
      <c r="N36" s="200"/>
      <c r="O36" s="511" t="s">
        <v>1517</v>
      </c>
      <c r="P36" s="511" t="s">
        <v>1517</v>
      </c>
      <c r="Q36" s="511" t="s">
        <v>1517</v>
      </c>
      <c r="R36" s="511" t="s">
        <v>1517</v>
      </c>
      <c r="S36" s="511" t="s">
        <v>1517</v>
      </c>
      <c r="T36" s="511" t="s">
        <v>1517</v>
      </c>
      <c r="U36" s="511" t="s">
        <v>1517</v>
      </c>
      <c r="V36" s="511" t="s">
        <v>1517</v>
      </c>
      <c r="W36" s="511" t="s">
        <v>1517</v>
      </c>
      <c r="X36" s="511" t="s">
        <v>1517</v>
      </c>
      <c r="Y36" s="511" t="s">
        <v>1517</v>
      </c>
      <c r="Z36" s="511" t="s">
        <v>1517</v>
      </c>
      <c r="AA36" s="511" t="s">
        <v>1517</v>
      </c>
      <c r="AB36" s="511" t="s">
        <v>1517</v>
      </c>
      <c r="AC36" s="228"/>
      <c r="AD36" s="228"/>
      <c r="AE36" s="228"/>
      <c r="AF36" s="228"/>
      <c r="AG36" s="228"/>
      <c r="AH36" s="228"/>
      <c r="AO36" s="338"/>
      <c r="AP36" s="449"/>
      <c r="AR36" s="449"/>
      <c r="AS36" s="449"/>
      <c r="BA36" s="511" t="s">
        <v>1517</v>
      </c>
      <c r="BB36" s="511" t="s">
        <v>1517</v>
      </c>
      <c r="BC36" s="511" t="s">
        <v>1517</v>
      </c>
      <c r="BD36" s="511" t="s">
        <v>1517</v>
      </c>
      <c r="BE36" s="511" t="s">
        <v>1517</v>
      </c>
      <c r="BF36" s="511" t="s">
        <v>1517</v>
      </c>
      <c r="BG36" s="511" t="s">
        <v>1517</v>
      </c>
      <c r="BH36" s="511" t="s">
        <v>1517</v>
      </c>
      <c r="BI36" s="511" t="s">
        <v>1517</v>
      </c>
      <c r="BJ36" s="511" t="s">
        <v>1517</v>
      </c>
      <c r="BK36" s="511" t="s">
        <v>1517</v>
      </c>
      <c r="BL36" s="511" t="s">
        <v>1517</v>
      </c>
      <c r="BM36" s="511" t="s">
        <v>1517</v>
      </c>
      <c r="BN36" s="511" t="s">
        <v>1517</v>
      </c>
      <c r="BO36" s="511" t="s">
        <v>1517</v>
      </c>
      <c r="BP36" s="511" t="s">
        <v>1517</v>
      </c>
      <c r="BQ36" s="511" t="s">
        <v>1517</v>
      </c>
      <c r="BR36" s="511" t="s">
        <v>1517</v>
      </c>
      <c r="BS36" s="511" t="s">
        <v>1517</v>
      </c>
      <c r="BT36" s="511" t="s">
        <v>1517</v>
      </c>
      <c r="BU36" s="511" t="s">
        <v>1517</v>
      </c>
      <c r="BV36" s="511" t="s">
        <v>1517</v>
      </c>
      <c r="BW36" s="511" t="s">
        <v>1517</v>
      </c>
      <c r="BX36" s="511" t="s">
        <v>1517</v>
      </c>
      <c r="BY36" s="511" t="s">
        <v>1517</v>
      </c>
      <c r="BZ36" s="511" t="s">
        <v>1517</v>
      </c>
      <c r="CA36" s="511" t="s">
        <v>1517</v>
      </c>
      <c r="CB36" s="511" t="s">
        <v>1517</v>
      </c>
      <c r="CC36" s="514"/>
      <c r="CD36" s="514"/>
      <c r="CE36" s="514"/>
      <c r="CF36" s="514"/>
      <c r="CG36" s="511"/>
      <c r="CH36" s="511"/>
      <c r="CI36" s="511"/>
      <c r="CJ36" s="511"/>
      <c r="CK36" s="511"/>
      <c r="CL36" s="511"/>
      <c r="CM36" s="511"/>
      <c r="CN36" s="511"/>
      <c r="CO36" s="511"/>
      <c r="CP36" s="513"/>
      <c r="CQ36" s="513"/>
      <c r="CR36" s="511" t="s">
        <v>1517</v>
      </c>
      <c r="CS36" s="511" t="s">
        <v>1517</v>
      </c>
      <c r="CT36" s="511" t="s">
        <v>1517</v>
      </c>
      <c r="CU36" s="511" t="s">
        <v>1517</v>
      </c>
      <c r="CV36" s="511" t="s">
        <v>1517</v>
      </c>
      <c r="CW36" s="511" t="s">
        <v>1517</v>
      </c>
      <c r="CX36" s="511" t="s">
        <v>1517</v>
      </c>
      <c r="CY36" s="511" t="s">
        <v>1517</v>
      </c>
      <c r="CZ36" s="511" t="s">
        <v>1517</v>
      </c>
      <c r="DA36" s="511" t="s">
        <v>1517</v>
      </c>
      <c r="DB36" s="511" t="s">
        <v>1517</v>
      </c>
      <c r="DC36" s="511" t="s">
        <v>1517</v>
      </c>
      <c r="DD36" s="511" t="s">
        <v>1517</v>
      </c>
      <c r="DE36" s="511" t="s">
        <v>1517</v>
      </c>
      <c r="DF36" s="511" t="s">
        <v>1517</v>
      </c>
      <c r="DG36" s="511" t="s">
        <v>1517</v>
      </c>
      <c r="DH36" s="511" t="s">
        <v>1517</v>
      </c>
      <c r="DI36" s="511" t="s">
        <v>1517</v>
      </c>
      <c r="DJ36" s="511" t="s">
        <v>1517</v>
      </c>
      <c r="DK36" s="511" t="s">
        <v>1517</v>
      </c>
      <c r="DL36" s="511" t="s">
        <v>1517</v>
      </c>
      <c r="DM36" s="511" t="s">
        <v>1517</v>
      </c>
      <c r="DN36" s="511" t="s">
        <v>1517</v>
      </c>
      <c r="DO36" s="511" t="s">
        <v>1517</v>
      </c>
      <c r="DP36" s="511" t="s">
        <v>1517</v>
      </c>
      <c r="DQ36" s="511" t="s">
        <v>1517</v>
      </c>
      <c r="DR36" s="511" t="s">
        <v>1517</v>
      </c>
      <c r="DS36" s="511" t="s">
        <v>1517</v>
      </c>
      <c r="DT36" s="511" t="s">
        <v>1517</v>
      </c>
      <c r="DU36" s="511" t="s">
        <v>1517</v>
      </c>
      <c r="DV36" s="511" t="s">
        <v>1517</v>
      </c>
      <c r="DW36" s="511" t="s">
        <v>1517</v>
      </c>
      <c r="DX36" s="511" t="s">
        <v>1517</v>
      </c>
      <c r="DY36" s="511" t="s">
        <v>1517</v>
      </c>
      <c r="DZ36" s="511" t="s">
        <v>1517</v>
      </c>
      <c r="EA36" s="511" t="s">
        <v>1517</v>
      </c>
      <c r="EB36" s="511" t="s">
        <v>1517</v>
      </c>
      <c r="EC36" s="511" t="s">
        <v>1517</v>
      </c>
      <c r="ED36" s="511" t="s">
        <v>1517</v>
      </c>
      <c r="EE36" s="511" t="s">
        <v>1517</v>
      </c>
      <c r="EF36" s="511" t="s">
        <v>1517</v>
      </c>
      <c r="EG36" s="511" t="s">
        <v>1517</v>
      </c>
      <c r="EH36" s="511" t="s">
        <v>1517</v>
      </c>
      <c r="EI36" s="511" t="s">
        <v>1517</v>
      </c>
      <c r="EJ36" s="511" t="s">
        <v>1517</v>
      </c>
      <c r="EK36" s="511" t="s">
        <v>1517</v>
      </c>
      <c r="EL36" s="511" t="s">
        <v>1517</v>
      </c>
      <c r="EM36" s="511" t="s">
        <v>1517</v>
      </c>
      <c r="EN36" s="511" t="s">
        <v>1517</v>
      </c>
      <c r="EO36" s="511" t="s">
        <v>1517</v>
      </c>
      <c r="EP36" s="511" t="s">
        <v>1517</v>
      </c>
      <c r="EQ36" s="511" t="s">
        <v>1517</v>
      </c>
      <c r="ER36" s="511" t="s">
        <v>1517</v>
      </c>
      <c r="ES36" s="511" t="s">
        <v>1517</v>
      </c>
      <c r="ET36" s="511" t="s">
        <v>1517</v>
      </c>
      <c r="EU36" s="511" t="s">
        <v>1517</v>
      </c>
      <c r="EV36" s="228"/>
      <c r="EW36" s="228"/>
      <c r="EX36" s="228"/>
      <c r="EY36" s="228"/>
      <c r="EZ36" s="228"/>
      <c r="FA36" s="228"/>
      <c r="FB36" s="228"/>
      <c r="FC36" s="228"/>
    </row>
    <row r="37" spans="3:177">
      <c r="C37" s="213" t="s">
        <v>987</v>
      </c>
      <c r="D37" s="200"/>
      <c r="E37" s="200"/>
      <c r="F37" s="200"/>
      <c r="G37" s="200"/>
      <c r="H37" s="200"/>
      <c r="I37" s="200"/>
      <c r="J37" s="200"/>
      <c r="K37" s="200"/>
      <c r="L37" s="200"/>
      <c r="M37" s="200"/>
      <c r="N37" s="200"/>
      <c r="O37" s="511" t="s">
        <v>1517</v>
      </c>
      <c r="P37" s="511" t="s">
        <v>1517</v>
      </c>
      <c r="Q37" s="511" t="s">
        <v>1517</v>
      </c>
      <c r="R37" s="511" t="s">
        <v>1517</v>
      </c>
      <c r="S37" s="511" t="s">
        <v>1517</v>
      </c>
      <c r="T37" s="511" t="s">
        <v>1517</v>
      </c>
      <c r="U37" s="511" t="s">
        <v>1517</v>
      </c>
      <c r="V37" s="511" t="s">
        <v>1517</v>
      </c>
      <c r="W37" s="511" t="s">
        <v>1517</v>
      </c>
      <c r="X37" s="511" t="s">
        <v>1517</v>
      </c>
      <c r="Y37" s="511" t="s">
        <v>1517</v>
      </c>
      <c r="Z37" s="511" t="s">
        <v>1517</v>
      </c>
      <c r="AA37" s="511" t="s">
        <v>1517</v>
      </c>
      <c r="AB37" s="511" t="s">
        <v>1517</v>
      </c>
      <c r="AC37" s="228"/>
      <c r="AD37" s="228"/>
      <c r="AE37" s="228"/>
      <c r="AF37" s="228"/>
      <c r="AG37" s="228"/>
      <c r="AH37" s="228"/>
      <c r="AO37" s="338"/>
      <c r="AP37" s="449"/>
      <c r="AR37" s="449"/>
      <c r="AS37" s="449"/>
      <c r="BA37" s="511" t="s">
        <v>1517</v>
      </c>
      <c r="BB37" s="511" t="s">
        <v>1517</v>
      </c>
      <c r="BC37" s="511" t="s">
        <v>1517</v>
      </c>
      <c r="BD37" s="511" t="s">
        <v>1517</v>
      </c>
      <c r="BE37" s="511" t="s">
        <v>1517</v>
      </c>
      <c r="BF37" s="511" t="s">
        <v>1517</v>
      </c>
      <c r="BG37" s="511" t="s">
        <v>1517</v>
      </c>
      <c r="BH37" s="511" t="s">
        <v>1517</v>
      </c>
      <c r="BI37" s="511" t="s">
        <v>1517</v>
      </c>
      <c r="BJ37" s="511" t="s">
        <v>1517</v>
      </c>
      <c r="BK37" s="511" t="s">
        <v>1517</v>
      </c>
      <c r="BL37" s="511" t="s">
        <v>1517</v>
      </c>
      <c r="BM37" s="511" t="s">
        <v>1517</v>
      </c>
      <c r="BN37" s="511" t="s">
        <v>1517</v>
      </c>
      <c r="BO37" s="511" t="s">
        <v>1517</v>
      </c>
      <c r="BP37" s="511" t="s">
        <v>1517</v>
      </c>
      <c r="BQ37" s="511" t="s">
        <v>1517</v>
      </c>
      <c r="BR37" s="511" t="s">
        <v>1517</v>
      </c>
      <c r="BS37" s="511" t="s">
        <v>1517</v>
      </c>
      <c r="BT37" s="511" t="s">
        <v>1517</v>
      </c>
      <c r="BU37" s="511" t="s">
        <v>1517</v>
      </c>
      <c r="BV37" s="511" t="s">
        <v>1517</v>
      </c>
      <c r="BW37" s="511" t="s">
        <v>1517</v>
      </c>
      <c r="BX37" s="511" t="s">
        <v>1517</v>
      </c>
      <c r="BY37" s="511" t="s">
        <v>1517</v>
      </c>
      <c r="BZ37" s="511" t="s">
        <v>1517</v>
      </c>
      <c r="CA37" s="511" t="s">
        <v>1517</v>
      </c>
      <c r="CB37" s="511" t="s">
        <v>1517</v>
      </c>
      <c r="CC37" s="514"/>
      <c r="CD37" s="514"/>
      <c r="CE37" s="514"/>
      <c r="CF37" s="514"/>
      <c r="CG37" s="511"/>
      <c r="CH37" s="511"/>
      <c r="CI37" s="511"/>
      <c r="CJ37" s="511"/>
      <c r="CK37" s="511"/>
      <c r="CL37" s="511"/>
      <c r="CM37" s="511"/>
      <c r="CN37" s="511"/>
      <c r="CO37" s="511"/>
      <c r="CP37" s="513"/>
      <c r="CQ37" s="513"/>
      <c r="CR37" s="511" t="s">
        <v>1517</v>
      </c>
      <c r="CS37" s="511" t="s">
        <v>1517</v>
      </c>
      <c r="CT37" s="511" t="s">
        <v>1517</v>
      </c>
      <c r="CU37" s="511" t="s">
        <v>1517</v>
      </c>
      <c r="CV37" s="511" t="s">
        <v>1517</v>
      </c>
      <c r="CW37" s="511" t="s">
        <v>1517</v>
      </c>
      <c r="CX37" s="511" t="s">
        <v>1517</v>
      </c>
      <c r="CY37" s="511" t="s">
        <v>1517</v>
      </c>
      <c r="CZ37" s="511" t="s">
        <v>1517</v>
      </c>
      <c r="DA37" s="511" t="s">
        <v>1517</v>
      </c>
      <c r="DB37" s="511" t="s">
        <v>1517</v>
      </c>
      <c r="DC37" s="511" t="s">
        <v>1517</v>
      </c>
      <c r="DD37" s="511" t="s">
        <v>1517</v>
      </c>
      <c r="DE37" s="511" t="s">
        <v>1517</v>
      </c>
      <c r="DF37" s="511" t="s">
        <v>1517</v>
      </c>
      <c r="DG37" s="511" t="s">
        <v>1517</v>
      </c>
      <c r="DH37" s="511" t="s">
        <v>1517</v>
      </c>
      <c r="DI37" s="511" t="s">
        <v>1517</v>
      </c>
      <c r="DJ37" s="511" t="s">
        <v>1517</v>
      </c>
      <c r="DK37" s="511" t="s">
        <v>1517</v>
      </c>
      <c r="DL37" s="511" t="s">
        <v>1517</v>
      </c>
      <c r="DM37" s="511" t="s">
        <v>1517</v>
      </c>
      <c r="DN37" s="511" t="s">
        <v>1517</v>
      </c>
      <c r="DO37" s="511" t="s">
        <v>1517</v>
      </c>
      <c r="DP37" s="511" t="s">
        <v>1517</v>
      </c>
      <c r="DQ37" s="511" t="s">
        <v>1517</v>
      </c>
      <c r="DR37" s="511" t="s">
        <v>1517</v>
      </c>
      <c r="DS37" s="511" t="s">
        <v>1517</v>
      </c>
      <c r="DT37" s="511" t="s">
        <v>1517</v>
      </c>
      <c r="DU37" s="511" t="s">
        <v>1517</v>
      </c>
      <c r="DV37" s="511" t="s">
        <v>1517</v>
      </c>
      <c r="DW37" s="511" t="s">
        <v>1517</v>
      </c>
      <c r="DX37" s="511" t="s">
        <v>1517</v>
      </c>
      <c r="DY37" s="511" t="s">
        <v>1517</v>
      </c>
      <c r="DZ37" s="511" t="s">
        <v>1517</v>
      </c>
      <c r="EA37" s="511" t="s">
        <v>1517</v>
      </c>
      <c r="EB37" s="511" t="s">
        <v>1517</v>
      </c>
      <c r="EC37" s="511" t="s">
        <v>1517</v>
      </c>
      <c r="ED37" s="511" t="s">
        <v>1517</v>
      </c>
      <c r="EE37" s="511" t="s">
        <v>1517</v>
      </c>
      <c r="EF37" s="511" t="s">
        <v>1517</v>
      </c>
      <c r="EG37" s="511" t="s">
        <v>1517</v>
      </c>
      <c r="EH37" s="511" t="s">
        <v>1517</v>
      </c>
      <c r="EI37" s="511" t="s">
        <v>1517</v>
      </c>
      <c r="EJ37" s="511" t="s">
        <v>1517</v>
      </c>
      <c r="EK37" s="511" t="s">
        <v>1517</v>
      </c>
      <c r="EL37" s="511" t="s">
        <v>1517</v>
      </c>
      <c r="EM37" s="511" t="s">
        <v>1517</v>
      </c>
      <c r="EN37" s="511" t="s">
        <v>1517</v>
      </c>
      <c r="EO37" s="511" t="s">
        <v>1517</v>
      </c>
      <c r="EP37" s="511" t="s">
        <v>1517</v>
      </c>
      <c r="EQ37" s="511" t="s">
        <v>1517</v>
      </c>
      <c r="ER37" s="511" t="s">
        <v>1517</v>
      </c>
      <c r="ES37" s="511" t="s">
        <v>1517</v>
      </c>
      <c r="ET37" s="511" t="s">
        <v>1517</v>
      </c>
      <c r="EU37" s="511" t="s">
        <v>1517</v>
      </c>
      <c r="EV37" s="228"/>
      <c r="EW37" s="228"/>
      <c r="EX37" s="228"/>
      <c r="EY37" s="228"/>
      <c r="EZ37" s="228"/>
      <c r="FA37" s="228"/>
      <c r="FB37" s="228"/>
      <c r="FC37" s="228"/>
    </row>
    <row r="38" spans="3:177">
      <c r="C38" s="213" t="s">
        <v>1011</v>
      </c>
      <c r="D38" s="200"/>
      <c r="E38" s="200"/>
      <c r="F38" s="200"/>
      <c r="G38" s="200"/>
      <c r="H38" s="200"/>
      <c r="I38" s="200"/>
      <c r="J38" s="200"/>
      <c r="K38" s="200"/>
      <c r="L38" s="200"/>
      <c r="M38" s="200"/>
      <c r="N38" s="200"/>
      <c r="O38" s="511" t="s">
        <v>1517</v>
      </c>
      <c r="P38" s="511" t="s">
        <v>1517</v>
      </c>
      <c r="Q38" s="511" t="s">
        <v>1517</v>
      </c>
      <c r="R38" s="511" t="s">
        <v>1517</v>
      </c>
      <c r="S38" s="511" t="s">
        <v>1517</v>
      </c>
      <c r="T38" s="511" t="s">
        <v>1517</v>
      </c>
      <c r="U38" s="511" t="s">
        <v>1517</v>
      </c>
      <c r="V38" s="511" t="s">
        <v>1517</v>
      </c>
      <c r="W38" s="511" t="s">
        <v>1517</v>
      </c>
      <c r="X38" s="511" t="s">
        <v>1517</v>
      </c>
      <c r="Y38" s="511" t="s">
        <v>1517</v>
      </c>
      <c r="Z38" s="511" t="s">
        <v>1517</v>
      </c>
      <c r="AA38" s="511" t="s">
        <v>1517</v>
      </c>
      <c r="AB38" s="511" t="s">
        <v>1517</v>
      </c>
      <c r="AC38" s="228"/>
      <c r="AD38" s="228"/>
      <c r="AE38" s="228"/>
      <c r="AF38" s="228"/>
      <c r="AG38" s="228"/>
      <c r="AH38" s="228"/>
      <c r="AO38" s="338"/>
      <c r="AP38" s="449"/>
      <c r="AR38" s="449"/>
      <c r="AS38" s="449"/>
      <c r="BA38" s="511" t="s">
        <v>1517</v>
      </c>
      <c r="BB38" s="511" t="s">
        <v>1517</v>
      </c>
      <c r="BC38" s="511" t="s">
        <v>1517</v>
      </c>
      <c r="BD38" s="511" t="s">
        <v>1517</v>
      </c>
      <c r="BE38" s="511" t="s">
        <v>1517</v>
      </c>
      <c r="BF38" s="511" t="s">
        <v>1517</v>
      </c>
      <c r="BG38" s="511" t="s">
        <v>1517</v>
      </c>
      <c r="BH38" s="511" t="s">
        <v>1517</v>
      </c>
      <c r="BI38" s="511" t="s">
        <v>1517</v>
      </c>
      <c r="BJ38" s="511" t="s">
        <v>1517</v>
      </c>
      <c r="BK38" s="511" t="s">
        <v>1517</v>
      </c>
      <c r="BL38" s="511" t="s">
        <v>1517</v>
      </c>
      <c r="BM38" s="511" t="s">
        <v>1517</v>
      </c>
      <c r="BN38" s="511" t="s">
        <v>1517</v>
      </c>
      <c r="BO38" s="511" t="s">
        <v>1517</v>
      </c>
      <c r="BP38" s="511" t="s">
        <v>1517</v>
      </c>
      <c r="BQ38" s="511" t="s">
        <v>1517</v>
      </c>
      <c r="BR38" s="511" t="s">
        <v>1517</v>
      </c>
      <c r="BS38" s="511" t="s">
        <v>1517</v>
      </c>
      <c r="BT38" s="511" t="s">
        <v>1517</v>
      </c>
      <c r="BU38" s="511" t="s">
        <v>1517</v>
      </c>
      <c r="BV38" s="511" t="s">
        <v>1517</v>
      </c>
      <c r="BW38" s="511" t="s">
        <v>1517</v>
      </c>
      <c r="BX38" s="511" t="s">
        <v>1517</v>
      </c>
      <c r="BY38" s="511" t="s">
        <v>1517</v>
      </c>
      <c r="BZ38" s="511" t="s">
        <v>1517</v>
      </c>
      <c r="CA38" s="511" t="s">
        <v>1517</v>
      </c>
      <c r="CB38" s="511" t="s">
        <v>1517</v>
      </c>
      <c r="CC38" s="514"/>
      <c r="CD38" s="514"/>
      <c r="CE38" s="514"/>
      <c r="CF38" s="514"/>
      <c r="CG38" s="511"/>
      <c r="CH38" s="511"/>
      <c r="CI38" s="511"/>
      <c r="CJ38" s="511"/>
      <c r="CK38" s="511"/>
      <c r="CL38" s="511"/>
      <c r="CM38" s="511"/>
      <c r="CN38" s="511"/>
      <c r="CO38" s="511"/>
      <c r="CP38" s="513"/>
      <c r="CQ38" s="513"/>
      <c r="CR38" s="511" t="s">
        <v>1517</v>
      </c>
      <c r="CS38" s="511" t="s">
        <v>1517</v>
      </c>
      <c r="CT38" s="511" t="s">
        <v>1517</v>
      </c>
      <c r="CU38" s="511" t="s">
        <v>1517</v>
      </c>
      <c r="CV38" s="511" t="s">
        <v>1517</v>
      </c>
      <c r="CW38" s="511" t="s">
        <v>1517</v>
      </c>
      <c r="CX38" s="511" t="s">
        <v>1517</v>
      </c>
      <c r="CY38" s="511" t="s">
        <v>1517</v>
      </c>
      <c r="CZ38" s="511" t="s">
        <v>1517</v>
      </c>
      <c r="DA38" s="511" t="s">
        <v>1517</v>
      </c>
      <c r="DB38" s="511" t="s">
        <v>1517</v>
      </c>
      <c r="DC38" s="511" t="s">
        <v>1517</v>
      </c>
      <c r="DD38" s="511" t="s">
        <v>1517</v>
      </c>
      <c r="DE38" s="511" t="s">
        <v>1517</v>
      </c>
      <c r="DF38" s="511" t="s">
        <v>1517</v>
      </c>
      <c r="DG38" s="511" t="s">
        <v>1517</v>
      </c>
      <c r="DH38" s="511" t="s">
        <v>1517</v>
      </c>
      <c r="DI38" s="511" t="s">
        <v>1517</v>
      </c>
      <c r="DJ38" s="511" t="s">
        <v>1517</v>
      </c>
      <c r="DK38" s="511" t="s">
        <v>1517</v>
      </c>
      <c r="DL38" s="511" t="s">
        <v>1517</v>
      </c>
      <c r="DM38" s="511" t="s">
        <v>1517</v>
      </c>
      <c r="DN38" s="511" t="s">
        <v>1517</v>
      </c>
      <c r="DO38" s="511" t="s">
        <v>1517</v>
      </c>
      <c r="DP38" s="511" t="s">
        <v>1517</v>
      </c>
      <c r="DQ38" s="511" t="s">
        <v>1517</v>
      </c>
      <c r="DR38" s="511" t="s">
        <v>1517</v>
      </c>
      <c r="DS38" s="511" t="s">
        <v>1517</v>
      </c>
      <c r="DT38" s="511" t="s">
        <v>1517</v>
      </c>
      <c r="DU38" s="511" t="s">
        <v>1517</v>
      </c>
      <c r="DV38" s="511" t="s">
        <v>1517</v>
      </c>
      <c r="DW38" s="511" t="s">
        <v>1517</v>
      </c>
      <c r="DX38" s="511" t="s">
        <v>1517</v>
      </c>
      <c r="DY38" s="511" t="s">
        <v>1517</v>
      </c>
      <c r="DZ38" s="511" t="s">
        <v>1517</v>
      </c>
      <c r="EA38" s="511" t="s">
        <v>1517</v>
      </c>
      <c r="EB38" s="511" t="s">
        <v>1517</v>
      </c>
      <c r="EC38" s="511" t="s">
        <v>1517</v>
      </c>
      <c r="ED38" s="511" t="s">
        <v>1517</v>
      </c>
      <c r="EE38" s="511" t="s">
        <v>1517</v>
      </c>
      <c r="EF38" s="511" t="s">
        <v>1517</v>
      </c>
      <c r="EG38" s="511" t="s">
        <v>1517</v>
      </c>
      <c r="EH38" s="511" t="s">
        <v>1517</v>
      </c>
      <c r="EI38" s="511" t="s">
        <v>1517</v>
      </c>
      <c r="EJ38" s="511" t="s">
        <v>1517</v>
      </c>
      <c r="EK38" s="511" t="s">
        <v>1517</v>
      </c>
      <c r="EL38" s="511" t="s">
        <v>1517</v>
      </c>
      <c r="EM38" s="511" t="s">
        <v>1517</v>
      </c>
      <c r="EN38" s="511" t="s">
        <v>1517</v>
      </c>
      <c r="EO38" s="511" t="s">
        <v>1517</v>
      </c>
      <c r="EP38" s="511" t="s">
        <v>1517</v>
      </c>
      <c r="EQ38" s="511" t="s">
        <v>1517</v>
      </c>
      <c r="ER38" s="511" t="s">
        <v>1517</v>
      </c>
      <c r="ES38" s="511" t="s">
        <v>1517</v>
      </c>
      <c r="ET38" s="511" t="s">
        <v>1517</v>
      </c>
      <c r="EU38" s="511" t="s">
        <v>1517</v>
      </c>
      <c r="EV38" s="228"/>
      <c r="EW38" s="228"/>
      <c r="EX38" s="228"/>
      <c r="EY38" s="228"/>
      <c r="EZ38" s="228"/>
      <c r="FA38" s="228"/>
      <c r="FB38" s="228"/>
      <c r="FC38" s="228"/>
    </row>
    <row r="39" spans="3:177">
      <c r="C39" s="213" t="s">
        <v>1323</v>
      </c>
      <c r="D39" s="200"/>
      <c r="E39" s="200"/>
      <c r="F39" s="200"/>
      <c r="G39" s="200"/>
      <c r="H39" s="200"/>
      <c r="I39" s="200"/>
      <c r="J39" s="200"/>
      <c r="K39" s="200"/>
      <c r="L39" s="200"/>
      <c r="M39" s="200"/>
      <c r="N39" s="200"/>
      <c r="O39" s="511" t="s">
        <v>1517</v>
      </c>
      <c r="P39" s="511" t="s">
        <v>1517</v>
      </c>
      <c r="Q39" s="511" t="s">
        <v>1517</v>
      </c>
      <c r="R39" s="511" t="s">
        <v>1517</v>
      </c>
      <c r="S39" s="511" t="s">
        <v>1517</v>
      </c>
      <c r="T39" s="511" t="s">
        <v>1517</v>
      </c>
      <c r="U39" s="511" t="s">
        <v>1517</v>
      </c>
      <c r="V39" s="511" t="s">
        <v>1517</v>
      </c>
      <c r="W39" s="511" t="s">
        <v>1517</v>
      </c>
      <c r="X39" s="511" t="s">
        <v>1517</v>
      </c>
      <c r="Y39" s="511" t="s">
        <v>1517</v>
      </c>
      <c r="Z39" s="511" t="s">
        <v>1517</v>
      </c>
      <c r="AA39" s="511" t="s">
        <v>1517</v>
      </c>
      <c r="AB39" s="511" t="s">
        <v>1517</v>
      </c>
      <c r="AC39" s="228"/>
      <c r="AD39" s="228"/>
      <c r="AE39" s="228"/>
      <c r="AF39" s="228"/>
      <c r="AG39" s="228"/>
      <c r="AH39" s="228"/>
      <c r="AO39" s="338"/>
      <c r="AP39" s="449"/>
      <c r="AR39" s="449"/>
      <c r="AS39" s="449"/>
      <c r="BA39" s="511" t="s">
        <v>1517</v>
      </c>
      <c r="BB39" s="511" t="s">
        <v>1517</v>
      </c>
      <c r="BC39" s="511" t="s">
        <v>1517</v>
      </c>
      <c r="BD39" s="511" t="s">
        <v>1517</v>
      </c>
      <c r="BE39" s="511" t="s">
        <v>1517</v>
      </c>
      <c r="BF39" s="511" t="s">
        <v>1517</v>
      </c>
      <c r="BG39" s="511" t="s">
        <v>1517</v>
      </c>
      <c r="BH39" s="511" t="s">
        <v>1517</v>
      </c>
      <c r="BI39" s="511" t="s">
        <v>1517</v>
      </c>
      <c r="BJ39" s="511" t="s">
        <v>1517</v>
      </c>
      <c r="BK39" s="511" t="s">
        <v>1517</v>
      </c>
      <c r="BL39" s="511" t="s">
        <v>1517</v>
      </c>
      <c r="BM39" s="511" t="s">
        <v>1517</v>
      </c>
      <c r="BN39" s="511" t="s">
        <v>1517</v>
      </c>
      <c r="BO39" s="511" t="s">
        <v>1517</v>
      </c>
      <c r="BP39" s="511" t="s">
        <v>1517</v>
      </c>
      <c r="BQ39" s="511" t="s">
        <v>1517</v>
      </c>
      <c r="BR39" s="511" t="s">
        <v>1517</v>
      </c>
      <c r="BS39" s="511" t="s">
        <v>1517</v>
      </c>
      <c r="BT39" s="511" t="s">
        <v>1517</v>
      </c>
      <c r="BU39" s="511" t="s">
        <v>1517</v>
      </c>
      <c r="BV39" s="511" t="s">
        <v>1517</v>
      </c>
      <c r="BW39" s="511" t="s">
        <v>1517</v>
      </c>
      <c r="BX39" s="511" t="s">
        <v>1517</v>
      </c>
      <c r="BY39" s="511" t="s">
        <v>1517</v>
      </c>
      <c r="BZ39" s="511" t="s">
        <v>1517</v>
      </c>
      <c r="CA39" s="511" t="s">
        <v>1517</v>
      </c>
      <c r="CB39" s="511" t="s">
        <v>1517</v>
      </c>
      <c r="CC39" s="514"/>
      <c r="CD39" s="514"/>
      <c r="CE39" s="514"/>
      <c r="CF39" s="514"/>
      <c r="CG39" s="511"/>
      <c r="CH39" s="511"/>
      <c r="CI39" s="511"/>
      <c r="CJ39" s="511"/>
      <c r="CK39" s="511"/>
      <c r="CL39" s="511"/>
      <c r="CM39" s="511"/>
      <c r="CN39" s="511"/>
      <c r="CO39" s="511"/>
      <c r="CP39" s="513"/>
      <c r="CQ39" s="513"/>
      <c r="CR39" s="511" t="s">
        <v>1517</v>
      </c>
      <c r="CS39" s="511" t="s">
        <v>1517</v>
      </c>
      <c r="CT39" s="511" t="s">
        <v>1517</v>
      </c>
      <c r="CU39" s="511" t="s">
        <v>1517</v>
      </c>
      <c r="CV39" s="511" t="s">
        <v>1517</v>
      </c>
      <c r="CW39" s="511" t="s">
        <v>1517</v>
      </c>
      <c r="CX39" s="511" t="s">
        <v>1517</v>
      </c>
      <c r="CY39" s="511" t="s">
        <v>1517</v>
      </c>
      <c r="CZ39" s="511" t="s">
        <v>1517</v>
      </c>
      <c r="DA39" s="511" t="s">
        <v>1517</v>
      </c>
      <c r="DB39" s="511" t="s">
        <v>1517</v>
      </c>
      <c r="DC39" s="511" t="s">
        <v>1517</v>
      </c>
      <c r="DD39" s="511" t="s">
        <v>1517</v>
      </c>
      <c r="DE39" s="511" t="s">
        <v>1517</v>
      </c>
      <c r="DF39" s="511" t="s">
        <v>1517</v>
      </c>
      <c r="DG39" s="511" t="s">
        <v>1517</v>
      </c>
      <c r="DH39" s="511" t="s">
        <v>1517</v>
      </c>
      <c r="DI39" s="511" t="s">
        <v>1517</v>
      </c>
      <c r="DJ39" s="511" t="s">
        <v>1517</v>
      </c>
      <c r="DK39" s="511" t="s">
        <v>1517</v>
      </c>
      <c r="DL39" s="511" t="s">
        <v>1517</v>
      </c>
      <c r="DM39" s="511" t="s">
        <v>1517</v>
      </c>
      <c r="DN39" s="511" t="s">
        <v>1517</v>
      </c>
      <c r="DO39" s="511" t="s">
        <v>1517</v>
      </c>
      <c r="DP39" s="511" t="s">
        <v>1517</v>
      </c>
      <c r="DQ39" s="511" t="s">
        <v>1517</v>
      </c>
      <c r="DR39" s="511" t="s">
        <v>1517</v>
      </c>
      <c r="DS39" s="511" t="s">
        <v>1517</v>
      </c>
      <c r="DT39" s="511" t="s">
        <v>1517</v>
      </c>
      <c r="DU39" s="511" t="s">
        <v>1517</v>
      </c>
      <c r="DV39" s="511" t="s">
        <v>1517</v>
      </c>
      <c r="DW39" s="511" t="s">
        <v>1517</v>
      </c>
      <c r="DX39" s="511" t="s">
        <v>1517</v>
      </c>
      <c r="DY39" s="511" t="s">
        <v>1517</v>
      </c>
      <c r="DZ39" s="511" t="s">
        <v>1517</v>
      </c>
      <c r="EA39" s="511" t="s">
        <v>1517</v>
      </c>
      <c r="EB39" s="511" t="s">
        <v>1517</v>
      </c>
      <c r="EC39" s="511" t="s">
        <v>1517</v>
      </c>
      <c r="ED39" s="511" t="s">
        <v>1517</v>
      </c>
      <c r="EE39" s="511" t="s">
        <v>1517</v>
      </c>
      <c r="EF39" s="511" t="s">
        <v>1517</v>
      </c>
      <c r="EG39" s="511" t="s">
        <v>1517</v>
      </c>
      <c r="EH39" s="511" t="s">
        <v>1517</v>
      </c>
      <c r="EI39" s="511" t="s">
        <v>1517</v>
      </c>
      <c r="EJ39" s="511" t="s">
        <v>1517</v>
      </c>
      <c r="EK39" s="511" t="s">
        <v>1517</v>
      </c>
      <c r="EL39" s="511" t="s">
        <v>1517</v>
      </c>
      <c r="EM39" s="511" t="s">
        <v>1517</v>
      </c>
      <c r="EN39" s="511" t="s">
        <v>1517</v>
      </c>
      <c r="EO39" s="511" t="s">
        <v>1517</v>
      </c>
      <c r="EP39" s="511" t="s">
        <v>1517</v>
      </c>
      <c r="EQ39" s="511" t="s">
        <v>1517</v>
      </c>
      <c r="ER39" s="511" t="s">
        <v>1517</v>
      </c>
      <c r="ES39" s="511" t="s">
        <v>1517</v>
      </c>
      <c r="ET39" s="511" t="s">
        <v>1517</v>
      </c>
      <c r="EU39" s="511" t="s">
        <v>1517</v>
      </c>
      <c r="EV39" s="228"/>
      <c r="EW39" s="228"/>
      <c r="EX39" s="228"/>
      <c r="EY39" s="228"/>
      <c r="EZ39" s="228"/>
      <c r="FA39" s="228"/>
      <c r="FB39" s="228"/>
      <c r="FC39" s="228"/>
    </row>
    <row r="40" spans="3:177">
      <c r="C40" s="57" t="s">
        <v>742</v>
      </c>
      <c r="D40" s="200"/>
      <c r="E40" s="200"/>
      <c r="F40" s="200"/>
      <c r="G40" s="200"/>
      <c r="H40" s="200"/>
      <c r="I40" s="200"/>
      <c r="J40" s="190"/>
      <c r="K40" s="190"/>
      <c r="L40" s="190"/>
      <c r="M40" s="190"/>
      <c r="N40" s="190"/>
      <c r="O40" s="511" t="s">
        <v>1517</v>
      </c>
      <c r="P40" s="511" t="s">
        <v>1517</v>
      </c>
      <c r="Q40" s="511" t="s">
        <v>1517</v>
      </c>
      <c r="R40" s="511" t="s">
        <v>1517</v>
      </c>
      <c r="S40" s="511" t="s">
        <v>1517</v>
      </c>
      <c r="T40" s="511" t="s">
        <v>1517</v>
      </c>
      <c r="U40" s="511" t="s">
        <v>1517</v>
      </c>
      <c r="V40" s="511" t="s">
        <v>1517</v>
      </c>
      <c r="W40" s="511" t="s">
        <v>1517</v>
      </c>
      <c r="X40" s="511" t="s">
        <v>1517</v>
      </c>
      <c r="Y40" s="511" t="s">
        <v>1517</v>
      </c>
      <c r="Z40" s="511" t="s">
        <v>1517</v>
      </c>
      <c r="AA40" s="511" t="s">
        <v>1517</v>
      </c>
      <c r="AB40" s="511" t="s">
        <v>1517</v>
      </c>
      <c r="AC40" s="458"/>
      <c r="AD40" s="458"/>
      <c r="AE40" s="458"/>
      <c r="AF40" s="458"/>
      <c r="AG40" s="458"/>
      <c r="AH40" s="458"/>
      <c r="AO40" s="338"/>
      <c r="AP40" s="449"/>
      <c r="AR40" s="449"/>
      <c r="AS40" s="449"/>
      <c r="BA40" s="512" t="s">
        <v>1517</v>
      </c>
      <c r="BB40" s="512" t="s">
        <v>1517</v>
      </c>
      <c r="BC40" s="512" t="s">
        <v>1517</v>
      </c>
      <c r="BD40" s="512" t="s">
        <v>1517</v>
      </c>
      <c r="BE40" s="512" t="s">
        <v>1517</v>
      </c>
      <c r="BF40" s="512" t="s">
        <v>1517</v>
      </c>
      <c r="BG40" s="512" t="s">
        <v>1517</v>
      </c>
      <c r="BH40" s="512" t="s">
        <v>1517</v>
      </c>
      <c r="BI40" s="512" t="s">
        <v>1517</v>
      </c>
      <c r="BJ40" s="512" t="s">
        <v>1517</v>
      </c>
      <c r="BK40" s="512" t="s">
        <v>1517</v>
      </c>
      <c r="BL40" s="512" t="s">
        <v>1517</v>
      </c>
      <c r="BM40" s="512" t="s">
        <v>1517</v>
      </c>
      <c r="BN40" s="512" t="s">
        <v>1517</v>
      </c>
      <c r="BO40" s="512" t="s">
        <v>1517</v>
      </c>
      <c r="BP40" s="512" t="s">
        <v>1517</v>
      </c>
      <c r="BQ40" s="512" t="s">
        <v>1517</v>
      </c>
      <c r="BR40" s="512" t="s">
        <v>1517</v>
      </c>
      <c r="BS40" s="512" t="s">
        <v>1517</v>
      </c>
      <c r="BT40" s="512" t="s">
        <v>1517</v>
      </c>
      <c r="BU40" s="512" t="s">
        <v>1517</v>
      </c>
      <c r="BV40" s="512" t="s">
        <v>1517</v>
      </c>
      <c r="BW40" s="512" t="s">
        <v>1517</v>
      </c>
      <c r="BX40" s="512" t="s">
        <v>1517</v>
      </c>
      <c r="BY40" s="512" t="s">
        <v>1517</v>
      </c>
      <c r="BZ40" s="512" t="s">
        <v>1517</v>
      </c>
      <c r="CA40" s="512" t="s">
        <v>1517</v>
      </c>
      <c r="CB40" s="512" t="s">
        <v>1517</v>
      </c>
      <c r="CC40" s="515"/>
      <c r="CD40" s="514"/>
      <c r="CE40" s="515"/>
      <c r="CF40" s="514"/>
      <c r="CG40" s="511"/>
      <c r="CH40" s="511"/>
      <c r="CI40" s="511"/>
      <c r="CJ40" s="511"/>
      <c r="CK40" s="511"/>
      <c r="CL40" s="511"/>
      <c r="CM40" s="511"/>
      <c r="CN40" s="511"/>
      <c r="CO40" s="511"/>
      <c r="CP40" s="513"/>
      <c r="CQ40" s="513"/>
      <c r="CR40" s="511" t="s">
        <v>1517</v>
      </c>
      <c r="CS40" s="511" t="s">
        <v>1517</v>
      </c>
      <c r="CT40" s="511" t="s">
        <v>1517</v>
      </c>
      <c r="CU40" s="511" t="s">
        <v>1517</v>
      </c>
      <c r="CV40" s="511" t="s">
        <v>1517</v>
      </c>
      <c r="CW40" s="511" t="s">
        <v>1517</v>
      </c>
      <c r="CX40" s="511" t="s">
        <v>1517</v>
      </c>
      <c r="CY40" s="511" t="s">
        <v>1517</v>
      </c>
      <c r="CZ40" s="511" t="s">
        <v>1517</v>
      </c>
      <c r="DA40" s="511" t="s">
        <v>1517</v>
      </c>
      <c r="DB40" s="511" t="s">
        <v>1517</v>
      </c>
      <c r="DC40" s="511" t="s">
        <v>1517</v>
      </c>
      <c r="DD40" s="511" t="s">
        <v>1517</v>
      </c>
      <c r="DE40" s="511" t="s">
        <v>1517</v>
      </c>
      <c r="DF40" s="511" t="s">
        <v>1517</v>
      </c>
      <c r="DG40" s="511" t="s">
        <v>1517</v>
      </c>
      <c r="DH40" s="511" t="s">
        <v>1517</v>
      </c>
      <c r="DI40" s="511" t="s">
        <v>1517</v>
      </c>
      <c r="DJ40" s="511" t="s">
        <v>1517</v>
      </c>
      <c r="DK40" s="511" t="s">
        <v>1517</v>
      </c>
      <c r="DL40" s="511" t="s">
        <v>1517</v>
      </c>
      <c r="DM40" s="511" t="s">
        <v>1517</v>
      </c>
      <c r="DN40" s="511" t="s">
        <v>1517</v>
      </c>
      <c r="DO40" s="511" t="s">
        <v>1517</v>
      </c>
      <c r="DP40" s="511" t="s">
        <v>1517</v>
      </c>
      <c r="DQ40" s="511" t="s">
        <v>1517</v>
      </c>
      <c r="DR40" s="511" t="s">
        <v>1517</v>
      </c>
      <c r="DS40" s="511" t="s">
        <v>1517</v>
      </c>
      <c r="DT40" s="511" t="s">
        <v>1517</v>
      </c>
      <c r="DU40" s="511" t="s">
        <v>1517</v>
      </c>
      <c r="DV40" s="511" t="s">
        <v>1517</v>
      </c>
      <c r="DW40" s="511" t="s">
        <v>1517</v>
      </c>
      <c r="DX40" s="511" t="s">
        <v>1517</v>
      </c>
      <c r="DY40" s="511" t="s">
        <v>1517</v>
      </c>
      <c r="DZ40" s="511" t="s">
        <v>1517</v>
      </c>
      <c r="EA40" s="511" t="s">
        <v>1517</v>
      </c>
      <c r="EB40" s="511" t="s">
        <v>1517</v>
      </c>
      <c r="EC40" s="511" t="s">
        <v>1517</v>
      </c>
      <c r="ED40" s="511" t="s">
        <v>1517</v>
      </c>
      <c r="EE40" s="511" t="s">
        <v>1517</v>
      </c>
      <c r="EF40" s="511" t="s">
        <v>1517</v>
      </c>
      <c r="EG40" s="511" t="s">
        <v>1517</v>
      </c>
      <c r="EH40" s="511" t="s">
        <v>1517</v>
      </c>
      <c r="EI40" s="511" t="s">
        <v>1517</v>
      </c>
      <c r="EJ40" s="511" t="s">
        <v>1517</v>
      </c>
      <c r="EK40" s="511" t="s">
        <v>1517</v>
      </c>
      <c r="EL40" s="511" t="s">
        <v>1517</v>
      </c>
      <c r="EM40" s="511" t="s">
        <v>1517</v>
      </c>
      <c r="EN40" s="511" t="s">
        <v>1517</v>
      </c>
      <c r="EO40" s="511" t="s">
        <v>1517</v>
      </c>
      <c r="EP40" s="511" t="s">
        <v>1517</v>
      </c>
      <c r="EQ40" s="511" t="s">
        <v>1517</v>
      </c>
      <c r="ER40" s="511" t="s">
        <v>1517</v>
      </c>
      <c r="ES40" s="511" t="s">
        <v>1517</v>
      </c>
      <c r="ET40" s="511" t="s">
        <v>1517</v>
      </c>
      <c r="EU40" s="511" t="s">
        <v>1517</v>
      </c>
      <c r="EV40" s="228"/>
      <c r="EW40" s="228"/>
      <c r="EX40" s="228"/>
      <c r="EY40" s="228"/>
      <c r="EZ40" s="228"/>
      <c r="FA40" s="228"/>
      <c r="FB40" s="228"/>
      <c r="FC40" s="228"/>
    </row>
    <row r="41" spans="3:177">
      <c r="AO41" s="338"/>
      <c r="AP41" s="449"/>
      <c r="AR41" s="449"/>
      <c r="AS41" s="449"/>
    </row>
    <row r="42" spans="3:177">
      <c r="C42" s="305" t="s">
        <v>1133</v>
      </c>
      <c r="D42" s="305"/>
      <c r="E42" s="305"/>
      <c r="F42" s="305"/>
      <c r="G42" s="305"/>
      <c r="H42" s="305"/>
      <c r="I42" s="305"/>
      <c r="J42" s="305"/>
      <c r="K42" s="305"/>
      <c r="L42" s="305"/>
      <c r="M42" s="305"/>
      <c r="N42" s="305"/>
      <c r="O42" s="305"/>
      <c r="P42" s="305"/>
      <c r="Q42" s="305"/>
      <c r="R42" s="305"/>
      <c r="S42" s="305"/>
      <c r="T42" s="305"/>
      <c r="U42" s="305"/>
      <c r="V42" s="305"/>
      <c r="W42" s="305"/>
      <c r="X42" s="305"/>
      <c r="Y42" s="215"/>
      <c r="Z42" s="215"/>
      <c r="AA42" s="215"/>
      <c r="AB42" s="215"/>
      <c r="AC42" s="195"/>
      <c r="AD42" s="195"/>
      <c r="AE42" s="195"/>
      <c r="AF42" s="195"/>
      <c r="AG42" s="195"/>
      <c r="AH42" s="195"/>
      <c r="AO42" s="338"/>
      <c r="AP42" s="449"/>
      <c r="AR42" s="449"/>
      <c r="AS42" s="449"/>
      <c r="BA42" s="305"/>
      <c r="BB42" s="305"/>
      <c r="BC42" s="305"/>
      <c r="BD42" s="305"/>
      <c r="BE42" s="305"/>
      <c r="BF42" s="305"/>
      <c r="BG42" s="305"/>
      <c r="BH42" s="305"/>
      <c r="BI42" s="305"/>
      <c r="BJ42" s="305"/>
      <c r="BK42" s="305"/>
      <c r="BL42" s="305"/>
      <c r="BM42" s="305"/>
      <c r="BN42" s="305"/>
      <c r="BO42" s="305"/>
      <c r="BP42" s="305"/>
      <c r="BQ42" s="305"/>
      <c r="BR42" s="305"/>
      <c r="BS42" s="305"/>
      <c r="BT42" s="305"/>
      <c r="BU42" s="305"/>
      <c r="BV42" s="305"/>
      <c r="BW42" s="305"/>
      <c r="BX42" s="305"/>
      <c r="BY42" s="305"/>
      <c r="BZ42" s="305"/>
      <c r="CA42" s="305"/>
      <c r="CB42" s="305"/>
      <c r="CC42" s="332"/>
      <c r="CD42" s="332"/>
      <c r="CE42" s="332"/>
      <c r="CF42" s="332"/>
      <c r="CG42" s="332"/>
      <c r="CH42" s="332"/>
      <c r="CI42" s="332"/>
      <c r="CJ42" s="332"/>
      <c r="CK42" s="332"/>
      <c r="CL42" s="332"/>
      <c r="CM42" s="332"/>
      <c r="CN42" s="332"/>
      <c r="CO42" s="467"/>
      <c r="CR42" s="305"/>
      <c r="CS42" s="305"/>
      <c r="CT42" s="305"/>
      <c r="CU42" s="305"/>
      <c r="CV42" s="305"/>
      <c r="CW42" s="305"/>
      <c r="CX42" s="305"/>
      <c r="CY42" s="305"/>
      <c r="CZ42" s="305"/>
      <c r="DA42" s="305"/>
      <c r="DB42" s="305"/>
      <c r="DC42" s="305"/>
      <c r="DD42" s="305"/>
      <c r="DE42" s="305"/>
      <c r="DF42" s="305"/>
      <c r="DG42" s="305"/>
      <c r="DH42" s="305"/>
      <c r="DI42" s="305"/>
      <c r="DJ42" s="305"/>
      <c r="DK42" s="305"/>
      <c r="DL42" s="305"/>
      <c r="DM42" s="305"/>
      <c r="DN42" s="305"/>
      <c r="DO42" s="305"/>
      <c r="DP42" s="305"/>
      <c r="DQ42" s="305"/>
      <c r="DR42" s="305"/>
      <c r="DS42" s="305"/>
      <c r="DT42" s="305"/>
      <c r="DU42" s="305"/>
      <c r="DV42" s="305"/>
      <c r="DW42" s="305"/>
      <c r="DX42" s="305"/>
      <c r="DY42" s="305"/>
      <c r="DZ42" s="305"/>
      <c r="EA42" s="305"/>
      <c r="EB42" s="305"/>
      <c r="EC42" s="305"/>
      <c r="ED42" s="305"/>
      <c r="EE42" s="305"/>
      <c r="EF42" s="305"/>
      <c r="EG42" s="305"/>
      <c r="EH42" s="305"/>
      <c r="EI42" s="305"/>
      <c r="EJ42" s="305"/>
      <c r="EK42" s="305"/>
      <c r="EL42" s="305"/>
      <c r="EM42" s="305"/>
      <c r="EN42" s="305"/>
      <c r="EO42" s="305"/>
      <c r="EP42" s="305"/>
      <c r="EQ42" s="305"/>
      <c r="ER42" s="305"/>
      <c r="ES42" s="305"/>
      <c r="ET42" s="305"/>
      <c r="EU42" s="305"/>
      <c r="EV42" s="305"/>
      <c r="EW42" s="332"/>
      <c r="EX42" s="332"/>
      <c r="EY42" s="332"/>
      <c r="EZ42" s="332"/>
      <c r="FA42" s="332"/>
      <c r="FB42" s="332"/>
      <c r="FC42" s="332"/>
      <c r="FN42" s="774" t="s">
        <v>1709</v>
      </c>
      <c r="FO42" s="917">
        <f>EV45/ER45-1</f>
        <v>-0.13079019073569487</v>
      </c>
    </row>
    <row r="43" spans="3:177">
      <c r="C43" s="306" t="s">
        <v>1467</v>
      </c>
      <c r="D43" s="307"/>
      <c r="E43" s="307"/>
      <c r="F43" s="307"/>
      <c r="G43" s="307"/>
      <c r="H43" s="307"/>
      <c r="I43" s="307"/>
      <c r="J43" s="307"/>
      <c r="K43" s="307"/>
      <c r="L43" s="307"/>
      <c r="M43" s="307"/>
      <c r="N43" s="307"/>
      <c r="O43" s="308"/>
      <c r="P43" s="308"/>
      <c r="Q43" s="308"/>
      <c r="R43" s="308"/>
      <c r="S43" s="308"/>
      <c r="T43" s="308"/>
      <c r="U43" s="308"/>
      <c r="V43" s="308"/>
      <c r="W43" s="308"/>
      <c r="X43" s="308"/>
      <c r="Y43" s="308"/>
      <c r="Z43" s="308"/>
      <c r="AA43" s="308"/>
      <c r="AB43" s="308"/>
      <c r="AC43" s="308"/>
      <c r="AD43" s="308"/>
      <c r="AE43" s="308"/>
      <c r="AF43" s="308"/>
      <c r="AG43" s="308"/>
      <c r="AH43" s="308"/>
      <c r="AO43" s="338"/>
      <c r="AP43" s="449"/>
      <c r="AR43" s="449"/>
      <c r="AS43" s="449"/>
      <c r="BA43" s="308"/>
      <c r="BB43" s="308"/>
      <c r="BC43" s="308"/>
      <c r="BD43" s="308"/>
      <c r="BE43" s="308"/>
      <c r="BF43" s="308"/>
      <c r="BG43" s="308"/>
      <c r="BH43" s="308"/>
      <c r="BI43" s="308"/>
      <c r="BJ43" s="308"/>
      <c r="BK43" s="308"/>
      <c r="BL43" s="308"/>
      <c r="BM43" s="308"/>
      <c r="BN43" s="308"/>
      <c r="BO43" s="308"/>
      <c r="BP43" s="308"/>
      <c r="BQ43" s="308"/>
      <c r="BR43" s="308"/>
      <c r="BS43" s="308"/>
      <c r="BT43" s="308"/>
      <c r="BU43" s="308"/>
      <c r="BV43" s="308"/>
      <c r="BW43" s="308"/>
      <c r="BX43" s="308"/>
      <c r="BY43" s="308"/>
      <c r="BZ43" s="308"/>
      <c r="CA43" s="308"/>
      <c r="CB43" s="308"/>
      <c r="CC43" s="308"/>
      <c r="CD43" s="308"/>
      <c r="CE43" s="308"/>
      <c r="CF43" s="308"/>
      <c r="CG43" s="308"/>
      <c r="CH43" s="308"/>
      <c r="CI43" s="308"/>
      <c r="CJ43" s="308"/>
      <c r="CK43" s="308"/>
      <c r="CL43" s="308"/>
      <c r="CM43" s="308"/>
      <c r="CN43" s="308"/>
      <c r="CO43" s="339"/>
      <c r="CR43" s="308"/>
      <c r="CS43" s="308"/>
      <c r="CT43" s="308"/>
      <c r="CU43" s="308"/>
      <c r="CV43" s="308"/>
      <c r="CW43" s="308"/>
      <c r="CX43" s="308"/>
      <c r="CY43" s="308"/>
      <c r="CZ43" s="308"/>
      <c r="DA43" s="308"/>
      <c r="DB43" s="308"/>
      <c r="DC43" s="308"/>
      <c r="DD43" s="308"/>
      <c r="DE43" s="308"/>
      <c r="DF43" s="308"/>
      <c r="DG43" s="308"/>
      <c r="DH43" s="308"/>
      <c r="DI43" s="308"/>
      <c r="DJ43" s="308"/>
      <c r="DK43" s="308"/>
      <c r="DL43" s="308"/>
      <c r="DM43" s="308"/>
      <c r="DN43" s="308"/>
      <c r="DO43" s="308"/>
      <c r="DP43" s="308"/>
      <c r="DQ43" s="308"/>
      <c r="DR43" s="308"/>
      <c r="DS43" s="308"/>
      <c r="DT43" s="308"/>
      <c r="DU43" s="308"/>
      <c r="DV43" s="308"/>
      <c r="DW43" s="308"/>
      <c r="DX43" s="308"/>
      <c r="DY43" s="308"/>
      <c r="DZ43" s="308"/>
      <c r="EA43" s="308"/>
      <c r="EB43" s="308"/>
      <c r="EC43" s="308"/>
      <c r="ED43" s="308"/>
      <c r="EE43" s="308"/>
      <c r="EF43" s="308"/>
      <c r="EG43" s="308"/>
      <c r="EH43" s="308"/>
      <c r="EI43" s="308"/>
      <c r="EJ43" s="308"/>
      <c r="EK43" s="308"/>
      <c r="EL43" s="308"/>
      <c r="EM43" s="308"/>
      <c r="EN43" s="308"/>
      <c r="EO43" s="308"/>
      <c r="EP43" s="308"/>
      <c r="EQ43" s="308"/>
      <c r="ER43" s="308"/>
      <c r="ES43" s="308"/>
      <c r="ET43" s="308"/>
      <c r="EU43" s="308"/>
      <c r="EV43" s="308"/>
      <c r="EW43" s="308"/>
      <c r="EX43" s="308"/>
      <c r="EY43" s="308"/>
      <c r="EZ43" s="308"/>
      <c r="FA43" s="308"/>
      <c r="FB43" s="308"/>
      <c r="FC43" s="308"/>
      <c r="FN43" s="774" t="s">
        <v>1710</v>
      </c>
      <c r="FO43" s="917">
        <f>EV45/EU45-1</f>
        <v>-0.15608465608465605</v>
      </c>
    </row>
    <row r="44" spans="3:177">
      <c r="C44" s="213" t="s">
        <v>982</v>
      </c>
      <c r="D44" s="200"/>
      <c r="E44" s="200"/>
      <c r="F44" s="200"/>
      <c r="G44" s="200"/>
      <c r="H44" s="200"/>
      <c r="I44" s="200"/>
      <c r="J44" s="200">
        <f>'Aerospace Propulsion Division'!H26</f>
        <v>0</v>
      </c>
      <c r="K44" s="200">
        <f>'Aerospace Propulsion Division'!I26</f>
        <v>0</v>
      </c>
      <c r="L44" s="200">
        <f>'Aerospace Propulsion Division'!J26</f>
        <v>0</v>
      </c>
      <c r="M44" s="200">
        <f>'Aerospace Propulsion Division'!K26</f>
        <v>0</v>
      </c>
      <c r="N44" s="200">
        <f>'Aerospace Propulsion Division'!L26</f>
        <v>0</v>
      </c>
      <c r="O44" s="200">
        <f>'Aerospace Propulsion Division'!M26</f>
        <v>0</v>
      </c>
      <c r="P44" s="200">
        <f>'Aerospace Propulsion Division'!N26</f>
        <v>0</v>
      </c>
      <c r="Q44" s="200">
        <f>'Aerospace Propulsion Division'!O26</f>
        <v>0</v>
      </c>
      <c r="R44" s="200">
        <f>'Aerospace Propulsion Division'!P26</f>
        <v>0</v>
      </c>
      <c r="S44" s="200">
        <f>'Aerospace Propulsion Division'!Q26</f>
        <v>0</v>
      </c>
      <c r="T44" s="200">
        <f>'Aerospace Propulsion Division'!R26</f>
        <v>0</v>
      </c>
      <c r="U44" s="200">
        <f>'Aerospace Propulsion Division'!S26</f>
        <v>0</v>
      </c>
      <c r="V44" s="200">
        <f>'Aerospace Propulsion Division'!T26</f>
        <v>1044</v>
      </c>
      <c r="W44" s="200">
        <f>'Aerospace Propulsion Division'!U26</f>
        <v>391</v>
      </c>
      <c r="X44" s="200">
        <f>'Aerospace Propulsion Division'!V26</f>
        <v>157</v>
      </c>
      <c r="Y44" s="200">
        <f>'Aerospace Propulsion Division'!W26</f>
        <v>107</v>
      </c>
      <c r="Z44" s="200">
        <f>'Aerospace Propulsion Division'!X26</f>
        <v>60</v>
      </c>
      <c r="AA44" s="200">
        <f>'Aerospace Propulsion Division'!Y26</f>
        <v>52</v>
      </c>
      <c r="AB44" s="200">
        <f>'Aerospace Propulsion Division'!Z26</f>
        <v>60</v>
      </c>
      <c r="AC44" s="228">
        <f>'Aerospace Propulsion Division'!AA26</f>
        <v>50</v>
      </c>
      <c r="AD44" s="228">
        <f>'Aerospace Propulsion Division'!AB26</f>
        <v>40</v>
      </c>
      <c r="AE44" s="228">
        <f>'Aerospace Propulsion Division'!AC26</f>
        <v>30</v>
      </c>
      <c r="AF44" s="228">
        <f>'Aerospace Propulsion Division'!AD26</f>
        <v>20</v>
      </c>
      <c r="AG44" s="228">
        <f>'Aerospace Propulsion Division'!AE26</f>
        <v>10</v>
      </c>
      <c r="AH44" s="228">
        <f>'Aerospace Propulsion Division'!AF26</f>
        <v>0</v>
      </c>
      <c r="AO44" s="338"/>
      <c r="AP44" s="449"/>
      <c r="AR44" s="449"/>
      <c r="AS44" s="449"/>
      <c r="BA44" s="511" t="s">
        <v>1517</v>
      </c>
      <c r="BB44" s="511" t="s">
        <v>1517</v>
      </c>
      <c r="BC44" s="511" t="s">
        <v>1517</v>
      </c>
      <c r="BD44" s="511" t="s">
        <v>1517</v>
      </c>
      <c r="BE44" s="511" t="s">
        <v>1517</v>
      </c>
      <c r="BF44" s="511" t="s">
        <v>1517</v>
      </c>
      <c r="BG44" s="511" t="s">
        <v>1517</v>
      </c>
      <c r="BH44" s="511" t="s">
        <v>1517</v>
      </c>
      <c r="BI44" s="511" t="s">
        <v>1517</v>
      </c>
      <c r="BJ44" s="511" t="s">
        <v>1517</v>
      </c>
      <c r="BK44" s="511" t="s">
        <v>1517</v>
      </c>
      <c r="BL44" s="511" t="s">
        <v>1517</v>
      </c>
      <c r="BM44" s="511" t="s">
        <v>1517</v>
      </c>
      <c r="BN44" s="511" t="s">
        <v>1517</v>
      </c>
      <c r="BO44" s="511" t="s">
        <v>1517</v>
      </c>
      <c r="BP44" s="511" t="s">
        <v>1517</v>
      </c>
      <c r="BQ44" s="511" t="s">
        <v>1517</v>
      </c>
      <c r="BR44" s="511" t="s">
        <v>1517</v>
      </c>
      <c r="BS44" s="511" t="s">
        <v>1517</v>
      </c>
      <c r="BT44" s="511" t="s">
        <v>1517</v>
      </c>
      <c r="BU44" s="511" t="s">
        <v>1517</v>
      </c>
      <c r="BV44" s="511" t="s">
        <v>1517</v>
      </c>
      <c r="BW44" s="511" t="s">
        <v>1517</v>
      </c>
      <c r="BX44" s="511" t="s">
        <v>1517</v>
      </c>
      <c r="BY44" s="511" t="s">
        <v>1517</v>
      </c>
      <c r="BZ44" s="511" t="s">
        <v>1517</v>
      </c>
      <c r="CA44" s="511" t="s">
        <v>1517</v>
      </c>
      <c r="CB44" s="511" t="s">
        <v>1517</v>
      </c>
      <c r="CC44" s="514"/>
      <c r="CD44" s="514"/>
      <c r="CE44" s="514"/>
      <c r="CF44" s="514"/>
      <c r="CG44" s="510"/>
      <c r="CH44" s="510"/>
      <c r="CI44" s="510"/>
      <c r="CJ44" s="510"/>
      <c r="CK44" s="510"/>
      <c r="CL44" s="510"/>
      <c r="CM44" s="510"/>
      <c r="CN44" s="510"/>
      <c r="CO44" s="510"/>
      <c r="CP44" s="430"/>
      <c r="CQ44" s="430"/>
      <c r="CR44" s="511" t="s">
        <v>1517</v>
      </c>
      <c r="CS44" s="511" t="s">
        <v>1517</v>
      </c>
      <c r="CT44" s="511" t="s">
        <v>1517</v>
      </c>
      <c r="CU44" s="511" t="s">
        <v>1517</v>
      </c>
      <c r="CV44" s="511" t="s">
        <v>1517</v>
      </c>
      <c r="CW44" s="511" t="s">
        <v>1517</v>
      </c>
      <c r="CX44" s="511" t="s">
        <v>1517</v>
      </c>
      <c r="CY44" s="511" t="s">
        <v>1517</v>
      </c>
      <c r="CZ44" s="511" t="s">
        <v>1517</v>
      </c>
      <c r="DA44" s="511" t="s">
        <v>1517</v>
      </c>
      <c r="DB44" s="511" t="s">
        <v>1517</v>
      </c>
      <c r="DC44" s="511" t="s">
        <v>1517</v>
      </c>
      <c r="DD44" s="511" t="s">
        <v>1517</v>
      </c>
      <c r="DE44" s="511" t="s">
        <v>1517</v>
      </c>
      <c r="DF44" s="511" t="s">
        <v>1517</v>
      </c>
      <c r="DG44" s="511" t="s">
        <v>1517</v>
      </c>
      <c r="DH44" s="511" t="s">
        <v>1517</v>
      </c>
      <c r="DI44" s="511" t="s">
        <v>1517</v>
      </c>
      <c r="DJ44" s="511" t="s">
        <v>1517</v>
      </c>
      <c r="DK44" s="511" t="s">
        <v>1517</v>
      </c>
      <c r="DL44" s="511" t="s">
        <v>1517</v>
      </c>
      <c r="DM44" s="511" t="s">
        <v>1517</v>
      </c>
      <c r="DN44" s="511" t="s">
        <v>1517</v>
      </c>
      <c r="DO44" s="511" t="s">
        <v>1517</v>
      </c>
      <c r="DP44" s="511" t="s">
        <v>1517</v>
      </c>
      <c r="DQ44" s="511" t="s">
        <v>1517</v>
      </c>
      <c r="DR44" s="511" t="s">
        <v>1517</v>
      </c>
      <c r="DS44" s="511" t="s">
        <v>1517</v>
      </c>
      <c r="DT44" s="511" t="s">
        <v>1517</v>
      </c>
      <c r="DU44" s="511" t="s">
        <v>1517</v>
      </c>
      <c r="DV44" s="511" t="s">
        <v>1517</v>
      </c>
      <c r="DW44" s="511" t="s">
        <v>1517</v>
      </c>
      <c r="DX44" s="511" t="s">
        <v>1517</v>
      </c>
      <c r="DY44" s="511" t="s">
        <v>1517</v>
      </c>
      <c r="DZ44" s="511" t="s">
        <v>1517</v>
      </c>
      <c r="EA44" s="511" t="s">
        <v>1517</v>
      </c>
      <c r="EB44" s="511" t="s">
        <v>1517</v>
      </c>
      <c r="EC44" s="511" t="s">
        <v>1517</v>
      </c>
      <c r="ED44" s="511" t="s">
        <v>1517</v>
      </c>
      <c r="EE44" s="511" t="s">
        <v>1517</v>
      </c>
      <c r="EF44" s="511" t="s">
        <v>1517</v>
      </c>
      <c r="EG44" s="511" t="s">
        <v>1517</v>
      </c>
      <c r="EH44" s="511" t="s">
        <v>1517</v>
      </c>
      <c r="EI44" s="511" t="s">
        <v>1517</v>
      </c>
      <c r="EJ44" s="511" t="s">
        <v>1517</v>
      </c>
      <c r="EK44" s="511" t="s">
        <v>1517</v>
      </c>
      <c r="EL44" s="511" t="s">
        <v>1517</v>
      </c>
      <c r="EM44" s="511" t="s">
        <v>1517</v>
      </c>
      <c r="EN44" s="511" t="s">
        <v>1517</v>
      </c>
      <c r="EO44" s="511" t="s">
        <v>1517</v>
      </c>
      <c r="EP44" s="511" t="s">
        <v>1517</v>
      </c>
      <c r="EQ44" s="511" t="s">
        <v>1517</v>
      </c>
      <c r="ER44" s="511" t="s">
        <v>1517</v>
      </c>
      <c r="ES44" s="511" t="s">
        <v>1517</v>
      </c>
      <c r="ET44" s="511" t="s">
        <v>1517</v>
      </c>
      <c r="EU44" s="511" t="s">
        <v>1517</v>
      </c>
      <c r="EV44" s="511" t="s">
        <v>1517</v>
      </c>
      <c r="EW44" s="228"/>
      <c r="EX44" s="228"/>
      <c r="EY44" s="228"/>
      <c r="EZ44" s="228"/>
      <c r="FA44" s="228"/>
      <c r="FB44" s="228"/>
      <c r="FC44" s="228"/>
    </row>
    <row r="45" spans="3:177">
      <c r="C45" s="213" t="s">
        <v>1012</v>
      </c>
      <c r="D45" s="200"/>
      <c r="E45" s="200"/>
      <c r="F45" s="200"/>
      <c r="G45" s="200"/>
      <c r="H45" s="200"/>
      <c r="I45" s="200"/>
      <c r="J45" s="200">
        <f>'Aerospace Propulsion Division'!H27</f>
        <v>0</v>
      </c>
      <c r="K45" s="200">
        <f>'Aerospace Propulsion Division'!I27</f>
        <v>0</v>
      </c>
      <c r="L45" s="200">
        <f>'Aerospace Propulsion Division'!J27</f>
        <v>0</v>
      </c>
      <c r="M45" s="200">
        <f>'Aerospace Propulsion Division'!K27</f>
        <v>0</v>
      </c>
      <c r="N45" s="200">
        <f>'Aerospace Propulsion Division'!L27</f>
        <v>0</v>
      </c>
      <c r="O45" s="200">
        <f>'Aerospace Propulsion Division'!M27</f>
        <v>0</v>
      </c>
      <c r="P45" s="200">
        <f>'Aerospace Propulsion Division'!N27</f>
        <v>0</v>
      </c>
      <c r="Q45" s="200">
        <f>'Aerospace Propulsion Division'!O27</f>
        <v>0</v>
      </c>
      <c r="R45" s="200">
        <f>'Aerospace Propulsion Division'!P27</f>
        <v>0</v>
      </c>
      <c r="S45" s="200">
        <f>'Aerospace Propulsion Division'!Q27</f>
        <v>0</v>
      </c>
      <c r="T45" s="200">
        <f>'Aerospace Propulsion Division'!R27</f>
        <v>0</v>
      </c>
      <c r="U45" s="200">
        <f>'Aerospace Propulsion Division'!S27</f>
        <v>0</v>
      </c>
      <c r="V45" s="200">
        <f>'Aerospace Propulsion Division'!T27</f>
        <v>1118</v>
      </c>
      <c r="W45" s="200">
        <f>'Aerospace Propulsion Division'!U27</f>
        <v>1736</v>
      </c>
      <c r="X45" s="200">
        <f>'Aerospace Propulsion Division'!V27</f>
        <v>815</v>
      </c>
      <c r="Y45" s="200">
        <f>'Aerospace Propulsion Division'!W27</f>
        <v>845</v>
      </c>
      <c r="Z45" s="200">
        <f>'Aerospace Propulsion Division'!X27</f>
        <v>1136</v>
      </c>
      <c r="AA45" s="200">
        <f>'Aerospace Propulsion Division'!Y27</f>
        <v>1570</v>
      </c>
      <c r="AB45" s="200">
        <f>'Aerospace Propulsion Division'!Z27</f>
        <v>1407</v>
      </c>
      <c r="AC45" s="228">
        <f>'Aerospace Propulsion Division'!AA27</f>
        <v>1817</v>
      </c>
      <c r="AD45" s="228">
        <f>'Aerospace Propulsion Division'!AB27</f>
        <v>1957</v>
      </c>
      <c r="AE45" s="228">
        <f>'Aerospace Propulsion Division'!AC27</f>
        <v>2146</v>
      </c>
      <c r="AF45" s="228">
        <f>'Aerospace Propulsion Division'!AD27</f>
        <v>2253.3000000000002</v>
      </c>
      <c r="AG45" s="228">
        <f>'Aerospace Propulsion Division'!AE27</f>
        <v>2365.9650000000001</v>
      </c>
      <c r="AH45" s="228">
        <f>'Aerospace Propulsion Division'!AF27</f>
        <v>2484.2632500000004</v>
      </c>
      <c r="AO45" s="338">
        <f>AA45*(1-0.1)</f>
        <v>1413</v>
      </c>
      <c r="AP45" s="449"/>
      <c r="AQ45" s="234"/>
      <c r="AR45" s="449"/>
      <c r="AS45" s="449"/>
      <c r="BA45" s="208">
        <f t="shared" ref="BA45:BK45" si="16">SUM(DB45:DC45)</f>
        <v>0</v>
      </c>
      <c r="BB45" s="208">
        <f t="shared" si="16"/>
        <v>0</v>
      </c>
      <c r="BC45" s="208">
        <f t="shared" si="16"/>
        <v>0</v>
      </c>
      <c r="BD45" s="208">
        <f t="shared" si="16"/>
        <v>0</v>
      </c>
      <c r="BE45" s="208">
        <f t="shared" si="16"/>
        <v>0</v>
      </c>
      <c r="BF45" s="208">
        <f t="shared" si="16"/>
        <v>0</v>
      </c>
      <c r="BG45" s="208">
        <f t="shared" si="16"/>
        <v>0</v>
      </c>
      <c r="BH45" s="208">
        <f t="shared" si="16"/>
        <v>0</v>
      </c>
      <c r="BI45" s="208">
        <f t="shared" si="16"/>
        <v>0</v>
      </c>
      <c r="BJ45" s="208">
        <f t="shared" si="16"/>
        <v>0</v>
      </c>
      <c r="BK45" s="208">
        <f t="shared" si="16"/>
        <v>11</v>
      </c>
      <c r="BL45" s="208">
        <f>SUM(DN45:DO45)</f>
        <v>66</v>
      </c>
      <c r="BM45" s="208">
        <f>SUM(DP45:DQ45)</f>
        <v>146</v>
      </c>
      <c r="BN45" s="208">
        <f>SUM(DR45:DS45)</f>
        <v>313</v>
      </c>
      <c r="BO45" s="208">
        <f>SUM(DT45:DU45)</f>
        <v>436</v>
      </c>
      <c r="BP45" s="208">
        <f>SUM(DV45:DW45)</f>
        <v>682</v>
      </c>
      <c r="BQ45" s="208">
        <f>SUM(DX45:DY45)</f>
        <v>861</v>
      </c>
      <c r="BR45" s="208">
        <f>SUM(DZ45:EA45)</f>
        <v>875</v>
      </c>
      <c r="BS45" s="208">
        <f t="shared" ref="BS45:CB45" si="17">SUMIFS($CR45:$FC45,$CR$8:$FC$8,BS$8,$CR$7:$FC$7,BS$7)</f>
        <v>450</v>
      </c>
      <c r="BT45" s="208">
        <f t="shared" si="17"/>
        <v>365</v>
      </c>
      <c r="BU45" s="208">
        <f t="shared" si="17"/>
        <v>399</v>
      </c>
      <c r="BV45" s="208">
        <f t="shared" si="17"/>
        <v>446</v>
      </c>
      <c r="BW45" s="208">
        <f t="shared" si="17"/>
        <v>465</v>
      </c>
      <c r="BX45" s="208">
        <f t="shared" si="17"/>
        <v>671</v>
      </c>
      <c r="BY45" s="208">
        <f t="shared" si="17"/>
        <v>785</v>
      </c>
      <c r="BZ45" s="208">
        <f t="shared" si="17"/>
        <v>785</v>
      </c>
      <c r="CA45" s="208">
        <f t="shared" si="17"/>
        <v>664</v>
      </c>
      <c r="CB45" s="208">
        <f t="shared" si="17"/>
        <v>743</v>
      </c>
      <c r="CC45" s="466"/>
      <c r="CD45" s="514"/>
      <c r="CE45" s="466"/>
      <c r="CF45" s="514"/>
      <c r="CG45" s="510"/>
      <c r="CH45" s="510"/>
      <c r="CI45" s="510"/>
      <c r="CJ45" s="510"/>
      <c r="CK45" s="510"/>
      <c r="CL45" s="510"/>
      <c r="CM45" s="510"/>
      <c r="CN45" s="510"/>
      <c r="CO45" s="510"/>
      <c r="CP45" s="430"/>
      <c r="CQ45" s="430"/>
      <c r="CR45" s="511" t="s">
        <v>1517</v>
      </c>
      <c r="CS45" s="511" t="s">
        <v>1517</v>
      </c>
      <c r="CT45" s="511" t="s">
        <v>1517</v>
      </c>
      <c r="CU45" s="511" t="s">
        <v>1517</v>
      </c>
      <c r="CV45" s="511" t="s">
        <v>1517</v>
      </c>
      <c r="CW45" s="511" t="s">
        <v>1517</v>
      </c>
      <c r="CX45" s="511" t="s">
        <v>1517</v>
      </c>
      <c r="CY45" s="511" t="s">
        <v>1517</v>
      </c>
      <c r="CZ45" s="511" t="s">
        <v>1517</v>
      </c>
      <c r="DA45" s="511" t="s">
        <v>1517</v>
      </c>
      <c r="DB45" s="511" t="s">
        <v>1517</v>
      </c>
      <c r="DC45" s="511" t="s">
        <v>1517</v>
      </c>
      <c r="DD45" s="511" t="s">
        <v>1517</v>
      </c>
      <c r="DE45" s="511" t="s">
        <v>1517</v>
      </c>
      <c r="DF45" s="511" t="s">
        <v>1517</v>
      </c>
      <c r="DG45" s="511" t="s">
        <v>1517</v>
      </c>
      <c r="DH45" s="511" t="s">
        <v>1517</v>
      </c>
      <c r="DI45" s="511" t="s">
        <v>1517</v>
      </c>
      <c r="DJ45" s="511" t="s">
        <v>1517</v>
      </c>
      <c r="DK45" s="511" t="s">
        <v>1517</v>
      </c>
      <c r="DL45" s="510">
        <v>0</v>
      </c>
      <c r="DM45" s="510">
        <v>11</v>
      </c>
      <c r="DN45" s="510">
        <v>22</v>
      </c>
      <c r="DO45" s="510">
        <v>44</v>
      </c>
      <c r="DP45" s="510">
        <v>77</v>
      </c>
      <c r="DQ45" s="510">
        <v>69</v>
      </c>
      <c r="DR45" s="510">
        <v>111</v>
      </c>
      <c r="DS45" s="510">
        <v>202</v>
      </c>
      <c r="DT45" s="510">
        <v>186</v>
      </c>
      <c r="DU45" s="510">
        <v>250</v>
      </c>
      <c r="DV45" s="510">
        <v>303</v>
      </c>
      <c r="DW45" s="510">
        <v>379</v>
      </c>
      <c r="DX45" s="510">
        <v>424</v>
      </c>
      <c r="DY45" s="510">
        <v>437</v>
      </c>
      <c r="DZ45" s="510">
        <v>455</v>
      </c>
      <c r="EA45" s="510">
        <v>420</v>
      </c>
      <c r="EB45" s="510">
        <v>272</v>
      </c>
      <c r="EC45" s="510">
        <v>178</v>
      </c>
      <c r="ED45" s="510">
        <v>172</v>
      </c>
      <c r="EE45" s="510">
        <v>193</v>
      </c>
      <c r="EF45" s="510">
        <v>188</v>
      </c>
      <c r="EG45" s="510">
        <v>211</v>
      </c>
      <c r="EH45" s="510">
        <v>226</v>
      </c>
      <c r="EI45" s="510">
        <v>220</v>
      </c>
      <c r="EJ45" s="510">
        <v>239</v>
      </c>
      <c r="EK45" s="510">
        <v>226</v>
      </c>
      <c r="EL45" s="510">
        <v>347</v>
      </c>
      <c r="EM45" s="510">
        <v>324</v>
      </c>
      <c r="EN45" s="510">
        <v>366</v>
      </c>
      <c r="EO45" s="510">
        <v>419</v>
      </c>
      <c r="EP45" s="510">
        <v>389</v>
      </c>
      <c r="EQ45" s="510">
        <v>396</v>
      </c>
      <c r="ER45" s="510">
        <v>367</v>
      </c>
      <c r="ES45" s="510">
        <v>297</v>
      </c>
      <c r="ET45" s="510">
        <v>365</v>
      </c>
      <c r="EU45" s="510">
        <v>378</v>
      </c>
      <c r="EV45" s="510">
        <v>319</v>
      </c>
      <c r="EW45" s="228"/>
      <c r="EX45" s="228"/>
      <c r="EY45" s="228"/>
      <c r="EZ45" s="228"/>
      <c r="FA45" s="228"/>
      <c r="FB45" s="228"/>
      <c r="FC45" s="228"/>
      <c r="FM45" s="774"/>
      <c r="FN45" s="774"/>
      <c r="FO45" s="774"/>
      <c r="FP45" s="774"/>
      <c r="FQ45" s="774"/>
      <c r="FR45" s="774"/>
      <c r="FS45" s="774"/>
      <c r="FT45" s="774"/>
      <c r="FU45" s="774"/>
    </row>
    <row r="46" spans="3:177">
      <c r="C46" s="213" t="s">
        <v>1014</v>
      </c>
      <c r="D46" s="200"/>
      <c r="E46" s="200"/>
      <c r="F46" s="200"/>
      <c r="G46" s="200"/>
      <c r="H46" s="200"/>
      <c r="I46" s="200"/>
      <c r="J46" s="200">
        <f>'Aerospace Propulsion Division'!H28</f>
        <v>0</v>
      </c>
      <c r="K46" s="200">
        <f>'Aerospace Propulsion Division'!I28</f>
        <v>0</v>
      </c>
      <c r="L46" s="200">
        <f>'Aerospace Propulsion Division'!J28</f>
        <v>0</v>
      </c>
      <c r="M46" s="200">
        <f>'Aerospace Propulsion Division'!K28</f>
        <v>0</v>
      </c>
      <c r="N46" s="200">
        <f>'Aerospace Propulsion Division'!L28</f>
        <v>0</v>
      </c>
      <c r="O46" s="200">
        <f>'Aerospace Propulsion Division'!M28</f>
        <v>0</v>
      </c>
      <c r="P46" s="200">
        <f>'Aerospace Propulsion Division'!N28</f>
        <v>0</v>
      </c>
      <c r="Q46" s="200">
        <f>'Aerospace Propulsion Division'!O28</f>
        <v>0</v>
      </c>
      <c r="R46" s="200">
        <f>'Aerospace Propulsion Division'!P28</f>
        <v>0</v>
      </c>
      <c r="S46" s="200">
        <f>'Aerospace Propulsion Division'!Q28</f>
        <v>0</v>
      </c>
      <c r="T46" s="200">
        <f>'Aerospace Propulsion Division'!R28</f>
        <v>0</v>
      </c>
      <c r="U46" s="200">
        <f>'Aerospace Propulsion Division'!S28</f>
        <v>0</v>
      </c>
      <c r="V46" s="200">
        <f>'Aerospace Propulsion Division'!T28</f>
        <v>86</v>
      </c>
      <c r="W46" s="200">
        <f>'Aerospace Propulsion Division'!U28</f>
        <v>90</v>
      </c>
      <c r="X46" s="200">
        <f>'Aerospace Propulsion Division'!V28</f>
        <v>96</v>
      </c>
      <c r="Y46" s="200">
        <f>'Aerospace Propulsion Division'!W28</f>
        <v>96</v>
      </c>
      <c r="Z46" s="200">
        <f>'Aerospace Propulsion Division'!X28</f>
        <v>96</v>
      </c>
      <c r="AA46" s="200">
        <f>'Aerospace Propulsion Division'!Y28</f>
        <v>104</v>
      </c>
      <c r="AB46" s="200">
        <f>'Aerospace Propulsion Division'!Z28</f>
        <v>80</v>
      </c>
      <c r="AC46" s="228">
        <f>'Aerospace Propulsion Division'!AA28</f>
        <v>60</v>
      </c>
      <c r="AD46" s="228">
        <f>'Aerospace Propulsion Division'!AB28</f>
        <v>40</v>
      </c>
      <c r="AE46" s="228">
        <f>'Aerospace Propulsion Division'!AC28</f>
        <v>40</v>
      </c>
      <c r="AF46" s="228">
        <f>'Aerospace Propulsion Division'!AD28</f>
        <v>40</v>
      </c>
      <c r="AG46" s="228">
        <f>'Aerospace Propulsion Division'!AE28</f>
        <v>40</v>
      </c>
      <c r="AH46" s="228">
        <f>'Aerospace Propulsion Division'!AF28</f>
        <v>40</v>
      </c>
      <c r="AO46" s="338"/>
      <c r="AP46" s="449"/>
      <c r="AR46" s="449"/>
      <c r="AS46" s="449"/>
      <c r="BA46" s="511" t="s">
        <v>1517</v>
      </c>
      <c r="BB46" s="511" t="s">
        <v>1517</v>
      </c>
      <c r="BC46" s="511" t="s">
        <v>1517</v>
      </c>
      <c r="BD46" s="511" t="s">
        <v>1517</v>
      </c>
      <c r="BE46" s="511" t="s">
        <v>1517</v>
      </c>
      <c r="BF46" s="511" t="s">
        <v>1517</v>
      </c>
      <c r="BG46" s="511" t="s">
        <v>1517</v>
      </c>
      <c r="BH46" s="511" t="s">
        <v>1517</v>
      </c>
      <c r="BI46" s="511" t="s">
        <v>1517</v>
      </c>
      <c r="BJ46" s="511" t="s">
        <v>1517</v>
      </c>
      <c r="BK46" s="511" t="s">
        <v>1517</v>
      </c>
      <c r="BL46" s="511" t="s">
        <v>1517</v>
      </c>
      <c r="BM46" s="511" t="s">
        <v>1517</v>
      </c>
      <c r="BN46" s="511" t="s">
        <v>1517</v>
      </c>
      <c r="BO46" s="511" t="s">
        <v>1517</v>
      </c>
      <c r="BP46" s="511" t="s">
        <v>1517</v>
      </c>
      <c r="BQ46" s="511" t="s">
        <v>1517</v>
      </c>
      <c r="BR46" s="511" t="s">
        <v>1517</v>
      </c>
      <c r="BS46" s="511" t="s">
        <v>1517</v>
      </c>
      <c r="BT46" s="511" t="s">
        <v>1517</v>
      </c>
      <c r="BU46" s="511" t="s">
        <v>1517</v>
      </c>
      <c r="BV46" s="511" t="s">
        <v>1517</v>
      </c>
      <c r="BW46" s="511" t="s">
        <v>1517</v>
      </c>
      <c r="BX46" s="511" t="s">
        <v>1517</v>
      </c>
      <c r="BY46" s="511" t="s">
        <v>1517</v>
      </c>
      <c r="BZ46" s="511" t="s">
        <v>1517</v>
      </c>
      <c r="CA46" s="511" t="s">
        <v>1517</v>
      </c>
      <c r="CB46" s="511" t="s">
        <v>1517</v>
      </c>
      <c r="CC46" s="514"/>
      <c r="CD46" s="514"/>
      <c r="CE46" s="514"/>
      <c r="CF46" s="514"/>
      <c r="CG46" s="510"/>
      <c r="CH46" s="510"/>
      <c r="CI46" s="510"/>
      <c r="CJ46" s="510"/>
      <c r="CK46" s="510"/>
      <c r="CL46" s="510"/>
      <c r="CM46" s="510"/>
      <c r="CN46" s="510"/>
      <c r="CO46" s="510"/>
      <c r="CP46" s="430"/>
      <c r="CQ46" s="430"/>
      <c r="CR46" s="511" t="s">
        <v>1517</v>
      </c>
      <c r="CS46" s="511" t="s">
        <v>1517</v>
      </c>
      <c r="CT46" s="511" t="s">
        <v>1517</v>
      </c>
      <c r="CU46" s="511" t="s">
        <v>1517</v>
      </c>
      <c r="CV46" s="511" t="s">
        <v>1517</v>
      </c>
      <c r="CW46" s="511" t="s">
        <v>1517</v>
      </c>
      <c r="CX46" s="511" t="s">
        <v>1517</v>
      </c>
      <c r="CY46" s="511" t="s">
        <v>1517</v>
      </c>
      <c r="CZ46" s="511" t="s">
        <v>1517</v>
      </c>
      <c r="DA46" s="511" t="s">
        <v>1517</v>
      </c>
      <c r="DB46" s="511" t="s">
        <v>1517</v>
      </c>
      <c r="DC46" s="511" t="s">
        <v>1517</v>
      </c>
      <c r="DD46" s="511" t="s">
        <v>1517</v>
      </c>
      <c r="DE46" s="511" t="s">
        <v>1517</v>
      </c>
      <c r="DF46" s="511" t="s">
        <v>1517</v>
      </c>
      <c r="DG46" s="511" t="s">
        <v>1517</v>
      </c>
      <c r="DH46" s="511" t="s">
        <v>1517</v>
      </c>
      <c r="DI46" s="511" t="s">
        <v>1517</v>
      </c>
      <c r="DJ46" s="511" t="s">
        <v>1517</v>
      </c>
      <c r="DK46" s="511" t="s">
        <v>1517</v>
      </c>
      <c r="DL46" s="511" t="s">
        <v>1517</v>
      </c>
      <c r="DM46" s="511" t="s">
        <v>1517</v>
      </c>
      <c r="DN46" s="511" t="s">
        <v>1517</v>
      </c>
      <c r="DO46" s="511" t="s">
        <v>1517</v>
      </c>
      <c r="DP46" s="511" t="s">
        <v>1517</v>
      </c>
      <c r="DQ46" s="511" t="s">
        <v>1517</v>
      </c>
      <c r="DR46" s="511" t="s">
        <v>1517</v>
      </c>
      <c r="DS46" s="511" t="s">
        <v>1517</v>
      </c>
      <c r="DT46" s="511" t="s">
        <v>1517</v>
      </c>
      <c r="DU46" s="511" t="s">
        <v>1517</v>
      </c>
      <c r="DV46" s="511" t="s">
        <v>1517</v>
      </c>
      <c r="DW46" s="511" t="s">
        <v>1517</v>
      </c>
      <c r="DX46" s="511" t="s">
        <v>1517</v>
      </c>
      <c r="DY46" s="511" t="s">
        <v>1517</v>
      </c>
      <c r="DZ46" s="511" t="s">
        <v>1517</v>
      </c>
      <c r="EA46" s="511" t="s">
        <v>1517</v>
      </c>
      <c r="EB46" s="511" t="s">
        <v>1517</v>
      </c>
      <c r="EC46" s="511" t="s">
        <v>1517</v>
      </c>
      <c r="ED46" s="511" t="s">
        <v>1517</v>
      </c>
      <c r="EE46" s="511" t="s">
        <v>1517</v>
      </c>
      <c r="EF46" s="511" t="s">
        <v>1517</v>
      </c>
      <c r="EG46" s="511" t="s">
        <v>1517</v>
      </c>
      <c r="EH46" s="511" t="s">
        <v>1517</v>
      </c>
      <c r="EI46" s="511" t="s">
        <v>1517</v>
      </c>
      <c r="EJ46" s="511" t="s">
        <v>1517</v>
      </c>
      <c r="EK46" s="511" t="s">
        <v>1517</v>
      </c>
      <c r="EL46" s="511" t="s">
        <v>1517</v>
      </c>
      <c r="EM46" s="511" t="s">
        <v>1517</v>
      </c>
      <c r="EN46" s="511" t="s">
        <v>1517</v>
      </c>
      <c r="EO46" s="511" t="s">
        <v>1517</v>
      </c>
      <c r="EP46" s="511" t="s">
        <v>1517</v>
      </c>
      <c r="EQ46" s="511" t="s">
        <v>1517</v>
      </c>
      <c r="ER46" s="511" t="s">
        <v>1517</v>
      </c>
      <c r="ES46" s="511" t="s">
        <v>1517</v>
      </c>
      <c r="ET46" s="511" t="s">
        <v>1517</v>
      </c>
      <c r="EU46" s="511" t="s">
        <v>1517</v>
      </c>
      <c r="EV46" s="511" t="s">
        <v>1517</v>
      </c>
      <c r="EW46" s="228"/>
      <c r="EX46" s="228"/>
      <c r="EY46" s="228"/>
      <c r="EZ46" s="228"/>
      <c r="FA46" s="228"/>
      <c r="FB46" s="228"/>
      <c r="FC46" s="228"/>
      <c r="FM46" s="774"/>
      <c r="FN46" s="774"/>
      <c r="FO46" s="774"/>
      <c r="FP46" s="774"/>
      <c r="FQ46" s="774"/>
      <c r="FR46" s="774"/>
      <c r="FS46" s="774"/>
      <c r="FT46" s="774"/>
      <c r="FU46" s="774"/>
    </row>
    <row r="47" spans="3:177">
      <c r="C47" s="213" t="s">
        <v>988</v>
      </c>
      <c r="D47" s="200"/>
      <c r="E47" s="200"/>
      <c r="F47" s="200"/>
      <c r="G47" s="200"/>
      <c r="H47" s="200"/>
      <c r="I47" s="200"/>
      <c r="J47" s="200" t="e">
        <f>'Aerospace Propulsion Division'!#REF!</f>
        <v>#REF!</v>
      </c>
      <c r="K47" s="200" t="e">
        <f>'Aerospace Propulsion Division'!#REF!</f>
        <v>#REF!</v>
      </c>
      <c r="L47" s="200" t="e">
        <f>'Aerospace Propulsion Division'!#REF!</f>
        <v>#REF!</v>
      </c>
      <c r="M47" s="200" t="e">
        <f>'Aerospace Propulsion Division'!#REF!</f>
        <v>#REF!</v>
      </c>
      <c r="N47" s="200" t="e">
        <f>'Aerospace Propulsion Division'!#REF!</f>
        <v>#REF!</v>
      </c>
      <c r="O47" s="200" t="e">
        <f>'Aerospace Propulsion Division'!#REF!</f>
        <v>#REF!</v>
      </c>
      <c r="P47" s="200" t="e">
        <f>'Aerospace Propulsion Division'!#REF!</f>
        <v>#REF!</v>
      </c>
      <c r="Q47" s="200" t="e">
        <f>'Aerospace Propulsion Division'!#REF!</f>
        <v>#REF!</v>
      </c>
      <c r="R47" s="200" t="e">
        <f>'Aerospace Propulsion Division'!#REF!</f>
        <v>#REF!</v>
      </c>
      <c r="S47" s="200" t="e">
        <f>'Aerospace Propulsion Division'!#REF!</f>
        <v>#REF!</v>
      </c>
      <c r="T47" s="200" t="e">
        <f>'Aerospace Propulsion Division'!#REF!</f>
        <v>#REF!</v>
      </c>
      <c r="U47" s="200" t="e">
        <f>'Aerospace Propulsion Division'!#REF!</f>
        <v>#REF!</v>
      </c>
      <c r="V47" s="200" t="e">
        <f>'Aerospace Propulsion Division'!#REF!</f>
        <v>#REF!</v>
      </c>
      <c r="W47" s="200" t="e">
        <f>'Aerospace Propulsion Division'!#REF!</f>
        <v>#REF!</v>
      </c>
      <c r="X47" s="200" t="e">
        <f>'Aerospace Propulsion Division'!#REF!</f>
        <v>#REF!</v>
      </c>
      <c r="Y47" s="200" t="e">
        <f>'Aerospace Propulsion Division'!#REF!</f>
        <v>#REF!</v>
      </c>
      <c r="Z47" s="200" t="e">
        <f>'Aerospace Propulsion Division'!#REF!</f>
        <v>#REF!</v>
      </c>
      <c r="AA47" s="200" t="e">
        <f>'Aerospace Propulsion Division'!#REF!</f>
        <v>#REF!</v>
      </c>
      <c r="AB47" s="200" t="e">
        <f>'Aerospace Propulsion Division'!#REF!</f>
        <v>#REF!</v>
      </c>
      <c r="AC47" s="228" t="e">
        <f>'Aerospace Propulsion Division'!#REF!</f>
        <v>#REF!</v>
      </c>
      <c r="AD47" s="228" t="e">
        <f>'Aerospace Propulsion Division'!#REF!</f>
        <v>#REF!</v>
      </c>
      <c r="AE47" s="228" t="e">
        <f>'Aerospace Propulsion Division'!#REF!</f>
        <v>#REF!</v>
      </c>
      <c r="AF47" s="228" t="e">
        <f>'Aerospace Propulsion Division'!#REF!</f>
        <v>#REF!</v>
      </c>
      <c r="AG47" s="228" t="e">
        <f>'Aerospace Propulsion Division'!#REF!</f>
        <v>#REF!</v>
      </c>
      <c r="AH47" s="228" t="e">
        <f>'Aerospace Propulsion Division'!#REF!</f>
        <v>#REF!</v>
      </c>
      <c r="AO47" s="338"/>
      <c r="AP47" s="449"/>
      <c r="AR47" s="449"/>
      <c r="AS47" s="449"/>
      <c r="BA47" s="511" t="s">
        <v>1517</v>
      </c>
      <c r="BB47" s="511" t="s">
        <v>1517</v>
      </c>
      <c r="BC47" s="511" t="s">
        <v>1517</v>
      </c>
      <c r="BD47" s="511" t="s">
        <v>1517</v>
      </c>
      <c r="BE47" s="511" t="s">
        <v>1517</v>
      </c>
      <c r="BF47" s="511" t="s">
        <v>1517</v>
      </c>
      <c r="BG47" s="511" t="s">
        <v>1517</v>
      </c>
      <c r="BH47" s="511" t="s">
        <v>1517</v>
      </c>
      <c r="BI47" s="511" t="s">
        <v>1517</v>
      </c>
      <c r="BJ47" s="511" t="s">
        <v>1517</v>
      </c>
      <c r="BK47" s="511" t="s">
        <v>1517</v>
      </c>
      <c r="BL47" s="511" t="s">
        <v>1517</v>
      </c>
      <c r="BM47" s="511" t="s">
        <v>1517</v>
      </c>
      <c r="BN47" s="511" t="s">
        <v>1517</v>
      </c>
      <c r="BO47" s="511" t="s">
        <v>1517</v>
      </c>
      <c r="BP47" s="511" t="s">
        <v>1517</v>
      </c>
      <c r="BQ47" s="511" t="s">
        <v>1517</v>
      </c>
      <c r="BR47" s="511" t="s">
        <v>1517</v>
      </c>
      <c r="BS47" s="511" t="s">
        <v>1517</v>
      </c>
      <c r="BT47" s="511" t="s">
        <v>1517</v>
      </c>
      <c r="BU47" s="511" t="s">
        <v>1517</v>
      </c>
      <c r="BV47" s="511" t="s">
        <v>1517</v>
      </c>
      <c r="BW47" s="511" t="s">
        <v>1517</v>
      </c>
      <c r="BX47" s="511" t="s">
        <v>1517</v>
      </c>
      <c r="BY47" s="511" t="s">
        <v>1517</v>
      </c>
      <c r="BZ47" s="511" t="s">
        <v>1517</v>
      </c>
      <c r="CA47" s="511" t="s">
        <v>1517</v>
      </c>
      <c r="CB47" s="511" t="s">
        <v>1517</v>
      </c>
      <c r="CC47" s="514"/>
      <c r="CD47" s="514"/>
      <c r="CE47" s="514"/>
      <c r="CF47" s="514"/>
      <c r="CG47" s="510"/>
      <c r="CH47" s="510"/>
      <c r="CI47" s="510"/>
      <c r="CJ47" s="510"/>
      <c r="CK47" s="510"/>
      <c r="CL47" s="510"/>
      <c r="CM47" s="510"/>
      <c r="CN47" s="510"/>
      <c r="CO47" s="510"/>
      <c r="CP47" s="430"/>
      <c r="CQ47" s="430"/>
      <c r="CR47" s="511" t="s">
        <v>1517</v>
      </c>
      <c r="CS47" s="511" t="s">
        <v>1517</v>
      </c>
      <c r="CT47" s="511" t="s">
        <v>1517</v>
      </c>
      <c r="CU47" s="511" t="s">
        <v>1517</v>
      </c>
      <c r="CV47" s="511" t="s">
        <v>1517</v>
      </c>
      <c r="CW47" s="511" t="s">
        <v>1517</v>
      </c>
      <c r="CX47" s="511" t="s">
        <v>1517</v>
      </c>
      <c r="CY47" s="511" t="s">
        <v>1517</v>
      </c>
      <c r="CZ47" s="511" t="s">
        <v>1517</v>
      </c>
      <c r="DA47" s="511" t="s">
        <v>1517</v>
      </c>
      <c r="DB47" s="511" t="s">
        <v>1517</v>
      </c>
      <c r="DC47" s="511" t="s">
        <v>1517</v>
      </c>
      <c r="DD47" s="511" t="s">
        <v>1517</v>
      </c>
      <c r="DE47" s="511" t="s">
        <v>1517</v>
      </c>
      <c r="DF47" s="511" t="s">
        <v>1517</v>
      </c>
      <c r="DG47" s="511" t="s">
        <v>1517</v>
      </c>
      <c r="DH47" s="511" t="s">
        <v>1517</v>
      </c>
      <c r="DI47" s="511" t="s">
        <v>1517</v>
      </c>
      <c r="DJ47" s="511" t="s">
        <v>1517</v>
      </c>
      <c r="DK47" s="511" t="s">
        <v>1517</v>
      </c>
      <c r="DL47" s="511" t="s">
        <v>1517</v>
      </c>
      <c r="DM47" s="511" t="s">
        <v>1517</v>
      </c>
      <c r="DN47" s="511" t="s">
        <v>1517</v>
      </c>
      <c r="DO47" s="511" t="s">
        <v>1517</v>
      </c>
      <c r="DP47" s="511" t="s">
        <v>1517</v>
      </c>
      <c r="DQ47" s="511" t="s">
        <v>1517</v>
      </c>
      <c r="DR47" s="511" t="s">
        <v>1517</v>
      </c>
      <c r="DS47" s="511" t="s">
        <v>1517</v>
      </c>
      <c r="DT47" s="511" t="s">
        <v>1517</v>
      </c>
      <c r="DU47" s="511" t="s">
        <v>1517</v>
      </c>
      <c r="DV47" s="511" t="s">
        <v>1517</v>
      </c>
      <c r="DW47" s="511" t="s">
        <v>1517</v>
      </c>
      <c r="DX47" s="511" t="s">
        <v>1517</v>
      </c>
      <c r="DY47" s="511" t="s">
        <v>1517</v>
      </c>
      <c r="DZ47" s="511" t="s">
        <v>1517</v>
      </c>
      <c r="EA47" s="511" t="s">
        <v>1517</v>
      </c>
      <c r="EB47" s="511" t="s">
        <v>1517</v>
      </c>
      <c r="EC47" s="511" t="s">
        <v>1517</v>
      </c>
      <c r="ED47" s="511" t="s">
        <v>1517</v>
      </c>
      <c r="EE47" s="511" t="s">
        <v>1517</v>
      </c>
      <c r="EF47" s="511" t="s">
        <v>1517</v>
      </c>
      <c r="EG47" s="511" t="s">
        <v>1517</v>
      </c>
      <c r="EH47" s="511" t="s">
        <v>1517</v>
      </c>
      <c r="EI47" s="511" t="s">
        <v>1517</v>
      </c>
      <c r="EJ47" s="511" t="s">
        <v>1517</v>
      </c>
      <c r="EK47" s="511" t="s">
        <v>1517</v>
      </c>
      <c r="EL47" s="511" t="s">
        <v>1517</v>
      </c>
      <c r="EM47" s="511" t="s">
        <v>1517</v>
      </c>
      <c r="EN47" s="511" t="s">
        <v>1517</v>
      </c>
      <c r="EO47" s="511" t="s">
        <v>1517</v>
      </c>
      <c r="EP47" s="511" t="s">
        <v>1517</v>
      </c>
      <c r="EQ47" s="511" t="s">
        <v>1517</v>
      </c>
      <c r="ER47" s="511" t="s">
        <v>1517</v>
      </c>
      <c r="ES47" s="511" t="s">
        <v>1517</v>
      </c>
      <c r="ET47" s="511" t="s">
        <v>1517</v>
      </c>
      <c r="EU47" s="511" t="s">
        <v>1517</v>
      </c>
      <c r="EV47" s="511" t="s">
        <v>1517</v>
      </c>
      <c r="EW47" s="228"/>
      <c r="EX47" s="228"/>
      <c r="EY47" s="228"/>
      <c r="EZ47" s="228"/>
      <c r="FA47" s="228"/>
      <c r="FB47" s="228"/>
      <c r="FC47" s="228"/>
      <c r="FM47" s="774"/>
      <c r="FN47" s="774"/>
      <c r="FO47" s="774"/>
      <c r="FP47" s="774"/>
      <c r="FQ47" s="774"/>
      <c r="FR47" s="774"/>
      <c r="FS47" s="774"/>
      <c r="FT47" s="774"/>
      <c r="FU47" s="774"/>
    </row>
    <row r="48" spans="3:177">
      <c r="C48" s="213" t="s">
        <v>1013</v>
      </c>
      <c r="D48" s="200"/>
      <c r="E48" s="200"/>
      <c r="F48" s="200"/>
      <c r="G48" s="200"/>
      <c r="H48" s="200"/>
      <c r="I48" s="200"/>
      <c r="J48" s="200" t="e">
        <f>'Aerospace Propulsion Division'!#REF!</f>
        <v>#REF!</v>
      </c>
      <c r="K48" s="200" t="e">
        <f>'Aerospace Propulsion Division'!#REF!</f>
        <v>#REF!</v>
      </c>
      <c r="L48" s="200" t="e">
        <f>'Aerospace Propulsion Division'!#REF!</f>
        <v>#REF!</v>
      </c>
      <c r="M48" s="200" t="e">
        <f>'Aerospace Propulsion Division'!#REF!</f>
        <v>#REF!</v>
      </c>
      <c r="N48" s="200" t="e">
        <f>'Aerospace Propulsion Division'!#REF!</f>
        <v>#REF!</v>
      </c>
      <c r="O48" s="200" t="e">
        <f>'Aerospace Propulsion Division'!#REF!</f>
        <v>#REF!</v>
      </c>
      <c r="P48" s="200" t="e">
        <f>'Aerospace Propulsion Division'!#REF!</f>
        <v>#REF!</v>
      </c>
      <c r="Q48" s="200" t="e">
        <f>'Aerospace Propulsion Division'!#REF!</f>
        <v>#REF!</v>
      </c>
      <c r="R48" s="200" t="e">
        <f>'Aerospace Propulsion Division'!#REF!</f>
        <v>#REF!</v>
      </c>
      <c r="S48" s="200" t="e">
        <f>'Aerospace Propulsion Division'!#REF!</f>
        <v>#REF!</v>
      </c>
      <c r="T48" s="200" t="e">
        <f>'Aerospace Propulsion Division'!#REF!</f>
        <v>#REF!</v>
      </c>
      <c r="U48" s="200" t="e">
        <f>'Aerospace Propulsion Division'!#REF!</f>
        <v>#REF!</v>
      </c>
      <c r="V48" s="200" t="e">
        <f>'Aerospace Propulsion Division'!#REF!</f>
        <v>#REF!</v>
      </c>
      <c r="W48" s="200" t="e">
        <f>'Aerospace Propulsion Division'!#REF!</f>
        <v>#REF!</v>
      </c>
      <c r="X48" s="200" t="e">
        <f>'Aerospace Propulsion Division'!#REF!</f>
        <v>#REF!</v>
      </c>
      <c r="Y48" s="200" t="e">
        <f>'Aerospace Propulsion Division'!#REF!</f>
        <v>#REF!</v>
      </c>
      <c r="Z48" s="200" t="e">
        <f>'Aerospace Propulsion Division'!#REF!</f>
        <v>#REF!</v>
      </c>
      <c r="AA48" s="200" t="e">
        <f>'Aerospace Propulsion Division'!#REF!</f>
        <v>#REF!</v>
      </c>
      <c r="AB48" s="200" t="e">
        <f>'Aerospace Propulsion Division'!#REF!</f>
        <v>#REF!</v>
      </c>
      <c r="AC48" s="228" t="e">
        <f>'Aerospace Propulsion Division'!#REF!</f>
        <v>#REF!</v>
      </c>
      <c r="AD48" s="228" t="e">
        <f>'Aerospace Propulsion Division'!#REF!</f>
        <v>#REF!</v>
      </c>
      <c r="AE48" s="228" t="e">
        <f>'Aerospace Propulsion Division'!#REF!</f>
        <v>#REF!</v>
      </c>
      <c r="AF48" s="228" t="e">
        <f>'Aerospace Propulsion Division'!#REF!</f>
        <v>#REF!</v>
      </c>
      <c r="AG48" s="228" t="e">
        <f>'Aerospace Propulsion Division'!#REF!</f>
        <v>#REF!</v>
      </c>
      <c r="AH48" s="228" t="e">
        <f>'Aerospace Propulsion Division'!#REF!</f>
        <v>#REF!</v>
      </c>
      <c r="AO48" s="338"/>
      <c r="AP48" s="449"/>
      <c r="AR48" s="449"/>
      <c r="AS48" s="449"/>
      <c r="BA48" s="511" t="s">
        <v>1517</v>
      </c>
      <c r="BB48" s="511" t="s">
        <v>1517</v>
      </c>
      <c r="BC48" s="511" t="s">
        <v>1517</v>
      </c>
      <c r="BD48" s="511" t="s">
        <v>1517</v>
      </c>
      <c r="BE48" s="511" t="s">
        <v>1517</v>
      </c>
      <c r="BF48" s="511" t="s">
        <v>1517</v>
      </c>
      <c r="BG48" s="511" t="s">
        <v>1517</v>
      </c>
      <c r="BH48" s="511" t="s">
        <v>1517</v>
      </c>
      <c r="BI48" s="511" t="s">
        <v>1517</v>
      </c>
      <c r="BJ48" s="511" t="s">
        <v>1517</v>
      </c>
      <c r="BK48" s="511" t="s">
        <v>1517</v>
      </c>
      <c r="BL48" s="511" t="s">
        <v>1517</v>
      </c>
      <c r="BM48" s="511" t="s">
        <v>1517</v>
      </c>
      <c r="BN48" s="511" t="s">
        <v>1517</v>
      </c>
      <c r="BO48" s="511" t="s">
        <v>1517</v>
      </c>
      <c r="BP48" s="511" t="s">
        <v>1517</v>
      </c>
      <c r="BQ48" s="511" t="s">
        <v>1517</v>
      </c>
      <c r="BR48" s="511" t="s">
        <v>1517</v>
      </c>
      <c r="BS48" s="511" t="s">
        <v>1517</v>
      </c>
      <c r="BT48" s="511" t="s">
        <v>1517</v>
      </c>
      <c r="BU48" s="511" t="s">
        <v>1517</v>
      </c>
      <c r="BV48" s="511" t="s">
        <v>1517</v>
      </c>
      <c r="BW48" s="511" t="s">
        <v>1517</v>
      </c>
      <c r="BX48" s="511" t="s">
        <v>1517</v>
      </c>
      <c r="BY48" s="511" t="s">
        <v>1517</v>
      </c>
      <c r="BZ48" s="511" t="s">
        <v>1517</v>
      </c>
      <c r="CA48" s="511" t="s">
        <v>1517</v>
      </c>
      <c r="CB48" s="511" t="s">
        <v>1517</v>
      </c>
      <c r="CC48" s="514"/>
      <c r="CD48" s="514"/>
      <c r="CE48" s="514"/>
      <c r="CF48" s="514"/>
      <c r="CG48" s="510"/>
      <c r="CH48" s="510"/>
      <c r="CI48" s="510"/>
      <c r="CJ48" s="510"/>
      <c r="CK48" s="510"/>
      <c r="CL48" s="510"/>
      <c r="CM48" s="510"/>
      <c r="CN48" s="510"/>
      <c r="CO48" s="510"/>
      <c r="CP48" s="430"/>
      <c r="CQ48" s="430"/>
      <c r="CR48" s="511" t="s">
        <v>1517</v>
      </c>
      <c r="CS48" s="511" t="s">
        <v>1517</v>
      </c>
      <c r="CT48" s="511" t="s">
        <v>1517</v>
      </c>
      <c r="CU48" s="511" t="s">
        <v>1517</v>
      </c>
      <c r="CV48" s="511" t="s">
        <v>1517</v>
      </c>
      <c r="CW48" s="511" t="s">
        <v>1517</v>
      </c>
      <c r="CX48" s="511" t="s">
        <v>1517</v>
      </c>
      <c r="CY48" s="511" t="s">
        <v>1517</v>
      </c>
      <c r="CZ48" s="511" t="s">
        <v>1517</v>
      </c>
      <c r="DA48" s="511" t="s">
        <v>1517</v>
      </c>
      <c r="DB48" s="511" t="s">
        <v>1517</v>
      </c>
      <c r="DC48" s="511" t="s">
        <v>1517</v>
      </c>
      <c r="DD48" s="511" t="s">
        <v>1517</v>
      </c>
      <c r="DE48" s="511" t="s">
        <v>1517</v>
      </c>
      <c r="DF48" s="511" t="s">
        <v>1517</v>
      </c>
      <c r="DG48" s="511" t="s">
        <v>1517</v>
      </c>
      <c r="DH48" s="511" t="s">
        <v>1517</v>
      </c>
      <c r="DI48" s="511" t="s">
        <v>1517</v>
      </c>
      <c r="DJ48" s="511" t="s">
        <v>1517</v>
      </c>
      <c r="DK48" s="511" t="s">
        <v>1517</v>
      </c>
      <c r="DL48" s="511" t="s">
        <v>1517</v>
      </c>
      <c r="DM48" s="511" t="s">
        <v>1517</v>
      </c>
      <c r="DN48" s="511" t="s">
        <v>1517</v>
      </c>
      <c r="DO48" s="511" t="s">
        <v>1517</v>
      </c>
      <c r="DP48" s="511" t="s">
        <v>1517</v>
      </c>
      <c r="DQ48" s="511" t="s">
        <v>1517</v>
      </c>
      <c r="DR48" s="511" t="s">
        <v>1517</v>
      </c>
      <c r="DS48" s="511" t="s">
        <v>1517</v>
      </c>
      <c r="DT48" s="511" t="s">
        <v>1517</v>
      </c>
      <c r="DU48" s="511" t="s">
        <v>1517</v>
      </c>
      <c r="DV48" s="511" t="s">
        <v>1517</v>
      </c>
      <c r="DW48" s="511" t="s">
        <v>1517</v>
      </c>
      <c r="DX48" s="511" t="s">
        <v>1517</v>
      </c>
      <c r="DY48" s="511" t="s">
        <v>1517</v>
      </c>
      <c r="DZ48" s="511" t="s">
        <v>1517</v>
      </c>
      <c r="EA48" s="511" t="s">
        <v>1517</v>
      </c>
      <c r="EB48" s="511" t="s">
        <v>1517</v>
      </c>
      <c r="EC48" s="511" t="s">
        <v>1517</v>
      </c>
      <c r="ED48" s="511" t="s">
        <v>1517</v>
      </c>
      <c r="EE48" s="511" t="s">
        <v>1517</v>
      </c>
      <c r="EF48" s="511" t="s">
        <v>1517</v>
      </c>
      <c r="EG48" s="511" t="s">
        <v>1517</v>
      </c>
      <c r="EH48" s="511" t="s">
        <v>1517</v>
      </c>
      <c r="EI48" s="511" t="s">
        <v>1517</v>
      </c>
      <c r="EJ48" s="511" t="s">
        <v>1517</v>
      </c>
      <c r="EK48" s="511" t="s">
        <v>1517</v>
      </c>
      <c r="EL48" s="511" t="s">
        <v>1517</v>
      </c>
      <c r="EM48" s="511" t="s">
        <v>1517</v>
      </c>
      <c r="EN48" s="511" t="s">
        <v>1517</v>
      </c>
      <c r="EO48" s="511" t="s">
        <v>1517</v>
      </c>
      <c r="EP48" s="511" t="s">
        <v>1517</v>
      </c>
      <c r="EQ48" s="511" t="s">
        <v>1517</v>
      </c>
      <c r="ER48" s="511" t="s">
        <v>1517</v>
      </c>
      <c r="ES48" s="511" t="s">
        <v>1517</v>
      </c>
      <c r="ET48" s="511" t="s">
        <v>1517</v>
      </c>
      <c r="EU48" s="511" t="s">
        <v>1517</v>
      </c>
      <c r="EV48" s="511" t="s">
        <v>1517</v>
      </c>
      <c r="EW48" s="228"/>
      <c r="EX48" s="228"/>
      <c r="EY48" s="228"/>
      <c r="EZ48" s="228"/>
      <c r="FA48" s="228"/>
      <c r="FB48" s="228"/>
      <c r="FC48" s="228"/>
      <c r="FM48" s="774"/>
      <c r="FN48" s="774"/>
      <c r="FO48" s="774"/>
      <c r="FP48" s="774"/>
      <c r="FQ48" s="774"/>
      <c r="FR48" s="774"/>
      <c r="FS48" s="774"/>
      <c r="FT48" s="774"/>
      <c r="FU48" s="774"/>
    </row>
    <row r="49" spans="3:177">
      <c r="C49" s="213" t="s">
        <v>1150</v>
      </c>
      <c r="D49" s="200"/>
      <c r="E49" s="200"/>
      <c r="F49" s="200"/>
      <c r="G49" s="200"/>
      <c r="H49" s="200"/>
      <c r="I49" s="200"/>
      <c r="J49" s="200">
        <f>'Aerospace Propulsion Division'!H29</f>
        <v>0</v>
      </c>
      <c r="K49" s="200">
        <f>'Aerospace Propulsion Division'!I29</f>
        <v>0</v>
      </c>
      <c r="L49" s="200">
        <f>'Aerospace Propulsion Division'!J29</f>
        <v>0</v>
      </c>
      <c r="M49" s="200">
        <f>'Aerospace Propulsion Division'!K29</f>
        <v>0</v>
      </c>
      <c r="N49" s="200">
        <f>'Aerospace Propulsion Division'!L29</f>
        <v>0</v>
      </c>
      <c r="O49" s="200">
        <f>'Aerospace Propulsion Division'!M29</f>
        <v>0</v>
      </c>
      <c r="P49" s="200">
        <f>'Aerospace Propulsion Division'!N29</f>
        <v>0</v>
      </c>
      <c r="Q49" s="200">
        <f>'Aerospace Propulsion Division'!O29</f>
        <v>0</v>
      </c>
      <c r="R49" s="200">
        <f>'Aerospace Propulsion Division'!P29</f>
        <v>0</v>
      </c>
      <c r="S49" s="200">
        <f>'Aerospace Propulsion Division'!Q29</f>
        <v>0</v>
      </c>
      <c r="T49" s="200">
        <f>'Aerospace Propulsion Division'!R29</f>
        <v>0</v>
      </c>
      <c r="U49" s="200">
        <f>'Aerospace Propulsion Division'!S29</f>
        <v>0</v>
      </c>
      <c r="V49" s="200">
        <f>'Aerospace Propulsion Division'!T29</f>
        <v>278</v>
      </c>
      <c r="W49" s="200">
        <f>'Aerospace Propulsion Division'!U29</f>
        <v>381</v>
      </c>
      <c r="X49" s="200">
        <f>'Aerospace Propulsion Division'!V29</f>
        <v>242</v>
      </c>
      <c r="Y49" s="200">
        <f>'Aerospace Propulsion Division'!W29</f>
        <v>139</v>
      </c>
      <c r="Z49" s="200">
        <f>'Aerospace Propulsion Division'!X29</f>
        <v>85</v>
      </c>
      <c r="AA49" s="200">
        <f>'Aerospace Propulsion Division'!Y29</f>
        <v>86</v>
      </c>
      <c r="AB49" s="200">
        <f>'Aerospace Propulsion Division'!Z29</f>
        <v>115</v>
      </c>
      <c r="AC49" s="228">
        <f>'Aerospace Propulsion Division'!AA29</f>
        <v>98</v>
      </c>
      <c r="AD49" s="228">
        <f>'Aerospace Propulsion Division'!AB29</f>
        <v>125</v>
      </c>
      <c r="AE49" s="228">
        <f>'Aerospace Propulsion Division'!AC29</f>
        <v>138</v>
      </c>
      <c r="AF49" s="228">
        <f>'Aerospace Propulsion Division'!AD29</f>
        <v>138</v>
      </c>
      <c r="AG49" s="228">
        <f>'Aerospace Propulsion Division'!AE29</f>
        <v>138</v>
      </c>
      <c r="AH49" s="228">
        <f>'Aerospace Propulsion Division'!AF29</f>
        <v>138</v>
      </c>
      <c r="AO49" s="338"/>
      <c r="AP49" s="449"/>
      <c r="AR49" s="449"/>
      <c r="AS49" s="449"/>
      <c r="BA49" s="511" t="s">
        <v>1517</v>
      </c>
      <c r="BB49" s="511" t="s">
        <v>1517</v>
      </c>
      <c r="BC49" s="511" t="s">
        <v>1517</v>
      </c>
      <c r="BD49" s="511" t="s">
        <v>1517</v>
      </c>
      <c r="BE49" s="511" t="s">
        <v>1517</v>
      </c>
      <c r="BF49" s="511" t="s">
        <v>1517</v>
      </c>
      <c r="BG49" s="208">
        <f>SUM(DD49:DE49)</f>
        <v>145</v>
      </c>
      <c r="BH49" s="208">
        <f>SUM(DF49:DG49)</f>
        <v>142</v>
      </c>
      <c r="BI49" s="208">
        <f>SUM(DH49:DI49)</f>
        <v>137</v>
      </c>
      <c r="BJ49" s="208">
        <f>SUM(DJ49:DK49)</f>
        <v>123</v>
      </c>
      <c r="BK49" s="208">
        <f>SUM(DL49:DM49)</f>
        <v>131</v>
      </c>
      <c r="BL49" s="208">
        <f>SUM(DN49:DO49)</f>
        <v>128</v>
      </c>
      <c r="BM49" s="208">
        <f>SUM(DP49:DQ49)</f>
        <v>129</v>
      </c>
      <c r="BN49" s="208">
        <f>SUM(DR49:DS49)</f>
        <v>105</v>
      </c>
      <c r="BO49" s="208">
        <f>SUM(DT49:DU49)</f>
        <v>107</v>
      </c>
      <c r="BP49" s="208">
        <f>SUM(DV49:DW49)</f>
        <v>144</v>
      </c>
      <c r="BQ49" s="208">
        <f>SUM(DX49:DY49)</f>
        <v>148</v>
      </c>
      <c r="BR49" s="208">
        <f>SUM(DZ49:EA49)</f>
        <v>148</v>
      </c>
      <c r="BS49" s="208">
        <f>SUM(EB49:EC49)</f>
        <v>70</v>
      </c>
      <c r="BT49" s="511" t="s">
        <v>1517</v>
      </c>
      <c r="BU49" s="511" t="s">
        <v>1517</v>
      </c>
      <c r="BV49" s="511" t="s">
        <v>1517</v>
      </c>
      <c r="BW49" s="511" t="s">
        <v>1517</v>
      </c>
      <c r="BX49" s="511" t="s">
        <v>1517</v>
      </c>
      <c r="BY49" s="511" t="s">
        <v>1517</v>
      </c>
      <c r="BZ49" s="511" t="s">
        <v>1517</v>
      </c>
      <c r="CA49" s="511" t="s">
        <v>1517</v>
      </c>
      <c r="CB49" s="511" t="s">
        <v>1517</v>
      </c>
      <c r="CC49" s="514"/>
      <c r="CD49" s="514"/>
      <c r="CE49" s="514"/>
      <c r="CF49" s="514"/>
      <c r="CG49" s="510"/>
      <c r="CH49" s="510"/>
      <c r="CI49" s="510"/>
      <c r="CJ49" s="510"/>
      <c r="CK49" s="510"/>
      <c r="CL49" s="510"/>
      <c r="CM49" s="510"/>
      <c r="CN49" s="510"/>
      <c r="CO49" s="510"/>
      <c r="CP49" s="430"/>
      <c r="CQ49" s="430"/>
      <c r="CR49" s="511" t="s">
        <v>1517</v>
      </c>
      <c r="CS49" s="511" t="s">
        <v>1517</v>
      </c>
      <c r="CT49" s="511" t="s">
        <v>1517</v>
      </c>
      <c r="CU49" s="511" t="s">
        <v>1517</v>
      </c>
      <c r="CV49" s="511" t="s">
        <v>1517</v>
      </c>
      <c r="CW49" s="511" t="s">
        <v>1517</v>
      </c>
      <c r="CX49" s="511" t="s">
        <v>1517</v>
      </c>
      <c r="CY49" s="511" t="s">
        <v>1517</v>
      </c>
      <c r="CZ49" s="511" t="s">
        <v>1517</v>
      </c>
      <c r="DA49" s="511" t="s">
        <v>1517</v>
      </c>
      <c r="DB49" s="511" t="s">
        <v>1517</v>
      </c>
      <c r="DC49" s="511" t="s">
        <v>1517</v>
      </c>
      <c r="DD49" s="510">
        <v>70</v>
      </c>
      <c r="DE49" s="510">
        <v>75</v>
      </c>
      <c r="DF49" s="510">
        <v>65</v>
      </c>
      <c r="DG49" s="510">
        <v>77</v>
      </c>
      <c r="DH49" s="510">
        <v>51</v>
      </c>
      <c r="DI49" s="510">
        <v>86</v>
      </c>
      <c r="DJ49" s="510">
        <v>64</v>
      </c>
      <c r="DK49" s="510">
        <v>59</v>
      </c>
      <c r="DL49" s="510">
        <v>53</v>
      </c>
      <c r="DM49" s="510">
        <v>78</v>
      </c>
      <c r="DN49" s="510">
        <v>53</v>
      </c>
      <c r="DO49" s="510">
        <v>75</v>
      </c>
      <c r="DP49" s="510">
        <v>69</v>
      </c>
      <c r="DQ49" s="510">
        <v>60</v>
      </c>
      <c r="DR49" s="510">
        <v>48</v>
      </c>
      <c r="DS49" s="510">
        <v>57</v>
      </c>
      <c r="DT49" s="510">
        <v>50</v>
      </c>
      <c r="DU49" s="510">
        <v>57</v>
      </c>
      <c r="DV49" s="510">
        <v>65</v>
      </c>
      <c r="DW49" s="510">
        <v>79</v>
      </c>
      <c r="DX49" s="510">
        <v>78</v>
      </c>
      <c r="DY49" s="510">
        <v>70</v>
      </c>
      <c r="DZ49" s="510">
        <v>73</v>
      </c>
      <c r="EA49" s="510">
        <v>75</v>
      </c>
      <c r="EB49" s="510">
        <v>70</v>
      </c>
      <c r="EC49" s="511" t="s">
        <v>1517</v>
      </c>
      <c r="ED49" s="511" t="s">
        <v>1517</v>
      </c>
      <c r="EE49" s="511" t="s">
        <v>1517</v>
      </c>
      <c r="EF49" s="511" t="s">
        <v>1517</v>
      </c>
      <c r="EG49" s="511" t="s">
        <v>1517</v>
      </c>
      <c r="EH49" s="511" t="s">
        <v>1517</v>
      </c>
      <c r="EI49" s="511" t="s">
        <v>1517</v>
      </c>
      <c r="EJ49" s="511" t="s">
        <v>1517</v>
      </c>
      <c r="EK49" s="511" t="s">
        <v>1517</v>
      </c>
      <c r="EL49" s="511" t="s">
        <v>1517</v>
      </c>
      <c r="EM49" s="511" t="s">
        <v>1517</v>
      </c>
      <c r="EN49" s="511" t="s">
        <v>1517</v>
      </c>
      <c r="EO49" s="511" t="s">
        <v>1517</v>
      </c>
      <c r="EP49" s="511" t="s">
        <v>1517</v>
      </c>
      <c r="EQ49" s="511" t="s">
        <v>1517</v>
      </c>
      <c r="ER49" s="511" t="s">
        <v>1517</v>
      </c>
      <c r="ES49" s="511" t="s">
        <v>1517</v>
      </c>
      <c r="ET49" s="511" t="s">
        <v>1517</v>
      </c>
      <c r="EU49" s="511" t="s">
        <v>1517</v>
      </c>
      <c r="EV49" s="511" t="s">
        <v>1517</v>
      </c>
      <c r="EW49" s="228"/>
      <c r="EX49" s="228"/>
      <c r="EY49" s="228"/>
      <c r="EZ49" s="228"/>
      <c r="FA49" s="228"/>
      <c r="FB49" s="228"/>
      <c r="FC49" s="228"/>
      <c r="FM49" s="774"/>
      <c r="FN49" s="774"/>
      <c r="FO49" s="774"/>
      <c r="FP49" s="774"/>
      <c r="FQ49" s="774"/>
      <c r="FR49" s="774"/>
      <c r="FS49" s="774"/>
      <c r="FT49" s="774"/>
      <c r="FU49" s="774"/>
    </row>
    <row r="50" spans="3:177">
      <c r="C50" s="213" t="s">
        <v>1281</v>
      </c>
      <c r="D50" s="200"/>
      <c r="E50" s="200"/>
      <c r="F50" s="200"/>
      <c r="G50" s="200"/>
      <c r="H50" s="200"/>
      <c r="I50" s="200"/>
      <c r="J50" s="200">
        <f>'Aerospace Propulsion Division'!H30</f>
        <v>0</v>
      </c>
      <c r="K50" s="200">
        <f>'Aerospace Propulsion Division'!I30</f>
        <v>0</v>
      </c>
      <c r="L50" s="200">
        <f>'Aerospace Propulsion Division'!J30</f>
        <v>0</v>
      </c>
      <c r="M50" s="200">
        <f>'Aerospace Propulsion Division'!K30</f>
        <v>0</v>
      </c>
      <c r="N50" s="200">
        <f>'Aerospace Propulsion Division'!L30</f>
        <v>0</v>
      </c>
      <c r="O50" s="200">
        <f>'Aerospace Propulsion Division'!M30</f>
        <v>0</v>
      </c>
      <c r="P50" s="200">
        <f>'Aerospace Propulsion Division'!N30</f>
        <v>0</v>
      </c>
      <c r="Q50" s="200">
        <f>'Aerospace Propulsion Division'!O30</f>
        <v>0</v>
      </c>
      <c r="R50" s="200">
        <f>'Aerospace Propulsion Division'!P30</f>
        <v>0</v>
      </c>
      <c r="S50" s="200">
        <f>'Aerospace Propulsion Division'!Q30</f>
        <v>0</v>
      </c>
      <c r="T50" s="200">
        <f>'Aerospace Propulsion Division'!R30</f>
        <v>0</v>
      </c>
      <c r="U50" s="200">
        <f>'Aerospace Propulsion Division'!S30</f>
        <v>0</v>
      </c>
      <c r="V50" s="200">
        <f>'Aerospace Propulsion Division'!T30</f>
        <v>0</v>
      </c>
      <c r="W50" s="200">
        <f>'Aerospace Propulsion Division'!U30</f>
        <v>0</v>
      </c>
      <c r="X50" s="200">
        <f>'Aerospace Propulsion Division'!V30</f>
        <v>0</v>
      </c>
      <c r="Y50" s="200">
        <f>'Aerospace Propulsion Division'!W30</f>
        <v>0</v>
      </c>
      <c r="Z50" s="200">
        <f>'Aerospace Propulsion Division'!X30</f>
        <v>0</v>
      </c>
      <c r="AA50" s="200">
        <f>'Aerospace Propulsion Division'!Y30</f>
        <v>0</v>
      </c>
      <c r="AB50" s="200">
        <f>'Aerospace Propulsion Division'!Z30</f>
        <v>64</v>
      </c>
      <c r="AC50" s="228">
        <f>'Aerospace Propulsion Division'!AA30</f>
        <v>92</v>
      </c>
      <c r="AD50" s="228">
        <f>'Aerospace Propulsion Division'!AB30</f>
        <v>92</v>
      </c>
      <c r="AE50" s="228">
        <f>'Aerospace Propulsion Division'!AC30</f>
        <v>92</v>
      </c>
      <c r="AF50" s="228">
        <f>'Aerospace Propulsion Division'!AD30</f>
        <v>92</v>
      </c>
      <c r="AG50" s="228">
        <f>'Aerospace Propulsion Division'!AE30</f>
        <v>92</v>
      </c>
      <c r="AH50" s="228">
        <f>'Aerospace Propulsion Division'!AF30</f>
        <v>92</v>
      </c>
      <c r="AO50" s="338"/>
      <c r="AP50" s="449"/>
      <c r="AR50" s="449"/>
      <c r="AS50" s="449"/>
      <c r="BA50" s="511" t="s">
        <v>1517</v>
      </c>
      <c r="BB50" s="511" t="s">
        <v>1517</v>
      </c>
      <c r="BC50" s="511" t="s">
        <v>1517</v>
      </c>
      <c r="BD50" s="511" t="s">
        <v>1517</v>
      </c>
      <c r="BE50" s="511" t="s">
        <v>1517</v>
      </c>
      <c r="BF50" s="511" t="s">
        <v>1517</v>
      </c>
      <c r="BG50" s="511" t="s">
        <v>1517</v>
      </c>
      <c r="BH50" s="511" t="s">
        <v>1517</v>
      </c>
      <c r="BI50" s="511" t="s">
        <v>1517</v>
      </c>
      <c r="BJ50" s="511" t="s">
        <v>1517</v>
      </c>
      <c r="BK50" s="511" t="s">
        <v>1517</v>
      </c>
      <c r="BL50" s="511" t="s">
        <v>1517</v>
      </c>
      <c r="BM50" s="511" t="s">
        <v>1517</v>
      </c>
      <c r="BN50" s="511" t="s">
        <v>1517</v>
      </c>
      <c r="BO50" s="511" t="s">
        <v>1517</v>
      </c>
      <c r="BP50" s="511" t="s">
        <v>1517</v>
      </c>
      <c r="BQ50" s="511" t="s">
        <v>1517</v>
      </c>
      <c r="BR50" s="511" t="s">
        <v>1517</v>
      </c>
      <c r="BS50" s="511" t="s">
        <v>1517</v>
      </c>
      <c r="BT50" s="511" t="s">
        <v>1517</v>
      </c>
      <c r="BU50" s="511" t="s">
        <v>1517</v>
      </c>
      <c r="BV50" s="511" t="s">
        <v>1517</v>
      </c>
      <c r="BW50" s="511" t="s">
        <v>1517</v>
      </c>
      <c r="BX50" s="511" t="s">
        <v>1517</v>
      </c>
      <c r="BY50" s="511" t="s">
        <v>1517</v>
      </c>
      <c r="BZ50" s="511" t="s">
        <v>1517</v>
      </c>
      <c r="CA50" s="511" t="s">
        <v>1517</v>
      </c>
      <c r="CB50" s="511" t="s">
        <v>1517</v>
      </c>
      <c r="CC50" s="514"/>
      <c r="CD50" s="514"/>
      <c r="CE50" s="514"/>
      <c r="CF50" s="514"/>
      <c r="CG50" s="510"/>
      <c r="CH50" s="510"/>
      <c r="CI50" s="510"/>
      <c r="CJ50" s="510"/>
      <c r="CK50" s="510"/>
      <c r="CL50" s="510"/>
      <c r="CM50" s="510"/>
      <c r="CN50" s="510"/>
      <c r="CO50" s="510"/>
      <c r="CP50" s="430"/>
      <c r="CQ50" s="430"/>
      <c r="CR50" s="511" t="s">
        <v>1517</v>
      </c>
      <c r="CS50" s="511" t="s">
        <v>1517</v>
      </c>
      <c r="CT50" s="511" t="s">
        <v>1517</v>
      </c>
      <c r="CU50" s="511" t="s">
        <v>1517</v>
      </c>
      <c r="CV50" s="511" t="s">
        <v>1517</v>
      </c>
      <c r="CW50" s="511" t="s">
        <v>1517</v>
      </c>
      <c r="CX50" s="511" t="s">
        <v>1517</v>
      </c>
      <c r="CY50" s="511" t="s">
        <v>1517</v>
      </c>
      <c r="CZ50" s="511" t="s">
        <v>1517</v>
      </c>
      <c r="DA50" s="511" t="s">
        <v>1517</v>
      </c>
      <c r="DB50" s="511" t="s">
        <v>1517</v>
      </c>
      <c r="DC50" s="511" t="s">
        <v>1517</v>
      </c>
      <c r="DD50" s="511" t="s">
        <v>1517</v>
      </c>
      <c r="DE50" s="511" t="s">
        <v>1517</v>
      </c>
      <c r="DF50" s="511" t="s">
        <v>1517</v>
      </c>
      <c r="DG50" s="511" t="s">
        <v>1517</v>
      </c>
      <c r="DH50" s="511" t="s">
        <v>1517</v>
      </c>
      <c r="DI50" s="511" t="s">
        <v>1517</v>
      </c>
      <c r="DJ50" s="511" t="s">
        <v>1517</v>
      </c>
      <c r="DK50" s="511" t="s">
        <v>1517</v>
      </c>
      <c r="DL50" s="511" t="s">
        <v>1517</v>
      </c>
      <c r="DM50" s="511" t="s">
        <v>1517</v>
      </c>
      <c r="DN50" s="511" t="s">
        <v>1517</v>
      </c>
      <c r="DO50" s="511" t="s">
        <v>1517</v>
      </c>
      <c r="DP50" s="511" t="s">
        <v>1517</v>
      </c>
      <c r="DQ50" s="511" t="s">
        <v>1517</v>
      </c>
      <c r="DR50" s="511" t="s">
        <v>1517</v>
      </c>
      <c r="DS50" s="511" t="s">
        <v>1517</v>
      </c>
      <c r="DT50" s="511" t="s">
        <v>1517</v>
      </c>
      <c r="DU50" s="511" t="s">
        <v>1517</v>
      </c>
      <c r="DV50" s="511" t="s">
        <v>1517</v>
      </c>
      <c r="DW50" s="511" t="s">
        <v>1517</v>
      </c>
      <c r="DX50" s="511" t="s">
        <v>1517</v>
      </c>
      <c r="DY50" s="511" t="s">
        <v>1517</v>
      </c>
      <c r="DZ50" s="511" t="s">
        <v>1517</v>
      </c>
      <c r="EA50" s="511" t="s">
        <v>1517</v>
      </c>
      <c r="EB50" s="511" t="s">
        <v>1517</v>
      </c>
      <c r="EC50" s="511" t="s">
        <v>1517</v>
      </c>
      <c r="ED50" s="511" t="s">
        <v>1517</v>
      </c>
      <c r="EE50" s="511" t="s">
        <v>1517</v>
      </c>
      <c r="EF50" s="511" t="s">
        <v>1517</v>
      </c>
      <c r="EG50" s="511" t="s">
        <v>1517</v>
      </c>
      <c r="EH50" s="511" t="s">
        <v>1517</v>
      </c>
      <c r="EI50" s="511" t="s">
        <v>1517</v>
      </c>
      <c r="EJ50" s="511" t="s">
        <v>1517</v>
      </c>
      <c r="EK50" s="511" t="s">
        <v>1517</v>
      </c>
      <c r="EL50" s="511" t="s">
        <v>1517</v>
      </c>
      <c r="EM50" s="511" t="s">
        <v>1517</v>
      </c>
      <c r="EN50" s="511" t="s">
        <v>1517</v>
      </c>
      <c r="EO50" s="511" t="s">
        <v>1517</v>
      </c>
      <c r="EP50" s="511" t="s">
        <v>1517</v>
      </c>
      <c r="EQ50" s="511" t="s">
        <v>1517</v>
      </c>
      <c r="ER50" s="511" t="s">
        <v>1517</v>
      </c>
      <c r="ES50" s="511" t="s">
        <v>1517</v>
      </c>
      <c r="ET50" s="511" t="s">
        <v>1517</v>
      </c>
      <c r="EU50" s="511" t="s">
        <v>1517</v>
      </c>
      <c r="EV50" s="511" t="s">
        <v>1517</v>
      </c>
      <c r="EW50" s="228"/>
      <c r="EX50" s="228"/>
      <c r="EY50" s="228"/>
      <c r="EZ50" s="228"/>
      <c r="FA50" s="228"/>
      <c r="FB50" s="228"/>
      <c r="FC50" s="228"/>
      <c r="FM50" s="774"/>
      <c r="FN50" s="774"/>
      <c r="FO50" s="774"/>
      <c r="FP50" s="774"/>
      <c r="FQ50" s="774"/>
      <c r="FR50" s="774"/>
      <c r="FS50" s="774"/>
      <c r="FT50" s="774"/>
      <c r="FU50" s="774"/>
    </row>
    <row r="51" spans="3:177">
      <c r="C51" s="213" t="s">
        <v>986</v>
      </c>
      <c r="D51" s="200"/>
      <c r="E51" s="200"/>
      <c r="F51" s="200"/>
      <c r="G51" s="200"/>
      <c r="H51" s="200"/>
      <c r="I51" s="200"/>
      <c r="J51" s="200" t="e">
        <f>'Aerospace Propulsion Division'!#REF!</f>
        <v>#REF!</v>
      </c>
      <c r="K51" s="200" t="e">
        <f>'Aerospace Propulsion Division'!#REF!</f>
        <v>#REF!</v>
      </c>
      <c r="L51" s="200" t="e">
        <f>'Aerospace Propulsion Division'!#REF!</f>
        <v>#REF!</v>
      </c>
      <c r="M51" s="200" t="e">
        <f>'Aerospace Propulsion Division'!#REF!</f>
        <v>#REF!</v>
      </c>
      <c r="N51" s="200" t="e">
        <f>'Aerospace Propulsion Division'!#REF!</f>
        <v>#REF!</v>
      </c>
      <c r="O51" s="200" t="e">
        <f>'Aerospace Propulsion Division'!#REF!</f>
        <v>#REF!</v>
      </c>
      <c r="P51" s="200" t="e">
        <f>'Aerospace Propulsion Division'!#REF!</f>
        <v>#REF!</v>
      </c>
      <c r="Q51" s="200" t="e">
        <f>'Aerospace Propulsion Division'!#REF!</f>
        <v>#REF!</v>
      </c>
      <c r="R51" s="200" t="e">
        <f>'Aerospace Propulsion Division'!#REF!</f>
        <v>#REF!</v>
      </c>
      <c r="S51" s="200" t="e">
        <f>'Aerospace Propulsion Division'!#REF!</f>
        <v>#REF!</v>
      </c>
      <c r="T51" s="200" t="e">
        <f>'Aerospace Propulsion Division'!#REF!</f>
        <v>#REF!</v>
      </c>
      <c r="U51" s="200" t="e">
        <f>'Aerospace Propulsion Division'!#REF!</f>
        <v>#REF!</v>
      </c>
      <c r="V51" s="200" t="e">
        <f>'Aerospace Propulsion Division'!#REF!</f>
        <v>#REF!</v>
      </c>
      <c r="W51" s="200" t="e">
        <f>'Aerospace Propulsion Division'!#REF!</f>
        <v>#REF!</v>
      </c>
      <c r="X51" s="200" t="e">
        <f>'Aerospace Propulsion Division'!#REF!</f>
        <v>#REF!</v>
      </c>
      <c r="Y51" s="200" t="e">
        <f>'Aerospace Propulsion Division'!#REF!</f>
        <v>#REF!</v>
      </c>
      <c r="Z51" s="200" t="e">
        <f>'Aerospace Propulsion Division'!#REF!</f>
        <v>#REF!</v>
      </c>
      <c r="AA51" s="200" t="e">
        <f>'Aerospace Propulsion Division'!#REF!</f>
        <v>#REF!</v>
      </c>
      <c r="AB51" s="200" t="e">
        <f>'Aerospace Propulsion Division'!#REF!</f>
        <v>#REF!</v>
      </c>
      <c r="AC51" s="228" t="e">
        <f>'Aerospace Propulsion Division'!#REF!</f>
        <v>#REF!</v>
      </c>
      <c r="AD51" s="228" t="e">
        <f>'Aerospace Propulsion Division'!#REF!</f>
        <v>#REF!</v>
      </c>
      <c r="AE51" s="228" t="e">
        <f>'Aerospace Propulsion Division'!#REF!</f>
        <v>#REF!</v>
      </c>
      <c r="AF51" s="228" t="e">
        <f>'Aerospace Propulsion Division'!#REF!</f>
        <v>#REF!</v>
      </c>
      <c r="AG51" s="228" t="e">
        <f>'Aerospace Propulsion Division'!#REF!</f>
        <v>#REF!</v>
      </c>
      <c r="AH51" s="228" t="e">
        <f>'Aerospace Propulsion Division'!#REF!</f>
        <v>#REF!</v>
      </c>
      <c r="AO51" s="338"/>
      <c r="AP51" s="449"/>
      <c r="AR51" s="449"/>
      <c r="AS51" s="449"/>
      <c r="BA51" s="511" t="s">
        <v>1517</v>
      </c>
      <c r="BB51" s="511" t="s">
        <v>1517</v>
      </c>
      <c r="BC51" s="511" t="s">
        <v>1517</v>
      </c>
      <c r="BD51" s="511" t="s">
        <v>1517</v>
      </c>
      <c r="BE51" s="511" t="s">
        <v>1517</v>
      </c>
      <c r="BF51" s="511" t="s">
        <v>1517</v>
      </c>
      <c r="BG51" s="511" t="s">
        <v>1517</v>
      </c>
      <c r="BH51" s="511" t="s">
        <v>1517</v>
      </c>
      <c r="BI51" s="511" t="s">
        <v>1517</v>
      </c>
      <c r="BJ51" s="511" t="s">
        <v>1517</v>
      </c>
      <c r="BK51" s="511" t="s">
        <v>1517</v>
      </c>
      <c r="BL51" s="511" t="s">
        <v>1517</v>
      </c>
      <c r="BM51" s="511" t="s">
        <v>1517</v>
      </c>
      <c r="BN51" s="511" t="s">
        <v>1517</v>
      </c>
      <c r="BO51" s="511" t="s">
        <v>1517</v>
      </c>
      <c r="BP51" s="511" t="s">
        <v>1517</v>
      </c>
      <c r="BQ51" s="511" t="s">
        <v>1517</v>
      </c>
      <c r="BR51" s="511" t="s">
        <v>1517</v>
      </c>
      <c r="BS51" s="511" t="s">
        <v>1517</v>
      </c>
      <c r="BT51" s="511" t="s">
        <v>1517</v>
      </c>
      <c r="BU51" s="511" t="s">
        <v>1517</v>
      </c>
      <c r="BV51" s="511" t="s">
        <v>1517</v>
      </c>
      <c r="BW51" s="511" t="s">
        <v>1517</v>
      </c>
      <c r="BX51" s="511" t="s">
        <v>1517</v>
      </c>
      <c r="BY51" s="511" t="s">
        <v>1517</v>
      </c>
      <c r="BZ51" s="511" t="s">
        <v>1517</v>
      </c>
      <c r="CA51" s="511" t="s">
        <v>1517</v>
      </c>
      <c r="CB51" s="511" t="s">
        <v>1517</v>
      </c>
      <c r="CC51" s="514"/>
      <c r="CD51" s="514"/>
      <c r="CE51" s="514"/>
      <c r="CF51" s="514"/>
      <c r="CG51" s="510"/>
      <c r="CH51" s="510"/>
      <c r="CI51" s="510"/>
      <c r="CJ51" s="510"/>
      <c r="CK51" s="510"/>
      <c r="CL51" s="510"/>
      <c r="CM51" s="510"/>
      <c r="CN51" s="510"/>
      <c r="CO51" s="510"/>
      <c r="CP51" s="430"/>
      <c r="CQ51" s="430"/>
      <c r="CR51" s="511" t="s">
        <v>1517</v>
      </c>
      <c r="CS51" s="511" t="s">
        <v>1517</v>
      </c>
      <c r="CT51" s="511" t="s">
        <v>1517</v>
      </c>
      <c r="CU51" s="511" t="s">
        <v>1517</v>
      </c>
      <c r="CV51" s="511" t="s">
        <v>1517</v>
      </c>
      <c r="CW51" s="511" t="s">
        <v>1517</v>
      </c>
      <c r="CX51" s="511" t="s">
        <v>1517</v>
      </c>
      <c r="CY51" s="511" t="s">
        <v>1517</v>
      </c>
      <c r="CZ51" s="511" t="s">
        <v>1517</v>
      </c>
      <c r="DA51" s="511" t="s">
        <v>1517</v>
      </c>
      <c r="DB51" s="511" t="s">
        <v>1517</v>
      </c>
      <c r="DC51" s="511" t="s">
        <v>1517</v>
      </c>
      <c r="DD51" s="511" t="s">
        <v>1517</v>
      </c>
      <c r="DE51" s="511" t="s">
        <v>1517</v>
      </c>
      <c r="DF51" s="511" t="s">
        <v>1517</v>
      </c>
      <c r="DG51" s="511" t="s">
        <v>1517</v>
      </c>
      <c r="DH51" s="511" t="s">
        <v>1517</v>
      </c>
      <c r="DI51" s="511" t="s">
        <v>1517</v>
      </c>
      <c r="DJ51" s="511" t="s">
        <v>1517</v>
      </c>
      <c r="DK51" s="511" t="s">
        <v>1517</v>
      </c>
      <c r="DL51" s="511" t="s">
        <v>1517</v>
      </c>
      <c r="DM51" s="511" t="s">
        <v>1517</v>
      </c>
      <c r="DN51" s="511" t="s">
        <v>1517</v>
      </c>
      <c r="DO51" s="511" t="s">
        <v>1517</v>
      </c>
      <c r="DP51" s="511" t="s">
        <v>1517</v>
      </c>
      <c r="DQ51" s="511" t="s">
        <v>1517</v>
      </c>
      <c r="DR51" s="511" t="s">
        <v>1517</v>
      </c>
      <c r="DS51" s="511" t="s">
        <v>1517</v>
      </c>
      <c r="DT51" s="511" t="s">
        <v>1517</v>
      </c>
      <c r="DU51" s="511" t="s">
        <v>1517</v>
      </c>
      <c r="DV51" s="511" t="s">
        <v>1517</v>
      </c>
      <c r="DW51" s="511" t="s">
        <v>1517</v>
      </c>
      <c r="DX51" s="511" t="s">
        <v>1517</v>
      </c>
      <c r="DY51" s="511" t="s">
        <v>1517</v>
      </c>
      <c r="DZ51" s="511" t="s">
        <v>1517</v>
      </c>
      <c r="EA51" s="511" t="s">
        <v>1517</v>
      </c>
      <c r="EB51" s="511" t="s">
        <v>1517</v>
      </c>
      <c r="EC51" s="511" t="s">
        <v>1517</v>
      </c>
      <c r="ED51" s="511" t="s">
        <v>1517</v>
      </c>
      <c r="EE51" s="511" t="s">
        <v>1517</v>
      </c>
      <c r="EF51" s="511" t="s">
        <v>1517</v>
      </c>
      <c r="EG51" s="511" t="s">
        <v>1517</v>
      </c>
      <c r="EH51" s="511" t="s">
        <v>1517</v>
      </c>
      <c r="EI51" s="511" t="s">
        <v>1517</v>
      </c>
      <c r="EJ51" s="511" t="s">
        <v>1517</v>
      </c>
      <c r="EK51" s="511" t="s">
        <v>1517</v>
      </c>
      <c r="EL51" s="511" t="s">
        <v>1517</v>
      </c>
      <c r="EM51" s="511" t="s">
        <v>1517</v>
      </c>
      <c r="EN51" s="511" t="s">
        <v>1517</v>
      </c>
      <c r="EO51" s="511" t="s">
        <v>1517</v>
      </c>
      <c r="EP51" s="511" t="s">
        <v>1517</v>
      </c>
      <c r="EQ51" s="511" t="s">
        <v>1517</v>
      </c>
      <c r="ER51" s="511" t="s">
        <v>1517</v>
      </c>
      <c r="ES51" s="511" t="s">
        <v>1517</v>
      </c>
      <c r="ET51" s="511" t="s">
        <v>1517</v>
      </c>
      <c r="EU51" s="511" t="s">
        <v>1517</v>
      </c>
      <c r="EV51" s="511" t="s">
        <v>1517</v>
      </c>
      <c r="EW51" s="228"/>
      <c r="EX51" s="228"/>
      <c r="EY51" s="228"/>
      <c r="EZ51" s="228"/>
      <c r="FA51" s="228"/>
      <c r="FB51" s="228"/>
      <c r="FC51" s="228"/>
      <c r="FM51" s="774"/>
      <c r="FN51" s="774"/>
      <c r="FO51" s="774"/>
      <c r="FP51" s="774"/>
      <c r="FQ51" s="774"/>
      <c r="FR51" s="774"/>
      <c r="FS51" s="774"/>
      <c r="FT51" s="774"/>
      <c r="FU51" s="774"/>
    </row>
    <row r="52" spans="3:177">
      <c r="C52" s="213" t="s">
        <v>987</v>
      </c>
      <c r="D52" s="200"/>
      <c r="E52" s="200"/>
      <c r="F52" s="200"/>
      <c r="G52" s="200"/>
      <c r="H52" s="200"/>
      <c r="I52" s="200"/>
      <c r="J52" s="200" t="e">
        <f>'Aerospace Propulsion Division'!#REF!</f>
        <v>#REF!</v>
      </c>
      <c r="K52" s="200" t="e">
        <f>'Aerospace Propulsion Division'!#REF!</f>
        <v>#REF!</v>
      </c>
      <c r="L52" s="200" t="e">
        <f>'Aerospace Propulsion Division'!#REF!</f>
        <v>#REF!</v>
      </c>
      <c r="M52" s="200" t="e">
        <f>'Aerospace Propulsion Division'!#REF!</f>
        <v>#REF!</v>
      </c>
      <c r="N52" s="200" t="e">
        <f>'Aerospace Propulsion Division'!#REF!</f>
        <v>#REF!</v>
      </c>
      <c r="O52" s="200" t="e">
        <f>'Aerospace Propulsion Division'!#REF!</f>
        <v>#REF!</v>
      </c>
      <c r="P52" s="200" t="e">
        <f>'Aerospace Propulsion Division'!#REF!</f>
        <v>#REF!</v>
      </c>
      <c r="Q52" s="200" t="e">
        <f>'Aerospace Propulsion Division'!#REF!</f>
        <v>#REF!</v>
      </c>
      <c r="R52" s="200" t="e">
        <f>'Aerospace Propulsion Division'!#REF!</f>
        <v>#REF!</v>
      </c>
      <c r="S52" s="200" t="e">
        <f>'Aerospace Propulsion Division'!#REF!</f>
        <v>#REF!</v>
      </c>
      <c r="T52" s="200" t="e">
        <f>'Aerospace Propulsion Division'!#REF!</f>
        <v>#REF!</v>
      </c>
      <c r="U52" s="200" t="e">
        <f>'Aerospace Propulsion Division'!#REF!</f>
        <v>#REF!</v>
      </c>
      <c r="V52" s="200" t="e">
        <f>'Aerospace Propulsion Division'!#REF!</f>
        <v>#REF!</v>
      </c>
      <c r="W52" s="200" t="e">
        <f>'Aerospace Propulsion Division'!#REF!</f>
        <v>#REF!</v>
      </c>
      <c r="X52" s="200" t="e">
        <f>'Aerospace Propulsion Division'!#REF!</f>
        <v>#REF!</v>
      </c>
      <c r="Y52" s="200" t="e">
        <f>'Aerospace Propulsion Division'!#REF!</f>
        <v>#REF!</v>
      </c>
      <c r="Z52" s="200" t="e">
        <f>'Aerospace Propulsion Division'!#REF!</f>
        <v>#REF!</v>
      </c>
      <c r="AA52" s="200" t="e">
        <f>'Aerospace Propulsion Division'!#REF!</f>
        <v>#REF!</v>
      </c>
      <c r="AB52" s="200" t="e">
        <f>'Aerospace Propulsion Division'!#REF!</f>
        <v>#REF!</v>
      </c>
      <c r="AC52" s="228" t="e">
        <f>'Aerospace Propulsion Division'!#REF!</f>
        <v>#REF!</v>
      </c>
      <c r="AD52" s="228" t="e">
        <f>'Aerospace Propulsion Division'!#REF!</f>
        <v>#REF!</v>
      </c>
      <c r="AE52" s="228" t="e">
        <f>'Aerospace Propulsion Division'!#REF!</f>
        <v>#REF!</v>
      </c>
      <c r="AF52" s="228" t="e">
        <f>'Aerospace Propulsion Division'!#REF!</f>
        <v>#REF!</v>
      </c>
      <c r="AG52" s="228" t="e">
        <f>'Aerospace Propulsion Division'!#REF!</f>
        <v>#REF!</v>
      </c>
      <c r="AH52" s="228" t="e">
        <f>'Aerospace Propulsion Division'!#REF!</f>
        <v>#REF!</v>
      </c>
      <c r="AO52" s="338"/>
      <c r="AP52" s="449"/>
      <c r="AR52" s="449"/>
      <c r="AS52" s="449"/>
      <c r="BA52" s="511" t="s">
        <v>1517</v>
      </c>
      <c r="BB52" s="511" t="s">
        <v>1517</v>
      </c>
      <c r="BC52" s="511" t="s">
        <v>1517</v>
      </c>
      <c r="BD52" s="511" t="s">
        <v>1517</v>
      </c>
      <c r="BE52" s="511" t="s">
        <v>1517</v>
      </c>
      <c r="BF52" s="511" t="s">
        <v>1517</v>
      </c>
      <c r="BG52" s="511" t="s">
        <v>1517</v>
      </c>
      <c r="BH52" s="511" t="s">
        <v>1517</v>
      </c>
      <c r="BI52" s="511" t="s">
        <v>1517</v>
      </c>
      <c r="BJ52" s="511" t="s">
        <v>1517</v>
      </c>
      <c r="BK52" s="511" t="s">
        <v>1517</v>
      </c>
      <c r="BL52" s="511" t="s">
        <v>1517</v>
      </c>
      <c r="BM52" s="511" t="s">
        <v>1517</v>
      </c>
      <c r="BN52" s="511" t="s">
        <v>1517</v>
      </c>
      <c r="BO52" s="511" t="s">
        <v>1517</v>
      </c>
      <c r="BP52" s="511" t="s">
        <v>1517</v>
      </c>
      <c r="BQ52" s="511" t="s">
        <v>1517</v>
      </c>
      <c r="BR52" s="511" t="s">
        <v>1517</v>
      </c>
      <c r="BS52" s="511" t="s">
        <v>1517</v>
      </c>
      <c r="BT52" s="511" t="s">
        <v>1517</v>
      </c>
      <c r="BU52" s="511" t="s">
        <v>1517</v>
      </c>
      <c r="BV52" s="511" t="s">
        <v>1517</v>
      </c>
      <c r="BW52" s="511" t="s">
        <v>1517</v>
      </c>
      <c r="BX52" s="511" t="s">
        <v>1517</v>
      </c>
      <c r="BY52" s="511" t="s">
        <v>1517</v>
      </c>
      <c r="BZ52" s="511" t="s">
        <v>1517</v>
      </c>
      <c r="CA52" s="511" t="s">
        <v>1517</v>
      </c>
      <c r="CB52" s="511" t="s">
        <v>1517</v>
      </c>
      <c r="CC52" s="514"/>
      <c r="CD52" s="514"/>
      <c r="CE52" s="514"/>
      <c r="CF52" s="514"/>
      <c r="CG52" s="510"/>
      <c r="CH52" s="510"/>
      <c r="CI52" s="510"/>
      <c r="CJ52" s="510"/>
      <c r="CK52" s="510"/>
      <c r="CL52" s="510"/>
      <c r="CM52" s="510"/>
      <c r="CN52" s="510"/>
      <c r="CO52" s="510"/>
      <c r="CP52" s="430"/>
      <c r="CQ52" s="430"/>
      <c r="CR52" s="511" t="s">
        <v>1517</v>
      </c>
      <c r="CS52" s="511" t="s">
        <v>1517</v>
      </c>
      <c r="CT52" s="511" t="s">
        <v>1517</v>
      </c>
      <c r="CU52" s="511" t="s">
        <v>1517</v>
      </c>
      <c r="CV52" s="511" t="s">
        <v>1517</v>
      </c>
      <c r="CW52" s="511" t="s">
        <v>1517</v>
      </c>
      <c r="CX52" s="511" t="s">
        <v>1517</v>
      </c>
      <c r="CY52" s="511" t="s">
        <v>1517</v>
      </c>
      <c r="CZ52" s="511" t="s">
        <v>1517</v>
      </c>
      <c r="DA52" s="511" t="s">
        <v>1517</v>
      </c>
      <c r="DB52" s="511" t="s">
        <v>1517</v>
      </c>
      <c r="DC52" s="511" t="s">
        <v>1517</v>
      </c>
      <c r="DD52" s="511" t="s">
        <v>1517</v>
      </c>
      <c r="DE52" s="511" t="s">
        <v>1517</v>
      </c>
      <c r="DF52" s="511" t="s">
        <v>1517</v>
      </c>
      <c r="DG52" s="511" t="s">
        <v>1517</v>
      </c>
      <c r="DH52" s="511" t="s">
        <v>1517</v>
      </c>
      <c r="DI52" s="511" t="s">
        <v>1517</v>
      </c>
      <c r="DJ52" s="511" t="s">
        <v>1517</v>
      </c>
      <c r="DK52" s="511" t="s">
        <v>1517</v>
      </c>
      <c r="DL52" s="511" t="s">
        <v>1517</v>
      </c>
      <c r="DM52" s="511" t="s">
        <v>1517</v>
      </c>
      <c r="DN52" s="511" t="s">
        <v>1517</v>
      </c>
      <c r="DO52" s="511" t="s">
        <v>1517</v>
      </c>
      <c r="DP52" s="511" t="s">
        <v>1517</v>
      </c>
      <c r="DQ52" s="511" t="s">
        <v>1517</v>
      </c>
      <c r="DR52" s="511" t="s">
        <v>1517</v>
      </c>
      <c r="DS52" s="511" t="s">
        <v>1517</v>
      </c>
      <c r="DT52" s="511" t="s">
        <v>1517</v>
      </c>
      <c r="DU52" s="511" t="s">
        <v>1517</v>
      </c>
      <c r="DV52" s="511" t="s">
        <v>1517</v>
      </c>
      <c r="DW52" s="511" t="s">
        <v>1517</v>
      </c>
      <c r="DX52" s="511" t="s">
        <v>1517</v>
      </c>
      <c r="DY52" s="511" t="s">
        <v>1517</v>
      </c>
      <c r="DZ52" s="511" t="s">
        <v>1517</v>
      </c>
      <c r="EA52" s="511" t="s">
        <v>1517</v>
      </c>
      <c r="EB52" s="511" t="s">
        <v>1517</v>
      </c>
      <c r="EC52" s="511" t="s">
        <v>1517</v>
      </c>
      <c r="ED52" s="511" t="s">
        <v>1517</v>
      </c>
      <c r="EE52" s="511" t="s">
        <v>1517</v>
      </c>
      <c r="EF52" s="511" t="s">
        <v>1517</v>
      </c>
      <c r="EG52" s="511" t="s">
        <v>1517</v>
      </c>
      <c r="EH52" s="511" t="s">
        <v>1517</v>
      </c>
      <c r="EI52" s="511" t="s">
        <v>1517</v>
      </c>
      <c r="EJ52" s="511" t="s">
        <v>1517</v>
      </c>
      <c r="EK52" s="511" t="s">
        <v>1517</v>
      </c>
      <c r="EL52" s="511" t="s">
        <v>1517</v>
      </c>
      <c r="EM52" s="511" t="s">
        <v>1517</v>
      </c>
      <c r="EN52" s="511" t="s">
        <v>1517</v>
      </c>
      <c r="EO52" s="511" t="s">
        <v>1517</v>
      </c>
      <c r="EP52" s="511" t="s">
        <v>1517</v>
      </c>
      <c r="EQ52" s="511" t="s">
        <v>1517</v>
      </c>
      <c r="ER52" s="511" t="s">
        <v>1517</v>
      </c>
      <c r="ES52" s="511" t="s">
        <v>1517</v>
      </c>
      <c r="ET52" s="511" t="s">
        <v>1517</v>
      </c>
      <c r="EU52" s="511" t="s">
        <v>1517</v>
      </c>
      <c r="EV52" s="511" t="s">
        <v>1517</v>
      </c>
      <c r="EW52" s="228"/>
      <c r="EX52" s="228"/>
      <c r="EY52" s="228"/>
      <c r="EZ52" s="228"/>
      <c r="FA52" s="228"/>
      <c r="FB52" s="228"/>
      <c r="FC52" s="228"/>
      <c r="FM52" s="774"/>
      <c r="FN52" s="774"/>
      <c r="FO52" s="774"/>
      <c r="FP52" s="774"/>
      <c r="FQ52" s="774"/>
      <c r="FR52" s="774"/>
      <c r="FS52" s="774"/>
      <c r="FT52" s="774"/>
      <c r="FU52" s="774"/>
    </row>
    <row r="53" spans="3:177">
      <c r="C53" s="213" t="s">
        <v>1011</v>
      </c>
      <c r="D53" s="200"/>
      <c r="E53" s="200"/>
      <c r="F53" s="200"/>
      <c r="G53" s="200"/>
      <c r="H53" s="200"/>
      <c r="I53" s="200"/>
      <c r="J53" s="200">
        <f>'Aerospace Propulsion Division'!H31</f>
        <v>0</v>
      </c>
      <c r="K53" s="200">
        <f>'Aerospace Propulsion Division'!I31</f>
        <v>0</v>
      </c>
      <c r="L53" s="200">
        <f>'Aerospace Propulsion Division'!J31</f>
        <v>0</v>
      </c>
      <c r="M53" s="200">
        <f>'Aerospace Propulsion Division'!K31</f>
        <v>0</v>
      </c>
      <c r="N53" s="200">
        <f>'Aerospace Propulsion Division'!L31</f>
        <v>0</v>
      </c>
      <c r="O53" s="200">
        <f>'Aerospace Propulsion Division'!M31</f>
        <v>0</v>
      </c>
      <c r="P53" s="200">
        <f>'Aerospace Propulsion Division'!N31</f>
        <v>0</v>
      </c>
      <c r="Q53" s="200">
        <f>'Aerospace Propulsion Division'!O31</f>
        <v>0</v>
      </c>
      <c r="R53" s="200">
        <f>'Aerospace Propulsion Division'!P31</f>
        <v>0</v>
      </c>
      <c r="S53" s="200">
        <f>'Aerospace Propulsion Division'!Q31</f>
        <v>0</v>
      </c>
      <c r="T53" s="200">
        <f>'Aerospace Propulsion Division'!R31</f>
        <v>0</v>
      </c>
      <c r="U53" s="200">
        <f>'Aerospace Propulsion Division'!S31</f>
        <v>0</v>
      </c>
      <c r="V53" s="200">
        <f>'Aerospace Propulsion Division'!T31</f>
        <v>23</v>
      </c>
      <c r="W53" s="200">
        <f>'Aerospace Propulsion Division'!U31</f>
        <v>62</v>
      </c>
      <c r="X53" s="200">
        <f>'Aerospace Propulsion Division'!V31</f>
        <v>33</v>
      </c>
      <c r="Y53" s="200">
        <f>'Aerospace Propulsion Division'!W31</f>
        <v>64</v>
      </c>
      <c r="Z53" s="200">
        <f>'Aerospace Propulsion Division'!X31</f>
        <v>51</v>
      </c>
      <c r="AA53" s="200">
        <f>'Aerospace Propulsion Division'!Y31</f>
        <v>42</v>
      </c>
      <c r="AB53" s="200">
        <f>'Aerospace Propulsion Division'!Z31</f>
        <v>40</v>
      </c>
      <c r="AC53" s="228">
        <f>'Aerospace Propulsion Division'!AA31</f>
        <v>45</v>
      </c>
      <c r="AD53" s="228">
        <f>'Aerospace Propulsion Division'!AB31</f>
        <v>50</v>
      </c>
      <c r="AE53" s="228">
        <f>'Aerospace Propulsion Division'!AC31</f>
        <v>55</v>
      </c>
      <c r="AF53" s="228">
        <f>'Aerospace Propulsion Division'!AD31</f>
        <v>60</v>
      </c>
      <c r="AG53" s="228">
        <f>'Aerospace Propulsion Division'!AE31</f>
        <v>65</v>
      </c>
      <c r="AH53" s="228">
        <f>'Aerospace Propulsion Division'!AF31</f>
        <v>70</v>
      </c>
      <c r="AO53" s="338"/>
      <c r="AP53" s="449"/>
      <c r="AR53" s="449"/>
      <c r="AS53" s="449"/>
      <c r="BA53" s="511" t="s">
        <v>1517</v>
      </c>
      <c r="BB53" s="511" t="s">
        <v>1517</v>
      </c>
      <c r="BC53" s="511" t="s">
        <v>1517</v>
      </c>
      <c r="BD53" s="511" t="s">
        <v>1517</v>
      </c>
      <c r="BE53" s="511" t="s">
        <v>1517</v>
      </c>
      <c r="BF53" s="511" t="s">
        <v>1517</v>
      </c>
      <c r="BG53" s="511" t="s">
        <v>1517</v>
      </c>
      <c r="BH53" s="511" t="s">
        <v>1517</v>
      </c>
      <c r="BI53" s="511" t="s">
        <v>1517</v>
      </c>
      <c r="BJ53" s="511" t="s">
        <v>1517</v>
      </c>
      <c r="BK53" s="511" t="s">
        <v>1517</v>
      </c>
      <c r="BL53" s="511" t="s">
        <v>1517</v>
      </c>
      <c r="BM53" s="511" t="s">
        <v>1517</v>
      </c>
      <c r="BN53" s="511" t="s">
        <v>1517</v>
      </c>
      <c r="BO53" s="511" t="s">
        <v>1517</v>
      </c>
      <c r="BP53" s="511" t="s">
        <v>1517</v>
      </c>
      <c r="BQ53" s="511" t="s">
        <v>1517</v>
      </c>
      <c r="BR53" s="511" t="s">
        <v>1517</v>
      </c>
      <c r="BS53" s="511" t="s">
        <v>1517</v>
      </c>
      <c r="BT53" s="511" t="s">
        <v>1517</v>
      </c>
      <c r="BU53" s="511" t="s">
        <v>1517</v>
      </c>
      <c r="BV53" s="511" t="s">
        <v>1517</v>
      </c>
      <c r="BW53" s="511" t="s">
        <v>1517</v>
      </c>
      <c r="BX53" s="511" t="s">
        <v>1517</v>
      </c>
      <c r="BY53" s="511" t="s">
        <v>1517</v>
      </c>
      <c r="BZ53" s="511" t="s">
        <v>1517</v>
      </c>
      <c r="CA53" s="511" t="s">
        <v>1517</v>
      </c>
      <c r="CB53" s="511" t="s">
        <v>1517</v>
      </c>
      <c r="CC53" s="514"/>
      <c r="CD53" s="514"/>
      <c r="CE53" s="514"/>
      <c r="CF53" s="514"/>
      <c r="CG53" s="510"/>
      <c r="CH53" s="510"/>
      <c r="CI53" s="510"/>
      <c r="CJ53" s="510"/>
      <c r="CK53" s="510"/>
      <c r="CL53" s="510"/>
      <c r="CM53" s="510"/>
      <c r="CN53" s="510"/>
      <c r="CO53" s="510"/>
      <c r="CP53" s="430"/>
      <c r="CQ53" s="430"/>
      <c r="CR53" s="511" t="s">
        <v>1517</v>
      </c>
      <c r="CS53" s="511" t="s">
        <v>1517</v>
      </c>
      <c r="CT53" s="511" t="s">
        <v>1517</v>
      </c>
      <c r="CU53" s="511" t="s">
        <v>1517</v>
      </c>
      <c r="CV53" s="511" t="s">
        <v>1517</v>
      </c>
      <c r="CW53" s="511" t="s">
        <v>1517</v>
      </c>
      <c r="CX53" s="511" t="s">
        <v>1517</v>
      </c>
      <c r="CY53" s="511" t="s">
        <v>1517</v>
      </c>
      <c r="CZ53" s="511" t="s">
        <v>1517</v>
      </c>
      <c r="DA53" s="511" t="s">
        <v>1517</v>
      </c>
      <c r="DB53" s="511" t="s">
        <v>1517</v>
      </c>
      <c r="DC53" s="511" t="s">
        <v>1517</v>
      </c>
      <c r="DD53" s="511" t="s">
        <v>1517</v>
      </c>
      <c r="DE53" s="511" t="s">
        <v>1517</v>
      </c>
      <c r="DF53" s="511" t="s">
        <v>1517</v>
      </c>
      <c r="DG53" s="511" t="s">
        <v>1517</v>
      </c>
      <c r="DH53" s="511" t="s">
        <v>1517</v>
      </c>
      <c r="DI53" s="511" t="s">
        <v>1517</v>
      </c>
      <c r="DJ53" s="511" t="s">
        <v>1517</v>
      </c>
      <c r="DK53" s="511" t="s">
        <v>1517</v>
      </c>
      <c r="DL53" s="511" t="s">
        <v>1517</v>
      </c>
      <c r="DM53" s="511" t="s">
        <v>1517</v>
      </c>
      <c r="DN53" s="511" t="s">
        <v>1517</v>
      </c>
      <c r="DO53" s="511" t="s">
        <v>1517</v>
      </c>
      <c r="DP53" s="511" t="s">
        <v>1517</v>
      </c>
      <c r="DQ53" s="511" t="s">
        <v>1517</v>
      </c>
      <c r="DR53" s="511" t="s">
        <v>1517</v>
      </c>
      <c r="DS53" s="511" t="s">
        <v>1517</v>
      </c>
      <c r="DT53" s="511" t="s">
        <v>1517</v>
      </c>
      <c r="DU53" s="511" t="s">
        <v>1517</v>
      </c>
      <c r="DV53" s="511" t="s">
        <v>1517</v>
      </c>
      <c r="DW53" s="511" t="s">
        <v>1517</v>
      </c>
      <c r="DX53" s="511" t="s">
        <v>1517</v>
      </c>
      <c r="DY53" s="511" t="s">
        <v>1517</v>
      </c>
      <c r="DZ53" s="511" t="s">
        <v>1517</v>
      </c>
      <c r="EA53" s="511" t="s">
        <v>1517</v>
      </c>
      <c r="EB53" s="511" t="s">
        <v>1517</v>
      </c>
      <c r="EC53" s="511" t="s">
        <v>1517</v>
      </c>
      <c r="ED53" s="511" t="s">
        <v>1517</v>
      </c>
      <c r="EE53" s="511" t="s">
        <v>1517</v>
      </c>
      <c r="EF53" s="511" t="s">
        <v>1517</v>
      </c>
      <c r="EG53" s="511" t="s">
        <v>1517</v>
      </c>
      <c r="EH53" s="511" t="s">
        <v>1517</v>
      </c>
      <c r="EI53" s="511" t="s">
        <v>1517</v>
      </c>
      <c r="EJ53" s="511" t="s">
        <v>1517</v>
      </c>
      <c r="EK53" s="511" t="s">
        <v>1517</v>
      </c>
      <c r="EL53" s="511" t="s">
        <v>1517</v>
      </c>
      <c r="EM53" s="511" t="s">
        <v>1517</v>
      </c>
      <c r="EN53" s="511" t="s">
        <v>1517</v>
      </c>
      <c r="EO53" s="511" t="s">
        <v>1517</v>
      </c>
      <c r="EP53" s="511" t="s">
        <v>1517</v>
      </c>
      <c r="EQ53" s="511" t="s">
        <v>1517</v>
      </c>
      <c r="ER53" s="511" t="s">
        <v>1517</v>
      </c>
      <c r="ES53" s="511" t="s">
        <v>1517</v>
      </c>
      <c r="ET53" s="511" t="s">
        <v>1517</v>
      </c>
      <c r="EU53" s="511" t="s">
        <v>1517</v>
      </c>
      <c r="EV53" s="511" t="s">
        <v>1517</v>
      </c>
      <c r="EW53" s="228"/>
      <c r="EX53" s="228"/>
      <c r="EY53" s="228"/>
      <c r="EZ53" s="228"/>
      <c r="FA53" s="228"/>
      <c r="FB53" s="228"/>
      <c r="FC53" s="228"/>
      <c r="FM53" s="774"/>
      <c r="FN53" s="774"/>
      <c r="FO53" s="774"/>
      <c r="FP53" s="774"/>
      <c r="FQ53" s="774"/>
      <c r="FR53" s="774"/>
      <c r="FS53" s="774"/>
      <c r="FT53" s="774"/>
      <c r="FU53" s="774"/>
    </row>
    <row r="54" spans="3:177">
      <c r="C54" s="213" t="s">
        <v>1323</v>
      </c>
      <c r="D54" s="200"/>
      <c r="E54" s="200"/>
      <c r="F54" s="200"/>
      <c r="G54" s="200"/>
      <c r="H54" s="200"/>
      <c r="I54" s="200"/>
      <c r="J54" s="200" t="e">
        <f>'Aerospace Propulsion Division'!#REF!</f>
        <v>#REF!</v>
      </c>
      <c r="K54" s="200" t="e">
        <f>'Aerospace Propulsion Division'!#REF!</f>
        <v>#REF!</v>
      </c>
      <c r="L54" s="200" t="e">
        <f>'Aerospace Propulsion Division'!#REF!</f>
        <v>#REF!</v>
      </c>
      <c r="M54" s="200" t="e">
        <f>'Aerospace Propulsion Division'!#REF!</f>
        <v>#REF!</v>
      </c>
      <c r="N54" s="200" t="e">
        <f>'Aerospace Propulsion Division'!#REF!</f>
        <v>#REF!</v>
      </c>
      <c r="O54" s="200" t="e">
        <f>'Aerospace Propulsion Division'!#REF!</f>
        <v>#REF!</v>
      </c>
      <c r="P54" s="200" t="e">
        <f>'Aerospace Propulsion Division'!#REF!</f>
        <v>#REF!</v>
      </c>
      <c r="Q54" s="200" t="e">
        <f>'Aerospace Propulsion Division'!#REF!</f>
        <v>#REF!</v>
      </c>
      <c r="R54" s="200" t="e">
        <f>'Aerospace Propulsion Division'!#REF!</f>
        <v>#REF!</v>
      </c>
      <c r="S54" s="200" t="e">
        <f>'Aerospace Propulsion Division'!#REF!</f>
        <v>#REF!</v>
      </c>
      <c r="T54" s="200" t="e">
        <f>'Aerospace Propulsion Division'!#REF!</f>
        <v>#REF!</v>
      </c>
      <c r="U54" s="200" t="e">
        <f>'Aerospace Propulsion Division'!#REF!</f>
        <v>#REF!</v>
      </c>
      <c r="V54" s="200" t="e">
        <f>'Aerospace Propulsion Division'!#REF!</f>
        <v>#REF!</v>
      </c>
      <c r="W54" s="200" t="e">
        <f>'Aerospace Propulsion Division'!#REF!</f>
        <v>#REF!</v>
      </c>
      <c r="X54" s="200" t="e">
        <f>'Aerospace Propulsion Division'!#REF!</f>
        <v>#REF!</v>
      </c>
      <c r="Y54" s="200" t="e">
        <f>'Aerospace Propulsion Division'!#REF!</f>
        <v>#REF!</v>
      </c>
      <c r="Z54" s="200" t="e">
        <f>'Aerospace Propulsion Division'!#REF!</f>
        <v>#REF!</v>
      </c>
      <c r="AA54" s="200" t="e">
        <f>'Aerospace Propulsion Division'!#REF!</f>
        <v>#REF!</v>
      </c>
      <c r="AB54" s="200" t="e">
        <f>'Aerospace Propulsion Division'!#REF!</f>
        <v>#REF!</v>
      </c>
      <c r="AC54" s="228" t="e">
        <f>'Aerospace Propulsion Division'!#REF!</f>
        <v>#REF!</v>
      </c>
      <c r="AD54" s="228" t="e">
        <f>'Aerospace Propulsion Division'!#REF!</f>
        <v>#REF!</v>
      </c>
      <c r="AE54" s="228" t="e">
        <f>'Aerospace Propulsion Division'!#REF!</f>
        <v>#REF!</v>
      </c>
      <c r="AF54" s="228" t="e">
        <f>'Aerospace Propulsion Division'!#REF!</f>
        <v>#REF!</v>
      </c>
      <c r="AG54" s="228" t="e">
        <f>'Aerospace Propulsion Division'!#REF!</f>
        <v>#REF!</v>
      </c>
      <c r="AH54" s="228" t="e">
        <f>'Aerospace Propulsion Division'!#REF!</f>
        <v>#REF!</v>
      </c>
      <c r="AO54" s="338"/>
      <c r="AP54" s="449"/>
      <c r="AR54" s="449"/>
      <c r="AS54" s="449"/>
      <c r="BA54" s="511" t="s">
        <v>1517</v>
      </c>
      <c r="BB54" s="511" t="s">
        <v>1517</v>
      </c>
      <c r="BC54" s="511" t="s">
        <v>1517</v>
      </c>
      <c r="BD54" s="511" t="s">
        <v>1517</v>
      </c>
      <c r="BE54" s="511" t="s">
        <v>1517</v>
      </c>
      <c r="BF54" s="511" t="s">
        <v>1517</v>
      </c>
      <c r="BG54" s="511" t="s">
        <v>1517</v>
      </c>
      <c r="BH54" s="511" t="s">
        <v>1517</v>
      </c>
      <c r="BI54" s="511" t="s">
        <v>1517</v>
      </c>
      <c r="BJ54" s="511" t="s">
        <v>1517</v>
      </c>
      <c r="BK54" s="511" t="s">
        <v>1517</v>
      </c>
      <c r="BL54" s="511" t="s">
        <v>1517</v>
      </c>
      <c r="BM54" s="511" t="s">
        <v>1517</v>
      </c>
      <c r="BN54" s="511" t="s">
        <v>1517</v>
      </c>
      <c r="BO54" s="511" t="s">
        <v>1517</v>
      </c>
      <c r="BP54" s="511" t="s">
        <v>1517</v>
      </c>
      <c r="BQ54" s="511" t="s">
        <v>1517</v>
      </c>
      <c r="BR54" s="511" t="s">
        <v>1517</v>
      </c>
      <c r="BS54" s="511" t="s">
        <v>1517</v>
      </c>
      <c r="BT54" s="511" t="s">
        <v>1517</v>
      </c>
      <c r="BU54" s="511" t="s">
        <v>1517</v>
      </c>
      <c r="BV54" s="511" t="s">
        <v>1517</v>
      </c>
      <c r="BW54" s="511" t="s">
        <v>1517</v>
      </c>
      <c r="BX54" s="511" t="s">
        <v>1517</v>
      </c>
      <c r="BY54" s="511" t="s">
        <v>1517</v>
      </c>
      <c r="BZ54" s="511" t="s">
        <v>1517</v>
      </c>
      <c r="CA54" s="511" t="s">
        <v>1517</v>
      </c>
      <c r="CB54" s="511" t="s">
        <v>1517</v>
      </c>
      <c r="CC54" s="514"/>
      <c r="CD54" s="514"/>
      <c r="CE54" s="514"/>
      <c r="CF54" s="514"/>
      <c r="CG54" s="510"/>
      <c r="CH54" s="510"/>
      <c r="CI54" s="510"/>
      <c r="CJ54" s="510"/>
      <c r="CK54" s="510"/>
      <c r="CL54" s="510"/>
      <c r="CM54" s="510"/>
      <c r="CN54" s="510"/>
      <c r="CO54" s="510"/>
      <c r="CP54" s="430"/>
      <c r="CQ54" s="430"/>
      <c r="CR54" s="511" t="s">
        <v>1517</v>
      </c>
      <c r="CS54" s="511" t="s">
        <v>1517</v>
      </c>
      <c r="CT54" s="511" t="s">
        <v>1517</v>
      </c>
      <c r="CU54" s="511" t="s">
        <v>1517</v>
      </c>
      <c r="CV54" s="511" t="s">
        <v>1517</v>
      </c>
      <c r="CW54" s="511" t="s">
        <v>1517</v>
      </c>
      <c r="CX54" s="511" t="s">
        <v>1517</v>
      </c>
      <c r="CY54" s="511" t="s">
        <v>1517</v>
      </c>
      <c r="CZ54" s="511" t="s">
        <v>1517</v>
      </c>
      <c r="DA54" s="511" t="s">
        <v>1517</v>
      </c>
      <c r="DB54" s="511" t="s">
        <v>1517</v>
      </c>
      <c r="DC54" s="511" t="s">
        <v>1517</v>
      </c>
      <c r="DD54" s="511" t="s">
        <v>1517</v>
      </c>
      <c r="DE54" s="511" t="s">
        <v>1517</v>
      </c>
      <c r="DF54" s="511" t="s">
        <v>1517</v>
      </c>
      <c r="DG54" s="511" t="s">
        <v>1517</v>
      </c>
      <c r="DH54" s="511" t="s">
        <v>1517</v>
      </c>
      <c r="DI54" s="511" t="s">
        <v>1517</v>
      </c>
      <c r="DJ54" s="511" t="s">
        <v>1517</v>
      </c>
      <c r="DK54" s="511" t="s">
        <v>1517</v>
      </c>
      <c r="DL54" s="511" t="s">
        <v>1517</v>
      </c>
      <c r="DM54" s="511" t="s">
        <v>1517</v>
      </c>
      <c r="DN54" s="511" t="s">
        <v>1517</v>
      </c>
      <c r="DO54" s="511" t="s">
        <v>1517</v>
      </c>
      <c r="DP54" s="511" t="s">
        <v>1517</v>
      </c>
      <c r="DQ54" s="511" t="s">
        <v>1517</v>
      </c>
      <c r="DR54" s="511" t="s">
        <v>1517</v>
      </c>
      <c r="DS54" s="511" t="s">
        <v>1517</v>
      </c>
      <c r="DT54" s="511" t="s">
        <v>1517</v>
      </c>
      <c r="DU54" s="511" t="s">
        <v>1517</v>
      </c>
      <c r="DV54" s="511" t="s">
        <v>1517</v>
      </c>
      <c r="DW54" s="511" t="s">
        <v>1517</v>
      </c>
      <c r="DX54" s="511" t="s">
        <v>1517</v>
      </c>
      <c r="DY54" s="511" t="s">
        <v>1517</v>
      </c>
      <c r="DZ54" s="511" t="s">
        <v>1517</v>
      </c>
      <c r="EA54" s="511" t="s">
        <v>1517</v>
      </c>
      <c r="EB54" s="511" t="s">
        <v>1517</v>
      </c>
      <c r="EC54" s="511" t="s">
        <v>1517</v>
      </c>
      <c r="ED54" s="511" t="s">
        <v>1517</v>
      </c>
      <c r="EE54" s="511" t="s">
        <v>1517</v>
      </c>
      <c r="EF54" s="511" t="s">
        <v>1517</v>
      </c>
      <c r="EG54" s="511" t="s">
        <v>1517</v>
      </c>
      <c r="EH54" s="511" t="s">
        <v>1517</v>
      </c>
      <c r="EI54" s="511" t="s">
        <v>1517</v>
      </c>
      <c r="EJ54" s="511" t="s">
        <v>1517</v>
      </c>
      <c r="EK54" s="511" t="s">
        <v>1517</v>
      </c>
      <c r="EL54" s="511" t="s">
        <v>1517</v>
      </c>
      <c r="EM54" s="511" t="s">
        <v>1517</v>
      </c>
      <c r="EN54" s="511" t="s">
        <v>1517</v>
      </c>
      <c r="EO54" s="511" t="s">
        <v>1517</v>
      </c>
      <c r="EP54" s="511" t="s">
        <v>1517</v>
      </c>
      <c r="EQ54" s="511" t="s">
        <v>1517</v>
      </c>
      <c r="ER54" s="511" t="s">
        <v>1517</v>
      </c>
      <c r="ES54" s="511" t="s">
        <v>1517</v>
      </c>
      <c r="ET54" s="511" t="s">
        <v>1517</v>
      </c>
      <c r="EU54" s="511" t="s">
        <v>1517</v>
      </c>
      <c r="EV54" s="511" t="s">
        <v>1517</v>
      </c>
      <c r="EW54" s="228"/>
      <c r="EX54" s="228"/>
      <c r="EY54" s="228"/>
      <c r="EZ54" s="228"/>
      <c r="FA54" s="228"/>
      <c r="FB54" s="228"/>
      <c r="FC54" s="228"/>
      <c r="FM54" s="774"/>
      <c r="FN54" s="774"/>
      <c r="FO54" s="774"/>
      <c r="FP54" s="774"/>
      <c r="FQ54" s="774"/>
      <c r="FR54" s="774"/>
      <c r="FS54" s="774"/>
      <c r="FT54" s="774"/>
      <c r="FU54" s="774"/>
    </row>
    <row r="55" spans="3:177">
      <c r="C55" s="57" t="s">
        <v>742</v>
      </c>
      <c r="D55" s="200"/>
      <c r="E55" s="200"/>
      <c r="F55" s="200"/>
      <c r="G55" s="200"/>
      <c r="H55" s="200"/>
      <c r="I55" s="200"/>
      <c r="J55" s="190">
        <f>'Aerospace Propulsion Division'!H32</f>
        <v>0</v>
      </c>
      <c r="K55" s="190">
        <f>'Aerospace Propulsion Division'!I32</f>
        <v>0</v>
      </c>
      <c r="L55" s="190">
        <f>'Aerospace Propulsion Division'!J32</f>
        <v>0</v>
      </c>
      <c r="M55" s="190">
        <f>'Aerospace Propulsion Division'!K32</f>
        <v>0</v>
      </c>
      <c r="N55" s="190">
        <f>'Aerospace Propulsion Division'!L32</f>
        <v>0</v>
      </c>
      <c r="O55" s="190">
        <f>'Aerospace Propulsion Division'!M32</f>
        <v>0</v>
      </c>
      <c r="P55" s="190">
        <f>'Aerospace Propulsion Division'!N32</f>
        <v>0</v>
      </c>
      <c r="Q55" s="190">
        <f>'Aerospace Propulsion Division'!O32</f>
        <v>0</v>
      </c>
      <c r="R55" s="190">
        <f>'Aerospace Propulsion Division'!P32</f>
        <v>0</v>
      </c>
      <c r="S55" s="190">
        <f>'Aerospace Propulsion Division'!Q32</f>
        <v>0</v>
      </c>
      <c r="T55" s="190">
        <f>'Aerospace Propulsion Division'!R32</f>
        <v>0</v>
      </c>
      <c r="U55" s="190">
        <f>'Aerospace Propulsion Division'!S32</f>
        <v>0</v>
      </c>
      <c r="V55" s="190">
        <f>'Aerospace Propulsion Division'!T32</f>
        <v>2549</v>
      </c>
      <c r="W55" s="190">
        <f>'Aerospace Propulsion Division'!U32</f>
        <v>2660</v>
      </c>
      <c r="X55" s="190">
        <f>'Aerospace Propulsion Division'!V32</f>
        <v>1343</v>
      </c>
      <c r="Y55" s="190">
        <f>'Aerospace Propulsion Division'!W32</f>
        <v>1251</v>
      </c>
      <c r="Z55" s="190">
        <f>'Aerospace Propulsion Division'!X32</f>
        <v>1428</v>
      </c>
      <c r="AA55" s="190">
        <f>'Aerospace Propulsion Division'!Y32</f>
        <v>1854</v>
      </c>
      <c r="AB55" s="190">
        <f>'Aerospace Propulsion Division'!Z32</f>
        <v>1766</v>
      </c>
      <c r="AC55" s="458">
        <f>'Aerospace Propulsion Division'!AA32</f>
        <v>2162</v>
      </c>
      <c r="AD55" s="458">
        <f>'Aerospace Propulsion Division'!AB32</f>
        <v>2304</v>
      </c>
      <c r="AE55" s="458">
        <f>'Aerospace Propulsion Division'!AC32</f>
        <v>2501</v>
      </c>
      <c r="AF55" s="458">
        <f>'Aerospace Propulsion Division'!AD32</f>
        <v>2603.3000000000002</v>
      </c>
      <c r="AG55" s="458">
        <f>'Aerospace Propulsion Division'!AE32</f>
        <v>2710.9650000000001</v>
      </c>
      <c r="AH55" s="458">
        <f>'Aerospace Propulsion Division'!AF32</f>
        <v>2824.2632500000004</v>
      </c>
      <c r="AO55" s="338"/>
      <c r="AP55" s="449"/>
      <c r="AR55" s="449"/>
      <c r="AS55" s="449"/>
      <c r="BA55" s="512" t="s">
        <v>1517</v>
      </c>
      <c r="BB55" s="512" t="s">
        <v>1517</v>
      </c>
      <c r="BC55" s="512" t="s">
        <v>1517</v>
      </c>
      <c r="BD55" s="512" t="s">
        <v>1517</v>
      </c>
      <c r="BE55" s="512" t="s">
        <v>1517</v>
      </c>
      <c r="BF55" s="512" t="s">
        <v>1517</v>
      </c>
      <c r="BG55" s="512" t="s">
        <v>1517</v>
      </c>
      <c r="BH55" s="512" t="s">
        <v>1517</v>
      </c>
      <c r="BI55" s="512" t="s">
        <v>1517</v>
      </c>
      <c r="BJ55" s="512" t="s">
        <v>1517</v>
      </c>
      <c r="BK55" s="512" t="s">
        <v>1517</v>
      </c>
      <c r="BL55" s="512" t="s">
        <v>1517</v>
      </c>
      <c r="BM55" s="512" t="s">
        <v>1517</v>
      </c>
      <c r="BN55" s="512" t="s">
        <v>1517</v>
      </c>
      <c r="BO55" s="512" t="s">
        <v>1517</v>
      </c>
      <c r="BP55" s="512" t="s">
        <v>1517</v>
      </c>
      <c r="BQ55" s="512" t="s">
        <v>1517</v>
      </c>
      <c r="BR55" s="512" t="s">
        <v>1517</v>
      </c>
      <c r="BS55" s="512" t="s">
        <v>1517</v>
      </c>
      <c r="BT55" s="512" t="s">
        <v>1517</v>
      </c>
      <c r="BU55" s="512" t="s">
        <v>1517</v>
      </c>
      <c r="BV55" s="512" t="s">
        <v>1517</v>
      </c>
      <c r="BW55" s="512" t="s">
        <v>1517</v>
      </c>
      <c r="BX55" s="512" t="s">
        <v>1517</v>
      </c>
      <c r="BY55" s="512" t="s">
        <v>1517</v>
      </c>
      <c r="BZ55" s="512" t="s">
        <v>1517</v>
      </c>
      <c r="CA55" s="511" t="s">
        <v>1517</v>
      </c>
      <c r="CB55" s="512" t="s">
        <v>1517</v>
      </c>
      <c r="CC55" s="515"/>
      <c r="CD55" s="514"/>
      <c r="CE55" s="515"/>
      <c r="CF55" s="514"/>
      <c r="CG55" s="510"/>
      <c r="CH55" s="510"/>
      <c r="CI55" s="510"/>
      <c r="CJ55" s="510"/>
      <c r="CK55" s="510"/>
      <c r="CL55" s="510"/>
      <c r="CM55" s="510"/>
      <c r="CN55" s="510"/>
      <c r="CO55" s="510"/>
      <c r="CP55" s="430"/>
      <c r="CQ55" s="430"/>
      <c r="CR55" s="511" t="s">
        <v>1517</v>
      </c>
      <c r="CS55" s="511" t="s">
        <v>1517</v>
      </c>
      <c r="CT55" s="511" t="s">
        <v>1517</v>
      </c>
      <c r="CU55" s="511" t="s">
        <v>1517</v>
      </c>
      <c r="CV55" s="511" t="s">
        <v>1517</v>
      </c>
      <c r="CW55" s="511" t="s">
        <v>1517</v>
      </c>
      <c r="CX55" s="511" t="s">
        <v>1517</v>
      </c>
      <c r="CY55" s="511" t="s">
        <v>1517</v>
      </c>
      <c r="CZ55" s="511" t="s">
        <v>1517</v>
      </c>
      <c r="DA55" s="511" t="s">
        <v>1517</v>
      </c>
      <c r="DB55" s="511" t="s">
        <v>1517</v>
      </c>
      <c r="DC55" s="511" t="s">
        <v>1517</v>
      </c>
      <c r="DD55" s="511" t="s">
        <v>1517</v>
      </c>
      <c r="DE55" s="511" t="s">
        <v>1517</v>
      </c>
      <c r="DF55" s="511" t="s">
        <v>1517</v>
      </c>
      <c r="DG55" s="511" t="s">
        <v>1517</v>
      </c>
      <c r="DH55" s="511" t="s">
        <v>1517</v>
      </c>
      <c r="DI55" s="511" t="s">
        <v>1517</v>
      </c>
      <c r="DJ55" s="511" t="s">
        <v>1517</v>
      </c>
      <c r="DK55" s="511" t="s">
        <v>1517</v>
      </c>
      <c r="DL55" s="511" t="s">
        <v>1517</v>
      </c>
      <c r="DM55" s="511" t="s">
        <v>1517</v>
      </c>
      <c r="DN55" s="511" t="s">
        <v>1517</v>
      </c>
      <c r="DO55" s="511" t="s">
        <v>1517</v>
      </c>
      <c r="DP55" s="511" t="s">
        <v>1517</v>
      </c>
      <c r="DQ55" s="511" t="s">
        <v>1517</v>
      </c>
      <c r="DR55" s="511" t="s">
        <v>1517</v>
      </c>
      <c r="DS55" s="511" t="s">
        <v>1517</v>
      </c>
      <c r="DT55" s="511" t="s">
        <v>1517</v>
      </c>
      <c r="DU55" s="511" t="s">
        <v>1517</v>
      </c>
      <c r="DV55" s="511" t="s">
        <v>1517</v>
      </c>
      <c r="DW55" s="511" t="s">
        <v>1517</v>
      </c>
      <c r="DX55" s="511" t="s">
        <v>1517</v>
      </c>
      <c r="DY55" s="511" t="s">
        <v>1517</v>
      </c>
      <c r="DZ55" s="511" t="s">
        <v>1517</v>
      </c>
      <c r="EA55" s="511" t="s">
        <v>1517</v>
      </c>
      <c r="EB55" s="511" t="s">
        <v>1517</v>
      </c>
      <c r="EC55" s="511" t="s">
        <v>1517</v>
      </c>
      <c r="ED55" s="511" t="s">
        <v>1517</v>
      </c>
      <c r="EE55" s="511" t="s">
        <v>1517</v>
      </c>
      <c r="EF55" s="511" t="s">
        <v>1517</v>
      </c>
      <c r="EG55" s="511" t="s">
        <v>1517</v>
      </c>
      <c r="EH55" s="511" t="s">
        <v>1517</v>
      </c>
      <c r="EI55" s="511" t="s">
        <v>1517</v>
      </c>
      <c r="EJ55" s="511" t="s">
        <v>1517</v>
      </c>
      <c r="EK55" s="511" t="s">
        <v>1517</v>
      </c>
      <c r="EL55" s="511" t="s">
        <v>1517</v>
      </c>
      <c r="EM55" s="511" t="s">
        <v>1517</v>
      </c>
      <c r="EN55" s="511" t="s">
        <v>1517</v>
      </c>
      <c r="EO55" s="511" t="s">
        <v>1517</v>
      </c>
      <c r="EP55" s="511" t="s">
        <v>1517</v>
      </c>
      <c r="EQ55" s="511" t="s">
        <v>1517</v>
      </c>
      <c r="ER55" s="511" t="s">
        <v>1517</v>
      </c>
      <c r="ES55" s="511" t="s">
        <v>1517</v>
      </c>
      <c r="ET55" s="511" t="s">
        <v>1517</v>
      </c>
      <c r="EU55" s="511" t="s">
        <v>1517</v>
      </c>
      <c r="EV55" s="511" t="s">
        <v>1517</v>
      </c>
      <c r="EW55" s="228"/>
      <c r="EX55" s="228"/>
      <c r="EY55" s="228"/>
      <c r="EZ55" s="228"/>
      <c r="FA55" s="228"/>
      <c r="FB55" s="228"/>
      <c r="FC55" s="228"/>
      <c r="FM55" s="774"/>
      <c r="FN55" s="774"/>
      <c r="FO55" s="774"/>
      <c r="FP55" s="774"/>
      <c r="FQ55" s="774"/>
      <c r="FR55" s="774"/>
      <c r="FS55" s="774"/>
      <c r="FT55" s="774"/>
      <c r="FU55" s="774"/>
    </row>
    <row r="56" spans="3:177">
      <c r="AO56" s="338"/>
      <c r="AP56" s="449"/>
      <c r="AR56" s="449"/>
      <c r="AS56" s="449"/>
      <c r="FM56" s="774"/>
      <c r="FN56" s="774"/>
      <c r="FO56" s="774"/>
      <c r="FP56" s="774"/>
      <c r="FQ56" s="774"/>
      <c r="FR56" s="774"/>
      <c r="FS56" s="774"/>
      <c r="FT56" s="774"/>
      <c r="FU56" s="774"/>
    </row>
    <row r="57" spans="3:177">
      <c r="C57" s="305" t="s">
        <v>1152</v>
      </c>
      <c r="D57" s="305"/>
      <c r="E57" s="305"/>
      <c r="F57" s="305"/>
      <c r="G57" s="305"/>
      <c r="H57" s="305"/>
      <c r="I57" s="305"/>
      <c r="J57" s="305"/>
      <c r="K57" s="305"/>
      <c r="L57" s="305"/>
      <c r="M57" s="305"/>
      <c r="N57" s="305"/>
      <c r="O57" s="305"/>
      <c r="P57" s="305"/>
      <c r="Q57" s="305"/>
      <c r="R57" s="305"/>
      <c r="S57" s="305"/>
      <c r="T57" s="305"/>
      <c r="U57" s="305"/>
      <c r="V57" s="305"/>
      <c r="W57" s="305"/>
      <c r="X57" s="305"/>
      <c r="Y57" s="215"/>
      <c r="Z57" s="215"/>
      <c r="AA57" s="215"/>
      <c r="AB57" s="215"/>
      <c r="AC57" s="195"/>
      <c r="AD57" s="195"/>
      <c r="AE57" s="195"/>
      <c r="AF57" s="195"/>
      <c r="AG57" s="195"/>
      <c r="AH57" s="195"/>
      <c r="AO57" s="338"/>
      <c r="AP57" s="449"/>
      <c r="AR57" s="449"/>
      <c r="AS57" s="449"/>
      <c r="BA57" s="305"/>
      <c r="BB57" s="305"/>
      <c r="BC57" s="305"/>
      <c r="BD57" s="305"/>
      <c r="BE57" s="305"/>
      <c r="BF57" s="305"/>
      <c r="BG57" s="305"/>
      <c r="BH57" s="305"/>
      <c r="BI57" s="305"/>
      <c r="BJ57" s="305"/>
      <c r="BK57" s="305"/>
      <c r="BL57" s="305"/>
      <c r="BM57" s="305"/>
      <c r="BN57" s="305"/>
      <c r="BO57" s="305"/>
      <c r="BP57" s="305"/>
      <c r="BQ57" s="305"/>
      <c r="BR57" s="305"/>
      <c r="BS57" s="305"/>
      <c r="BT57" s="305"/>
      <c r="BU57" s="591"/>
      <c r="BV57" s="305"/>
      <c r="BW57" s="591"/>
      <c r="BX57" s="591"/>
      <c r="BY57" s="591"/>
      <c r="BZ57" s="591"/>
      <c r="CA57" s="591"/>
      <c r="CB57" s="591"/>
      <c r="CC57" s="332"/>
      <c r="CD57" s="332"/>
      <c r="CE57" s="332"/>
      <c r="CF57" s="332"/>
      <c r="CG57" s="332"/>
      <c r="CH57" s="332"/>
      <c r="CI57" s="332"/>
      <c r="CJ57" s="332"/>
      <c r="CK57" s="332"/>
      <c r="CL57" s="332"/>
      <c r="CM57" s="332"/>
      <c r="CN57" s="332"/>
      <c r="CO57" s="467"/>
      <c r="CR57" s="305"/>
      <c r="CS57" s="305"/>
      <c r="CT57" s="305"/>
      <c r="CU57" s="305"/>
      <c r="CV57" s="305"/>
      <c r="CW57" s="305"/>
      <c r="CX57" s="305"/>
      <c r="CY57" s="305"/>
      <c r="CZ57" s="305"/>
      <c r="DA57" s="305"/>
      <c r="DB57" s="305"/>
      <c r="DC57" s="305"/>
      <c r="DD57" s="305"/>
      <c r="DE57" s="305"/>
      <c r="DF57" s="305"/>
      <c r="DG57" s="305"/>
      <c r="DH57" s="305"/>
      <c r="DI57" s="305"/>
      <c r="DJ57" s="305"/>
      <c r="DK57" s="305"/>
      <c r="DL57" s="305"/>
      <c r="DM57" s="305"/>
      <c r="DN57" s="305"/>
      <c r="DO57" s="305"/>
      <c r="DP57" s="305"/>
      <c r="DQ57" s="305"/>
      <c r="DR57" s="305"/>
      <c r="DS57" s="305"/>
      <c r="DT57" s="305"/>
      <c r="DU57" s="305"/>
      <c r="DV57" s="305"/>
      <c r="DW57" s="305"/>
      <c r="DX57" s="305"/>
      <c r="DY57" s="305"/>
      <c r="DZ57" s="305"/>
      <c r="EA57" s="305"/>
      <c r="EB57" s="305"/>
      <c r="EC57" s="305"/>
      <c r="ED57" s="305"/>
      <c r="EE57" s="305"/>
      <c r="EF57" s="305"/>
      <c r="EG57" s="305"/>
      <c r="EH57" s="305"/>
      <c r="EI57" s="305"/>
      <c r="EJ57" s="305"/>
      <c r="EK57" s="305"/>
      <c r="EL57" s="305"/>
      <c r="EM57" s="305"/>
      <c r="EN57" s="305"/>
      <c r="EO57" s="305"/>
      <c r="EP57" s="305"/>
      <c r="EQ57" s="305"/>
      <c r="ER57" s="305"/>
      <c r="ES57" s="305"/>
      <c r="ET57" s="305"/>
      <c r="EU57" s="305"/>
      <c r="EV57" s="305"/>
      <c r="EW57" s="332"/>
      <c r="EX57" s="332"/>
      <c r="EY57" s="332"/>
      <c r="EZ57" s="332"/>
      <c r="FA57" s="332"/>
      <c r="FB57" s="332"/>
      <c r="FC57" s="332"/>
      <c r="FM57" s="774"/>
      <c r="FN57" s="774"/>
      <c r="FO57" s="774"/>
      <c r="FP57" s="774"/>
      <c r="FQ57" s="774"/>
      <c r="FR57" s="774"/>
      <c r="FS57" s="774"/>
      <c r="FT57" s="774"/>
      <c r="FU57" s="774"/>
    </row>
    <row r="58" spans="3:177">
      <c r="C58" s="306" t="s">
        <v>1267</v>
      </c>
      <c r="D58" s="307"/>
      <c r="E58" s="307"/>
      <c r="F58" s="307"/>
      <c r="G58" s="307"/>
      <c r="H58" s="307"/>
      <c r="I58" s="307"/>
      <c r="J58" s="307"/>
      <c r="K58" s="307"/>
      <c r="L58" s="307"/>
      <c r="M58" s="307"/>
      <c r="N58" s="307"/>
      <c r="O58" s="308"/>
      <c r="P58" s="308"/>
      <c r="Q58" s="308"/>
      <c r="R58" s="308"/>
      <c r="S58" s="308"/>
      <c r="T58" s="308"/>
      <c r="U58" s="308"/>
      <c r="V58" s="308"/>
      <c r="W58" s="308"/>
      <c r="X58" s="308"/>
      <c r="Y58" s="308"/>
      <c r="Z58" s="308"/>
      <c r="AA58" s="308"/>
      <c r="AB58" s="308"/>
      <c r="AC58" s="308"/>
      <c r="AD58" s="308"/>
      <c r="AE58" s="308"/>
      <c r="AF58" s="308"/>
      <c r="AG58" s="308"/>
      <c r="AH58" s="308"/>
      <c r="AO58" s="338"/>
      <c r="AP58" s="449"/>
      <c r="AR58" s="449"/>
      <c r="AS58" s="449"/>
      <c r="BA58" s="308"/>
      <c r="BB58" s="308"/>
      <c r="BC58" s="308"/>
      <c r="BD58" s="308"/>
      <c r="BE58" s="308"/>
      <c r="BF58" s="308"/>
      <c r="BG58" s="308"/>
      <c r="BH58" s="308"/>
      <c r="BI58" s="308"/>
      <c r="BJ58" s="308"/>
      <c r="BK58" s="308"/>
      <c r="BL58" s="308"/>
      <c r="BM58" s="308"/>
      <c r="BN58" s="308"/>
      <c r="BO58" s="308"/>
      <c r="BP58" s="308"/>
      <c r="BQ58" s="308"/>
      <c r="BR58" s="308"/>
      <c r="BS58" s="308"/>
      <c r="BT58" s="308"/>
      <c r="BU58" s="308"/>
      <c r="BV58" s="308"/>
      <c r="BW58" s="384"/>
      <c r="BX58" s="384"/>
      <c r="BY58" s="384"/>
      <c r="BZ58" s="384"/>
      <c r="CA58" s="384"/>
      <c r="CB58" s="384"/>
      <c r="CC58" s="308"/>
      <c r="CD58" s="308"/>
      <c r="CE58" s="308"/>
      <c r="CF58" s="308"/>
      <c r="CG58" s="308"/>
      <c r="CH58" s="308"/>
      <c r="CI58" s="308"/>
      <c r="CJ58" s="308"/>
      <c r="CK58" s="308"/>
      <c r="CL58" s="308"/>
      <c r="CM58" s="308"/>
      <c r="CN58" s="308"/>
      <c r="CO58" s="339"/>
      <c r="CR58" s="308"/>
      <c r="CS58" s="308"/>
      <c r="CT58" s="308"/>
      <c r="CU58" s="308"/>
      <c r="CV58" s="308"/>
      <c r="CW58" s="308"/>
      <c r="CX58" s="308"/>
      <c r="CY58" s="308"/>
      <c r="CZ58" s="308"/>
      <c r="DA58" s="308"/>
      <c r="DB58" s="308"/>
      <c r="DC58" s="308"/>
      <c r="DD58" s="308"/>
      <c r="DE58" s="308"/>
      <c r="DF58" s="308"/>
      <c r="DG58" s="308"/>
      <c r="DH58" s="308"/>
      <c r="DI58" s="308"/>
      <c r="DJ58" s="308"/>
      <c r="DK58" s="308"/>
      <c r="DL58" s="308"/>
      <c r="DM58" s="308"/>
      <c r="DN58" s="308"/>
      <c r="DO58" s="308"/>
      <c r="DP58" s="308"/>
      <c r="DQ58" s="308"/>
      <c r="DR58" s="308"/>
      <c r="DS58" s="308"/>
      <c r="DT58" s="308"/>
      <c r="DU58" s="308"/>
      <c r="DV58" s="308"/>
      <c r="DW58" s="308"/>
      <c r="DX58" s="308"/>
      <c r="DY58" s="308"/>
      <c r="DZ58" s="308"/>
      <c r="EA58" s="308"/>
      <c r="EB58" s="308"/>
      <c r="EC58" s="308"/>
      <c r="ED58" s="308"/>
      <c r="EE58" s="308"/>
      <c r="EF58" s="308"/>
      <c r="EG58" s="308"/>
      <c r="EH58" s="308"/>
      <c r="EI58" s="308"/>
      <c r="EJ58" s="308"/>
      <c r="EK58" s="308"/>
      <c r="EL58" s="308"/>
      <c r="EM58" s="308"/>
      <c r="EN58" s="308"/>
      <c r="EO58" s="308"/>
      <c r="EP58" s="308"/>
      <c r="EQ58" s="308"/>
      <c r="ER58" s="308"/>
      <c r="ES58" s="308"/>
      <c r="ET58" s="308"/>
      <c r="EU58" s="308"/>
      <c r="EV58" s="308"/>
      <c r="EW58" s="308"/>
      <c r="EX58" s="308"/>
      <c r="EY58" s="308"/>
      <c r="EZ58" s="308"/>
      <c r="FA58" s="308"/>
      <c r="FB58" s="308"/>
      <c r="FC58" s="308"/>
      <c r="FM58" s="774"/>
      <c r="FN58" s="774"/>
      <c r="FO58" s="774"/>
      <c r="FP58" s="774"/>
      <c r="FQ58" s="774"/>
      <c r="FR58" s="774"/>
      <c r="FS58" s="774"/>
      <c r="FT58" s="774"/>
      <c r="FU58" s="774"/>
    </row>
    <row r="59" spans="3:177">
      <c r="C59" s="291" t="s">
        <v>1799</v>
      </c>
      <c r="M59" s="343"/>
      <c r="N59" s="343"/>
      <c r="O59" s="343"/>
      <c r="P59" s="343"/>
      <c r="Q59" s="343"/>
      <c r="R59" s="343"/>
      <c r="S59" s="343"/>
      <c r="T59" s="343"/>
      <c r="U59" s="343"/>
      <c r="V59" s="343">
        <f>'Aerospace Propulsion Division'!T101</f>
        <v>3548.8602811347168</v>
      </c>
      <c r="W59" s="343">
        <f>'Aerospace Propulsion Division'!U101</f>
        <v>3946.3326326218053</v>
      </c>
      <c r="X59" s="343">
        <f>'Aerospace Propulsion Division'!V101</f>
        <v>2028.414973167608</v>
      </c>
      <c r="Y59" s="343">
        <f>'Aerospace Propulsion Division'!W101</f>
        <v>2101.4379122016421</v>
      </c>
      <c r="Z59" s="343">
        <f>'Aerospace Propulsion Division'!X101</f>
        <v>3009.2590902727516</v>
      </c>
      <c r="AA59" s="343">
        <f>'Aerospace Propulsion Division'!Y101</f>
        <v>3939.1201491670317</v>
      </c>
      <c r="AB59" s="343">
        <f>'Aerospace Propulsion Division'!Z101</f>
        <v>4589.0749737795923</v>
      </c>
      <c r="AC59" s="343">
        <f>'Aerospace Propulsion Division'!AA101</f>
        <v>5430.1801576969483</v>
      </c>
      <c r="AD59" s="343">
        <f>'Aerospace Propulsion Division'!AB101</f>
        <v>6162.555982406242</v>
      </c>
      <c r="AE59" s="343">
        <f>'Aerospace Propulsion Division'!AC101</f>
        <v>6384.9664920258347</v>
      </c>
      <c r="AF59" s="343">
        <f>'Aerospace Propulsion Division'!AD101</f>
        <v>6406.9381020476876</v>
      </c>
      <c r="AG59" s="343">
        <f>'Aerospace Propulsion Division'!AE101</f>
        <v>6260.4481650571079</v>
      </c>
      <c r="AH59" s="343">
        <f>'Aerospace Propulsion Division'!AF101</f>
        <v>6061.574165928213</v>
      </c>
      <c r="AO59" s="338"/>
      <c r="AP59" s="449"/>
      <c r="AR59" s="449"/>
      <c r="AS59" s="449"/>
      <c r="BA59" s="343"/>
      <c r="BB59" s="343"/>
      <c r="BC59" s="343"/>
      <c r="BD59" s="343"/>
      <c r="BE59" s="343"/>
      <c r="BF59" s="343"/>
      <c r="BG59" s="343"/>
      <c r="BH59" s="343"/>
      <c r="BI59" s="343"/>
      <c r="BJ59" s="343"/>
      <c r="BK59" s="343"/>
      <c r="BL59" s="343"/>
      <c r="BM59" s="343"/>
      <c r="BN59" s="343"/>
      <c r="BO59" s="343"/>
      <c r="BP59" s="343"/>
      <c r="BQ59" s="343"/>
      <c r="BR59" s="343"/>
      <c r="BS59" s="343"/>
      <c r="BT59" s="343"/>
      <c r="BU59" s="343"/>
      <c r="BV59" s="343"/>
      <c r="BW59" s="343"/>
      <c r="BX59" s="343"/>
      <c r="BY59" s="343"/>
      <c r="BZ59" s="343"/>
      <c r="CA59" s="343"/>
      <c r="CB59" s="343"/>
      <c r="CC59" s="343"/>
      <c r="CD59" s="343"/>
      <c r="CE59" s="343"/>
      <c r="CF59" s="343"/>
      <c r="CG59" s="343"/>
      <c r="CH59" s="343"/>
      <c r="CI59" s="343"/>
      <c r="CJ59" s="343"/>
      <c r="CK59" s="343"/>
      <c r="CL59" s="343"/>
      <c r="CM59" s="343"/>
      <c r="CN59" s="343"/>
      <c r="CO59" s="343"/>
      <c r="CR59" s="343"/>
      <c r="CS59" s="343"/>
      <c r="CT59" s="343"/>
      <c r="CU59" s="343"/>
      <c r="CV59" s="343"/>
      <c r="CW59" s="343"/>
      <c r="CX59" s="343"/>
      <c r="CY59" s="343"/>
      <c r="CZ59" s="343"/>
      <c r="DA59" s="343"/>
      <c r="DB59" s="343"/>
      <c r="DC59" s="343"/>
      <c r="DD59" s="343"/>
      <c r="DE59" s="343"/>
      <c r="DF59" s="343"/>
      <c r="DG59" s="343"/>
      <c r="DH59" s="343"/>
      <c r="DI59" s="343"/>
      <c r="DJ59" s="343"/>
      <c r="DK59" s="343"/>
      <c r="DL59" s="343"/>
      <c r="DM59" s="343"/>
      <c r="DN59" s="343"/>
      <c r="DO59" s="343"/>
      <c r="DP59" s="343"/>
      <c r="DQ59" s="343"/>
      <c r="DR59" s="343"/>
      <c r="DS59" s="343"/>
      <c r="DT59" s="343"/>
      <c r="DU59" s="343"/>
      <c r="DV59" s="343"/>
      <c r="DW59" s="343"/>
      <c r="DX59" s="343"/>
      <c r="DY59" s="343"/>
      <c r="DZ59" s="343"/>
      <c r="EA59" s="343"/>
      <c r="EB59" s="343"/>
      <c r="EC59" s="343"/>
      <c r="ED59" s="343"/>
      <c r="EE59" s="343"/>
      <c r="EF59" s="343"/>
      <c r="EG59" s="343"/>
      <c r="EH59" s="343"/>
      <c r="EI59" s="343"/>
      <c r="EJ59" s="343"/>
      <c r="EK59" s="343"/>
      <c r="EL59" s="343"/>
      <c r="EM59" s="343"/>
      <c r="EN59" s="343"/>
      <c r="EO59" s="343"/>
      <c r="EP59" s="343"/>
      <c r="EQ59" s="343"/>
      <c r="ER59" s="343"/>
      <c r="ES59" s="340"/>
      <c r="ET59" s="340"/>
      <c r="EU59" s="343"/>
      <c r="EV59" s="343"/>
      <c r="EW59" s="343"/>
      <c r="EX59" s="343"/>
      <c r="EY59" s="343"/>
      <c r="EZ59" s="343"/>
      <c r="FA59" s="343"/>
      <c r="FB59" s="343"/>
      <c r="FC59" s="343"/>
      <c r="FM59" s="774"/>
      <c r="FN59" s="774"/>
      <c r="FO59" s="774"/>
      <c r="FP59" s="774"/>
      <c r="FQ59" s="774"/>
      <c r="FR59" s="774"/>
      <c r="FS59" s="774"/>
      <c r="FT59" s="774"/>
      <c r="FU59" s="774"/>
    </row>
    <row r="60" spans="3:177">
      <c r="C60" s="291" t="s">
        <v>1023</v>
      </c>
      <c r="M60" s="343"/>
      <c r="N60" s="343"/>
      <c r="O60" s="343"/>
      <c r="P60" s="343"/>
      <c r="Q60" s="343"/>
      <c r="R60" s="343"/>
      <c r="S60" s="343"/>
      <c r="T60" s="343"/>
      <c r="U60" s="343"/>
      <c r="V60" s="343">
        <f>'Aerospace Propulsion Division'!T102</f>
        <v>1764.2142837144747</v>
      </c>
      <c r="W60" s="343">
        <f>'Aerospace Propulsion Division'!U102</f>
        <v>1891.237712141917</v>
      </c>
      <c r="X60" s="343">
        <f>'Aerospace Propulsion Division'!V102</f>
        <v>1310.6277345143485</v>
      </c>
      <c r="Y60" s="343">
        <f>'Aerospace Propulsion Division'!W102</f>
        <v>1481.0093400012136</v>
      </c>
      <c r="Z60" s="343">
        <f>'Aerospace Propulsion Division'!X102</f>
        <v>1596.5280685213083</v>
      </c>
      <c r="AA60" s="343">
        <f>'Aerospace Propulsion Division'!Y102</f>
        <v>2187.2434538741927</v>
      </c>
      <c r="AB60" s="343">
        <f>'Aerospace Propulsion Division'!Z102</f>
        <v>3018.3959663463856</v>
      </c>
      <c r="AC60" s="343">
        <f>'Aerospace Propulsion Division'!AA102</f>
        <v>3548.9305993923158</v>
      </c>
      <c r="AD60" s="343">
        <f>'Aerospace Propulsion Division'!AB102</f>
        <v>4390.2648217682936</v>
      </c>
      <c r="AE60" s="343">
        <f>'Aerospace Propulsion Division'!AC102</f>
        <v>5406.6920180787984</v>
      </c>
      <c r="AF60" s="343">
        <f>'Aerospace Propulsion Division'!AD102</f>
        <v>6456.888966495655</v>
      </c>
      <c r="AG60" s="343">
        <f>'Aerospace Propulsion Division'!AE102</f>
        <v>7023.6268853262281</v>
      </c>
      <c r="AH60" s="343">
        <f>'Aerospace Propulsion Division'!AF102</f>
        <v>7649.4179299320058</v>
      </c>
      <c r="AO60" s="338"/>
      <c r="AP60" s="449"/>
      <c r="AR60" s="449"/>
      <c r="AS60" s="449"/>
      <c r="BA60" s="343"/>
      <c r="BB60" s="343"/>
      <c r="BC60" s="343"/>
      <c r="BD60" s="343"/>
      <c r="BE60" s="343"/>
      <c r="BF60" s="343"/>
      <c r="BG60" s="343"/>
      <c r="BH60" s="343"/>
      <c r="BI60" s="343"/>
      <c r="BJ60" s="343"/>
      <c r="BK60" s="343"/>
      <c r="BL60" s="343"/>
      <c r="BM60" s="343"/>
      <c r="BN60" s="343"/>
      <c r="BO60" s="343"/>
      <c r="BP60" s="343"/>
      <c r="BQ60" s="343"/>
      <c r="BR60" s="343"/>
      <c r="BS60" s="343"/>
      <c r="BT60" s="343"/>
      <c r="BU60" s="343"/>
      <c r="BV60" s="343"/>
      <c r="BW60" s="343"/>
      <c r="BX60" s="343"/>
      <c r="BY60" s="343"/>
      <c r="BZ60" s="343"/>
      <c r="CA60" s="343"/>
      <c r="CB60" s="343"/>
      <c r="CC60" s="343"/>
      <c r="CD60" s="343"/>
      <c r="CE60" s="343"/>
      <c r="CF60" s="343"/>
      <c r="CG60" s="343"/>
      <c r="CH60" s="343"/>
      <c r="CI60" s="343"/>
      <c r="CJ60" s="343"/>
      <c r="CK60" s="343"/>
      <c r="CL60" s="343"/>
      <c r="CM60" s="343"/>
      <c r="CN60" s="343"/>
      <c r="CO60" s="343"/>
      <c r="CR60" s="343"/>
      <c r="CS60" s="343"/>
      <c r="CT60" s="343"/>
      <c r="CU60" s="343"/>
      <c r="CV60" s="345"/>
      <c r="CW60" s="343"/>
      <c r="CX60" s="343"/>
      <c r="CY60" s="345"/>
      <c r="CZ60" s="343"/>
      <c r="DA60" s="345"/>
      <c r="DB60" s="343"/>
      <c r="DC60" s="345"/>
      <c r="DD60" s="345"/>
      <c r="DE60" s="343"/>
      <c r="DF60" s="343"/>
      <c r="DG60" s="345"/>
      <c r="DH60" s="343"/>
      <c r="DI60" s="343"/>
      <c r="DJ60" s="343"/>
      <c r="DK60" s="345"/>
      <c r="DL60" s="343"/>
      <c r="DM60" s="343"/>
      <c r="DN60" s="343"/>
      <c r="DO60" s="345"/>
      <c r="DP60" s="343"/>
      <c r="DQ60" s="343"/>
      <c r="DR60" s="343"/>
      <c r="DS60" s="345"/>
      <c r="DT60" s="343"/>
      <c r="DU60" s="343"/>
      <c r="DV60" s="343"/>
      <c r="DW60" s="345"/>
      <c r="DX60" s="343"/>
      <c r="DY60" s="343"/>
      <c r="DZ60" s="343"/>
      <c r="EA60" s="345"/>
      <c r="EB60" s="343"/>
      <c r="EC60" s="343"/>
      <c r="ED60" s="343"/>
      <c r="EE60" s="345"/>
      <c r="EF60" s="343"/>
      <c r="EG60" s="343"/>
      <c r="EH60" s="343"/>
      <c r="EI60" s="345"/>
      <c r="EJ60" s="343"/>
      <c r="EK60" s="343"/>
      <c r="EL60" s="340"/>
      <c r="EM60" s="340"/>
      <c r="EN60" s="343"/>
      <c r="EO60" s="345"/>
      <c r="EP60" s="340"/>
      <c r="EQ60" s="340"/>
      <c r="ER60" s="343"/>
      <c r="ES60" s="343"/>
      <c r="ET60" s="343"/>
      <c r="EU60" s="340"/>
      <c r="EV60" s="343"/>
      <c r="EW60" s="343"/>
      <c r="EX60" s="343"/>
      <c r="EY60" s="343"/>
      <c r="EZ60" s="343"/>
      <c r="FA60" s="343"/>
      <c r="FB60" s="343"/>
      <c r="FC60" s="343"/>
      <c r="FD60" s="343"/>
      <c r="FM60" s="774"/>
      <c r="FN60" s="774"/>
      <c r="FO60" s="774"/>
      <c r="FP60" s="774"/>
      <c r="FQ60" s="774"/>
      <c r="FR60" s="774"/>
      <c r="FS60" s="774"/>
      <c r="FT60" s="774"/>
      <c r="FU60" s="774"/>
    </row>
    <row r="61" spans="3:177" s="57" customFormat="1" ht="10.5" customHeight="1">
      <c r="C61" s="214" t="s">
        <v>1530</v>
      </c>
      <c r="M61" s="382"/>
      <c r="N61" s="382">
        <f>'Aerospace Propulsion Division'!L103</f>
        <v>0</v>
      </c>
      <c r="O61" s="382">
        <f>'Aerospace Propulsion Division'!M103</f>
        <v>0</v>
      </c>
      <c r="P61" s="382">
        <f>'Aerospace Propulsion Division'!N103</f>
        <v>0</v>
      </c>
      <c r="Q61" s="382">
        <f>'Aerospace Propulsion Division'!O103</f>
        <v>0</v>
      </c>
      <c r="R61" s="382">
        <f>'Aerospace Propulsion Division'!P103</f>
        <v>0</v>
      </c>
      <c r="S61" s="382">
        <f>'Aerospace Propulsion Division'!Q103</f>
        <v>0</v>
      </c>
      <c r="T61" s="382">
        <f>'Aerospace Propulsion Division'!R103</f>
        <v>0</v>
      </c>
      <c r="U61" s="382">
        <f>'Aerospace Propulsion Division'!S103</f>
        <v>0</v>
      </c>
      <c r="V61" s="382">
        <f>'Aerospace Propulsion Division'!T103</f>
        <v>5313.074564849192</v>
      </c>
      <c r="W61" s="382">
        <f>'Aerospace Propulsion Division'!U103</f>
        <v>5837.5703447637225</v>
      </c>
      <c r="X61" s="382">
        <f>'Aerospace Propulsion Division'!V103</f>
        <v>3339.0427076819565</v>
      </c>
      <c r="Y61" s="382">
        <f>'Aerospace Propulsion Division'!W103</f>
        <v>3582.4472522028555</v>
      </c>
      <c r="Z61" s="382">
        <f>'Aerospace Propulsion Division'!X103</f>
        <v>4605.7871587940599</v>
      </c>
      <c r="AA61" s="382">
        <f>'Aerospace Propulsion Division'!Y103</f>
        <v>6126.3636030412245</v>
      </c>
      <c r="AB61" s="382">
        <f>'Aerospace Propulsion Division'!Z103</f>
        <v>7607.4709401259779</v>
      </c>
      <c r="AC61" s="382">
        <f>'Aerospace Propulsion Division'!AA103</f>
        <v>8979.1107570892636</v>
      </c>
      <c r="AD61" s="382">
        <f>'Aerospace Propulsion Division'!AB103</f>
        <v>10552.820804174535</v>
      </c>
      <c r="AE61" s="382">
        <f>'Aerospace Propulsion Division'!AC103</f>
        <v>11791.658510104633</v>
      </c>
      <c r="AF61" s="382">
        <f>'Aerospace Propulsion Division'!AD103</f>
        <v>12863.827068543342</v>
      </c>
      <c r="AG61" s="382">
        <f>'Aerospace Propulsion Division'!AE103</f>
        <v>13284.075050383337</v>
      </c>
      <c r="AH61" s="382">
        <f>'Aerospace Propulsion Division'!AF103</f>
        <v>13710.99209586022</v>
      </c>
      <c r="AO61" s="527">
        <f>(AC61/Y61)^(0.25)-1</f>
        <v>0.25823969152029291</v>
      </c>
      <c r="AP61" s="523"/>
      <c r="AR61" s="523"/>
      <c r="AS61" s="523"/>
      <c r="BA61" s="382"/>
      <c r="BB61" s="382"/>
      <c r="BC61" s="208" t="e">
        <f t="shared" ref="BC61:BR61" si="18">SUMIFS($CR61:$EY61,$CR$8:$EY$8,BC$8,$CR$7:$EY$7,BC$7)</f>
        <v>#REF!</v>
      </c>
      <c r="BD61" s="208" t="e">
        <f t="shared" si="18"/>
        <v>#REF!</v>
      </c>
      <c r="BE61" s="208" t="e">
        <f t="shared" si="18"/>
        <v>#REF!</v>
      </c>
      <c r="BF61" s="208" t="e">
        <f t="shared" si="18"/>
        <v>#REF!</v>
      </c>
      <c r="BG61" s="208" t="e">
        <f t="shared" si="18"/>
        <v>#REF!</v>
      </c>
      <c r="BH61" s="208" t="e">
        <f t="shared" si="18"/>
        <v>#REF!</v>
      </c>
      <c r="BI61" s="208" t="e">
        <f t="shared" si="18"/>
        <v>#REF!</v>
      </c>
      <c r="BJ61" s="208" t="e">
        <f t="shared" si="18"/>
        <v>#REF!</v>
      </c>
      <c r="BK61" s="208" t="e">
        <f t="shared" si="18"/>
        <v>#REF!</v>
      </c>
      <c r="BL61" s="208" t="e">
        <f t="shared" si="18"/>
        <v>#REF!</v>
      </c>
      <c r="BM61" s="208" t="e">
        <f t="shared" si="18"/>
        <v>#REF!</v>
      </c>
      <c r="BN61" s="208" t="e">
        <f t="shared" si="18"/>
        <v>#REF!</v>
      </c>
      <c r="BO61" s="208" t="e">
        <f t="shared" si="18"/>
        <v>#REF!</v>
      </c>
      <c r="BP61" s="208" t="e">
        <f t="shared" si="18"/>
        <v>#REF!</v>
      </c>
      <c r="BQ61" s="208" t="e">
        <f t="shared" si="18"/>
        <v>#REF!</v>
      </c>
      <c r="BR61" s="208" t="e">
        <f t="shared" si="18"/>
        <v>#REF!</v>
      </c>
      <c r="BS61" s="208" t="e">
        <f t="shared" ref="BS61:CF61" si="19">SUMIFS($CR61:$FC61,$CR$8:$FC$8,BS$8,$CR$7:$FC$7,BS$7)</f>
        <v>#REF!</v>
      </c>
      <c r="BT61" s="208" t="e">
        <f t="shared" si="19"/>
        <v>#REF!</v>
      </c>
      <c r="BU61" s="208" t="e">
        <f t="shared" si="19"/>
        <v>#REF!</v>
      </c>
      <c r="BV61" s="208" t="e">
        <f t="shared" si="19"/>
        <v>#REF!</v>
      </c>
      <c r="BW61" s="208" t="e">
        <f t="shared" si="19"/>
        <v>#REF!</v>
      </c>
      <c r="BX61" s="208" t="e">
        <f t="shared" si="19"/>
        <v>#REF!</v>
      </c>
      <c r="BY61" s="208" t="e">
        <f t="shared" si="19"/>
        <v>#REF!</v>
      </c>
      <c r="BZ61" s="208" t="e">
        <f t="shared" si="19"/>
        <v>#REF!</v>
      </c>
      <c r="CA61" s="208" t="e">
        <f t="shared" si="19"/>
        <v>#REF!</v>
      </c>
      <c r="CB61" s="208" t="e">
        <f t="shared" si="19"/>
        <v>#REF!</v>
      </c>
      <c r="CC61" s="208" t="e">
        <f t="shared" si="19"/>
        <v>#REF!</v>
      </c>
      <c r="CD61" s="208" t="e">
        <f t="shared" si="19"/>
        <v>#REF!</v>
      </c>
      <c r="CE61" s="208" t="e">
        <f t="shared" si="19"/>
        <v>#REF!</v>
      </c>
      <c r="CF61" s="208" t="e">
        <f t="shared" si="19"/>
        <v>#REF!</v>
      </c>
      <c r="CG61" s="208"/>
      <c r="CH61" s="208"/>
      <c r="CI61" s="208"/>
      <c r="CJ61" s="208"/>
      <c r="CK61" s="208"/>
      <c r="CL61" s="208"/>
      <c r="CM61" s="208"/>
      <c r="CN61" s="208"/>
      <c r="CO61" s="208"/>
      <c r="CP61" s="213"/>
      <c r="CQ61" s="213"/>
      <c r="CR61" s="208"/>
      <c r="CS61" s="208"/>
      <c r="CT61" s="208"/>
      <c r="CU61" s="208"/>
      <c r="CV61" s="208" t="e">
        <f>'Aerospace Propulsion Division'!#REF!</f>
        <v>#REF!</v>
      </c>
      <c r="CW61" s="208" t="e">
        <f>'Aerospace Propulsion Division'!#REF!</f>
        <v>#REF!</v>
      </c>
      <c r="CX61" s="208" t="e">
        <f>'Aerospace Propulsion Division'!#REF!</f>
        <v>#REF!</v>
      </c>
      <c r="CY61" s="208" t="e">
        <f>'Aerospace Propulsion Division'!#REF!</f>
        <v>#REF!</v>
      </c>
      <c r="CZ61" s="208" t="e">
        <f>'Aerospace Propulsion Division'!#REF!</f>
        <v>#REF!</v>
      </c>
      <c r="DA61" s="208" t="e">
        <f>'Aerospace Propulsion Division'!#REF!</f>
        <v>#REF!</v>
      </c>
      <c r="DB61" s="208" t="e">
        <f>'Aerospace Propulsion Division'!#REF!</f>
        <v>#REF!</v>
      </c>
      <c r="DC61" s="208" t="e">
        <f>'Aerospace Propulsion Division'!#REF!</f>
        <v>#REF!</v>
      </c>
      <c r="DD61" s="208" t="e">
        <f>'Aerospace Propulsion Division'!#REF!</f>
        <v>#REF!</v>
      </c>
      <c r="DE61" s="208" t="e">
        <f>'Aerospace Propulsion Division'!#REF!</f>
        <v>#REF!</v>
      </c>
      <c r="DF61" s="208" t="e">
        <f>'Aerospace Propulsion Division'!#REF!</f>
        <v>#REF!</v>
      </c>
      <c r="DG61" s="208" t="e">
        <f>'Aerospace Propulsion Division'!#REF!</f>
        <v>#REF!</v>
      </c>
      <c r="DH61" s="208" t="e">
        <f>'Aerospace Propulsion Division'!#REF!</f>
        <v>#REF!</v>
      </c>
      <c r="DI61" s="208" t="e">
        <f>'Aerospace Propulsion Division'!#REF!</f>
        <v>#REF!</v>
      </c>
      <c r="DJ61" s="208" t="e">
        <f>'Aerospace Propulsion Division'!#REF!</f>
        <v>#REF!</v>
      </c>
      <c r="DK61" s="208" t="e">
        <f>'Aerospace Propulsion Division'!#REF!</f>
        <v>#REF!</v>
      </c>
      <c r="DL61" s="208" t="e">
        <f>'Aerospace Propulsion Division'!#REF!</f>
        <v>#REF!</v>
      </c>
      <c r="DM61" s="208" t="e">
        <f>'Aerospace Propulsion Division'!#REF!</f>
        <v>#REF!</v>
      </c>
      <c r="DN61" s="208" t="e">
        <f>'Aerospace Propulsion Division'!#REF!</f>
        <v>#REF!</v>
      </c>
      <c r="DO61" s="208" t="e">
        <f>'Aerospace Propulsion Division'!#REF!</f>
        <v>#REF!</v>
      </c>
      <c r="DP61" s="208" t="e">
        <f>'Aerospace Propulsion Division'!#REF!</f>
        <v>#REF!</v>
      </c>
      <c r="DQ61" s="208" t="e">
        <f>'Aerospace Propulsion Division'!#REF!</f>
        <v>#REF!</v>
      </c>
      <c r="DR61" s="208" t="e">
        <f>'Aerospace Propulsion Division'!#REF!</f>
        <v>#REF!</v>
      </c>
      <c r="DS61" s="208" t="e">
        <f>'Aerospace Propulsion Division'!#REF!</f>
        <v>#REF!</v>
      </c>
      <c r="DT61" s="208" t="e">
        <f>'Aerospace Propulsion Division'!#REF!</f>
        <v>#REF!</v>
      </c>
      <c r="DU61" s="208" t="e">
        <f>'Aerospace Propulsion Division'!#REF!</f>
        <v>#REF!</v>
      </c>
      <c r="DV61" s="208" t="e">
        <f>'Aerospace Propulsion Division'!#REF!</f>
        <v>#REF!</v>
      </c>
      <c r="DW61" s="208" t="e">
        <f>'Aerospace Propulsion Division'!#REF!</f>
        <v>#REF!</v>
      </c>
      <c r="DX61" s="208" t="e">
        <f>'Aerospace Propulsion Division'!#REF!</f>
        <v>#REF!</v>
      </c>
      <c r="DY61" s="208" t="e">
        <f>'Aerospace Propulsion Division'!#REF!</f>
        <v>#REF!</v>
      </c>
      <c r="DZ61" s="208" t="e">
        <f>'Aerospace Propulsion Division'!#REF!</f>
        <v>#REF!</v>
      </c>
      <c r="EA61" s="208" t="e">
        <f>'Aerospace Propulsion Division'!#REF!</f>
        <v>#REF!</v>
      </c>
      <c r="EB61" s="208" t="e">
        <f>'Aerospace Propulsion Division'!#REF!</f>
        <v>#REF!</v>
      </c>
      <c r="EC61" s="208" t="e">
        <f>'Aerospace Propulsion Division'!#REF!</f>
        <v>#REF!</v>
      </c>
      <c r="ED61" s="208" t="e">
        <f>'Aerospace Propulsion Division'!#REF!</f>
        <v>#REF!</v>
      </c>
      <c r="EE61" s="208" t="e">
        <f>'Aerospace Propulsion Division'!#REF!</f>
        <v>#REF!</v>
      </c>
      <c r="EF61" s="208" t="e">
        <f>'Aerospace Propulsion Division'!#REF!</f>
        <v>#REF!</v>
      </c>
      <c r="EG61" s="208" t="e">
        <f>'Aerospace Propulsion Division'!#REF!</f>
        <v>#REF!</v>
      </c>
      <c r="EH61" s="208" t="e">
        <f>'Aerospace Propulsion Division'!#REF!</f>
        <v>#REF!</v>
      </c>
      <c r="EI61" s="208" t="e">
        <f>'Aerospace Propulsion Division'!#REF!</f>
        <v>#REF!</v>
      </c>
      <c r="EJ61" s="208" t="e">
        <f>'Aerospace Propulsion Division'!#REF!</f>
        <v>#REF!</v>
      </c>
      <c r="EK61" s="208" t="e">
        <f>'Aerospace Propulsion Division'!#REF!</f>
        <v>#REF!</v>
      </c>
      <c r="EL61" s="208" t="e">
        <f>'Aerospace Propulsion Division'!#REF!</f>
        <v>#REF!</v>
      </c>
      <c r="EM61" s="208" t="e">
        <f>'Aerospace Propulsion Division'!#REF!</f>
        <v>#REF!</v>
      </c>
      <c r="EN61" s="208" t="e">
        <f>'Aerospace Propulsion Division'!#REF!</f>
        <v>#REF!</v>
      </c>
      <c r="EO61" s="208" t="e">
        <f>'Aerospace Propulsion Division'!#REF!</f>
        <v>#REF!</v>
      </c>
      <c r="EP61" s="208" t="e">
        <f>'Aerospace Propulsion Division'!#REF!</f>
        <v>#REF!</v>
      </c>
      <c r="EQ61" s="208" t="e">
        <f>'Aerospace Propulsion Division'!#REF!</f>
        <v>#REF!</v>
      </c>
      <c r="ER61" s="208" t="e">
        <f>'Aerospace Propulsion Division'!#REF!</f>
        <v>#REF!</v>
      </c>
      <c r="ES61" s="208" t="e">
        <f>'Aerospace Propulsion Division'!#REF!</f>
        <v>#REF!</v>
      </c>
      <c r="ET61" s="208" t="e">
        <f>'Aerospace Propulsion Division'!#REF!</f>
        <v>#REF!</v>
      </c>
      <c r="EU61" s="208" t="e">
        <f>'Aerospace Propulsion Division'!#REF!</f>
        <v>#REF!</v>
      </c>
      <c r="EV61" s="208" t="e">
        <f>'Aerospace Propulsion Division'!#REF!</f>
        <v>#REF!</v>
      </c>
      <c r="EW61" s="208" t="e">
        <f>'Aerospace Propulsion Division'!#REF!</f>
        <v>#REF!</v>
      </c>
      <c r="EX61" s="208" t="e">
        <f>'Aerospace Propulsion Division'!#REF!</f>
        <v>#REF!</v>
      </c>
      <c r="EY61" s="208" t="e">
        <f>'Aerospace Propulsion Division'!#REF!</f>
        <v>#REF!</v>
      </c>
      <c r="EZ61" s="208" t="e">
        <f>'Aerospace Propulsion Division'!#REF!</f>
        <v>#REF!</v>
      </c>
      <c r="FA61" s="208" t="e">
        <f>'Aerospace Propulsion Division'!#REF!</f>
        <v>#REF!</v>
      </c>
      <c r="FB61" s="208" t="e">
        <f>'Aerospace Propulsion Division'!#REF!</f>
        <v>#REF!</v>
      </c>
      <c r="FC61" s="208" t="e">
        <f>'Aerospace Propulsion Division'!#REF!</f>
        <v>#REF!</v>
      </c>
      <c r="FM61" s="775"/>
      <c r="FN61" s="775"/>
      <c r="FO61" s="775"/>
      <c r="FP61" s="775"/>
      <c r="FQ61" s="775"/>
      <c r="FR61" s="775"/>
      <c r="FS61" s="775"/>
      <c r="FT61" s="775"/>
      <c r="FU61" s="775"/>
    </row>
    <row r="62" spans="3:177" s="57" customFormat="1">
      <c r="C62" s="349" t="s">
        <v>1489</v>
      </c>
      <c r="D62" s="383"/>
      <c r="E62" s="383"/>
      <c r="F62" s="383"/>
      <c r="G62" s="383"/>
      <c r="H62" s="383"/>
      <c r="I62" s="383"/>
      <c r="J62" s="383"/>
      <c r="K62" s="383"/>
      <c r="L62" s="216"/>
      <c r="M62" s="217"/>
      <c r="N62" s="217"/>
      <c r="O62" s="217" t="e">
        <f t="shared" ref="O62:AH62" si="20">O61/N61-1</f>
        <v>#DIV/0!</v>
      </c>
      <c r="P62" s="217" t="e">
        <f t="shared" si="20"/>
        <v>#DIV/0!</v>
      </c>
      <c r="Q62" s="217" t="e">
        <f t="shared" si="20"/>
        <v>#DIV/0!</v>
      </c>
      <c r="R62" s="217" t="e">
        <f t="shared" si="20"/>
        <v>#DIV/0!</v>
      </c>
      <c r="S62" s="217" t="e">
        <f t="shared" si="20"/>
        <v>#DIV/0!</v>
      </c>
      <c r="T62" s="217" t="e">
        <f t="shared" si="20"/>
        <v>#DIV/0!</v>
      </c>
      <c r="U62" s="217" t="e">
        <f t="shared" si="20"/>
        <v>#DIV/0!</v>
      </c>
      <c r="V62" s="217" t="e">
        <f t="shared" si="20"/>
        <v>#DIV/0!</v>
      </c>
      <c r="W62" s="217">
        <f t="shared" si="20"/>
        <v>9.8717940716387842E-2</v>
      </c>
      <c r="X62" s="217">
        <f t="shared" si="20"/>
        <v>-0.42800814200430759</v>
      </c>
      <c r="Y62" s="217">
        <f t="shared" si="20"/>
        <v>7.2896505324987704E-2</v>
      </c>
      <c r="Z62" s="217">
        <f t="shared" si="20"/>
        <v>0.28565386579298568</v>
      </c>
      <c r="AA62" s="217">
        <f t="shared" si="20"/>
        <v>0.33014474873070321</v>
      </c>
      <c r="AB62" s="217">
        <f t="shared" si="20"/>
        <v>0.24175962007046214</v>
      </c>
      <c r="AC62" s="217">
        <f t="shared" si="20"/>
        <v>0.18030168340551977</v>
      </c>
      <c r="AD62" s="217">
        <f t="shared" si="20"/>
        <v>0.17526346312665564</v>
      </c>
      <c r="AE62" s="217">
        <f t="shared" si="20"/>
        <v>0.11739398677555801</v>
      </c>
      <c r="AF62" s="217">
        <f t="shared" si="20"/>
        <v>9.0926018381547902E-2</v>
      </c>
      <c r="AG62" s="217">
        <f t="shared" si="20"/>
        <v>3.266897009737102E-2</v>
      </c>
      <c r="AH62" s="217">
        <f t="shared" si="20"/>
        <v>3.2137506289123374E-2</v>
      </c>
      <c r="AO62" s="527">
        <f>(AC61/W61)^(1/6)-1</f>
        <v>7.4402145544775422E-2</v>
      </c>
      <c r="AP62" s="523"/>
      <c r="AR62" s="523"/>
      <c r="AS62" s="449" t="s">
        <v>1584</v>
      </c>
      <c r="BA62" s="217"/>
      <c r="BB62" s="217"/>
      <c r="BC62" s="217"/>
      <c r="BD62" s="217"/>
      <c r="BE62" s="217" t="e">
        <f t="shared" ref="BE62:CF62" si="21">BE61/BC61-1</f>
        <v>#REF!</v>
      </c>
      <c r="BF62" s="217" t="e">
        <f t="shared" si="21"/>
        <v>#REF!</v>
      </c>
      <c r="BG62" s="217" t="e">
        <f t="shared" si="21"/>
        <v>#REF!</v>
      </c>
      <c r="BH62" s="217" t="e">
        <f t="shared" si="21"/>
        <v>#REF!</v>
      </c>
      <c r="BI62" s="217" t="e">
        <f t="shared" si="21"/>
        <v>#REF!</v>
      </c>
      <c r="BJ62" s="217" t="e">
        <f t="shared" si="21"/>
        <v>#REF!</v>
      </c>
      <c r="BK62" s="217" t="e">
        <f t="shared" si="21"/>
        <v>#REF!</v>
      </c>
      <c r="BL62" s="217" t="e">
        <f t="shared" si="21"/>
        <v>#REF!</v>
      </c>
      <c r="BM62" s="217" t="e">
        <f t="shared" si="21"/>
        <v>#REF!</v>
      </c>
      <c r="BN62" s="217" t="e">
        <f t="shared" si="21"/>
        <v>#REF!</v>
      </c>
      <c r="BO62" s="217" t="e">
        <f t="shared" si="21"/>
        <v>#REF!</v>
      </c>
      <c r="BP62" s="217" t="e">
        <f t="shared" si="21"/>
        <v>#REF!</v>
      </c>
      <c r="BQ62" s="217" t="e">
        <f t="shared" si="21"/>
        <v>#REF!</v>
      </c>
      <c r="BR62" s="217" t="e">
        <f t="shared" si="21"/>
        <v>#REF!</v>
      </c>
      <c r="BS62" s="217" t="e">
        <f t="shared" si="21"/>
        <v>#REF!</v>
      </c>
      <c r="BT62" s="217" t="e">
        <f t="shared" si="21"/>
        <v>#REF!</v>
      </c>
      <c r="BU62" s="217" t="e">
        <f t="shared" si="21"/>
        <v>#REF!</v>
      </c>
      <c r="BV62" s="217" t="e">
        <f t="shared" si="21"/>
        <v>#REF!</v>
      </c>
      <c r="BW62" s="217" t="e">
        <f t="shared" si="21"/>
        <v>#REF!</v>
      </c>
      <c r="BX62" s="217" t="e">
        <f t="shared" si="21"/>
        <v>#REF!</v>
      </c>
      <c r="BY62" s="217" t="e">
        <f t="shared" si="21"/>
        <v>#REF!</v>
      </c>
      <c r="BZ62" s="217" t="e">
        <f t="shared" si="21"/>
        <v>#REF!</v>
      </c>
      <c r="CA62" s="217" t="e">
        <f t="shared" si="21"/>
        <v>#REF!</v>
      </c>
      <c r="CB62" s="217" t="e">
        <f t="shared" si="21"/>
        <v>#REF!</v>
      </c>
      <c r="CC62" s="217" t="e">
        <f t="shared" si="21"/>
        <v>#REF!</v>
      </c>
      <c r="CD62" s="217" t="e">
        <f t="shared" si="21"/>
        <v>#REF!</v>
      </c>
      <c r="CE62" s="217" t="e">
        <f t="shared" si="21"/>
        <v>#REF!</v>
      </c>
      <c r="CF62" s="217" t="e">
        <f t="shared" si="21"/>
        <v>#REF!</v>
      </c>
      <c r="CG62" s="217"/>
      <c r="CH62" s="217"/>
      <c r="CI62" s="217"/>
      <c r="CJ62" s="217"/>
      <c r="CK62" s="217"/>
      <c r="CL62" s="217"/>
      <c r="CM62" s="217"/>
      <c r="CN62" s="217"/>
      <c r="CO62" s="217"/>
      <c r="CP62" s="213"/>
      <c r="CQ62" s="213"/>
      <c r="CR62" s="340"/>
      <c r="CS62" s="340"/>
      <c r="CT62" s="340"/>
      <c r="CU62" s="340"/>
      <c r="CV62" s="340"/>
      <c r="CW62" s="340"/>
      <c r="CX62" s="340"/>
      <c r="CY62" s="340"/>
      <c r="CZ62" s="340" t="e">
        <f>'Aerospace Propulsion Division'!#REF!</f>
        <v>#REF!</v>
      </c>
      <c r="DA62" s="340" t="e">
        <f>'Aerospace Propulsion Division'!#REF!</f>
        <v>#REF!</v>
      </c>
      <c r="DB62" s="340" t="e">
        <f>'Aerospace Propulsion Division'!#REF!</f>
        <v>#REF!</v>
      </c>
      <c r="DC62" s="340" t="e">
        <f>'Aerospace Propulsion Division'!#REF!</f>
        <v>#REF!</v>
      </c>
      <c r="DD62" s="340" t="e">
        <f>'Aerospace Propulsion Division'!#REF!</f>
        <v>#REF!</v>
      </c>
      <c r="DE62" s="340" t="e">
        <f>'Aerospace Propulsion Division'!#REF!</f>
        <v>#REF!</v>
      </c>
      <c r="DF62" s="340" t="e">
        <f>'Aerospace Propulsion Division'!#REF!</f>
        <v>#REF!</v>
      </c>
      <c r="DG62" s="340" t="e">
        <f>'Aerospace Propulsion Division'!#REF!</f>
        <v>#REF!</v>
      </c>
      <c r="DH62" s="340" t="e">
        <f>'Aerospace Propulsion Division'!#REF!</f>
        <v>#REF!</v>
      </c>
      <c r="DI62" s="340" t="e">
        <f>'Aerospace Propulsion Division'!#REF!</f>
        <v>#REF!</v>
      </c>
      <c r="DJ62" s="340" t="e">
        <f>'Aerospace Propulsion Division'!#REF!</f>
        <v>#REF!</v>
      </c>
      <c r="DK62" s="340" t="e">
        <f>'Aerospace Propulsion Division'!#REF!</f>
        <v>#REF!</v>
      </c>
      <c r="DL62" s="340" t="e">
        <f>'Aerospace Propulsion Division'!#REF!</f>
        <v>#REF!</v>
      </c>
      <c r="DM62" s="340" t="e">
        <f>'Aerospace Propulsion Division'!#REF!</f>
        <v>#REF!</v>
      </c>
      <c r="DN62" s="340" t="e">
        <f>'Aerospace Propulsion Division'!#REF!</f>
        <v>#REF!</v>
      </c>
      <c r="DO62" s="340" t="e">
        <f>'Aerospace Propulsion Division'!#REF!</f>
        <v>#REF!</v>
      </c>
      <c r="DP62" s="340" t="e">
        <f>'Aerospace Propulsion Division'!#REF!</f>
        <v>#REF!</v>
      </c>
      <c r="DQ62" s="340" t="e">
        <f>'Aerospace Propulsion Division'!#REF!</f>
        <v>#REF!</v>
      </c>
      <c r="DR62" s="340" t="e">
        <f>'Aerospace Propulsion Division'!#REF!</f>
        <v>#REF!</v>
      </c>
      <c r="DS62" s="340" t="e">
        <f>'Aerospace Propulsion Division'!#REF!</f>
        <v>#REF!</v>
      </c>
      <c r="DT62" s="340" t="e">
        <f>'Aerospace Propulsion Division'!#REF!</f>
        <v>#REF!</v>
      </c>
      <c r="DU62" s="340" t="e">
        <f>'Aerospace Propulsion Division'!#REF!</f>
        <v>#REF!</v>
      </c>
      <c r="DV62" s="340" t="e">
        <f>'Aerospace Propulsion Division'!#REF!</f>
        <v>#REF!</v>
      </c>
      <c r="DW62" s="340" t="e">
        <f>'Aerospace Propulsion Division'!#REF!</f>
        <v>#REF!</v>
      </c>
      <c r="DX62" s="340" t="e">
        <f>'Aerospace Propulsion Division'!#REF!</f>
        <v>#REF!</v>
      </c>
      <c r="DY62" s="340" t="e">
        <f>'Aerospace Propulsion Division'!#REF!</f>
        <v>#REF!</v>
      </c>
      <c r="DZ62" s="340" t="e">
        <f>'Aerospace Propulsion Division'!#REF!</f>
        <v>#REF!</v>
      </c>
      <c r="EA62" s="340" t="e">
        <f>'Aerospace Propulsion Division'!#REF!</f>
        <v>#REF!</v>
      </c>
      <c r="EB62" s="340" t="e">
        <f>'Aerospace Propulsion Division'!#REF!</f>
        <v>#REF!</v>
      </c>
      <c r="EC62" s="340" t="e">
        <f>'Aerospace Propulsion Division'!#REF!</f>
        <v>#REF!</v>
      </c>
      <c r="ED62" s="340" t="e">
        <f>'Aerospace Propulsion Division'!#REF!</f>
        <v>#REF!</v>
      </c>
      <c r="EE62" s="340" t="e">
        <f>'Aerospace Propulsion Division'!#REF!</f>
        <v>#REF!</v>
      </c>
      <c r="EF62" s="340" t="e">
        <f>'Aerospace Propulsion Division'!#REF!</f>
        <v>#REF!</v>
      </c>
      <c r="EG62" s="340" t="e">
        <f>'Aerospace Propulsion Division'!#REF!</f>
        <v>#REF!</v>
      </c>
      <c r="EH62" s="340" t="e">
        <f>'Aerospace Propulsion Division'!#REF!</f>
        <v>#REF!</v>
      </c>
      <c r="EI62" s="340" t="e">
        <f>'Aerospace Propulsion Division'!#REF!</f>
        <v>#REF!</v>
      </c>
      <c r="EJ62" s="340" t="e">
        <f>'Aerospace Propulsion Division'!#REF!</f>
        <v>#REF!</v>
      </c>
      <c r="EK62" s="340" t="e">
        <f>'Aerospace Propulsion Division'!#REF!</f>
        <v>#REF!</v>
      </c>
      <c r="EL62" s="340" t="e">
        <f>'Aerospace Propulsion Division'!#REF!</f>
        <v>#REF!</v>
      </c>
      <c r="EM62" s="340" t="e">
        <f>'Aerospace Propulsion Division'!#REF!</f>
        <v>#REF!</v>
      </c>
      <c r="EN62" s="340" t="e">
        <f>'Aerospace Propulsion Division'!#REF!</f>
        <v>#REF!</v>
      </c>
      <c r="EO62" s="340" t="e">
        <f>'Aerospace Propulsion Division'!#REF!</f>
        <v>#REF!</v>
      </c>
      <c r="EP62" s="340" t="e">
        <f>'Aerospace Propulsion Division'!#REF!</f>
        <v>#REF!</v>
      </c>
      <c r="EQ62" s="340" t="e">
        <f>'Aerospace Propulsion Division'!#REF!</f>
        <v>#REF!</v>
      </c>
      <c r="ER62" s="340" t="e">
        <f>'Aerospace Propulsion Division'!#REF!</f>
        <v>#REF!</v>
      </c>
      <c r="ES62" s="340" t="e">
        <f>'Aerospace Propulsion Division'!#REF!</f>
        <v>#REF!</v>
      </c>
      <c r="ET62" s="345" t="e">
        <f>'Aerospace Propulsion Division'!#REF!</f>
        <v>#REF!</v>
      </c>
      <c r="EU62" s="345" t="e">
        <f>'Aerospace Propulsion Division'!#REF!</f>
        <v>#REF!</v>
      </c>
      <c r="EV62" s="340" t="e">
        <f>'Aerospace Propulsion Division'!#REF!</f>
        <v>#REF!</v>
      </c>
      <c r="EW62" s="340" t="e">
        <f>'Aerospace Propulsion Division'!#REF!</f>
        <v>#REF!</v>
      </c>
      <c r="EX62" s="340" t="e">
        <f>'Aerospace Propulsion Division'!#REF!</f>
        <v>#REF!</v>
      </c>
      <c r="EY62" s="340" t="e">
        <f>'Aerospace Propulsion Division'!#REF!</f>
        <v>#REF!</v>
      </c>
      <c r="EZ62" s="340" t="e">
        <f>'Aerospace Propulsion Division'!#REF!</f>
        <v>#REF!</v>
      </c>
      <c r="FA62" s="340" t="e">
        <f>'Aerospace Propulsion Division'!#REF!</f>
        <v>#REF!</v>
      </c>
      <c r="FB62" s="340" t="e">
        <f>'Aerospace Propulsion Division'!#REF!</f>
        <v>#REF!</v>
      </c>
      <c r="FC62" s="340" t="e">
        <f>'Aerospace Propulsion Division'!#REF!</f>
        <v>#REF!</v>
      </c>
      <c r="FM62" s="775"/>
      <c r="FN62" s="775"/>
      <c r="FO62" s="775"/>
      <c r="FP62" s="775"/>
      <c r="FQ62" s="775"/>
      <c r="FR62" s="775"/>
      <c r="FS62" s="775"/>
      <c r="FT62" s="775"/>
      <c r="FU62" s="775"/>
    </row>
    <row r="63" spans="3:177">
      <c r="C63" s="349" t="s">
        <v>1606</v>
      </c>
      <c r="L63" s="208"/>
      <c r="M63" s="211"/>
      <c r="N63" s="211"/>
      <c r="O63" s="232"/>
      <c r="P63" s="528"/>
      <c r="Q63" s="528" t="e">
        <f>'Aerospace Propulsion Division'!#REF!</f>
        <v>#REF!</v>
      </c>
      <c r="R63" s="528" t="e">
        <f>'Aerospace Propulsion Division'!#REF!</f>
        <v>#REF!</v>
      </c>
      <c r="S63" s="528" t="e">
        <f>'Aerospace Propulsion Division'!#REF!</f>
        <v>#REF!</v>
      </c>
      <c r="T63" s="528" t="e">
        <f>'Aerospace Propulsion Division'!#REF!</f>
        <v>#REF!</v>
      </c>
      <c r="U63" s="528" t="e">
        <f>'Aerospace Propulsion Division'!#REF!</f>
        <v>#REF!</v>
      </c>
      <c r="V63" s="528" t="e">
        <f>'Aerospace Propulsion Division'!#REF!</f>
        <v>#REF!</v>
      </c>
      <c r="W63" s="528" t="e">
        <f>'Aerospace Propulsion Division'!#REF!</f>
        <v>#REF!</v>
      </c>
      <c r="X63" s="528" t="e">
        <f>'Aerospace Propulsion Division'!#REF!</f>
        <v>#REF!</v>
      </c>
      <c r="Y63" s="528" t="e">
        <f>'Aerospace Propulsion Division'!#REF!</f>
        <v>#REF!</v>
      </c>
      <c r="Z63" s="528" t="e">
        <f>'Aerospace Propulsion Division'!#REF!</f>
        <v>#REF!</v>
      </c>
      <c r="AA63" s="528" t="e">
        <f>'Aerospace Propulsion Division'!#REF!</f>
        <v>#REF!</v>
      </c>
      <c r="AB63" s="528" t="e">
        <f>'Aerospace Propulsion Division'!#REF!</f>
        <v>#REF!</v>
      </c>
      <c r="AC63" s="528" t="e">
        <f>'Aerospace Propulsion Division'!#REF!</f>
        <v>#REF!</v>
      </c>
      <c r="AD63" s="528" t="e">
        <f>'Aerospace Propulsion Division'!#REF!</f>
        <v>#REF!</v>
      </c>
      <c r="AE63" s="528" t="e">
        <f>'Aerospace Propulsion Division'!#REF!</f>
        <v>#REF!</v>
      </c>
      <c r="AF63" s="528" t="e">
        <f>'Aerospace Propulsion Division'!#REF!</f>
        <v>#REF!</v>
      </c>
      <c r="AG63" s="528" t="e">
        <f>'Aerospace Propulsion Division'!#REF!</f>
        <v>#REF!</v>
      </c>
      <c r="AH63" s="528" t="e">
        <f>'Aerospace Propulsion Division'!#REF!</f>
        <v>#REF!</v>
      </c>
      <c r="AO63" s="527"/>
      <c r="AP63" s="526" t="s">
        <v>1497</v>
      </c>
      <c r="AR63" s="449"/>
      <c r="AS63" s="449"/>
      <c r="BA63" s="232"/>
      <c r="BB63" s="232"/>
      <c r="BC63" s="232"/>
      <c r="BD63" s="232"/>
      <c r="BE63" s="232"/>
      <c r="BF63" s="232"/>
      <c r="BG63" s="232"/>
      <c r="BH63" s="232"/>
      <c r="BI63" s="232"/>
      <c r="BJ63" s="232"/>
      <c r="BK63" s="232"/>
      <c r="BL63" s="232"/>
      <c r="BM63" s="232"/>
      <c r="BN63" s="232"/>
      <c r="BO63" s="232"/>
      <c r="BP63" s="232"/>
      <c r="BQ63" s="232"/>
      <c r="BR63" s="232"/>
      <c r="BS63" s="232"/>
      <c r="BT63" s="232"/>
      <c r="BU63" s="232"/>
      <c r="BV63" s="232"/>
      <c r="BW63" s="232"/>
      <c r="BX63" s="232"/>
      <c r="BY63" s="232"/>
      <c r="BZ63" s="232"/>
      <c r="CA63" s="232"/>
      <c r="CB63" s="232"/>
      <c r="CC63" s="232"/>
      <c r="CD63" s="232"/>
      <c r="CE63" s="232"/>
      <c r="CF63" s="232"/>
      <c r="CG63" s="232"/>
      <c r="CH63" s="232"/>
      <c r="CI63" s="232"/>
      <c r="CJ63" s="232"/>
      <c r="CK63" s="232"/>
      <c r="CL63" s="232"/>
      <c r="CM63" s="232"/>
      <c r="CN63" s="232"/>
      <c r="CO63" s="232"/>
      <c r="CR63" s="232"/>
      <c r="CS63" s="232"/>
      <c r="CT63" s="232"/>
      <c r="CU63" s="232"/>
      <c r="CV63" s="232"/>
      <c r="CW63" s="232"/>
      <c r="CX63" s="232"/>
      <c r="CY63" s="232"/>
      <c r="CZ63" s="232"/>
      <c r="DA63" s="232"/>
      <c r="DB63" s="232"/>
      <c r="DC63" s="232"/>
      <c r="DD63" s="232"/>
      <c r="DE63" s="232"/>
      <c r="DF63" s="232"/>
      <c r="DG63" s="232"/>
      <c r="DH63" s="232"/>
      <c r="DI63" s="232"/>
      <c r="DJ63" s="232"/>
      <c r="DK63" s="232"/>
      <c r="DL63" s="232"/>
      <c r="DM63" s="232"/>
      <c r="DN63" s="232"/>
      <c r="DO63" s="232"/>
      <c r="DP63" s="232"/>
      <c r="DQ63" s="232"/>
      <c r="DR63" s="232"/>
      <c r="DS63" s="232"/>
      <c r="DT63" s="232"/>
      <c r="DU63" s="232"/>
      <c r="DV63" s="232"/>
      <c r="DW63" s="232"/>
      <c r="DX63" s="232"/>
      <c r="DY63" s="232"/>
      <c r="DZ63" s="232"/>
      <c r="EA63" s="232"/>
      <c r="EB63" s="232"/>
      <c r="EC63" s="232"/>
      <c r="ED63" s="232"/>
      <c r="EE63" s="232"/>
      <c r="EF63" s="232"/>
      <c r="EG63" s="232"/>
      <c r="EH63" s="232"/>
      <c r="EI63" s="232"/>
      <c r="EJ63" s="232"/>
      <c r="EK63" s="232"/>
      <c r="EL63" s="232"/>
      <c r="EM63" s="232"/>
      <c r="EN63" s="232"/>
      <c r="EO63" s="232"/>
      <c r="EP63" s="232"/>
      <c r="EQ63" s="232"/>
      <c r="ER63" s="232"/>
      <c r="ES63" s="232"/>
      <c r="ET63" s="232"/>
      <c r="EU63" s="232"/>
      <c r="EV63" s="232"/>
      <c r="EW63" s="232"/>
      <c r="EX63" s="232"/>
      <c r="EY63" s="232"/>
      <c r="EZ63" s="232"/>
      <c r="FA63" s="232"/>
      <c r="FB63" s="232"/>
      <c r="FC63" s="232"/>
      <c r="FM63" s="774"/>
      <c r="FN63" s="774"/>
      <c r="FO63" s="774"/>
      <c r="FP63" s="774"/>
      <c r="FQ63" s="774"/>
      <c r="FR63" s="774"/>
      <c r="FS63" s="774"/>
      <c r="FT63" s="774"/>
      <c r="FU63" s="774"/>
    </row>
    <row r="64" spans="3:177" s="57" customFormat="1">
      <c r="C64" s="1206" t="s">
        <v>1829</v>
      </c>
      <c r="L64" s="229"/>
      <c r="M64" s="230"/>
      <c r="N64" s="230"/>
      <c r="O64" s="1207"/>
      <c r="P64" s="1208"/>
      <c r="Q64" s="1208"/>
      <c r="R64" s="1208"/>
      <c r="S64" s="1208"/>
      <c r="T64" s="1208"/>
      <c r="U64" s="1208"/>
      <c r="V64" s="1208"/>
      <c r="W64" s="1208">
        <f t="shared" ref="W64:AH64" si="22">W59/V59-1</f>
        <v>0.1120000000000001</v>
      </c>
      <c r="X64" s="1208">
        <f t="shared" si="22"/>
        <v>-0.48599999999999999</v>
      </c>
      <c r="Y64" s="1208">
        <f t="shared" si="22"/>
        <v>3.6000000000000032E-2</v>
      </c>
      <c r="Z64" s="1208">
        <f t="shared" si="22"/>
        <v>0.43199999999999994</v>
      </c>
      <c r="AA64" s="1208">
        <f t="shared" si="22"/>
        <v>0.30899999999999994</v>
      </c>
      <c r="AB64" s="1208">
        <f t="shared" si="22"/>
        <v>0.16500000000000004</v>
      </c>
      <c r="AC64" s="1208">
        <f t="shared" si="22"/>
        <v>0.1832842541739117</v>
      </c>
      <c r="AD64" s="1208">
        <f t="shared" si="22"/>
        <v>0.13487136769692554</v>
      </c>
      <c r="AE64" s="1208">
        <f t="shared" si="22"/>
        <v>3.6090627047374868E-2</v>
      </c>
      <c r="AF64" s="1208">
        <f t="shared" si="22"/>
        <v>3.4411472713746782E-3</v>
      </c>
      <c r="AG64" s="1208">
        <f t="shared" si="22"/>
        <v>-2.2864265996851318E-2</v>
      </c>
      <c r="AH64" s="1208">
        <f t="shared" si="22"/>
        <v>-3.1766735205782326E-2</v>
      </c>
      <c r="AO64" s="1209"/>
      <c r="AP64" s="1210"/>
      <c r="AR64" s="523"/>
      <c r="AS64" s="523"/>
      <c r="BA64" s="1207"/>
      <c r="BB64" s="1207"/>
      <c r="BC64" s="1207"/>
      <c r="BD64" s="1207"/>
      <c r="BE64" s="1207"/>
      <c r="BF64" s="1207"/>
      <c r="BG64" s="1207"/>
      <c r="BH64" s="1207"/>
      <c r="BI64" s="1207"/>
      <c r="BJ64" s="1207"/>
      <c r="BK64" s="1207"/>
      <c r="BL64" s="1207"/>
      <c r="BM64" s="1207"/>
      <c r="BN64" s="1207"/>
      <c r="BO64" s="1207"/>
      <c r="BP64" s="1207"/>
      <c r="BQ64" s="1207"/>
      <c r="BR64" s="1207"/>
      <c r="BS64" s="1207"/>
      <c r="BT64" s="1207"/>
      <c r="BU64" s="1207"/>
      <c r="BV64" s="1207"/>
      <c r="BW64" s="1207"/>
      <c r="BX64" s="1207"/>
      <c r="BY64" s="1207"/>
      <c r="BZ64" s="1207"/>
      <c r="CA64" s="1207"/>
      <c r="CB64" s="1207"/>
      <c r="CC64" s="1207"/>
      <c r="CD64" s="1207"/>
      <c r="CE64" s="1207"/>
      <c r="CF64" s="1207"/>
      <c r="CG64" s="1207"/>
      <c r="CH64" s="1207"/>
      <c r="CI64" s="1207"/>
      <c r="CJ64" s="1207"/>
      <c r="CK64" s="1207"/>
      <c r="CL64" s="1207"/>
      <c r="CM64" s="1207"/>
      <c r="CN64" s="1207"/>
      <c r="CO64" s="1207"/>
      <c r="CR64" s="1207"/>
      <c r="CS64" s="1207"/>
      <c r="CT64" s="1207"/>
      <c r="CU64" s="1207"/>
      <c r="CV64" s="1207"/>
      <c r="CW64" s="1207"/>
      <c r="CX64" s="1207"/>
      <c r="CY64" s="1207"/>
      <c r="CZ64" s="1207"/>
      <c r="DA64" s="1207"/>
      <c r="DB64" s="1207"/>
      <c r="DC64" s="1207"/>
      <c r="DD64" s="1207"/>
      <c r="DE64" s="1207"/>
      <c r="DF64" s="1207"/>
      <c r="DG64" s="1207"/>
      <c r="DH64" s="1207"/>
      <c r="DI64" s="1207"/>
      <c r="DJ64" s="1207"/>
      <c r="DK64" s="1207"/>
      <c r="DL64" s="1207"/>
      <c r="DM64" s="1207"/>
      <c r="DN64" s="1207"/>
      <c r="DO64" s="1207"/>
      <c r="DP64" s="1207"/>
      <c r="DQ64" s="1207"/>
      <c r="DR64" s="1207"/>
      <c r="DS64" s="1207"/>
      <c r="DT64" s="1207"/>
      <c r="DU64" s="1207"/>
      <c r="DV64" s="1207"/>
      <c r="DW64" s="1207"/>
      <c r="DX64" s="1207"/>
      <c r="DY64" s="1207"/>
      <c r="DZ64" s="1207"/>
      <c r="EA64" s="1207"/>
      <c r="EB64" s="1207"/>
      <c r="EC64" s="1207"/>
      <c r="ED64" s="1207"/>
      <c r="EE64" s="1207"/>
      <c r="EF64" s="1207"/>
      <c r="EG64" s="1207"/>
      <c r="EH64" s="1207"/>
      <c r="EI64" s="1207"/>
      <c r="EJ64" s="1207"/>
      <c r="EK64" s="1207"/>
      <c r="EL64" s="1207"/>
      <c r="EM64" s="1207"/>
      <c r="EN64" s="1207"/>
      <c r="EO64" s="1207"/>
      <c r="EP64" s="1207"/>
      <c r="EQ64" s="1207"/>
      <c r="ER64" s="341" t="e">
        <f>'Aerospace Propulsion Division'!#REF!</f>
        <v>#REF!</v>
      </c>
      <c r="ES64" s="341" t="e">
        <f>'Aerospace Propulsion Division'!#REF!</f>
        <v>#REF!</v>
      </c>
      <c r="ET64" s="341" t="e">
        <f>'Aerospace Propulsion Division'!#REF!</f>
        <v>#REF!</v>
      </c>
      <c r="EU64" s="341" t="e">
        <f>'Aerospace Propulsion Division'!#REF!</f>
        <v>#REF!</v>
      </c>
      <c r="EV64" s="341" t="e">
        <f>'Aerospace Propulsion Division'!#REF!</f>
        <v>#REF!</v>
      </c>
      <c r="EW64" s="341" t="e">
        <f>'Aerospace Propulsion Division'!#REF!</f>
        <v>#REF!</v>
      </c>
      <c r="EX64" s="341" t="e">
        <f>'Aerospace Propulsion Division'!#REF!</f>
        <v>#REF!</v>
      </c>
      <c r="EY64" s="341" t="e">
        <f>'Aerospace Propulsion Division'!#REF!</f>
        <v>#REF!</v>
      </c>
      <c r="EZ64" s="341" t="e">
        <f>'Aerospace Propulsion Division'!#REF!</f>
        <v>#REF!</v>
      </c>
      <c r="FA64" s="341" t="e">
        <f>'Aerospace Propulsion Division'!#REF!</f>
        <v>#REF!</v>
      </c>
      <c r="FB64" s="341" t="e">
        <f>'Aerospace Propulsion Division'!#REF!</f>
        <v>#REF!</v>
      </c>
      <c r="FC64" s="341" t="e">
        <f>'Aerospace Propulsion Division'!#REF!</f>
        <v>#REF!</v>
      </c>
      <c r="FM64" s="775"/>
      <c r="FN64" s="775"/>
      <c r="FO64" s="775"/>
      <c r="FP64" s="775"/>
      <c r="FQ64" s="775"/>
      <c r="FR64" s="775"/>
      <c r="FS64" s="775"/>
      <c r="FT64" s="775"/>
      <c r="FU64" s="775"/>
    </row>
    <row r="65" spans="3:177" s="57" customFormat="1">
      <c r="C65" s="1206" t="s">
        <v>1830</v>
      </c>
      <c r="L65" s="229"/>
      <c r="M65" s="230"/>
      <c r="N65" s="230"/>
      <c r="O65" s="1207"/>
      <c r="P65" s="1208"/>
      <c r="Q65" s="1208"/>
      <c r="R65" s="1208"/>
      <c r="S65" s="1208"/>
      <c r="T65" s="1208"/>
      <c r="U65" s="1208"/>
      <c r="V65" s="1208"/>
      <c r="W65" s="1208">
        <f t="shared" ref="W65:AH65" si="23">W60/V60-1</f>
        <v>7.2000000000000064E-2</v>
      </c>
      <c r="X65" s="1208">
        <f t="shared" si="23"/>
        <v>-0.30699999999999994</v>
      </c>
      <c r="Y65" s="1208">
        <f t="shared" si="23"/>
        <v>0.12999999999999989</v>
      </c>
      <c r="Z65" s="1208">
        <f t="shared" si="23"/>
        <v>7.8000000000000069E-2</v>
      </c>
      <c r="AA65" s="1208">
        <f t="shared" si="23"/>
        <v>0.37000000000000011</v>
      </c>
      <c r="AB65" s="1208">
        <f t="shared" si="23"/>
        <v>0.37999999999999989</v>
      </c>
      <c r="AC65" s="1208">
        <f t="shared" si="23"/>
        <v>0.17576707594402041</v>
      </c>
      <c r="AD65" s="1208">
        <f t="shared" si="23"/>
        <v>0.23706696955979911</v>
      </c>
      <c r="AE65" s="1208">
        <f t="shared" si="23"/>
        <v>0.2315184248728559</v>
      </c>
      <c r="AF65" s="1208">
        <f t="shared" si="23"/>
        <v>0.1942402017546454</v>
      </c>
      <c r="AG65" s="1208">
        <f t="shared" si="23"/>
        <v>8.7772597882871617E-2</v>
      </c>
      <c r="AH65" s="1208">
        <f t="shared" si="23"/>
        <v>8.9097990941571892E-2</v>
      </c>
      <c r="AO65" s="1209"/>
      <c r="AP65" s="1210"/>
      <c r="AR65" s="523"/>
      <c r="AS65" s="523"/>
      <c r="BA65" s="1207"/>
      <c r="BB65" s="1207"/>
      <c r="BC65" s="1207"/>
      <c r="BD65" s="1207"/>
      <c r="BE65" s="1207"/>
      <c r="BF65" s="1207"/>
      <c r="BG65" s="1207"/>
      <c r="BH65" s="1207"/>
      <c r="BI65" s="1207"/>
      <c r="BJ65" s="1207"/>
      <c r="BK65" s="1207"/>
      <c r="BL65" s="1207"/>
      <c r="BM65" s="1207"/>
      <c r="BN65" s="1207"/>
      <c r="BO65" s="1207"/>
      <c r="BP65" s="1207"/>
      <c r="BQ65" s="1207"/>
      <c r="BR65" s="1207"/>
      <c r="BS65" s="1207"/>
      <c r="BT65" s="1207"/>
      <c r="BU65" s="1207"/>
      <c r="BV65" s="1207"/>
      <c r="BW65" s="1207"/>
      <c r="BX65" s="1207"/>
      <c r="BY65" s="1207"/>
      <c r="BZ65" s="1207"/>
      <c r="CA65" s="1207"/>
      <c r="CB65" s="1207"/>
      <c r="CC65" s="1207"/>
      <c r="CD65" s="1207"/>
      <c r="CE65" s="1207"/>
      <c r="CF65" s="1207"/>
      <c r="CG65" s="1207"/>
      <c r="CH65" s="1207"/>
      <c r="CI65" s="1207"/>
      <c r="CJ65" s="1207"/>
      <c r="CK65" s="1207"/>
      <c r="CL65" s="1207"/>
      <c r="CM65" s="1207"/>
      <c r="CN65" s="1207"/>
      <c r="CO65" s="1207"/>
      <c r="CR65" s="1207"/>
      <c r="CS65" s="1207"/>
      <c r="CT65" s="1207"/>
      <c r="CU65" s="1207"/>
      <c r="CV65" s="1207"/>
      <c r="CW65" s="1207"/>
      <c r="CX65" s="1207"/>
      <c r="CY65" s="1207"/>
      <c r="CZ65" s="1207"/>
      <c r="DA65" s="1207"/>
      <c r="DB65" s="1207"/>
      <c r="DC65" s="1207"/>
      <c r="DD65" s="1207"/>
      <c r="DE65" s="1207"/>
      <c r="DF65" s="1207"/>
      <c r="DG65" s="1207"/>
      <c r="DH65" s="1207"/>
      <c r="DI65" s="1207"/>
      <c r="DJ65" s="1207"/>
      <c r="DK65" s="1207"/>
      <c r="DL65" s="1207"/>
      <c r="DM65" s="1207"/>
      <c r="DN65" s="1207"/>
      <c r="DO65" s="1207"/>
      <c r="DP65" s="1207"/>
      <c r="DQ65" s="1207"/>
      <c r="DR65" s="1207"/>
      <c r="DS65" s="1207"/>
      <c r="DT65" s="1207"/>
      <c r="DU65" s="1207"/>
      <c r="DV65" s="1207"/>
      <c r="DW65" s="1207"/>
      <c r="DX65" s="1207"/>
      <c r="DY65" s="1207"/>
      <c r="DZ65" s="1207"/>
      <c r="EA65" s="1207"/>
      <c r="EB65" s="1207"/>
      <c r="EC65" s="1207"/>
      <c r="ED65" s="1207"/>
      <c r="EE65" s="1207"/>
      <c r="EF65" s="1207"/>
      <c r="EG65" s="1207"/>
      <c r="EH65" s="1207"/>
      <c r="EI65" s="1207"/>
      <c r="EJ65" s="1207"/>
      <c r="EK65" s="1207"/>
      <c r="EL65" s="1207"/>
      <c r="EM65" s="1207"/>
      <c r="EN65" s="1207"/>
      <c r="EO65" s="1207"/>
      <c r="EP65" s="1207"/>
      <c r="EQ65" s="1207"/>
      <c r="ER65" s="341" t="e">
        <f>'Aerospace Propulsion Division'!#REF!</f>
        <v>#REF!</v>
      </c>
      <c r="ES65" s="341" t="e">
        <f>'Aerospace Propulsion Division'!#REF!</f>
        <v>#REF!</v>
      </c>
      <c r="ET65" s="341" t="e">
        <f>'Aerospace Propulsion Division'!#REF!</f>
        <v>#REF!</v>
      </c>
      <c r="EU65" s="341" t="e">
        <f>'Aerospace Propulsion Division'!#REF!</f>
        <v>#REF!</v>
      </c>
      <c r="EV65" s="341" t="e">
        <f>'Aerospace Propulsion Division'!#REF!</f>
        <v>#REF!</v>
      </c>
      <c r="EW65" s="341" t="e">
        <f>'Aerospace Propulsion Division'!#REF!</f>
        <v>#REF!</v>
      </c>
      <c r="EX65" s="341" t="e">
        <f>'Aerospace Propulsion Division'!#REF!</f>
        <v>#REF!</v>
      </c>
      <c r="EY65" s="341" t="e">
        <f>'Aerospace Propulsion Division'!#REF!</f>
        <v>#REF!</v>
      </c>
      <c r="EZ65" s="341" t="e">
        <f>'Aerospace Propulsion Division'!#REF!</f>
        <v>#REF!</v>
      </c>
      <c r="FA65" s="341" t="e">
        <f>'Aerospace Propulsion Division'!#REF!</f>
        <v>#REF!</v>
      </c>
      <c r="FB65" s="341" t="e">
        <f>'Aerospace Propulsion Division'!#REF!</f>
        <v>#REF!</v>
      </c>
      <c r="FC65" s="341" t="e">
        <f>'Aerospace Propulsion Division'!#REF!</f>
        <v>#REF!</v>
      </c>
      <c r="FM65" s="775"/>
      <c r="FN65" s="775"/>
      <c r="FO65" s="775"/>
      <c r="FP65" s="775"/>
      <c r="FQ65" s="775"/>
      <c r="FR65" s="775"/>
      <c r="FS65" s="775"/>
      <c r="FT65" s="775"/>
      <c r="FU65" s="775"/>
    </row>
    <row r="66" spans="3:177" outlineLevel="1">
      <c r="C66" s="19"/>
      <c r="P66" s="343"/>
      <c r="Q66" s="343"/>
      <c r="R66" s="343"/>
      <c r="S66" s="343"/>
      <c r="T66" s="343"/>
      <c r="U66" s="343"/>
      <c r="V66" s="343"/>
      <c r="W66" s="343"/>
      <c r="X66" s="343"/>
      <c r="Y66" s="343"/>
      <c r="Z66" s="343"/>
      <c r="AA66" s="343"/>
      <c r="AB66" s="343"/>
      <c r="AC66" s="343"/>
      <c r="AD66" s="343"/>
      <c r="AE66" s="343"/>
      <c r="AF66" s="343"/>
      <c r="AG66" s="343"/>
      <c r="AH66" s="343"/>
      <c r="AO66" s="338"/>
      <c r="AP66" s="449"/>
      <c r="AR66" s="449"/>
      <c r="AS66" s="449"/>
      <c r="BA66" s="372"/>
      <c r="BB66" s="372"/>
      <c r="BC66" s="372"/>
      <c r="BD66" s="372"/>
      <c r="BE66" s="372"/>
      <c r="BF66" s="372"/>
      <c r="BG66" s="372"/>
      <c r="BH66" s="372"/>
      <c r="BI66" s="372"/>
      <c r="BJ66" s="372"/>
      <c r="BK66" s="372"/>
      <c r="BL66" s="372"/>
      <c r="BM66" s="372"/>
      <c r="BN66" s="372"/>
      <c r="BO66" s="372"/>
      <c r="BP66" s="372"/>
      <c r="BQ66" s="372"/>
      <c r="BR66" s="372"/>
      <c r="BS66" s="372"/>
      <c r="BT66" s="372"/>
      <c r="BU66" s="372"/>
      <c r="BV66" s="372"/>
      <c r="BW66" s="372"/>
      <c r="BX66" s="372"/>
      <c r="BY66" s="372"/>
      <c r="BZ66" s="372"/>
      <c r="CA66" s="372"/>
      <c r="CB66" s="372"/>
      <c r="CC66" s="372"/>
      <c r="CD66" s="372"/>
      <c r="CE66" s="372"/>
      <c r="CF66" s="372"/>
      <c r="CG66" s="372"/>
      <c r="CH66" s="372"/>
      <c r="CI66" s="372"/>
      <c r="CJ66" s="372"/>
      <c r="CK66" s="372"/>
      <c r="CL66" s="372"/>
      <c r="CM66" s="372"/>
      <c r="CN66" s="372"/>
      <c r="CO66" s="372"/>
      <c r="CR66" s="372"/>
      <c r="CS66" s="372"/>
      <c r="CT66" s="372"/>
      <c r="CU66" s="372"/>
      <c r="CV66" s="372"/>
      <c r="CW66" s="372"/>
      <c r="CX66" s="372"/>
      <c r="CY66" s="372"/>
      <c r="CZ66" s="372"/>
      <c r="DA66" s="372"/>
      <c r="DB66" s="372"/>
      <c r="DC66" s="372"/>
      <c r="DD66" s="372"/>
      <c r="DE66" s="372"/>
      <c r="DF66" s="372"/>
      <c r="DG66" s="372"/>
      <c r="DH66" s="372"/>
      <c r="DI66" s="372"/>
      <c r="DJ66" s="372"/>
      <c r="DK66" s="372"/>
      <c r="DL66" s="372"/>
      <c r="DM66" s="372"/>
      <c r="DN66" s="372"/>
      <c r="DO66" s="372"/>
      <c r="DP66" s="372"/>
      <c r="DQ66" s="372"/>
      <c r="DR66" s="372"/>
      <c r="DS66" s="372"/>
      <c r="DT66" s="372"/>
      <c r="DU66" s="372"/>
      <c r="DV66" s="372"/>
      <c r="DW66" s="372"/>
      <c r="DX66" s="372"/>
      <c r="DY66" s="372"/>
      <c r="DZ66" s="372"/>
      <c r="EA66" s="372"/>
      <c r="EB66" s="372"/>
      <c r="EC66" s="372"/>
      <c r="ED66" s="372"/>
      <c r="EE66" s="372"/>
      <c r="EF66" s="372"/>
      <c r="EG66" s="372"/>
      <c r="EH66" s="372"/>
      <c r="EI66" s="372"/>
      <c r="EJ66" s="372"/>
      <c r="EK66" s="372"/>
      <c r="EL66" s="372"/>
      <c r="EM66" s="372"/>
      <c r="EN66" s="372"/>
      <c r="EO66" s="372"/>
      <c r="EP66" s="372"/>
      <c r="EQ66" s="372"/>
      <c r="ER66" s="372"/>
      <c r="ES66" s="372"/>
      <c r="ET66" s="372"/>
      <c r="EU66" s="372"/>
      <c r="EV66" s="372"/>
      <c r="EW66" s="372"/>
      <c r="EX66" s="372"/>
      <c r="EY66" s="372"/>
      <c r="EZ66" s="372"/>
      <c r="FA66" s="372"/>
      <c r="FB66" s="372"/>
      <c r="FC66" s="372"/>
      <c r="FM66" s="774"/>
      <c r="FN66" s="774"/>
      <c r="FO66" s="774"/>
      <c r="FP66" s="774"/>
      <c r="FQ66" s="774"/>
      <c r="FR66" s="774"/>
      <c r="FS66" s="774"/>
      <c r="FT66" s="774"/>
      <c r="FU66" s="774"/>
    </row>
    <row r="67" spans="3:177" outlineLevel="1">
      <c r="C67" s="19" t="s">
        <v>1498</v>
      </c>
      <c r="L67" s="208"/>
      <c r="M67" s="211"/>
      <c r="N67" s="211"/>
      <c r="O67" s="211"/>
      <c r="P67" s="233">
        <f>'Income Statement'!N$155</f>
        <v>1.2855785440613019</v>
      </c>
      <c r="Q67" s="233">
        <f>'Income Statement'!O$155</f>
        <v>1.3283</v>
      </c>
      <c r="R67" s="233">
        <f>'Income Statement'!P$155</f>
        <v>1.2839400000000001</v>
      </c>
      <c r="S67" s="233">
        <f>'Income Statement'!Q$155</f>
        <v>1.20086</v>
      </c>
      <c r="T67" s="233">
        <f>'Income Statement'!R$155</f>
        <v>1.1933450000000001</v>
      </c>
      <c r="U67" s="233">
        <f>'Income Statement'!S$155</f>
        <v>1.1818949999999999</v>
      </c>
      <c r="V67" s="233">
        <f>'Income Statement'!T$155</f>
        <v>1.18028</v>
      </c>
      <c r="W67" s="233">
        <f>'Income Statement'!U$155</f>
        <v>1.159077672574627</v>
      </c>
      <c r="X67" s="233">
        <f>'Income Statement'!V$155</f>
        <v>1.1490638246268656</v>
      </c>
      <c r="Y67" s="233">
        <f>'Income Statement'!W$155</f>
        <v>1.1713242788461544</v>
      </c>
      <c r="Z67" s="233">
        <f>'Income Statement'!X$155</f>
        <v>1.1065795550914248</v>
      </c>
      <c r="AA67" s="233">
        <f>'Income Statement'!Y$155</f>
        <v>1.1105369302909465</v>
      </c>
      <c r="AB67" s="233">
        <f>'Income Statement'!Z$155</f>
        <v>1.1083231112074399</v>
      </c>
      <c r="AC67" s="233">
        <f>'Income Statement'!AA$155</f>
        <v>1.1207295968584789</v>
      </c>
      <c r="AD67" s="233">
        <f>'Income Statement'!AB$155</f>
        <v>1.1426415000000001</v>
      </c>
      <c r="AE67" s="233">
        <f>'Income Statement'!AC$155</f>
        <v>1.1426415000000001</v>
      </c>
      <c r="AF67" s="233">
        <f>'Income Statement'!AD$155</f>
        <v>1.1426415000000001</v>
      </c>
      <c r="AG67" s="233">
        <f>'Income Statement'!AE$155</f>
        <v>1.1426415000000001</v>
      </c>
      <c r="AH67" s="233">
        <f>'Income Statement'!AF$155</f>
        <v>1.1426415000000001</v>
      </c>
      <c r="AO67" s="338"/>
      <c r="AP67" s="449"/>
      <c r="AR67" s="449"/>
      <c r="AS67" s="449"/>
      <c r="BA67" s="233"/>
      <c r="BB67" s="233"/>
      <c r="BC67" s="233"/>
      <c r="BD67" s="233"/>
      <c r="BE67" s="233"/>
      <c r="BF67" s="233"/>
      <c r="BG67" s="233"/>
      <c r="BH67" s="233"/>
      <c r="BI67" s="233"/>
      <c r="BJ67" s="233"/>
      <c r="BK67" s="233"/>
      <c r="BL67" s="233"/>
      <c r="BM67" s="233"/>
      <c r="BN67" s="233"/>
      <c r="BO67" s="233"/>
      <c r="BP67" s="233"/>
      <c r="BQ67" s="233"/>
      <c r="BR67" s="233"/>
      <c r="BS67" s="233"/>
      <c r="BT67" s="233"/>
      <c r="BU67" s="233"/>
      <c r="BV67" s="233"/>
      <c r="BW67" s="233"/>
      <c r="BX67" s="233"/>
      <c r="BY67" s="233"/>
      <c r="BZ67" s="233"/>
      <c r="CA67" s="233"/>
      <c r="CB67" s="233"/>
      <c r="CC67" s="233"/>
      <c r="CD67" s="233"/>
      <c r="CE67" s="233"/>
      <c r="CF67" s="233"/>
      <c r="CG67" s="233"/>
      <c r="CH67" s="233"/>
      <c r="CI67" s="233"/>
      <c r="CJ67" s="233"/>
      <c r="CK67" s="233"/>
      <c r="CL67" s="233"/>
      <c r="CM67" s="233"/>
      <c r="CN67" s="233"/>
      <c r="CO67" s="233"/>
      <c r="CR67" s="233"/>
      <c r="CS67" s="233"/>
      <c r="CT67" s="233"/>
      <c r="CU67" s="233"/>
      <c r="CV67" s="233"/>
      <c r="CW67" s="233"/>
      <c r="CX67" s="233"/>
      <c r="CY67" s="233"/>
      <c r="CZ67" s="233"/>
      <c r="DA67" s="233"/>
      <c r="DB67" s="233"/>
      <c r="DC67" s="233"/>
      <c r="DD67" s="233"/>
      <c r="DE67" s="233"/>
      <c r="DF67" s="233"/>
      <c r="DG67" s="233"/>
      <c r="DH67" s="233"/>
      <c r="DI67" s="233"/>
      <c r="DJ67" s="233"/>
      <c r="DK67" s="233"/>
      <c r="DL67" s="233"/>
      <c r="DM67" s="233"/>
      <c r="DN67" s="233"/>
      <c r="DO67" s="233"/>
      <c r="DP67" s="233"/>
      <c r="DQ67" s="233"/>
      <c r="DR67" s="233"/>
      <c r="DS67" s="233"/>
      <c r="DT67" s="233"/>
      <c r="DU67" s="233"/>
      <c r="DV67" s="233"/>
      <c r="DW67" s="233"/>
      <c r="DX67" s="233"/>
      <c r="DY67" s="233"/>
      <c r="DZ67" s="233"/>
      <c r="EA67" s="233"/>
      <c r="EB67" s="233"/>
      <c r="EC67" s="233"/>
      <c r="ED67" s="233"/>
      <c r="EE67" s="233"/>
      <c r="EF67" s="233"/>
      <c r="EG67" s="233"/>
      <c r="EH67" s="233"/>
      <c r="EI67" s="233"/>
      <c r="EJ67" s="233"/>
      <c r="EK67" s="233"/>
      <c r="EL67" s="233"/>
      <c r="EM67" s="233"/>
      <c r="EN67" s="233"/>
      <c r="EO67" s="233"/>
      <c r="EP67" s="233"/>
      <c r="EQ67" s="233"/>
      <c r="ER67" s="233"/>
      <c r="ES67" s="233"/>
      <c r="ET67" s="233"/>
      <c r="EU67" s="233"/>
      <c r="EV67" s="233"/>
      <c r="EW67" s="233"/>
      <c r="EX67" s="233"/>
      <c r="EY67" s="233"/>
      <c r="EZ67" s="233"/>
      <c r="FA67" s="233"/>
      <c r="FB67" s="233"/>
      <c r="FC67" s="233"/>
      <c r="FM67" s="774"/>
      <c r="FN67" s="774"/>
      <c r="FO67" s="774"/>
      <c r="FP67" s="774"/>
      <c r="FQ67" s="774"/>
      <c r="FR67" s="774"/>
      <c r="FS67" s="774"/>
      <c r="FT67" s="774"/>
      <c r="FU67" s="774"/>
    </row>
    <row r="68" spans="3:177" outlineLevel="1">
      <c r="C68" s="19" t="s">
        <v>1499</v>
      </c>
      <c r="L68" s="208"/>
      <c r="M68" s="211"/>
      <c r="N68" s="211"/>
      <c r="O68" s="211"/>
      <c r="P68" s="208"/>
      <c r="Q68" s="207">
        <f t="shared" ref="Q68:AH68" si="24">(1/Q67)/(1/P67)-1</f>
        <v>-3.2162505411953868E-2</v>
      </c>
      <c r="R68" s="207">
        <f t="shared" si="24"/>
        <v>3.4549901085720647E-2</v>
      </c>
      <c r="S68" s="207">
        <f t="shared" si="24"/>
        <v>6.9183751644654512E-2</v>
      </c>
      <c r="T68" s="207">
        <f t="shared" si="24"/>
        <v>6.2974244665205958E-3</v>
      </c>
      <c r="U68" s="207">
        <f t="shared" si="24"/>
        <v>9.6878318293927013E-3</v>
      </c>
      <c r="V68" s="207">
        <f t="shared" si="24"/>
        <v>1.3683193818416761E-3</v>
      </c>
      <c r="W68" s="207">
        <f t="shared" si="24"/>
        <v>1.8292412947854331E-2</v>
      </c>
      <c r="X68" s="207">
        <f t="shared" si="24"/>
        <v>8.7147882764591067E-3</v>
      </c>
      <c r="Y68" s="207">
        <f t="shared" si="24"/>
        <v>-1.9004518749681454E-2</v>
      </c>
      <c r="Z68" s="207">
        <f t="shared" si="24"/>
        <v>5.8508873995399613E-2</v>
      </c>
      <c r="AA68" s="207">
        <f t="shared" si="24"/>
        <v>-3.5634791528138532E-3</v>
      </c>
      <c r="AB68" s="207">
        <f t="shared" si="24"/>
        <v>1.9974491744512157E-3</v>
      </c>
      <c r="AC68" s="207">
        <f t="shared" si="24"/>
        <v>-1.1070008042810442E-2</v>
      </c>
      <c r="AD68" s="207">
        <f t="shared" si="24"/>
        <v>-1.9176533621018677E-2</v>
      </c>
      <c r="AE68" s="207">
        <f t="shared" si="24"/>
        <v>0</v>
      </c>
      <c r="AF68" s="207">
        <f t="shared" si="24"/>
        <v>0</v>
      </c>
      <c r="AG68" s="207">
        <f t="shared" si="24"/>
        <v>0</v>
      </c>
      <c r="AH68" s="207">
        <f t="shared" si="24"/>
        <v>0</v>
      </c>
      <c r="AO68" s="338"/>
      <c r="AP68" s="449"/>
      <c r="AR68" s="449"/>
      <c r="AS68" s="449"/>
      <c r="BA68" s="207"/>
      <c r="BB68" s="207"/>
      <c r="BC68" s="207"/>
      <c r="BD68" s="207"/>
      <c r="BE68" s="207"/>
      <c r="BF68" s="207"/>
      <c r="BG68" s="207"/>
      <c r="BH68" s="207"/>
      <c r="BI68" s="207"/>
      <c r="BJ68" s="207"/>
      <c r="BK68" s="207"/>
      <c r="BL68" s="207"/>
      <c r="BM68" s="207"/>
      <c r="BN68" s="207"/>
      <c r="BO68" s="207"/>
      <c r="BP68" s="207"/>
      <c r="BQ68" s="207"/>
      <c r="BR68" s="207"/>
      <c r="BS68" s="207"/>
      <c r="BT68" s="207"/>
      <c r="BU68" s="207"/>
      <c r="BV68" s="207"/>
      <c r="BW68" s="207"/>
      <c r="BX68" s="207"/>
      <c r="BY68" s="207"/>
      <c r="BZ68" s="207"/>
      <c r="CA68" s="207"/>
      <c r="CB68" s="207"/>
      <c r="CC68" s="207"/>
      <c r="CD68" s="207"/>
      <c r="CE68" s="207"/>
      <c r="CF68" s="207"/>
      <c r="CG68" s="207"/>
      <c r="CH68" s="207"/>
      <c r="CI68" s="207"/>
      <c r="CJ68" s="207"/>
      <c r="CK68" s="207"/>
      <c r="CL68" s="207"/>
      <c r="CM68" s="207"/>
      <c r="CN68" s="207"/>
      <c r="CO68" s="207"/>
      <c r="CR68" s="207"/>
      <c r="CS68" s="207"/>
      <c r="CT68" s="207"/>
      <c r="CU68" s="207"/>
      <c r="CV68" s="207"/>
      <c r="CW68" s="207"/>
      <c r="CX68" s="207"/>
      <c r="CY68" s="207"/>
      <c r="CZ68" s="207"/>
      <c r="DA68" s="207"/>
      <c r="DB68" s="207"/>
      <c r="DC68" s="207"/>
      <c r="DD68" s="207"/>
      <c r="DE68" s="207"/>
      <c r="DF68" s="207"/>
      <c r="DG68" s="207"/>
      <c r="DH68" s="207"/>
      <c r="DI68" s="207"/>
      <c r="DJ68" s="207"/>
      <c r="DK68" s="207"/>
      <c r="DL68" s="207"/>
      <c r="DM68" s="207"/>
      <c r="DN68" s="207"/>
      <c r="DO68" s="207"/>
      <c r="DP68" s="207"/>
      <c r="DQ68" s="207"/>
      <c r="DR68" s="207"/>
      <c r="DS68" s="207"/>
      <c r="DT68" s="207"/>
      <c r="DU68" s="207"/>
      <c r="DV68" s="207"/>
      <c r="DW68" s="207"/>
      <c r="DX68" s="207"/>
      <c r="DY68" s="207"/>
      <c r="DZ68" s="207"/>
      <c r="EA68" s="207"/>
      <c r="EB68" s="207"/>
      <c r="EC68" s="207"/>
      <c r="ED68" s="207"/>
      <c r="EE68" s="207"/>
      <c r="EF68" s="207"/>
      <c r="EG68" s="207"/>
      <c r="EH68" s="207"/>
      <c r="EI68" s="207"/>
      <c r="EJ68" s="207"/>
      <c r="EK68" s="207"/>
      <c r="EL68" s="207"/>
      <c r="EM68" s="207"/>
      <c r="EN68" s="207"/>
      <c r="EO68" s="207"/>
      <c r="EP68" s="207"/>
      <c r="EQ68" s="207"/>
      <c r="ER68" s="207"/>
      <c r="ES68" s="207"/>
      <c r="ET68" s="207"/>
      <c r="EU68" s="207"/>
      <c r="EV68" s="207"/>
      <c r="EW68" s="207"/>
      <c r="EX68" s="207"/>
      <c r="EY68" s="207"/>
      <c r="EZ68" s="207"/>
      <c r="FA68" s="207"/>
      <c r="FB68" s="207"/>
      <c r="FC68" s="207"/>
      <c r="FM68" s="774"/>
      <c r="FN68" s="774"/>
      <c r="FO68" s="774"/>
      <c r="FP68" s="774"/>
      <c r="FQ68" s="774"/>
      <c r="FR68" s="774"/>
      <c r="FS68" s="774"/>
      <c r="FT68" s="774"/>
      <c r="FU68" s="774"/>
    </row>
    <row r="69" spans="3:177" outlineLevel="1">
      <c r="C69" s="19"/>
      <c r="L69" s="208"/>
      <c r="M69" s="211"/>
      <c r="N69" s="211"/>
      <c r="O69" s="211"/>
      <c r="P69" s="208"/>
      <c r="Q69" s="207"/>
      <c r="R69" s="207"/>
      <c r="S69" s="207"/>
      <c r="T69" s="207"/>
      <c r="U69" s="207"/>
      <c r="V69" s="207"/>
      <c r="W69" s="207"/>
      <c r="X69" s="207"/>
      <c r="Y69" s="207"/>
      <c r="Z69" s="207"/>
      <c r="AA69" s="207"/>
      <c r="AB69" s="207"/>
      <c r="AC69" s="207"/>
      <c r="AD69" s="207"/>
      <c r="AE69" s="207"/>
      <c r="AF69" s="207"/>
      <c r="AG69" s="207"/>
      <c r="AH69" s="207"/>
      <c r="AO69" s="338"/>
      <c r="AP69" s="449"/>
      <c r="AR69" s="449"/>
      <c r="AS69" s="449"/>
      <c r="BA69" s="207"/>
      <c r="BB69" s="207"/>
      <c r="BC69" s="207"/>
      <c r="BD69" s="207"/>
      <c r="BE69" s="207"/>
      <c r="BF69" s="207"/>
      <c r="BG69" s="207"/>
      <c r="BH69" s="207"/>
      <c r="BI69" s="207"/>
      <c r="BJ69" s="207"/>
      <c r="BK69" s="207"/>
      <c r="BL69" s="207"/>
      <c r="BM69" s="207"/>
      <c r="BN69" s="207"/>
      <c r="BO69" s="207"/>
      <c r="BP69" s="207"/>
      <c r="BQ69" s="207"/>
      <c r="BR69" s="207"/>
      <c r="BS69" s="207"/>
      <c r="BT69" s="207"/>
      <c r="BU69" s="207"/>
      <c r="BV69" s="207"/>
      <c r="BW69" s="207"/>
      <c r="BX69" s="207"/>
      <c r="BY69" s="207"/>
      <c r="BZ69" s="207"/>
      <c r="CA69" s="207"/>
      <c r="CB69" s="207"/>
      <c r="CC69" s="207"/>
      <c r="CD69" s="207"/>
      <c r="CE69" s="207"/>
      <c r="CF69" s="207"/>
      <c r="CG69" s="207"/>
      <c r="CH69" s="207"/>
      <c r="CI69" s="207"/>
      <c r="CJ69" s="207"/>
      <c r="CK69" s="207"/>
      <c r="CL69" s="207"/>
      <c r="CM69" s="207"/>
      <c r="CN69" s="207"/>
      <c r="CO69" s="207"/>
      <c r="CR69" s="207"/>
      <c r="CS69" s="207"/>
      <c r="CT69" s="207"/>
      <c r="CU69" s="207"/>
      <c r="CV69" s="207"/>
      <c r="CW69" s="207"/>
      <c r="CX69" s="207"/>
      <c r="CY69" s="207"/>
      <c r="CZ69" s="207"/>
      <c r="DA69" s="207"/>
      <c r="DB69" s="207"/>
      <c r="DC69" s="207"/>
      <c r="DD69" s="207"/>
      <c r="DE69" s="207"/>
      <c r="DF69" s="207"/>
      <c r="DG69" s="207"/>
      <c r="DH69" s="207"/>
      <c r="DI69" s="207"/>
      <c r="DJ69" s="207"/>
      <c r="DK69" s="207"/>
      <c r="DL69" s="207"/>
      <c r="DM69" s="207"/>
      <c r="DN69" s="207"/>
      <c r="DO69" s="207"/>
      <c r="DP69" s="207"/>
      <c r="DQ69" s="207"/>
      <c r="DR69" s="207"/>
      <c r="DS69" s="207"/>
      <c r="DT69" s="207"/>
      <c r="DU69" s="207"/>
      <c r="DV69" s="207"/>
      <c r="DW69" s="207"/>
      <c r="DX69" s="207"/>
      <c r="DY69" s="207"/>
      <c r="DZ69" s="207"/>
      <c r="EA69" s="207"/>
      <c r="EB69" s="207"/>
      <c r="EC69" s="207"/>
      <c r="ED69" s="207"/>
      <c r="EE69" s="207"/>
      <c r="EF69" s="207"/>
      <c r="EG69" s="207"/>
      <c r="EH69" s="207"/>
      <c r="EI69" s="207"/>
      <c r="EJ69" s="207"/>
      <c r="EK69" s="207"/>
      <c r="EL69" s="207"/>
      <c r="EM69" s="207"/>
      <c r="EN69" s="207"/>
      <c r="EO69" s="207"/>
      <c r="EP69" s="207"/>
      <c r="EQ69" s="207"/>
      <c r="ER69" s="207"/>
      <c r="ES69" s="207"/>
      <c r="ET69" s="207"/>
      <c r="EU69" s="207"/>
      <c r="EV69" s="207"/>
      <c r="EW69" s="207"/>
      <c r="EX69" s="207"/>
      <c r="EY69" s="207"/>
      <c r="EZ69" s="207"/>
      <c r="FA69" s="207"/>
      <c r="FB69" s="207"/>
      <c r="FC69" s="207"/>
      <c r="FM69" s="774"/>
      <c r="FN69" s="774"/>
      <c r="FO69" s="774"/>
      <c r="FP69" s="774"/>
      <c r="FQ69" s="774"/>
      <c r="FR69" s="774"/>
      <c r="FS69" s="774"/>
      <c r="FT69" s="774"/>
      <c r="FU69" s="774"/>
    </row>
    <row r="70" spans="3:177" outlineLevel="1">
      <c r="C70" s="291" t="s">
        <v>1799</v>
      </c>
      <c r="P70" s="343">
        <f>'Aerospace Propulsion Division'!N111</f>
        <v>0</v>
      </c>
      <c r="Q70" s="343">
        <f>'Aerospace Propulsion Division'!O111</f>
        <v>0</v>
      </c>
      <c r="R70" s="343">
        <f>'Aerospace Propulsion Division'!P111</f>
        <v>0</v>
      </c>
      <c r="S70" s="343">
        <f>'Aerospace Propulsion Division'!Q111</f>
        <v>0</v>
      </c>
      <c r="T70" s="343">
        <f>'Aerospace Propulsion Division'!R111</f>
        <v>0</v>
      </c>
      <c r="U70" s="343">
        <f>'Aerospace Propulsion Division'!S111</f>
        <v>0</v>
      </c>
      <c r="V70" s="343">
        <f>'Aerospace Propulsion Division'!T111</f>
        <v>3006.7952359903725</v>
      </c>
      <c r="W70" s="343">
        <f>'Aerospace Propulsion Division'!U111</f>
        <v>3404.7180150195854</v>
      </c>
      <c r="X70" s="343">
        <f>'Aerospace Propulsion Division'!V111</f>
        <v>1765.2761575940251</v>
      </c>
      <c r="Y70" s="343">
        <f>'Aerospace Propulsion Division'!W111</f>
        <v>1794.070139373976</v>
      </c>
      <c r="Z70" s="343">
        <f>'Aerospace Propulsion Division'!X111</f>
        <v>2719.4240815556445</v>
      </c>
      <c r="AA70" s="343">
        <f>'Aerospace Propulsion Division'!Y111</f>
        <v>3547.0411129281697</v>
      </c>
      <c r="AB70" s="343">
        <f>'Aerospace Propulsion Division'!Z111</f>
        <v>4140.5569615706372</v>
      </c>
      <c r="AC70" s="343">
        <f>'Aerospace Propulsion Division'!AA111</f>
        <v>4845.2188404038807</v>
      </c>
      <c r="AD70" s="343">
        <f>'Aerospace Propulsion Division'!AB111</f>
        <v>5393.2541242430298</v>
      </c>
      <c r="AE70" s="343">
        <f>'Aerospace Propulsion Division'!AC111</f>
        <v>5587.9000474128015</v>
      </c>
      <c r="AF70" s="343">
        <f>'Aerospace Propulsion Division'!AD111</f>
        <v>5607.1288344136692</v>
      </c>
      <c r="AG70" s="343">
        <f>'Aerospace Propulsion Division'!AE111</f>
        <v>5478.9259492650208</v>
      </c>
      <c r="AH70" s="343">
        <f>'Aerospace Propulsion Division'!AF111</f>
        <v>5304.8783594226297</v>
      </c>
      <c r="AO70" s="338"/>
      <c r="AP70" s="449"/>
      <c r="AR70" s="449"/>
      <c r="AS70" s="449"/>
      <c r="BA70" s="343"/>
      <c r="BB70" s="343"/>
      <c r="BC70" s="343"/>
      <c r="BD70" s="343"/>
      <c r="BE70" s="343"/>
      <c r="BF70" s="343"/>
      <c r="BG70" s="343"/>
      <c r="BH70" s="343"/>
      <c r="BI70" s="343"/>
      <c r="BJ70" s="343"/>
      <c r="BK70" s="343"/>
      <c r="BL70" s="343"/>
      <c r="BM70" s="343"/>
      <c r="BN70" s="343"/>
      <c r="BO70" s="343"/>
      <c r="BP70" s="343"/>
      <c r="BQ70" s="343"/>
      <c r="BR70" s="343"/>
      <c r="BS70" s="343"/>
      <c r="BT70" s="343"/>
      <c r="BU70" s="343"/>
      <c r="BV70" s="343"/>
      <c r="BW70" s="343"/>
      <c r="BX70" s="343"/>
      <c r="BY70" s="343"/>
      <c r="BZ70" s="343"/>
      <c r="CA70" s="343"/>
      <c r="CB70" s="343"/>
      <c r="CC70" s="343"/>
      <c r="CD70" s="343"/>
      <c r="CE70" s="343"/>
      <c r="CF70" s="343"/>
      <c r="CG70" s="343"/>
      <c r="CH70" s="343"/>
      <c r="CI70" s="343"/>
      <c r="CJ70" s="343"/>
      <c r="CK70" s="343"/>
      <c r="CL70" s="343"/>
      <c r="CM70" s="343"/>
      <c r="CN70" s="343"/>
      <c r="CO70" s="343"/>
      <c r="CR70" s="343"/>
      <c r="CS70" s="343"/>
      <c r="CT70" s="343"/>
      <c r="CU70" s="343"/>
      <c r="CV70" s="343"/>
      <c r="CW70" s="343"/>
      <c r="CX70" s="343"/>
      <c r="CY70" s="343"/>
      <c r="CZ70" s="343"/>
      <c r="DA70" s="343"/>
      <c r="DB70" s="343"/>
      <c r="DC70" s="343"/>
      <c r="DD70" s="343"/>
      <c r="DE70" s="343"/>
      <c r="DF70" s="343"/>
      <c r="DG70" s="343"/>
      <c r="DH70" s="343"/>
      <c r="DI70" s="343"/>
      <c r="DJ70" s="343"/>
      <c r="DK70" s="343"/>
      <c r="DL70" s="343"/>
      <c r="DM70" s="343"/>
      <c r="DN70" s="343"/>
      <c r="DO70" s="343"/>
      <c r="DP70" s="343"/>
      <c r="DQ70" s="343"/>
      <c r="DR70" s="343"/>
      <c r="DS70" s="343"/>
      <c r="DT70" s="343"/>
      <c r="DU70" s="343"/>
      <c r="DV70" s="343"/>
      <c r="DW70" s="343"/>
      <c r="DX70" s="343"/>
      <c r="DY70" s="343"/>
      <c r="DZ70" s="343"/>
      <c r="EA70" s="343"/>
      <c r="EB70" s="343"/>
      <c r="EC70" s="343"/>
      <c r="ED70" s="343"/>
      <c r="EE70" s="343"/>
      <c r="EF70" s="343"/>
      <c r="EG70" s="343"/>
      <c r="EH70" s="343"/>
      <c r="EI70" s="343"/>
      <c r="EJ70" s="343"/>
      <c r="EK70" s="343"/>
      <c r="EL70" s="343"/>
      <c r="EM70" s="343"/>
      <c r="EN70" s="343"/>
      <c r="EO70" s="343"/>
      <c r="EP70" s="343"/>
      <c r="EQ70" s="343"/>
      <c r="ER70" s="343"/>
      <c r="ES70" s="343"/>
      <c r="ET70" s="343"/>
      <c r="EU70" s="343"/>
      <c r="EV70" s="343"/>
      <c r="EW70" s="343"/>
      <c r="EX70" s="343"/>
      <c r="EY70" s="343"/>
      <c r="EZ70" s="343"/>
      <c r="FA70" s="343"/>
      <c r="FB70" s="343"/>
      <c r="FC70" s="343"/>
      <c r="FM70" s="774"/>
      <c r="FN70" s="774"/>
      <c r="FO70" s="774"/>
      <c r="FP70" s="774"/>
      <c r="FQ70" s="774"/>
      <c r="FR70" s="774"/>
      <c r="FS70" s="774"/>
      <c r="FT70" s="774"/>
      <c r="FU70" s="774"/>
    </row>
    <row r="71" spans="3:177" outlineLevel="1">
      <c r="C71" s="291" t="s">
        <v>1023</v>
      </c>
      <c r="P71" s="343">
        <f>'Aerospace Propulsion Division'!N112</f>
        <v>0</v>
      </c>
      <c r="Q71" s="343">
        <f>'Aerospace Propulsion Division'!O112</f>
        <v>0</v>
      </c>
      <c r="R71" s="343">
        <f>'Aerospace Propulsion Division'!P112</f>
        <v>0</v>
      </c>
      <c r="S71" s="343">
        <f>'Aerospace Propulsion Division'!Q112</f>
        <v>0</v>
      </c>
      <c r="T71" s="343">
        <f>'Aerospace Propulsion Division'!R112</f>
        <v>0</v>
      </c>
      <c r="U71" s="343">
        <f>'Aerospace Propulsion Division'!S112</f>
        <v>0</v>
      </c>
      <c r="V71" s="343">
        <f>'Aerospace Propulsion Division'!T112</f>
        <v>1494.7421660237187</v>
      </c>
      <c r="W71" s="343">
        <f>'Aerospace Propulsion Division'!U112</f>
        <v>1631.674698677409</v>
      </c>
      <c r="X71" s="343">
        <f>'Aerospace Propulsion Division'!V112</f>
        <v>1140.6048179612194</v>
      </c>
      <c r="Y71" s="343">
        <f>'Aerospace Propulsion Division'!W112</f>
        <v>1264.3888347128971</v>
      </c>
      <c r="Z71" s="343">
        <f>'Aerospace Propulsion Division'!X112</f>
        <v>1442.7594122588</v>
      </c>
      <c r="AA71" s="343">
        <f>'Aerospace Propulsion Division'!Y112</f>
        <v>1969.5368917638452</v>
      </c>
      <c r="AB71" s="343">
        <f>'Aerospace Propulsion Division'!Z112</f>
        <v>2723.3898994112433</v>
      </c>
      <c r="AC71" s="343">
        <f>'Aerospace Propulsion Division'!AA112</f>
        <v>3166.6252139145208</v>
      </c>
      <c r="AD71" s="343">
        <f>'Aerospace Propulsion Division'!AB112</f>
        <v>3842.2066954230991</v>
      </c>
      <c r="AE71" s="343">
        <f>'Aerospace Propulsion Division'!AC112</f>
        <v>4731.7483375833963</v>
      </c>
      <c r="AF71" s="343">
        <f>'Aerospace Propulsion Division'!AD112</f>
        <v>5650.844089327803</v>
      </c>
      <c r="AG71" s="343">
        <f>'Aerospace Propulsion Division'!AE112</f>
        <v>6146.8333552791737</v>
      </c>
      <c r="AH71" s="343">
        <f>'Aerospace Propulsion Division'!AF112</f>
        <v>6694.50385788719</v>
      </c>
      <c r="AO71" s="338"/>
      <c r="AP71" s="449"/>
      <c r="AR71" s="449"/>
      <c r="AS71" s="449"/>
      <c r="BA71" s="343"/>
      <c r="BB71" s="343"/>
      <c r="BC71" s="343"/>
      <c r="BD71" s="343"/>
      <c r="BE71" s="343"/>
      <c r="BF71" s="343"/>
      <c r="BG71" s="343"/>
      <c r="BH71" s="343"/>
      <c r="BI71" s="343"/>
      <c r="BJ71" s="343"/>
      <c r="BK71" s="343"/>
      <c r="BL71" s="343"/>
      <c r="BM71" s="343"/>
      <c r="BN71" s="343"/>
      <c r="BO71" s="343"/>
      <c r="BP71" s="343"/>
      <c r="BQ71" s="343"/>
      <c r="BR71" s="343"/>
      <c r="BS71" s="343"/>
      <c r="BT71" s="343"/>
      <c r="BU71" s="343"/>
      <c r="BV71" s="343"/>
      <c r="BW71" s="343"/>
      <c r="BX71" s="343"/>
      <c r="BY71" s="343"/>
      <c r="BZ71" s="343"/>
      <c r="CA71" s="343"/>
      <c r="CB71" s="343"/>
      <c r="CC71" s="343"/>
      <c r="CD71" s="343"/>
      <c r="CE71" s="343"/>
      <c r="CF71" s="343"/>
      <c r="CG71" s="343"/>
      <c r="CH71" s="343"/>
      <c r="CI71" s="343"/>
      <c r="CJ71" s="343"/>
      <c r="CK71" s="343"/>
      <c r="CL71" s="343"/>
      <c r="CM71" s="343"/>
      <c r="CN71" s="343"/>
      <c r="CO71" s="343"/>
      <c r="CR71" s="343"/>
      <c r="CS71" s="343"/>
      <c r="CT71" s="343"/>
      <c r="CU71" s="343"/>
      <c r="CV71" s="343"/>
      <c r="CW71" s="343"/>
      <c r="CX71" s="343"/>
      <c r="CY71" s="343"/>
      <c r="CZ71" s="343"/>
      <c r="DA71" s="343"/>
      <c r="DB71" s="343"/>
      <c r="DC71" s="343"/>
      <c r="DD71" s="343"/>
      <c r="DE71" s="343"/>
      <c r="DF71" s="343"/>
      <c r="DG71" s="343"/>
      <c r="DH71" s="343"/>
      <c r="DI71" s="343"/>
      <c r="DJ71" s="343"/>
      <c r="DK71" s="343"/>
      <c r="DL71" s="343"/>
      <c r="DM71" s="343"/>
      <c r="DN71" s="343"/>
      <c r="DO71" s="343"/>
      <c r="DP71" s="343"/>
      <c r="DQ71" s="343"/>
      <c r="DR71" s="343"/>
      <c r="DS71" s="343"/>
      <c r="DT71" s="343"/>
      <c r="DU71" s="343"/>
      <c r="DV71" s="343"/>
      <c r="DW71" s="343"/>
      <c r="DX71" s="343"/>
      <c r="DY71" s="343"/>
      <c r="DZ71" s="343"/>
      <c r="EA71" s="343"/>
      <c r="EB71" s="343"/>
      <c r="EC71" s="343"/>
      <c r="ED71" s="343"/>
      <c r="EE71" s="343"/>
      <c r="EF71" s="343"/>
      <c r="EG71" s="343"/>
      <c r="EH71" s="343"/>
      <c r="EI71" s="343"/>
      <c r="EJ71" s="343"/>
      <c r="EK71" s="343"/>
      <c r="EL71" s="343"/>
      <c r="EM71" s="343"/>
      <c r="EN71" s="343"/>
      <c r="EO71" s="343"/>
      <c r="EP71" s="343"/>
      <c r="EQ71" s="343"/>
      <c r="ER71" s="343"/>
      <c r="ES71" s="343"/>
      <c r="ET71" s="343"/>
      <c r="EU71" s="343"/>
      <c r="EV71" s="343"/>
      <c r="EW71" s="343"/>
      <c r="EX71" s="343"/>
      <c r="EY71" s="343"/>
      <c r="EZ71" s="343"/>
      <c r="FA71" s="343"/>
      <c r="FB71" s="343"/>
      <c r="FC71" s="343"/>
      <c r="FM71" s="774"/>
      <c r="FN71" s="774"/>
      <c r="FO71" s="774"/>
      <c r="FP71" s="774"/>
      <c r="FQ71" s="774"/>
      <c r="FR71" s="774"/>
      <c r="FS71" s="774"/>
      <c r="FT71" s="774"/>
      <c r="FU71" s="774"/>
    </row>
    <row r="72" spans="3:177" s="57" customFormat="1" outlineLevel="1">
      <c r="C72" s="214" t="s">
        <v>1531</v>
      </c>
      <c r="P72" s="382">
        <f>'Aerospace Propulsion Division'!N113</f>
        <v>0</v>
      </c>
      <c r="Q72" s="382">
        <f>'Aerospace Propulsion Division'!O113</f>
        <v>0</v>
      </c>
      <c r="R72" s="382">
        <f>'Aerospace Propulsion Division'!P113</f>
        <v>0</v>
      </c>
      <c r="S72" s="382">
        <f>'Aerospace Propulsion Division'!Q113</f>
        <v>0</v>
      </c>
      <c r="T72" s="382">
        <f>'Aerospace Propulsion Division'!R113</f>
        <v>0</v>
      </c>
      <c r="U72" s="382">
        <f>'Aerospace Propulsion Division'!S113</f>
        <v>0</v>
      </c>
      <c r="V72" s="382">
        <f>'Aerospace Propulsion Division'!T113</f>
        <v>4501.5374020140916</v>
      </c>
      <c r="W72" s="382">
        <f>'Aerospace Propulsion Division'!U113</f>
        <v>5036.3927136969951</v>
      </c>
      <c r="X72" s="382">
        <f>'Aerospace Propulsion Division'!V113</f>
        <v>2905.8809755552443</v>
      </c>
      <c r="Y72" s="382">
        <f>'Aerospace Propulsion Division'!W113</f>
        <v>3058.4589740868728</v>
      </c>
      <c r="Z72" s="382">
        <f>'Aerospace Propulsion Division'!X113</f>
        <v>4162.1834938144448</v>
      </c>
      <c r="AA72" s="382">
        <f>'Aerospace Propulsion Division'!Y113</f>
        <v>5516.5780046920145</v>
      </c>
      <c r="AB72" s="382">
        <f>'Aerospace Propulsion Division'!Z113</f>
        <v>6863.9468609818796</v>
      </c>
      <c r="AC72" s="382">
        <f>'Aerospace Propulsion Division'!AA113</f>
        <v>8011.8440543184015</v>
      </c>
      <c r="AD72" s="382">
        <f>'Aerospace Propulsion Division'!AB113</f>
        <v>9235.4608196661284</v>
      </c>
      <c r="AE72" s="382">
        <f>'Aerospace Propulsion Division'!AC113</f>
        <v>10319.648384996197</v>
      </c>
      <c r="AF72" s="382">
        <f>'Aerospace Propulsion Division'!AD113</f>
        <v>11257.972923741472</v>
      </c>
      <c r="AG72" s="382">
        <f>'Aerospace Propulsion Division'!AE113</f>
        <v>11625.759304544195</v>
      </c>
      <c r="AH72" s="382">
        <f>'Aerospace Propulsion Division'!AF113</f>
        <v>11999.38221730982</v>
      </c>
      <c r="AO72" s="386"/>
      <c r="AP72" s="523"/>
      <c r="AR72" s="523"/>
      <c r="AS72" s="523"/>
      <c r="BA72" s="382"/>
      <c r="BB72" s="382"/>
      <c r="BC72" s="382"/>
      <c r="BD72" s="382"/>
      <c r="BE72" s="382"/>
      <c r="BF72" s="382"/>
      <c r="BG72" s="382"/>
      <c r="BH72" s="382"/>
      <c r="BI72" s="382"/>
      <c r="BJ72" s="382"/>
      <c r="BK72" s="382"/>
      <c r="BL72" s="382"/>
      <c r="BM72" s="382"/>
      <c r="BN72" s="382"/>
      <c r="BO72" s="382"/>
      <c r="BP72" s="382"/>
      <c r="BQ72" s="382"/>
      <c r="BR72" s="382"/>
      <c r="BS72" s="382"/>
      <c r="BT72" s="382"/>
      <c r="BU72" s="382"/>
      <c r="BV72" s="382"/>
      <c r="BW72" s="382"/>
      <c r="BX72" s="382"/>
      <c r="BY72" s="382"/>
      <c r="BZ72" s="382"/>
      <c r="CA72" s="382"/>
      <c r="CB72" s="382"/>
      <c r="CC72" s="382"/>
      <c r="CD72" s="382"/>
      <c r="CE72" s="382"/>
      <c r="CF72" s="382"/>
      <c r="CG72" s="382"/>
      <c r="CH72" s="382"/>
      <c r="CI72" s="382"/>
      <c r="CJ72" s="382"/>
      <c r="CK72" s="382"/>
      <c r="CL72" s="382"/>
      <c r="CM72" s="382"/>
      <c r="CN72" s="382"/>
      <c r="CO72" s="382"/>
      <c r="CR72" s="382"/>
      <c r="CS72" s="382"/>
      <c r="CT72" s="382"/>
      <c r="CU72" s="382"/>
      <c r="CV72" s="382"/>
      <c r="CW72" s="382"/>
      <c r="CX72" s="382"/>
      <c r="CY72" s="382"/>
      <c r="CZ72" s="382"/>
      <c r="DA72" s="382"/>
      <c r="DB72" s="382"/>
      <c r="DC72" s="382"/>
      <c r="DD72" s="382"/>
      <c r="DE72" s="382"/>
      <c r="DF72" s="382"/>
      <c r="DG72" s="382"/>
      <c r="DH72" s="382"/>
      <c r="DI72" s="382"/>
      <c r="DJ72" s="382"/>
      <c r="DK72" s="382"/>
      <c r="DL72" s="382"/>
      <c r="DM72" s="382"/>
      <c r="DN72" s="382"/>
      <c r="DO72" s="382"/>
      <c r="DP72" s="382"/>
      <c r="DQ72" s="382"/>
      <c r="DR72" s="382"/>
      <c r="DS72" s="382"/>
      <c r="DT72" s="382"/>
      <c r="DU72" s="382"/>
      <c r="DV72" s="382"/>
      <c r="DW72" s="382"/>
      <c r="DX72" s="382"/>
      <c r="DY72" s="382"/>
      <c r="DZ72" s="382"/>
      <c r="EA72" s="382"/>
      <c r="EB72" s="382"/>
      <c r="EC72" s="382"/>
      <c r="ED72" s="382"/>
      <c r="EE72" s="382"/>
      <c r="EF72" s="382"/>
      <c r="EG72" s="382"/>
      <c r="EH72" s="382"/>
      <c r="EI72" s="382"/>
      <c r="EJ72" s="382"/>
      <c r="EK72" s="382"/>
      <c r="EL72" s="382"/>
      <c r="EM72" s="382"/>
      <c r="EN72" s="382"/>
      <c r="EO72" s="382"/>
      <c r="EP72" s="382"/>
      <c r="EQ72" s="382"/>
      <c r="ER72" s="382"/>
      <c r="ES72" s="382"/>
      <c r="ET72" s="382"/>
      <c r="EU72" s="382"/>
      <c r="EV72" s="382"/>
      <c r="EW72" s="382"/>
      <c r="EX72" s="382"/>
      <c r="EY72" s="382"/>
      <c r="EZ72" s="382"/>
      <c r="FA72" s="382"/>
      <c r="FB72" s="382"/>
      <c r="FC72" s="382"/>
    </row>
    <row r="73" spans="3:177" s="57" customFormat="1" outlineLevel="1">
      <c r="C73" s="349" t="s">
        <v>1489</v>
      </c>
      <c r="D73" s="383"/>
      <c r="E73" s="383"/>
      <c r="F73" s="383"/>
      <c r="G73" s="383"/>
      <c r="H73" s="383"/>
      <c r="I73" s="383"/>
      <c r="J73" s="383"/>
      <c r="K73" s="383"/>
      <c r="L73" s="216"/>
      <c r="M73" s="231"/>
      <c r="N73" s="231"/>
      <c r="O73" s="217"/>
      <c r="P73" s="217"/>
      <c r="Q73" s="217" t="e">
        <f t="shared" ref="Q73:AH73" si="25">Q72/P72-1</f>
        <v>#DIV/0!</v>
      </c>
      <c r="R73" s="217" t="e">
        <f t="shared" si="25"/>
        <v>#DIV/0!</v>
      </c>
      <c r="S73" s="217" t="e">
        <f t="shared" si="25"/>
        <v>#DIV/0!</v>
      </c>
      <c r="T73" s="217" t="e">
        <f t="shared" si="25"/>
        <v>#DIV/0!</v>
      </c>
      <c r="U73" s="217" t="e">
        <f t="shared" si="25"/>
        <v>#DIV/0!</v>
      </c>
      <c r="V73" s="217" t="e">
        <f t="shared" si="25"/>
        <v>#DIV/0!</v>
      </c>
      <c r="W73" s="217">
        <f t="shared" si="25"/>
        <v>0.11881614300118826</v>
      </c>
      <c r="X73" s="217">
        <f t="shared" si="25"/>
        <v>-0.42302335406601677</v>
      </c>
      <c r="Y73" s="217">
        <f t="shared" si="25"/>
        <v>5.2506623573071343E-2</v>
      </c>
      <c r="Z73" s="217">
        <f t="shared" si="25"/>
        <v>0.36087602582836587</v>
      </c>
      <c r="AA73" s="217">
        <f t="shared" si="25"/>
        <v>0.32540480564837648</v>
      </c>
      <c r="AB73" s="217">
        <f t="shared" si="25"/>
        <v>0.2442399717984387</v>
      </c>
      <c r="AC73" s="217">
        <f t="shared" si="25"/>
        <v>0.16723573427727789</v>
      </c>
      <c r="AD73" s="217">
        <f t="shared" si="25"/>
        <v>0.15272598381245261</v>
      </c>
      <c r="AE73" s="217">
        <f t="shared" si="25"/>
        <v>0.11739398677555779</v>
      </c>
      <c r="AF73" s="217">
        <f t="shared" si="25"/>
        <v>9.0926018381547902E-2</v>
      </c>
      <c r="AG73" s="217">
        <f t="shared" si="25"/>
        <v>3.266897009737102E-2</v>
      </c>
      <c r="AH73" s="217">
        <f t="shared" si="25"/>
        <v>3.2137506289123374E-2</v>
      </c>
      <c r="AO73" s="386"/>
      <c r="AP73" s="523"/>
      <c r="AR73" s="523"/>
      <c r="AS73" s="523"/>
      <c r="BA73" s="217"/>
      <c r="BB73" s="217"/>
      <c r="BC73" s="217"/>
      <c r="BD73" s="217"/>
      <c r="BE73" s="217"/>
      <c r="BF73" s="217"/>
      <c r="BG73" s="217"/>
      <c r="BH73" s="217"/>
      <c r="BI73" s="217"/>
      <c r="BJ73" s="217"/>
      <c r="BK73" s="217"/>
      <c r="BL73" s="217"/>
      <c r="BM73" s="217"/>
      <c r="BN73" s="217"/>
      <c r="BO73" s="217"/>
      <c r="BP73" s="217"/>
      <c r="BQ73" s="217"/>
      <c r="BR73" s="217"/>
      <c r="BS73" s="217"/>
      <c r="BT73" s="217"/>
      <c r="BU73" s="217"/>
      <c r="BV73" s="217"/>
      <c r="BW73" s="217"/>
      <c r="BX73" s="217"/>
      <c r="BY73" s="217"/>
      <c r="BZ73" s="217"/>
      <c r="CA73" s="217"/>
      <c r="CB73" s="217"/>
      <c r="CC73" s="217"/>
      <c r="CD73" s="217"/>
      <c r="CE73" s="217"/>
      <c r="CF73" s="217"/>
      <c r="CG73" s="217"/>
      <c r="CH73" s="217"/>
      <c r="CI73" s="217"/>
      <c r="CJ73" s="217"/>
      <c r="CK73" s="217"/>
      <c r="CL73" s="217"/>
      <c r="CM73" s="217"/>
      <c r="CN73" s="217"/>
      <c r="CO73" s="217"/>
      <c r="CR73" s="217"/>
      <c r="CS73" s="217"/>
      <c r="CT73" s="217"/>
      <c r="CU73" s="217"/>
      <c r="CV73" s="217"/>
      <c r="CW73" s="217"/>
      <c r="CX73" s="217"/>
      <c r="CY73" s="217"/>
      <c r="CZ73" s="217"/>
      <c r="DA73" s="217"/>
      <c r="DB73" s="217"/>
      <c r="DC73" s="217"/>
      <c r="DD73" s="217"/>
      <c r="DE73" s="217"/>
      <c r="DF73" s="217"/>
      <c r="DG73" s="217"/>
      <c r="DH73" s="217"/>
      <c r="DI73" s="217"/>
      <c r="DJ73" s="217"/>
      <c r="DK73" s="217"/>
      <c r="DL73" s="217"/>
      <c r="DM73" s="217"/>
      <c r="DN73" s="217"/>
      <c r="DO73" s="217"/>
      <c r="DP73" s="217"/>
      <c r="DQ73" s="217"/>
      <c r="DR73" s="217"/>
      <c r="DS73" s="217"/>
      <c r="DT73" s="217"/>
      <c r="DU73" s="217"/>
      <c r="DV73" s="217"/>
      <c r="DW73" s="217"/>
      <c r="DX73" s="217"/>
      <c r="DY73" s="217"/>
      <c r="DZ73" s="217"/>
      <c r="EA73" s="217"/>
      <c r="EB73" s="217"/>
      <c r="EC73" s="217"/>
      <c r="ED73" s="217"/>
      <c r="EE73" s="217"/>
      <c r="EF73" s="217"/>
      <c r="EG73" s="217"/>
      <c r="EH73" s="217"/>
      <c r="EI73" s="217"/>
      <c r="EJ73" s="217"/>
      <c r="EK73" s="217"/>
      <c r="EL73" s="217"/>
      <c r="EM73" s="217"/>
      <c r="EN73" s="217"/>
      <c r="EO73" s="217"/>
      <c r="EP73" s="217"/>
      <c r="EQ73" s="217"/>
      <c r="ER73" s="217"/>
      <c r="ES73" s="217"/>
      <c r="ET73" s="217"/>
      <c r="EU73" s="217"/>
      <c r="EV73" s="217"/>
      <c r="EW73" s="217"/>
      <c r="EX73" s="217"/>
      <c r="EY73" s="217"/>
      <c r="EZ73" s="217"/>
      <c r="FA73" s="217"/>
      <c r="FB73" s="217"/>
      <c r="FC73" s="217"/>
    </row>
    <row r="74" spans="3:177" s="57" customFormat="1">
      <c r="C74" s="349"/>
      <c r="D74" s="383"/>
      <c r="E74" s="383"/>
      <c r="F74" s="383"/>
      <c r="G74" s="383"/>
      <c r="H74" s="383"/>
      <c r="I74" s="383"/>
      <c r="J74" s="383"/>
      <c r="K74" s="383"/>
      <c r="L74" s="216"/>
      <c r="M74" s="231"/>
      <c r="N74" s="231"/>
      <c r="O74" s="217"/>
      <c r="P74" s="217"/>
      <c r="Q74" s="217"/>
      <c r="R74" s="217"/>
      <c r="S74" s="217"/>
      <c r="T74" s="217"/>
      <c r="U74" s="217"/>
      <c r="V74" s="217"/>
      <c r="W74" s="217"/>
      <c r="X74" s="217"/>
      <c r="Y74" s="217"/>
      <c r="Z74" s="217"/>
      <c r="AA74" s="217"/>
      <c r="AB74" s="217"/>
      <c r="AC74" s="217"/>
      <c r="AD74" s="217"/>
      <c r="AE74" s="217"/>
      <c r="AF74" s="217"/>
      <c r="AG74" s="217"/>
      <c r="AH74" s="217"/>
      <c r="AO74" s="386"/>
      <c r="AP74" s="523"/>
      <c r="AR74" s="523"/>
      <c r="AS74" s="523"/>
      <c r="BA74" s="217"/>
      <c r="BB74" s="217"/>
      <c r="BC74" s="217"/>
      <c r="BD74" s="217"/>
      <c r="BE74" s="217"/>
      <c r="BF74" s="217"/>
      <c r="BG74" s="217"/>
      <c r="BH74" s="217"/>
      <c r="BI74" s="217"/>
      <c r="BJ74" s="217"/>
      <c r="BK74" s="217"/>
      <c r="BL74" s="217"/>
      <c r="BM74" s="217"/>
      <c r="BN74" s="217"/>
      <c r="BO74" s="217"/>
      <c r="BP74" s="217"/>
      <c r="BQ74" s="217"/>
      <c r="BR74" s="217"/>
      <c r="BS74" s="217"/>
      <c r="BT74" s="217"/>
      <c r="BU74" s="217"/>
      <c r="BV74" s="217"/>
      <c r="BW74" s="217"/>
      <c r="BX74" s="217"/>
      <c r="BY74" s="217"/>
      <c r="BZ74" s="217"/>
      <c r="CA74" s="217"/>
      <c r="CB74" s="217"/>
      <c r="CC74" s="217"/>
      <c r="CD74" s="217"/>
      <c r="CE74" s="217"/>
      <c r="CF74" s="217"/>
      <c r="CG74" s="217"/>
      <c r="CH74" s="217"/>
      <c r="CI74" s="217"/>
      <c r="CJ74" s="217"/>
      <c r="CK74" s="217"/>
      <c r="CL74" s="217"/>
      <c r="CM74" s="217"/>
      <c r="CN74" s="217"/>
      <c r="CO74" s="217"/>
      <c r="CR74" s="217"/>
      <c r="CS74" s="217"/>
      <c r="CT74" s="217"/>
      <c r="CU74" s="217"/>
      <c r="CV74" s="217"/>
      <c r="CW74" s="217"/>
      <c r="CX74" s="217"/>
      <c r="CY74" s="217"/>
      <c r="CZ74" s="217"/>
      <c r="DA74" s="217"/>
      <c r="DB74" s="217"/>
      <c r="DC74" s="217"/>
      <c r="DD74" s="217"/>
      <c r="DE74" s="217"/>
      <c r="DF74" s="217"/>
      <c r="DG74" s="217"/>
      <c r="DH74" s="217"/>
      <c r="DI74" s="217"/>
      <c r="DJ74" s="217"/>
      <c r="DK74" s="217"/>
      <c r="DL74" s="217"/>
      <c r="DM74" s="217"/>
      <c r="DN74" s="217"/>
      <c r="DO74" s="217"/>
      <c r="DP74" s="217"/>
      <c r="DQ74" s="217"/>
      <c r="DR74" s="217"/>
      <c r="DS74" s="217"/>
      <c r="DT74" s="217"/>
      <c r="DU74" s="217"/>
      <c r="DV74" s="217"/>
      <c r="DW74" s="217"/>
      <c r="DX74" s="217"/>
      <c r="DY74" s="217"/>
      <c r="DZ74" s="217"/>
      <c r="EA74" s="217"/>
      <c r="EB74" s="217"/>
      <c r="EC74" s="217"/>
      <c r="ED74" s="217"/>
      <c r="EE74" s="217"/>
      <c r="EF74" s="217"/>
      <c r="EG74" s="217"/>
      <c r="EH74" s="217"/>
      <c r="EI74" s="217"/>
      <c r="EJ74" s="217"/>
      <c r="EK74" s="217"/>
      <c r="EL74" s="217"/>
      <c r="EM74" s="217"/>
      <c r="EN74" s="217"/>
      <c r="EO74" s="217"/>
      <c r="EP74" s="217"/>
      <c r="EQ74" s="217"/>
      <c r="ER74" s="217"/>
      <c r="ES74" s="217"/>
      <c r="ET74" s="217"/>
      <c r="EU74" s="217"/>
      <c r="EV74" s="217"/>
      <c r="EW74" s="217"/>
      <c r="EX74" s="217"/>
      <c r="EY74" s="217"/>
      <c r="EZ74" s="217"/>
      <c r="FA74" s="217"/>
      <c r="FB74" s="217"/>
      <c r="FC74" s="217"/>
      <c r="FP74" s="57">
        <f>366/239-1</f>
        <v>0.53138075313807542</v>
      </c>
    </row>
    <row r="75" spans="3:177" s="57" customFormat="1">
      <c r="C75" s="214" t="s">
        <v>1586</v>
      </c>
      <c r="D75" s="383"/>
      <c r="E75" s="383"/>
      <c r="F75" s="383"/>
      <c r="G75" s="383"/>
      <c r="H75" s="383"/>
      <c r="I75" s="383"/>
      <c r="J75" s="383"/>
      <c r="K75" s="383"/>
      <c r="L75" s="216"/>
      <c r="M75" s="231"/>
      <c r="N75" s="231"/>
      <c r="O75" s="217"/>
      <c r="P75" s="217"/>
      <c r="Q75" s="217"/>
      <c r="R75" s="217"/>
      <c r="S75" s="217"/>
      <c r="T75" s="217"/>
      <c r="U75" s="217"/>
      <c r="V75" s="217"/>
      <c r="W75" s="217"/>
      <c r="X75" s="217"/>
      <c r="Y75" s="217"/>
      <c r="Z75" s="217"/>
      <c r="AA75" s="217"/>
      <c r="AB75" s="217"/>
      <c r="AC75" s="217"/>
      <c r="AD75" s="217"/>
      <c r="AE75" s="217"/>
      <c r="AF75" s="217"/>
      <c r="AG75" s="217"/>
      <c r="AH75" s="217"/>
      <c r="AO75" s="386"/>
      <c r="AP75" s="523"/>
      <c r="AR75" s="523"/>
      <c r="AS75" s="523"/>
      <c r="BA75" s="217"/>
      <c r="BB75" s="217"/>
      <c r="BC75" s="217"/>
      <c r="BD75" s="217"/>
      <c r="BE75" s="217"/>
      <c r="BF75" s="217"/>
      <c r="BG75" s="217"/>
      <c r="BH75" s="217"/>
      <c r="BI75" s="217"/>
      <c r="BJ75" s="217"/>
      <c r="BK75" s="217"/>
      <c r="BL75" s="217"/>
      <c r="BM75" s="217"/>
      <c r="BN75" s="217"/>
      <c r="BO75" s="217"/>
      <c r="BP75" s="217"/>
      <c r="BQ75" s="217"/>
      <c r="BR75" s="217"/>
      <c r="BS75" s="217"/>
      <c r="BT75" s="217"/>
      <c r="BU75" s="217"/>
      <c r="BV75" s="217"/>
      <c r="BW75" s="217"/>
      <c r="BX75" s="217"/>
      <c r="BY75" s="217"/>
      <c r="BZ75" s="217"/>
      <c r="CA75" s="217"/>
      <c r="CB75" s="217"/>
      <c r="CC75" s="217"/>
      <c r="CD75" s="217"/>
      <c r="CE75" s="217"/>
      <c r="CF75" s="217"/>
      <c r="CG75" s="217"/>
      <c r="CH75" s="217"/>
      <c r="CI75" s="217"/>
      <c r="CJ75" s="217"/>
      <c r="CK75" s="217"/>
      <c r="CL75" s="217"/>
      <c r="CM75" s="217"/>
      <c r="CN75" s="217"/>
      <c r="CO75" s="217"/>
      <c r="CR75" s="217"/>
      <c r="CS75" s="217"/>
      <c r="CT75" s="217"/>
      <c r="CU75" s="217"/>
      <c r="CV75" s="217"/>
      <c r="CW75" s="217"/>
      <c r="CX75" s="217"/>
      <c r="CY75" s="217"/>
      <c r="CZ75" s="217"/>
      <c r="DA75" s="217"/>
      <c r="DB75" s="217"/>
      <c r="DC75" s="217"/>
      <c r="DD75" s="217"/>
      <c r="DE75" s="217"/>
      <c r="DF75" s="217"/>
      <c r="DG75" s="217"/>
      <c r="DH75" s="217"/>
      <c r="DI75" s="217"/>
      <c r="DJ75" s="217"/>
      <c r="DK75" s="217"/>
      <c r="DL75" s="217"/>
      <c r="DM75" s="217"/>
      <c r="DN75" s="217"/>
      <c r="DO75" s="217"/>
      <c r="DP75" s="217"/>
      <c r="DQ75" s="217"/>
      <c r="DR75" s="217"/>
      <c r="DS75" s="217"/>
      <c r="DT75" s="217"/>
      <c r="DU75" s="217"/>
      <c r="DV75" s="217"/>
      <c r="DW75" s="217"/>
      <c r="DX75" s="217"/>
      <c r="DY75" s="217"/>
      <c r="DZ75" s="217"/>
      <c r="EA75" s="217"/>
      <c r="EB75" s="217"/>
      <c r="EC75" s="217"/>
      <c r="ED75" s="217"/>
      <c r="EE75" s="217"/>
      <c r="EF75" s="217"/>
      <c r="EG75" s="217"/>
      <c r="EH75" s="217"/>
      <c r="EI75" s="217"/>
      <c r="EJ75" s="217"/>
      <c r="EK75" s="217"/>
      <c r="EL75" s="217"/>
      <c r="EM75" s="217"/>
      <c r="EN75" s="217"/>
      <c r="EO75" s="217"/>
      <c r="EP75" s="217"/>
      <c r="EQ75" s="217"/>
      <c r="ER75" s="217"/>
      <c r="ES75" s="217"/>
      <c r="ET75" s="217"/>
      <c r="EU75" s="217"/>
      <c r="EV75" s="217"/>
      <c r="EW75" s="217"/>
      <c r="EX75" s="217"/>
      <c r="EY75" s="217"/>
      <c r="EZ75" s="217"/>
      <c r="FA75" s="217"/>
      <c r="FB75" s="217"/>
      <c r="FC75" s="217"/>
    </row>
    <row r="76" spans="3:177" s="57" customFormat="1">
      <c r="C76" s="291" t="s">
        <v>982</v>
      </c>
      <c r="D76" s="383"/>
      <c r="E76" s="383"/>
      <c r="F76" s="383"/>
      <c r="G76" s="383"/>
      <c r="H76" s="383"/>
      <c r="I76" s="383"/>
      <c r="J76" s="383"/>
      <c r="K76" s="383"/>
      <c r="L76" s="216"/>
      <c r="M76" s="231"/>
      <c r="N76" s="231"/>
      <c r="O76" s="217"/>
      <c r="P76" s="207" t="e">
        <f>'Aerospace Propulsion Division'!#REF!</f>
        <v>#REF!</v>
      </c>
      <c r="Q76" s="207" t="e">
        <f>'Aerospace Propulsion Division'!#REF!</f>
        <v>#REF!</v>
      </c>
      <c r="R76" s="207" t="e">
        <f>'Aerospace Propulsion Division'!#REF!</f>
        <v>#REF!</v>
      </c>
      <c r="S76" s="207" t="e">
        <f>'Aerospace Propulsion Division'!#REF!</f>
        <v>#REF!</v>
      </c>
      <c r="T76" s="207" t="e">
        <f>'Aerospace Propulsion Division'!#REF!</f>
        <v>#REF!</v>
      </c>
      <c r="U76" s="207" t="e">
        <f>'Aerospace Propulsion Division'!#REF!</f>
        <v>#REF!</v>
      </c>
      <c r="V76" s="207" t="e">
        <f>'Aerospace Propulsion Division'!#REF!</f>
        <v>#REF!</v>
      </c>
      <c r="W76" s="207" t="e">
        <f>'Aerospace Propulsion Division'!#REF!</f>
        <v>#REF!</v>
      </c>
      <c r="X76" s="207" t="e">
        <f>'Aerospace Propulsion Division'!#REF!</f>
        <v>#REF!</v>
      </c>
      <c r="Y76" s="207" t="e">
        <f>'Aerospace Propulsion Division'!#REF!</f>
        <v>#REF!</v>
      </c>
      <c r="Z76" s="207" t="e">
        <f>'Aerospace Propulsion Division'!#REF!</f>
        <v>#REF!</v>
      </c>
      <c r="AA76" s="207" t="e">
        <f>'Aerospace Propulsion Division'!#REF!</f>
        <v>#REF!</v>
      </c>
      <c r="AB76" s="207" t="e">
        <f>'Aerospace Propulsion Division'!#REF!</f>
        <v>#REF!</v>
      </c>
      <c r="AC76" s="207" t="e">
        <f>'Aerospace Propulsion Division'!#REF!</f>
        <v>#REF!</v>
      </c>
      <c r="AD76" s="207" t="e">
        <f>'Aerospace Propulsion Division'!#REF!</f>
        <v>#REF!</v>
      </c>
      <c r="AE76" s="207" t="e">
        <f>'Aerospace Propulsion Division'!#REF!</f>
        <v>#REF!</v>
      </c>
      <c r="AF76" s="207" t="e">
        <f>'Aerospace Propulsion Division'!#REF!</f>
        <v>#REF!</v>
      </c>
      <c r="AG76" s="207" t="e">
        <f>'Aerospace Propulsion Division'!#REF!</f>
        <v>#REF!</v>
      </c>
      <c r="AH76" s="207" t="e">
        <f>'Aerospace Propulsion Division'!#REF!</f>
        <v>#REF!</v>
      </c>
      <c r="AO76" s="386"/>
      <c r="AP76" s="523"/>
      <c r="AR76" s="523"/>
      <c r="AS76" s="523"/>
      <c r="BA76" s="498"/>
      <c r="BB76" s="498"/>
      <c r="BC76" s="498"/>
      <c r="BD76" s="498"/>
      <c r="BE76" s="498"/>
      <c r="BF76" s="498"/>
      <c r="BG76" s="498"/>
      <c r="BH76" s="498"/>
      <c r="BI76" s="498"/>
      <c r="BJ76" s="498"/>
      <c r="BK76" s="498"/>
      <c r="BL76" s="498"/>
      <c r="BM76" s="498"/>
      <c r="BN76" s="498"/>
      <c r="BO76" s="498"/>
      <c r="BP76" s="498"/>
      <c r="BQ76" s="498"/>
      <c r="BR76" s="498"/>
      <c r="BS76" s="498"/>
      <c r="BT76" s="498"/>
      <c r="BU76" s="498"/>
      <c r="BV76" s="498"/>
      <c r="BW76" s="498"/>
      <c r="BX76" s="498"/>
      <c r="BY76" s="498"/>
      <c r="BZ76" s="498"/>
      <c r="CA76" s="498"/>
      <c r="CB76" s="498"/>
      <c r="CC76" s="498"/>
      <c r="CD76" s="498"/>
      <c r="CE76" s="498"/>
      <c r="CF76" s="498"/>
      <c r="CG76" s="217"/>
      <c r="CH76" s="217"/>
      <c r="CI76" s="217"/>
      <c r="CJ76" s="217"/>
      <c r="CK76" s="217"/>
      <c r="CL76" s="217"/>
      <c r="CM76" s="217"/>
      <c r="CN76" s="217"/>
      <c r="CO76" s="217"/>
      <c r="CR76" s="498"/>
      <c r="CS76" s="498"/>
      <c r="CT76" s="498"/>
      <c r="CU76" s="498"/>
      <c r="CV76" s="498"/>
      <c r="CW76" s="498"/>
      <c r="CX76" s="498"/>
      <c r="CY76" s="498"/>
      <c r="CZ76" s="498"/>
      <c r="DA76" s="498"/>
      <c r="DB76" s="498"/>
      <c r="DC76" s="498"/>
      <c r="DD76" s="498"/>
      <c r="DE76" s="498"/>
      <c r="DF76" s="498"/>
      <c r="DG76" s="498"/>
      <c r="DH76" s="498"/>
      <c r="DI76" s="498"/>
      <c r="DJ76" s="498"/>
      <c r="DK76" s="498"/>
      <c r="DL76" s="498"/>
      <c r="DM76" s="498"/>
      <c r="DN76" s="498"/>
      <c r="DO76" s="498"/>
      <c r="DP76" s="498"/>
      <c r="DQ76" s="498"/>
      <c r="DR76" s="498"/>
      <c r="DS76" s="498"/>
      <c r="DT76" s="498"/>
      <c r="DU76" s="498"/>
      <c r="DV76" s="498"/>
      <c r="DW76" s="498"/>
      <c r="DX76" s="498"/>
      <c r="DY76" s="498"/>
      <c r="DZ76" s="498"/>
      <c r="EA76" s="498"/>
      <c r="EB76" s="498"/>
      <c r="EC76" s="498"/>
      <c r="ED76" s="498"/>
      <c r="EE76" s="498"/>
      <c r="EF76" s="498"/>
      <c r="EG76" s="498"/>
      <c r="EH76" s="498"/>
      <c r="EI76" s="498"/>
      <c r="EJ76" s="498"/>
      <c r="EK76" s="498"/>
      <c r="EL76" s="498"/>
      <c r="EM76" s="498"/>
      <c r="EN76" s="498"/>
      <c r="EO76" s="498"/>
      <c r="EP76" s="498"/>
      <c r="EQ76" s="498"/>
      <c r="ER76" s="498"/>
      <c r="ES76" s="498"/>
      <c r="ET76" s="498"/>
      <c r="EU76" s="498"/>
      <c r="EV76" s="498"/>
      <c r="EW76" s="498"/>
      <c r="EX76" s="498"/>
      <c r="EY76" s="498"/>
      <c r="EZ76" s="498"/>
      <c r="FA76" s="498"/>
      <c r="FB76" s="498"/>
      <c r="FC76" s="498"/>
    </row>
    <row r="77" spans="3:177" s="57" customFormat="1">
      <c r="C77" s="291" t="s">
        <v>1012</v>
      </c>
      <c r="D77" s="383"/>
      <c r="E77" s="383"/>
      <c r="F77" s="383"/>
      <c r="G77" s="383"/>
      <c r="H77" s="383"/>
      <c r="I77" s="383"/>
      <c r="J77" s="383"/>
      <c r="K77" s="383"/>
      <c r="L77" s="216"/>
      <c r="M77" s="231"/>
      <c r="N77" s="231"/>
      <c r="O77" s="217"/>
      <c r="P77" s="207" t="e">
        <f>'Aerospace Propulsion Division'!#REF!</f>
        <v>#REF!</v>
      </c>
      <c r="Q77" s="207" t="e">
        <f>'Aerospace Propulsion Division'!#REF!</f>
        <v>#REF!</v>
      </c>
      <c r="R77" s="207" t="e">
        <f>'Aerospace Propulsion Division'!#REF!</f>
        <v>#REF!</v>
      </c>
      <c r="S77" s="207" t="e">
        <f>'Aerospace Propulsion Division'!#REF!</f>
        <v>#REF!</v>
      </c>
      <c r="T77" s="207" t="e">
        <f>'Aerospace Propulsion Division'!#REF!</f>
        <v>#REF!</v>
      </c>
      <c r="U77" s="207" t="e">
        <f>'Aerospace Propulsion Division'!#REF!</f>
        <v>#REF!</v>
      </c>
      <c r="V77" s="207" t="e">
        <f>'Aerospace Propulsion Division'!#REF!</f>
        <v>#REF!</v>
      </c>
      <c r="W77" s="207" t="e">
        <f>'Aerospace Propulsion Division'!#REF!</f>
        <v>#REF!</v>
      </c>
      <c r="X77" s="207" t="e">
        <f>'Aerospace Propulsion Division'!#REF!</f>
        <v>#REF!</v>
      </c>
      <c r="Y77" s="207" t="e">
        <f>'Aerospace Propulsion Division'!#REF!</f>
        <v>#REF!</v>
      </c>
      <c r="Z77" s="207" t="e">
        <f>'Aerospace Propulsion Division'!#REF!</f>
        <v>#REF!</v>
      </c>
      <c r="AA77" s="207" t="e">
        <f>'Aerospace Propulsion Division'!#REF!</f>
        <v>#REF!</v>
      </c>
      <c r="AB77" s="207" t="e">
        <f>'Aerospace Propulsion Division'!#REF!</f>
        <v>#REF!</v>
      </c>
      <c r="AC77" s="207" t="e">
        <f>'Aerospace Propulsion Division'!#REF!</f>
        <v>#REF!</v>
      </c>
      <c r="AD77" s="207" t="e">
        <f>'Aerospace Propulsion Division'!#REF!</f>
        <v>#REF!</v>
      </c>
      <c r="AE77" s="207" t="e">
        <f>'Aerospace Propulsion Division'!#REF!</f>
        <v>#REF!</v>
      </c>
      <c r="AF77" s="207" t="e">
        <f>'Aerospace Propulsion Division'!#REF!</f>
        <v>#REF!</v>
      </c>
      <c r="AG77" s="207" t="e">
        <f>'Aerospace Propulsion Division'!#REF!</f>
        <v>#REF!</v>
      </c>
      <c r="AH77" s="207" t="e">
        <f>'Aerospace Propulsion Division'!#REF!</f>
        <v>#REF!</v>
      </c>
      <c r="AO77" s="386"/>
      <c r="AP77" s="523"/>
      <c r="AR77" s="523"/>
      <c r="AS77" s="449" t="s">
        <v>1585</v>
      </c>
      <c r="BA77" s="498"/>
      <c r="BB77" s="498"/>
      <c r="BC77" s="498"/>
      <c r="BD77" s="498"/>
      <c r="BE77" s="498"/>
      <c r="BF77" s="498"/>
      <c r="BG77" s="498"/>
      <c r="BH77" s="498"/>
      <c r="BI77" s="498"/>
      <c r="BJ77" s="498"/>
      <c r="BK77" s="498"/>
      <c r="BL77" s="498"/>
      <c r="BM77" s="498"/>
      <c r="BN77" s="498"/>
      <c r="BO77" s="498"/>
      <c r="BP77" s="498"/>
      <c r="BQ77" s="498"/>
      <c r="BR77" s="498"/>
      <c r="BS77" s="498"/>
      <c r="BT77" s="498"/>
      <c r="BU77" s="498"/>
      <c r="BV77" s="498"/>
      <c r="BW77" s="498"/>
      <c r="BX77" s="498"/>
      <c r="BY77" s="498"/>
      <c r="BZ77" s="498"/>
      <c r="CA77" s="498"/>
      <c r="CB77" s="498"/>
      <c r="CC77" s="498"/>
      <c r="CD77" s="498"/>
      <c r="CE77" s="498"/>
      <c r="CF77" s="498"/>
      <c r="CG77" s="217"/>
      <c r="CH77" s="217"/>
      <c r="CI77" s="217"/>
      <c r="CJ77" s="217"/>
      <c r="CK77" s="217"/>
      <c r="CL77" s="217"/>
      <c r="CM77" s="217"/>
      <c r="CN77" s="217"/>
      <c r="CO77" s="217"/>
      <c r="CR77" s="498"/>
      <c r="CS77" s="498"/>
      <c r="CT77" s="498"/>
      <c r="CU77" s="498"/>
      <c r="CV77" s="498"/>
      <c r="CW77" s="498"/>
      <c r="CX77" s="498"/>
      <c r="CY77" s="498"/>
      <c r="CZ77" s="498"/>
      <c r="DA77" s="498"/>
      <c r="DB77" s="498"/>
      <c r="DC77" s="498"/>
      <c r="DD77" s="498"/>
      <c r="DE77" s="498"/>
      <c r="DF77" s="498"/>
      <c r="DG77" s="498"/>
      <c r="DH77" s="498"/>
      <c r="DI77" s="498"/>
      <c r="DJ77" s="498"/>
      <c r="DK77" s="498"/>
      <c r="DL77" s="498"/>
      <c r="DM77" s="498"/>
      <c r="DN77" s="498"/>
      <c r="DO77" s="498"/>
      <c r="DP77" s="498"/>
      <c r="DQ77" s="498"/>
      <c r="DR77" s="498"/>
      <c r="DS77" s="498"/>
      <c r="DT77" s="498"/>
      <c r="DU77" s="498"/>
      <c r="DV77" s="498"/>
      <c r="DW77" s="498"/>
      <c r="DX77" s="498"/>
      <c r="DY77" s="498"/>
      <c r="DZ77" s="498"/>
      <c r="EA77" s="498"/>
      <c r="EB77" s="498"/>
      <c r="EC77" s="498"/>
      <c r="ED77" s="498"/>
      <c r="EE77" s="498"/>
      <c r="EF77" s="498"/>
      <c r="EG77" s="498"/>
      <c r="EH77" s="498"/>
      <c r="EI77" s="498"/>
      <c r="EJ77" s="498"/>
      <c r="EK77" s="498"/>
      <c r="EL77" s="498"/>
      <c r="EM77" s="498"/>
      <c r="EN77" s="498"/>
      <c r="EO77" s="498"/>
      <c r="EP77" s="498"/>
      <c r="EQ77" s="498"/>
      <c r="ER77" s="498"/>
      <c r="ES77" s="498"/>
      <c r="ET77" s="498"/>
      <c r="EU77" s="498"/>
      <c r="EV77" s="498"/>
      <c r="EW77" s="498"/>
      <c r="EX77" s="498"/>
      <c r="EY77" s="498"/>
      <c r="EZ77" s="498"/>
      <c r="FA77" s="498"/>
      <c r="FB77" s="498"/>
      <c r="FC77" s="498"/>
    </row>
    <row r="78" spans="3:177" s="57" customFormat="1">
      <c r="C78" s="291" t="s">
        <v>1014</v>
      </c>
      <c r="D78" s="383"/>
      <c r="E78" s="383"/>
      <c r="F78" s="383"/>
      <c r="G78" s="383"/>
      <c r="H78" s="383"/>
      <c r="I78" s="383"/>
      <c r="J78" s="383"/>
      <c r="K78" s="383"/>
      <c r="L78" s="216"/>
      <c r="M78" s="231"/>
      <c r="N78" s="231"/>
      <c r="O78" s="217"/>
      <c r="P78" s="207" t="e">
        <f>'Aerospace Propulsion Division'!#REF!</f>
        <v>#REF!</v>
      </c>
      <c r="Q78" s="207" t="e">
        <f>'Aerospace Propulsion Division'!#REF!</f>
        <v>#REF!</v>
      </c>
      <c r="R78" s="207" t="e">
        <f>'Aerospace Propulsion Division'!#REF!</f>
        <v>#REF!</v>
      </c>
      <c r="S78" s="207" t="e">
        <f>'Aerospace Propulsion Division'!#REF!</f>
        <v>#REF!</v>
      </c>
      <c r="T78" s="207" t="e">
        <f>'Aerospace Propulsion Division'!#REF!</f>
        <v>#REF!</v>
      </c>
      <c r="U78" s="207" t="e">
        <f>'Aerospace Propulsion Division'!#REF!</f>
        <v>#REF!</v>
      </c>
      <c r="V78" s="207" t="e">
        <f>'Aerospace Propulsion Division'!#REF!</f>
        <v>#REF!</v>
      </c>
      <c r="W78" s="207" t="e">
        <f>'Aerospace Propulsion Division'!#REF!</f>
        <v>#REF!</v>
      </c>
      <c r="X78" s="207" t="e">
        <f>'Aerospace Propulsion Division'!#REF!</f>
        <v>#REF!</v>
      </c>
      <c r="Y78" s="207" t="e">
        <f>'Aerospace Propulsion Division'!#REF!</f>
        <v>#REF!</v>
      </c>
      <c r="Z78" s="207" t="e">
        <f>'Aerospace Propulsion Division'!#REF!</f>
        <v>#REF!</v>
      </c>
      <c r="AA78" s="207" t="e">
        <f>'Aerospace Propulsion Division'!#REF!</f>
        <v>#REF!</v>
      </c>
      <c r="AB78" s="207" t="e">
        <f>'Aerospace Propulsion Division'!#REF!</f>
        <v>#REF!</v>
      </c>
      <c r="AC78" s="207" t="e">
        <f>'Aerospace Propulsion Division'!#REF!</f>
        <v>#REF!</v>
      </c>
      <c r="AD78" s="207" t="e">
        <f>'Aerospace Propulsion Division'!#REF!</f>
        <v>#REF!</v>
      </c>
      <c r="AE78" s="207" t="e">
        <f>'Aerospace Propulsion Division'!#REF!</f>
        <v>#REF!</v>
      </c>
      <c r="AF78" s="207" t="e">
        <f>'Aerospace Propulsion Division'!#REF!</f>
        <v>#REF!</v>
      </c>
      <c r="AG78" s="207" t="e">
        <f>'Aerospace Propulsion Division'!#REF!</f>
        <v>#REF!</v>
      </c>
      <c r="AH78" s="207" t="e">
        <f>'Aerospace Propulsion Division'!#REF!</f>
        <v>#REF!</v>
      </c>
      <c r="AO78" s="386"/>
      <c r="AP78" s="523"/>
      <c r="AR78" s="523"/>
      <c r="AS78" s="523"/>
      <c r="BA78" s="498"/>
      <c r="BB78" s="498"/>
      <c r="BC78" s="498"/>
      <c r="BD78" s="498"/>
      <c r="BE78" s="498"/>
      <c r="BF78" s="498"/>
      <c r="BG78" s="498"/>
      <c r="BH78" s="498"/>
      <c r="BI78" s="498"/>
      <c r="BJ78" s="498"/>
      <c r="BK78" s="498"/>
      <c r="BL78" s="498"/>
      <c r="BM78" s="498"/>
      <c r="BN78" s="498"/>
      <c r="BO78" s="498"/>
      <c r="BP78" s="498"/>
      <c r="BQ78" s="498"/>
      <c r="BR78" s="498"/>
      <c r="BS78" s="498"/>
      <c r="BT78" s="498"/>
      <c r="BU78" s="498"/>
      <c r="BV78" s="498"/>
      <c r="BW78" s="498"/>
      <c r="BX78" s="498"/>
      <c r="BY78" s="498"/>
      <c r="BZ78" s="498"/>
      <c r="CA78" s="498"/>
      <c r="CB78" s="498"/>
      <c r="CC78" s="498"/>
      <c r="CD78" s="498"/>
      <c r="CE78" s="498"/>
      <c r="CF78" s="498"/>
      <c r="CG78" s="217"/>
      <c r="CH78" s="217"/>
      <c r="CI78" s="217"/>
      <c r="CJ78" s="217"/>
      <c r="CK78" s="217"/>
      <c r="CL78" s="217"/>
      <c r="CM78" s="217"/>
      <c r="CN78" s="217"/>
      <c r="CO78" s="217"/>
      <c r="CR78" s="498"/>
      <c r="CS78" s="498"/>
      <c r="CT78" s="498"/>
      <c r="CU78" s="498"/>
      <c r="CV78" s="498"/>
      <c r="CW78" s="498"/>
      <c r="CX78" s="498"/>
      <c r="CY78" s="498"/>
      <c r="CZ78" s="498"/>
      <c r="DA78" s="498"/>
      <c r="DB78" s="498"/>
      <c r="DC78" s="498"/>
      <c r="DD78" s="498"/>
      <c r="DE78" s="498"/>
      <c r="DF78" s="498"/>
      <c r="DG78" s="498"/>
      <c r="DH78" s="498"/>
      <c r="DI78" s="498"/>
      <c r="DJ78" s="498"/>
      <c r="DK78" s="498"/>
      <c r="DL78" s="498"/>
      <c r="DM78" s="498"/>
      <c r="DN78" s="498"/>
      <c r="DO78" s="498"/>
      <c r="DP78" s="498"/>
      <c r="DQ78" s="498"/>
      <c r="DR78" s="498"/>
      <c r="DS78" s="498"/>
      <c r="DT78" s="498"/>
      <c r="DU78" s="498"/>
      <c r="DV78" s="498"/>
      <c r="DW78" s="498"/>
      <c r="DX78" s="498"/>
      <c r="DY78" s="498"/>
      <c r="DZ78" s="498"/>
      <c r="EA78" s="498"/>
      <c r="EB78" s="498"/>
      <c r="EC78" s="498"/>
      <c r="ED78" s="498"/>
      <c r="EE78" s="498"/>
      <c r="EF78" s="498"/>
      <c r="EG78" s="498"/>
      <c r="EH78" s="498"/>
      <c r="EI78" s="498"/>
      <c r="EJ78" s="498"/>
      <c r="EK78" s="498"/>
      <c r="EL78" s="498"/>
      <c r="EM78" s="498"/>
      <c r="EN78" s="498"/>
      <c r="EO78" s="498"/>
      <c r="EP78" s="498"/>
      <c r="EQ78" s="498"/>
      <c r="ER78" s="498"/>
      <c r="ES78" s="498"/>
      <c r="ET78" s="498"/>
      <c r="EU78" s="498"/>
      <c r="EV78" s="498"/>
      <c r="EW78" s="498"/>
      <c r="EX78" s="498"/>
      <c r="EY78" s="498"/>
      <c r="EZ78" s="498"/>
      <c r="FA78" s="498"/>
      <c r="FB78" s="498"/>
      <c r="FC78" s="498"/>
    </row>
    <row r="79" spans="3:177">
      <c r="C79" s="19"/>
      <c r="K79" s="340"/>
      <c r="L79" s="340"/>
      <c r="M79" s="340"/>
      <c r="N79" s="340"/>
      <c r="O79" s="340"/>
      <c r="P79" s="340"/>
      <c r="Q79" s="340"/>
      <c r="R79" s="340"/>
      <c r="S79" s="340"/>
      <c r="T79" s="340"/>
      <c r="U79" s="340"/>
      <c r="V79" s="340"/>
      <c r="W79" s="340"/>
      <c r="X79" s="340"/>
      <c r="Y79" s="340"/>
      <c r="Z79" s="340"/>
      <c r="AA79" s="340"/>
      <c r="AB79" s="340"/>
      <c r="AC79" s="340"/>
      <c r="AD79" s="340"/>
      <c r="AE79" s="340"/>
      <c r="AF79" s="340"/>
      <c r="AG79" s="340"/>
      <c r="AH79" s="340"/>
      <c r="AO79" s="338"/>
      <c r="AP79" s="449"/>
      <c r="AR79" s="449"/>
      <c r="AS79" s="449"/>
      <c r="BA79" s="340"/>
      <c r="BB79" s="340"/>
      <c r="BC79" s="340"/>
      <c r="BD79" s="340"/>
      <c r="BE79" s="340"/>
      <c r="BF79" s="340"/>
      <c r="BG79" s="340"/>
      <c r="BH79" s="340"/>
      <c r="BI79" s="340"/>
      <c r="BJ79" s="340"/>
      <c r="BK79" s="340"/>
      <c r="BL79" s="340"/>
      <c r="BM79" s="340"/>
      <c r="BN79" s="340"/>
      <c r="BO79" s="340"/>
      <c r="BP79" s="340"/>
      <c r="BQ79" s="340"/>
      <c r="BR79" s="340"/>
      <c r="BS79" s="340"/>
      <c r="BT79" s="340"/>
      <c r="BU79" s="340"/>
      <c r="BV79" s="340"/>
      <c r="BW79" s="340"/>
      <c r="BX79" s="340"/>
      <c r="BY79" s="340"/>
      <c r="BZ79" s="340"/>
      <c r="CA79" s="340"/>
      <c r="CB79" s="340"/>
      <c r="CC79" s="340"/>
      <c r="CD79" s="340"/>
      <c r="CE79" s="340"/>
      <c r="CF79" s="340"/>
      <c r="CG79" s="340"/>
      <c r="CH79" s="340"/>
      <c r="CI79" s="340"/>
      <c r="CJ79" s="340"/>
      <c r="CK79" s="340"/>
      <c r="CL79" s="340"/>
      <c r="CM79" s="340"/>
      <c r="CN79" s="340"/>
      <c r="CO79" s="457"/>
      <c r="CR79" s="340"/>
      <c r="CS79" s="340"/>
      <c r="CT79" s="340"/>
      <c r="CU79" s="340"/>
      <c r="CV79" s="340"/>
      <c r="CW79" s="340"/>
      <c r="CX79" s="340"/>
      <c r="CY79" s="340"/>
      <c r="CZ79" s="340"/>
      <c r="DA79" s="340"/>
      <c r="DB79" s="340"/>
      <c r="DC79" s="340"/>
      <c r="DD79" s="340"/>
      <c r="DE79" s="340"/>
      <c r="DF79" s="340"/>
      <c r="DG79" s="340"/>
      <c r="DH79" s="340"/>
      <c r="DI79" s="340"/>
      <c r="DJ79" s="340"/>
      <c r="DK79" s="340"/>
      <c r="DL79" s="340"/>
      <c r="DM79" s="340"/>
      <c r="DN79" s="340"/>
      <c r="DO79" s="340"/>
      <c r="DP79" s="340"/>
      <c r="DQ79" s="340"/>
      <c r="DR79" s="340"/>
      <c r="DS79" s="340"/>
      <c r="DT79" s="340"/>
      <c r="DU79" s="340"/>
      <c r="DV79" s="340"/>
      <c r="DW79" s="340"/>
      <c r="DX79" s="340"/>
      <c r="DY79" s="340"/>
      <c r="DZ79" s="340"/>
      <c r="EA79" s="340"/>
      <c r="EB79" s="340"/>
      <c r="EC79" s="340"/>
      <c r="ED79" s="340"/>
      <c r="EE79" s="340"/>
      <c r="EF79" s="340"/>
      <c r="EG79" s="340"/>
      <c r="EH79" s="340"/>
      <c r="EI79" s="340"/>
      <c r="EJ79" s="340"/>
      <c r="EK79" s="340"/>
      <c r="EL79" s="340"/>
      <c r="EM79" s="340"/>
      <c r="EN79" s="340"/>
      <c r="EO79" s="340"/>
      <c r="EP79" s="340"/>
      <c r="EQ79" s="340"/>
      <c r="ER79" s="340"/>
      <c r="ES79" s="340"/>
      <c r="ET79" s="340"/>
      <c r="EU79" s="340"/>
      <c r="EV79" s="340"/>
      <c r="EW79" s="340"/>
      <c r="EX79" s="340"/>
      <c r="EY79" s="340"/>
      <c r="EZ79" s="340"/>
      <c r="FA79" s="340"/>
      <c r="FB79" s="340"/>
      <c r="FC79" s="340"/>
    </row>
    <row r="81" spans="3:159">
      <c r="C81" s="282" t="s">
        <v>840</v>
      </c>
      <c r="D81" s="283"/>
      <c r="E81" s="283"/>
      <c r="F81" s="283"/>
      <c r="G81" s="283"/>
      <c r="H81" s="283"/>
      <c r="I81" s="283"/>
      <c r="J81" s="283"/>
      <c r="K81" s="283"/>
      <c r="L81" s="283"/>
      <c r="M81" s="283"/>
      <c r="N81" s="283"/>
      <c r="O81" s="283"/>
      <c r="P81" s="283"/>
      <c r="Q81" s="283"/>
      <c r="R81" s="283"/>
      <c r="S81" s="283"/>
      <c r="T81" s="283"/>
      <c r="U81" s="283"/>
      <c r="V81" s="283"/>
      <c r="W81" s="283"/>
      <c r="X81" s="286"/>
      <c r="Y81" s="286"/>
      <c r="Z81" s="286"/>
      <c r="AA81" s="286"/>
      <c r="AB81" s="286"/>
      <c r="AC81" s="195"/>
      <c r="AD81" s="195"/>
      <c r="AE81" s="195"/>
      <c r="AF81" s="195"/>
      <c r="AG81" s="195"/>
      <c r="AH81" s="195"/>
      <c r="AO81" s="338"/>
      <c r="AP81" s="449"/>
      <c r="AR81" s="449"/>
      <c r="AS81" s="449"/>
      <c r="BA81" s="286"/>
      <c r="BB81" s="286"/>
      <c r="BC81" s="286"/>
      <c r="BD81" s="286"/>
      <c r="BE81" s="286"/>
      <c r="BF81" s="286"/>
      <c r="BG81" s="286"/>
      <c r="BH81" s="286"/>
      <c r="BI81" s="286"/>
      <c r="BJ81" s="286"/>
      <c r="BK81" s="286"/>
      <c r="BL81" s="286"/>
      <c r="BM81" s="286"/>
      <c r="BN81" s="286"/>
      <c r="BO81" s="286"/>
      <c r="BP81" s="286"/>
      <c r="BQ81" s="286"/>
      <c r="BR81" s="286"/>
      <c r="BS81" s="286"/>
      <c r="BT81" s="286"/>
      <c r="BU81" s="286"/>
      <c r="BV81" s="286"/>
      <c r="BW81" s="286"/>
      <c r="BX81" s="286"/>
      <c r="BY81" s="286"/>
      <c r="BZ81" s="286"/>
      <c r="CA81" s="286"/>
      <c r="CB81" s="286"/>
      <c r="CC81" s="336"/>
      <c r="CD81" s="336"/>
      <c r="CE81" s="336"/>
      <c r="CF81" s="336"/>
      <c r="CG81" s="336"/>
      <c r="CH81" s="336"/>
      <c r="CI81" s="336"/>
      <c r="CJ81" s="336"/>
      <c r="CK81" s="336"/>
      <c r="CL81" s="336"/>
      <c r="CM81" s="336"/>
      <c r="CN81" s="336"/>
      <c r="CO81" s="481"/>
      <c r="CR81" s="286"/>
      <c r="CS81" s="286"/>
      <c r="CT81" s="286"/>
      <c r="CU81" s="286"/>
      <c r="CV81" s="286"/>
      <c r="CW81" s="286"/>
      <c r="CX81" s="286"/>
      <c r="CY81" s="286"/>
      <c r="CZ81" s="286"/>
      <c r="DA81" s="286"/>
      <c r="DB81" s="286"/>
      <c r="DC81" s="286"/>
      <c r="DD81" s="286"/>
      <c r="DE81" s="286"/>
      <c r="DF81" s="286"/>
      <c r="DG81" s="286"/>
      <c r="DH81" s="286"/>
      <c r="DI81" s="286"/>
      <c r="DJ81" s="286"/>
      <c r="DK81" s="286"/>
      <c r="DL81" s="286"/>
      <c r="DM81" s="286"/>
      <c r="DN81" s="286"/>
      <c r="DO81" s="286"/>
      <c r="DP81" s="286"/>
      <c r="DQ81" s="286"/>
      <c r="DR81" s="286"/>
      <c r="DS81" s="286"/>
      <c r="DT81" s="286"/>
      <c r="DU81" s="286"/>
      <c r="DV81" s="286"/>
      <c r="DW81" s="286"/>
      <c r="DX81" s="286"/>
      <c r="DY81" s="286"/>
      <c r="DZ81" s="286"/>
      <c r="EA81" s="286"/>
      <c r="EB81" s="286"/>
      <c r="EC81" s="286"/>
      <c r="ED81" s="286"/>
      <c r="EE81" s="286"/>
      <c r="EF81" s="286"/>
      <c r="EG81" s="286"/>
      <c r="EH81" s="286"/>
      <c r="EI81" s="286"/>
      <c r="EJ81" s="286"/>
      <c r="EK81" s="286"/>
      <c r="EL81" s="286"/>
      <c r="EM81" s="286"/>
      <c r="EN81" s="286"/>
      <c r="EO81" s="286"/>
      <c r="EP81" s="286"/>
      <c r="EQ81" s="286"/>
      <c r="ER81" s="286"/>
      <c r="ES81" s="286"/>
      <c r="ET81" s="286"/>
      <c r="EU81" s="286"/>
      <c r="EV81" s="286"/>
      <c r="EW81" s="336"/>
      <c r="EX81" s="336"/>
      <c r="EY81" s="336"/>
      <c r="EZ81" s="336"/>
      <c r="FA81" s="336"/>
      <c r="FB81" s="336"/>
      <c r="FC81" s="336"/>
    </row>
    <row r="82" spans="3:159">
      <c r="C82" s="19" t="s">
        <v>839</v>
      </c>
      <c r="D82" s="19"/>
      <c r="E82" s="19"/>
      <c r="F82" s="19"/>
      <c r="G82" s="19"/>
      <c r="H82" s="19"/>
      <c r="I82" s="19"/>
      <c r="J82" s="19"/>
      <c r="K82" s="293">
        <v>4296</v>
      </c>
      <c r="L82" s="293">
        <v>4189</v>
      </c>
      <c r="M82" s="293">
        <v>3870</v>
      </c>
      <c r="N82" s="293">
        <v>3619</v>
      </c>
      <c r="O82" s="287">
        <f t="shared" ref="O82:AH82" si="26">N92</f>
        <v>4214</v>
      </c>
      <c r="P82" s="287">
        <f t="shared" si="26"/>
        <v>4387</v>
      </c>
      <c r="Q82" s="287">
        <f t="shared" si="26"/>
        <v>4653</v>
      </c>
      <c r="R82" s="287">
        <f t="shared" si="26"/>
        <v>5436.87</v>
      </c>
      <c r="S82" s="287">
        <f t="shared" si="26"/>
        <v>6246</v>
      </c>
      <c r="T82" s="287">
        <f t="shared" si="26"/>
        <v>5927</v>
      </c>
      <c r="U82" s="287">
        <f t="shared" si="26"/>
        <v>4495</v>
      </c>
      <c r="V82" s="287">
        <f t="shared" si="26"/>
        <v>4686</v>
      </c>
      <c r="W82" s="287">
        <f t="shared" si="26"/>
        <v>10585</v>
      </c>
      <c r="X82" s="287">
        <f t="shared" si="26"/>
        <v>9839</v>
      </c>
      <c r="Y82" s="287">
        <f t="shared" si="26"/>
        <v>11912</v>
      </c>
      <c r="Z82" s="287">
        <f t="shared" si="26"/>
        <v>12713</v>
      </c>
      <c r="AA82" s="287">
        <f t="shared" si="26"/>
        <v>12785</v>
      </c>
      <c r="AB82" s="287">
        <f t="shared" si="26"/>
        <v>8048</v>
      </c>
      <c r="AC82" s="327">
        <f t="shared" si="26"/>
        <v>10758</v>
      </c>
      <c r="AD82" s="327">
        <f t="shared" si="26"/>
        <v>7614.1663630000003</v>
      </c>
      <c r="AE82" s="327">
        <f t="shared" si="26"/>
        <v>8324.4913337558555</v>
      </c>
      <c r="AF82" s="327">
        <f t="shared" si="26"/>
        <v>9435.7192849596704</v>
      </c>
      <c r="AG82" s="327">
        <f t="shared" si="26"/>
        <v>11164.7840958795</v>
      </c>
      <c r="AH82" s="327">
        <f t="shared" si="26"/>
        <v>14482.234216496418</v>
      </c>
      <c r="AO82" s="338"/>
      <c r="AP82" s="449"/>
      <c r="AR82" s="449"/>
      <c r="AS82" s="449"/>
      <c r="BA82" s="498"/>
      <c r="BB82" s="498"/>
      <c r="BC82" s="498"/>
      <c r="BD82" s="498"/>
      <c r="BE82" s="498"/>
      <c r="BF82" s="498"/>
      <c r="BG82" s="498"/>
      <c r="BH82" s="498"/>
      <c r="BI82" s="498"/>
      <c r="BJ82" s="498"/>
      <c r="BK82" s="498"/>
      <c r="BL82" s="498"/>
      <c r="BM82" s="498"/>
      <c r="BN82" s="498"/>
      <c r="BO82" s="498"/>
      <c r="BP82" s="498"/>
      <c r="BQ82" s="498"/>
      <c r="BR82" s="498"/>
      <c r="BS82" s="498"/>
      <c r="BT82" s="498"/>
      <c r="BU82" s="498"/>
      <c r="BV82" s="498"/>
      <c r="BW82" s="498"/>
      <c r="BX82" s="498"/>
      <c r="BY82" s="498"/>
      <c r="BZ82" s="498"/>
      <c r="CA82" s="498"/>
      <c r="CB82" s="498"/>
      <c r="CC82" s="498"/>
      <c r="CD82" s="498"/>
      <c r="CE82" s="498"/>
      <c r="CF82" s="498"/>
      <c r="CG82" s="287"/>
      <c r="CH82" s="287"/>
      <c r="CI82" s="287"/>
      <c r="CJ82" s="287"/>
      <c r="CK82" s="287"/>
      <c r="CL82" s="287"/>
      <c r="CM82" s="287"/>
      <c r="CN82" s="287"/>
      <c r="CO82" s="27"/>
      <c r="CR82" s="498"/>
      <c r="CS82" s="498"/>
      <c r="CT82" s="498"/>
      <c r="CU82" s="498"/>
      <c r="CV82" s="498"/>
      <c r="CW82" s="498"/>
      <c r="CX82" s="498"/>
      <c r="CY82" s="498"/>
      <c r="CZ82" s="498"/>
      <c r="DA82" s="498"/>
      <c r="DB82" s="498"/>
      <c r="DC82" s="498"/>
      <c r="DD82" s="498"/>
      <c r="DE82" s="498"/>
      <c r="DF82" s="498"/>
      <c r="DG82" s="498"/>
      <c r="DH82" s="498"/>
      <c r="DI82" s="498"/>
      <c r="DJ82" s="498"/>
      <c r="DK82" s="498"/>
      <c r="DL82" s="498"/>
      <c r="DM82" s="498"/>
      <c r="DN82" s="498"/>
      <c r="DO82" s="498"/>
      <c r="DP82" s="498"/>
      <c r="DQ82" s="498"/>
      <c r="DR82" s="498"/>
      <c r="DS82" s="498"/>
      <c r="DT82" s="498"/>
      <c r="DU82" s="498"/>
      <c r="DV82" s="498"/>
      <c r="DW82" s="498"/>
      <c r="DX82" s="498"/>
      <c r="DY82" s="498"/>
      <c r="DZ82" s="498"/>
      <c r="EA82" s="498"/>
      <c r="EB82" s="498"/>
      <c r="EC82" s="498"/>
      <c r="ED82" s="498"/>
      <c r="EE82" s="498"/>
      <c r="EF82" s="498"/>
      <c r="EG82" s="498"/>
      <c r="EH82" s="498"/>
      <c r="EI82" s="498"/>
      <c r="EJ82" s="498"/>
      <c r="EK82" s="498"/>
      <c r="EL82" s="498"/>
      <c r="EM82" s="498"/>
      <c r="EN82" s="498"/>
      <c r="EO82" s="498"/>
      <c r="EP82" s="498"/>
      <c r="EQ82" s="498"/>
      <c r="ER82" s="498"/>
      <c r="ES82" s="498"/>
      <c r="ET82" s="498"/>
      <c r="EU82" s="498"/>
      <c r="EV82" s="498"/>
      <c r="EW82" s="498"/>
      <c r="EX82" s="498"/>
      <c r="EY82" s="498"/>
      <c r="EZ82" s="498"/>
      <c r="FA82" s="498"/>
      <c r="FB82" s="498"/>
      <c r="FC82" s="498"/>
    </row>
    <row r="83" spans="3:159">
      <c r="C83" s="291" t="s">
        <v>838</v>
      </c>
      <c r="D83" s="19"/>
      <c r="E83" s="19"/>
      <c r="F83" s="19"/>
      <c r="G83" s="19"/>
      <c r="H83" s="19"/>
      <c r="I83" s="19"/>
      <c r="J83" s="19"/>
      <c r="K83" s="293">
        <v>9</v>
      </c>
      <c r="L83" s="293">
        <v>39</v>
      </c>
      <c r="M83" s="293">
        <v>-205</v>
      </c>
      <c r="N83" s="287">
        <f>'Income Statement'!K92+'Income Statement'!K94-'Income Statement'!K95</f>
        <v>641</v>
      </c>
      <c r="O83" s="287">
        <f>'Income Statement'!L92+'Income Statement'!L94-'Income Statement'!L95</f>
        <v>207</v>
      </c>
      <c r="P83" s="287">
        <f>'Income Statement'!M92+'Income Statement'!M94-'Income Statement'!M95</f>
        <v>478</v>
      </c>
      <c r="Q83" s="287">
        <f>'Income Statement'!N92+'Income Statement'!N94-'Income Statement'!N95-'Income Statement'!O83</f>
        <v>1267</v>
      </c>
      <c r="R83" s="287">
        <f>'Income Statement'!O92+'Income Statement'!O94-'Income Statement'!O95-'Income Statement'!P83</f>
        <v>1237</v>
      </c>
      <c r="S83" s="287">
        <f>'Income Statement'!P92+'Income Statement'!P94-'Income Statement'!P95-'Income Statement'!Q83</f>
        <v>-126</v>
      </c>
      <c r="T83" s="287">
        <f>'Income Statement'!Q92+'Income Statement'!Q94-'Income Statement'!Q95-'Income Statement'!R83</f>
        <v>-424</v>
      </c>
      <c r="U83" s="287">
        <f>'Income Statement'!R92+'Income Statement'!R94-'Income Statement'!R95-'Income Statement'!S83</f>
        <v>1908</v>
      </c>
      <c r="V83" s="287">
        <f>'Income Statement'!S92+'Income Statement'!S94-'Income Statement'!S95-'Income Statement'!T83</f>
        <v>4550</v>
      </c>
      <c r="W83" s="287">
        <f>'Income Statement'!T92+'Income Statement'!T94-'Income Statement'!T95-'Income Statement'!U83</f>
        <v>1283</v>
      </c>
      <c r="X83" s="287">
        <f>'Income Statement'!U92+'Income Statement'!U94-'Income Statement'!U95-'Income Statement'!V83</f>
        <v>2447</v>
      </c>
      <c r="Y83" s="287">
        <f>'Income Statement'!V92+'Income Statement'!V94-'Income Statement'!V95-'Income Statement'!W83</f>
        <v>352</v>
      </c>
      <c r="Z83" s="287">
        <f>'Income Statement'!W92+'Income Statement'!W94-'Income Statement'!W95-'Income Statement'!X83</f>
        <v>43</v>
      </c>
      <c r="AA83" s="287">
        <f>'Income Statement'!X92+'Income Statement'!X94-'Income Statement'!X95-'Income Statement'!Y83</f>
        <v>-2459</v>
      </c>
      <c r="AB83" s="287">
        <f>'Income Statement'!Y92+'Income Statement'!Y94-'Income Statement'!Y95-'Income Statement'!Z83</f>
        <v>3444</v>
      </c>
      <c r="AC83" s="327">
        <f>'Income Statement'!Z92+'Income Statement'!Z94-'Income Statement'!Z95-'Income Statement'!AA83</f>
        <v>-667</v>
      </c>
      <c r="AD83" s="327">
        <f>'Income Statement'!AA92+'Income Statement'!AA94-'Income Statement'!AA95-'Income Statement'!AB83</f>
        <v>3378.8787103292052</v>
      </c>
      <c r="AE83" s="327">
        <f>'Income Statement'!AB92+'Income Statement'!AB94-'Income Statement'!AB95-'Income Statement'!AC83</f>
        <v>4177.9453046421168</v>
      </c>
      <c r="AF83" s="327">
        <f>'Income Statement'!AC92+'Income Statement'!AC94-'Income Statement'!AC95-'Income Statement'!AD83</f>
        <v>5045.033570944749</v>
      </c>
      <c r="AG83" s="327">
        <f>'Income Statement'!AD92+'Income Statement'!AD94-'Income Statement'!AD95-'Income Statement'!AE83</f>
        <v>5614.2336011980487</v>
      </c>
      <c r="AH83" s="327">
        <f>'Income Statement'!AE92+'Income Statement'!AE94-'Income Statement'!AE95-'Income Statement'!AF83</f>
        <v>5957.9815659522574</v>
      </c>
      <c r="AO83" s="338"/>
      <c r="AP83" s="449"/>
      <c r="AR83" s="449"/>
      <c r="AS83" s="449"/>
      <c r="BA83" s="498"/>
      <c r="BB83" s="498"/>
      <c r="BC83" s="498"/>
      <c r="BD83" s="498"/>
      <c r="BE83" s="498"/>
      <c r="BF83" s="498"/>
      <c r="BG83" s="498"/>
      <c r="BH83" s="498"/>
      <c r="BI83" s="498"/>
      <c r="BJ83" s="498"/>
      <c r="BK83" s="498"/>
      <c r="BL83" s="498"/>
      <c r="BM83" s="498"/>
      <c r="BN83" s="498"/>
      <c r="BO83" s="498"/>
      <c r="BP83" s="498"/>
      <c r="BQ83" s="498"/>
      <c r="BR83" s="498"/>
      <c r="BS83" s="498"/>
      <c r="BT83" s="498"/>
      <c r="BU83" s="498"/>
      <c r="BV83" s="498"/>
      <c r="BW83" s="498"/>
      <c r="BX83" s="498"/>
      <c r="BY83" s="498"/>
      <c r="BZ83" s="498"/>
      <c r="CA83" s="498"/>
      <c r="CB83" s="498"/>
      <c r="CC83" s="498"/>
      <c r="CD83" s="498"/>
      <c r="CE83" s="498"/>
      <c r="CF83" s="498"/>
      <c r="CG83" s="287"/>
      <c r="CH83" s="287"/>
      <c r="CI83" s="287"/>
      <c r="CJ83" s="287"/>
      <c r="CK83" s="287"/>
      <c r="CL83" s="287"/>
      <c r="CM83" s="287"/>
      <c r="CN83" s="287"/>
      <c r="CO83" s="27"/>
      <c r="CR83" s="498"/>
      <c r="CS83" s="498"/>
      <c r="CT83" s="498"/>
      <c r="CU83" s="498"/>
      <c r="CV83" s="498"/>
      <c r="CW83" s="498"/>
      <c r="CX83" s="498"/>
      <c r="CY83" s="498"/>
      <c r="CZ83" s="498"/>
      <c r="DA83" s="498"/>
      <c r="DB83" s="498"/>
      <c r="DC83" s="498"/>
      <c r="DD83" s="498"/>
      <c r="DE83" s="498"/>
      <c r="DF83" s="498"/>
      <c r="DG83" s="498"/>
      <c r="DH83" s="498"/>
      <c r="DI83" s="498"/>
      <c r="DJ83" s="498"/>
      <c r="DK83" s="498"/>
      <c r="DL83" s="498"/>
      <c r="DM83" s="498"/>
      <c r="DN83" s="498"/>
      <c r="DO83" s="498"/>
      <c r="DP83" s="498"/>
      <c r="DQ83" s="498"/>
      <c r="DR83" s="498"/>
      <c r="DS83" s="498"/>
      <c r="DT83" s="498"/>
      <c r="DU83" s="498"/>
      <c r="DV83" s="498"/>
      <c r="DW83" s="498"/>
      <c r="DX83" s="498"/>
      <c r="DY83" s="498"/>
      <c r="DZ83" s="498"/>
      <c r="EA83" s="498"/>
      <c r="EB83" s="498"/>
      <c r="EC83" s="498"/>
      <c r="ED83" s="498"/>
      <c r="EE83" s="498"/>
      <c r="EF83" s="498"/>
      <c r="EG83" s="498"/>
      <c r="EH83" s="498"/>
      <c r="EI83" s="498"/>
      <c r="EJ83" s="498"/>
      <c r="EK83" s="498"/>
      <c r="EL83" s="498"/>
      <c r="EM83" s="498"/>
      <c r="EN83" s="498"/>
      <c r="EO83" s="498"/>
      <c r="EP83" s="498"/>
      <c r="EQ83" s="498"/>
      <c r="ER83" s="498"/>
      <c r="ES83" s="498"/>
      <c r="ET83" s="498"/>
      <c r="EU83" s="498"/>
      <c r="EV83" s="498"/>
      <c r="EW83" s="498"/>
      <c r="EX83" s="498"/>
      <c r="EY83" s="498"/>
      <c r="EZ83" s="498"/>
      <c r="FA83" s="498"/>
      <c r="FB83" s="498"/>
      <c r="FC83" s="498"/>
    </row>
    <row r="84" spans="3:159">
      <c r="C84" s="291" t="s">
        <v>837</v>
      </c>
      <c r="D84" s="19"/>
      <c r="E84" s="19"/>
      <c r="F84" s="19"/>
      <c r="G84" s="19"/>
      <c r="H84" s="19"/>
      <c r="I84" s="19"/>
      <c r="J84" s="19"/>
      <c r="K84" s="293">
        <v>-90</v>
      </c>
      <c r="L84" s="293">
        <v>-165</v>
      </c>
      <c r="M84" s="293">
        <v>-68</v>
      </c>
      <c r="N84" s="293">
        <v>-152</v>
      </c>
      <c r="O84" s="293">
        <v>-202</v>
      </c>
      <c r="P84" s="293">
        <v>-154</v>
      </c>
      <c r="Q84" s="287">
        <f>'Cashflow Statement'!O43-Q85</f>
        <v>-271.17948672</v>
      </c>
      <c r="R84" s="287">
        <f>'Cashflow Statement'!P43-R85</f>
        <v>-266.80851392</v>
      </c>
      <c r="S84" s="287">
        <f>'Cashflow Statement'!Q43-S85</f>
        <v>-266.45858139999996</v>
      </c>
      <c r="T84" s="287">
        <f>'Cashflow Statement'!R43-T85</f>
        <v>-362.20492920000004</v>
      </c>
      <c r="U84" s="287">
        <f>'Cashflow Statement'!S43-U85</f>
        <v>-340</v>
      </c>
      <c r="V84" s="287">
        <f>'Cashflow Statement'!T43-V85</f>
        <v>-695</v>
      </c>
      <c r="W84" s="287">
        <f>'Cashflow Statement'!U43-W85</f>
        <v>-785</v>
      </c>
      <c r="X84" s="287">
        <f>'Cashflow Statement'!V43-X85</f>
        <v>0</v>
      </c>
      <c r="Y84" s="287">
        <f>'Cashflow Statement'!W43-Y85</f>
        <v>-183</v>
      </c>
      <c r="Z84" s="287">
        <f>'Cashflow Statement'!X43-Z85</f>
        <v>-213</v>
      </c>
      <c r="AA84" s="287">
        <f>'Cashflow Statement'!Y43-AA85</f>
        <v>-564</v>
      </c>
      <c r="AB84" s="287">
        <f>'Cashflow Statement'!Z43-AB85</f>
        <v>-911</v>
      </c>
      <c r="AC84" s="327">
        <f>'Cashflow Statement'!AA43-AC85</f>
        <v>-1206.8336370000002</v>
      </c>
      <c r="AD84" s="327">
        <f>'Cashflow Statement'!AB43-AD85</f>
        <v>-1398.5537395733497</v>
      </c>
      <c r="AE84" s="327">
        <f>'Cashflow Statement'!AC43-AE85</f>
        <v>-1796.7173534383026</v>
      </c>
      <c r="AF84" s="327">
        <f>'Cashflow Statement'!AD43-AF85</f>
        <v>-2045.9687600249188</v>
      </c>
      <c r="AG84" s="327">
        <f>'Cashflow Statement'!AE43-AG85</f>
        <v>-2276.7834805811317</v>
      </c>
      <c r="AH84" s="327">
        <f>'Cashflow Statement'!AF43-AH85</f>
        <v>-2416.1772413240215</v>
      </c>
      <c r="AO84" s="338"/>
      <c r="AP84" s="449"/>
      <c r="AR84" s="449"/>
      <c r="AS84" s="449"/>
      <c r="BA84" s="498"/>
      <c r="BB84" s="498"/>
      <c r="BC84" s="498"/>
      <c r="BD84" s="498"/>
      <c r="BE84" s="498"/>
      <c r="BF84" s="498"/>
      <c r="BG84" s="498"/>
      <c r="BH84" s="498"/>
      <c r="BI84" s="498"/>
      <c r="BJ84" s="498"/>
      <c r="BK84" s="498"/>
      <c r="BL84" s="498"/>
      <c r="BM84" s="498"/>
      <c r="BN84" s="498"/>
      <c r="BO84" s="498"/>
      <c r="BP84" s="498"/>
      <c r="BQ84" s="498"/>
      <c r="BR84" s="498"/>
      <c r="BS84" s="498"/>
      <c r="BT84" s="498"/>
      <c r="BU84" s="498"/>
      <c r="BV84" s="498"/>
      <c r="BW84" s="498"/>
      <c r="BX84" s="498"/>
      <c r="BY84" s="498"/>
      <c r="BZ84" s="498"/>
      <c r="CA84" s="498"/>
      <c r="CB84" s="498"/>
      <c r="CC84" s="498"/>
      <c r="CD84" s="498"/>
      <c r="CE84" s="498"/>
      <c r="CF84" s="498"/>
      <c r="CG84" s="287"/>
      <c r="CH84" s="287"/>
      <c r="CI84" s="287"/>
      <c r="CJ84" s="287"/>
      <c r="CK84" s="287"/>
      <c r="CL84" s="287"/>
      <c r="CM84" s="287"/>
      <c r="CN84" s="287"/>
      <c r="CO84" s="27"/>
      <c r="CR84" s="498"/>
      <c r="CS84" s="498"/>
      <c r="CT84" s="498"/>
      <c r="CU84" s="498"/>
      <c r="CV84" s="498"/>
      <c r="CW84" s="498"/>
      <c r="CX84" s="498"/>
      <c r="CY84" s="498"/>
      <c r="CZ84" s="498"/>
      <c r="DA84" s="498"/>
      <c r="DB84" s="498"/>
      <c r="DC84" s="498"/>
      <c r="DD84" s="498"/>
      <c r="DE84" s="498"/>
      <c r="DF84" s="498"/>
      <c r="DG84" s="498"/>
      <c r="DH84" s="498"/>
      <c r="DI84" s="498"/>
      <c r="DJ84" s="498"/>
      <c r="DK84" s="498"/>
      <c r="DL84" s="498"/>
      <c r="DM84" s="498"/>
      <c r="DN84" s="498"/>
      <c r="DO84" s="498"/>
      <c r="DP84" s="498"/>
      <c r="DQ84" s="498"/>
      <c r="DR84" s="498"/>
      <c r="DS84" s="498"/>
      <c r="DT84" s="498"/>
      <c r="DU84" s="498"/>
      <c r="DV84" s="498"/>
      <c r="DW84" s="498"/>
      <c r="DX84" s="498"/>
      <c r="DY84" s="498"/>
      <c r="DZ84" s="498"/>
      <c r="EA84" s="498"/>
      <c r="EB84" s="498"/>
      <c r="EC84" s="498"/>
      <c r="ED84" s="498"/>
      <c r="EE84" s="498"/>
      <c r="EF84" s="498"/>
      <c r="EG84" s="498"/>
      <c r="EH84" s="498"/>
      <c r="EI84" s="498"/>
      <c r="EJ84" s="498"/>
      <c r="EK84" s="498"/>
      <c r="EL84" s="498"/>
      <c r="EM84" s="498"/>
      <c r="EN84" s="498"/>
      <c r="EO84" s="498"/>
      <c r="EP84" s="498"/>
      <c r="EQ84" s="498"/>
      <c r="ER84" s="498"/>
      <c r="ES84" s="498"/>
      <c r="ET84" s="498"/>
      <c r="EU84" s="498"/>
      <c r="EV84" s="498"/>
      <c r="EW84" s="498"/>
      <c r="EX84" s="498"/>
      <c r="EY84" s="498"/>
      <c r="EZ84" s="498"/>
      <c r="FA84" s="498"/>
      <c r="FB84" s="498"/>
      <c r="FC84" s="498"/>
    </row>
    <row r="85" spans="3:159">
      <c r="C85" s="291" t="s">
        <v>836</v>
      </c>
      <c r="D85" s="19"/>
      <c r="E85" s="19"/>
      <c r="F85" s="19"/>
      <c r="G85" s="19"/>
      <c r="H85" s="19"/>
      <c r="I85" s="19"/>
      <c r="J85" s="19"/>
      <c r="K85" s="287"/>
      <c r="L85" s="293">
        <v>-32</v>
      </c>
      <c r="M85" s="287"/>
      <c r="N85" s="287"/>
      <c r="O85" s="293">
        <v>-102</v>
      </c>
      <c r="P85" s="287">
        <f>-('Cashflow Statement'!N45*'Income Statement'!N116)/1000</f>
        <v>-128.73705606000001</v>
      </c>
      <c r="Q85" s="287">
        <f>-('Cashflow Statement'!O45*'Income Statement'!O116)/1000</f>
        <v>-199.82051327999997</v>
      </c>
      <c r="R85" s="287">
        <f>-('Cashflow Statement'!P45*'Income Statement'!P116)/1000</f>
        <v>-233.19148607999998</v>
      </c>
      <c r="S85" s="287">
        <f>-('Cashflow Statement'!Q45*'Income Statement'!Q116)/1000</f>
        <v>-250.54141860000001</v>
      </c>
      <c r="T85" s="287">
        <f>-('Cashflow Statement'!R45*'Income Statement'!R116)/1000</f>
        <v>-249.79507079999999</v>
      </c>
      <c r="U85" s="287">
        <f>-('Cashflow Statement'!S45*'Income Statement'!S116)/1000</f>
        <v>0</v>
      </c>
      <c r="V85" s="287">
        <f>-('Cashflow Statement'!T45*'Income Statement'!T116)/1000</f>
        <v>0</v>
      </c>
      <c r="W85" s="287">
        <f>-('Cashflow Statement'!U45*'Income Statement'!U116)/1000</f>
        <v>0</v>
      </c>
      <c r="X85" s="287">
        <f>-('Cashflow Statement'!V45*'Income Statement'!V116)/1000</f>
        <v>0</v>
      </c>
      <c r="Y85" s="287">
        <f>-('Cashflow Statement'!W45*'Income Statement'!W116)/1000</f>
        <v>0</v>
      </c>
      <c r="Z85" s="287">
        <f>-('Cashflow Statement'!X45*'Income Statement'!X116)/1000</f>
        <v>0</v>
      </c>
      <c r="AA85" s="287">
        <f>-('Cashflow Statement'!Y45*'Income Statement'!Y116)/1000</f>
        <v>0</v>
      </c>
      <c r="AB85" s="287">
        <f>-('Cashflow Statement'!Z45*'Income Statement'!Z116)/1000</f>
        <v>0</v>
      </c>
      <c r="AC85" s="327">
        <f>-('Cashflow Statement'!AA45*'Income Statement'!AA116)/1000</f>
        <v>0</v>
      </c>
      <c r="AD85" s="327">
        <f>-('Cashflow Statement'!AB45*'Income Statement'!AB116)/1000</f>
        <v>0</v>
      </c>
      <c r="AE85" s="327">
        <f>-('Cashflow Statement'!AC45*'Income Statement'!AC116)/1000</f>
        <v>0</v>
      </c>
      <c r="AF85" s="327">
        <f>-('Cashflow Statement'!AD45*'Income Statement'!AD116)/1000</f>
        <v>0</v>
      </c>
      <c r="AG85" s="327">
        <f>-('Cashflow Statement'!AE45*'Income Statement'!AE116)/1000</f>
        <v>0</v>
      </c>
      <c r="AH85" s="327">
        <f>-('Cashflow Statement'!AF45*'Income Statement'!AF116)/1000</f>
        <v>0</v>
      </c>
      <c r="AO85" s="338"/>
      <c r="AP85" s="449"/>
      <c r="AR85" s="449"/>
      <c r="AS85" s="449"/>
      <c r="BA85" s="498"/>
      <c r="BB85" s="498"/>
      <c r="BC85" s="498"/>
      <c r="BD85" s="498"/>
      <c r="BE85" s="498"/>
      <c r="BF85" s="498"/>
      <c r="BG85" s="498"/>
      <c r="BH85" s="498"/>
      <c r="BI85" s="498"/>
      <c r="BJ85" s="498"/>
      <c r="BK85" s="498"/>
      <c r="BL85" s="498"/>
      <c r="BM85" s="498"/>
      <c r="BN85" s="498"/>
      <c r="BO85" s="498"/>
      <c r="BP85" s="498"/>
      <c r="BQ85" s="498"/>
      <c r="BR85" s="498"/>
      <c r="BS85" s="498"/>
      <c r="BT85" s="498"/>
      <c r="BU85" s="498"/>
      <c r="BV85" s="498"/>
      <c r="BW85" s="498"/>
      <c r="BX85" s="498"/>
      <c r="BY85" s="498"/>
      <c r="BZ85" s="498"/>
      <c r="CA85" s="498"/>
      <c r="CB85" s="498"/>
      <c r="CC85" s="498"/>
      <c r="CD85" s="498"/>
      <c r="CE85" s="498"/>
      <c r="CF85" s="498"/>
      <c r="CG85" s="287"/>
      <c r="CH85" s="287"/>
      <c r="CI85" s="287"/>
      <c r="CJ85" s="287"/>
      <c r="CK85" s="287"/>
      <c r="CL85" s="287"/>
      <c r="CM85" s="287"/>
      <c r="CN85" s="287"/>
      <c r="CO85" s="27"/>
      <c r="CR85" s="498"/>
      <c r="CS85" s="498"/>
      <c r="CT85" s="498"/>
      <c r="CU85" s="498"/>
      <c r="CV85" s="498"/>
      <c r="CW85" s="498"/>
      <c r="CX85" s="498"/>
      <c r="CY85" s="498"/>
      <c r="CZ85" s="498"/>
      <c r="DA85" s="498"/>
      <c r="DB85" s="498"/>
      <c r="DC85" s="498"/>
      <c r="DD85" s="498"/>
      <c r="DE85" s="498"/>
      <c r="DF85" s="498"/>
      <c r="DG85" s="498"/>
      <c r="DH85" s="498"/>
      <c r="DI85" s="498"/>
      <c r="DJ85" s="498"/>
      <c r="DK85" s="498"/>
      <c r="DL85" s="498"/>
      <c r="DM85" s="498"/>
      <c r="DN85" s="498"/>
      <c r="DO85" s="498"/>
      <c r="DP85" s="498"/>
      <c r="DQ85" s="498"/>
      <c r="DR85" s="498"/>
      <c r="DS85" s="498"/>
      <c r="DT85" s="498"/>
      <c r="DU85" s="498"/>
      <c r="DV85" s="498"/>
      <c r="DW85" s="498"/>
      <c r="DX85" s="498"/>
      <c r="DY85" s="498"/>
      <c r="DZ85" s="498"/>
      <c r="EA85" s="498"/>
      <c r="EB85" s="498"/>
      <c r="EC85" s="498"/>
      <c r="ED85" s="498"/>
      <c r="EE85" s="498"/>
      <c r="EF85" s="498"/>
      <c r="EG85" s="498"/>
      <c r="EH85" s="498"/>
      <c r="EI85" s="498"/>
      <c r="EJ85" s="498"/>
      <c r="EK85" s="498"/>
      <c r="EL85" s="498"/>
      <c r="EM85" s="498"/>
      <c r="EN85" s="498"/>
      <c r="EO85" s="498"/>
      <c r="EP85" s="498"/>
      <c r="EQ85" s="498"/>
      <c r="ER85" s="498"/>
      <c r="ES85" s="498"/>
      <c r="ET85" s="498"/>
      <c r="EU85" s="498"/>
      <c r="EV85" s="498"/>
      <c r="EW85" s="498"/>
      <c r="EX85" s="498"/>
      <c r="EY85" s="498"/>
      <c r="EZ85" s="498"/>
      <c r="FA85" s="498"/>
      <c r="FB85" s="498"/>
      <c r="FC85" s="498"/>
    </row>
    <row r="86" spans="3:159">
      <c r="C86" s="291" t="s">
        <v>835</v>
      </c>
      <c r="D86" s="19"/>
      <c r="E86" s="19"/>
      <c r="F86" s="19"/>
      <c r="G86" s="19"/>
      <c r="H86" s="19"/>
      <c r="I86" s="19"/>
      <c r="J86" s="19"/>
      <c r="K86" s="287"/>
      <c r="L86" s="287"/>
      <c r="M86" s="287"/>
      <c r="N86" s="287"/>
      <c r="O86" s="287"/>
      <c r="P86" s="287">
        <f>-133-P85</f>
        <v>-4.2629439399999853</v>
      </c>
      <c r="Q86" s="287">
        <f>(0.03*Q85)+(0.03*Q84)</f>
        <v>-14.129999999999999</v>
      </c>
      <c r="R86" s="287"/>
      <c r="S86" s="293">
        <v>-20</v>
      </c>
      <c r="T86" s="293">
        <v>-20</v>
      </c>
      <c r="U86" s="293">
        <v>-20</v>
      </c>
      <c r="V86" s="293">
        <v>-20</v>
      </c>
      <c r="W86" s="293">
        <v>-20</v>
      </c>
      <c r="X86" s="293">
        <v>-20</v>
      </c>
      <c r="Y86" s="293">
        <v>-20</v>
      </c>
      <c r="Z86" s="293">
        <v>-20</v>
      </c>
      <c r="AA86" s="293">
        <v>-20</v>
      </c>
      <c r="AB86" s="293">
        <v>-20</v>
      </c>
      <c r="AC86" s="329">
        <v>-20</v>
      </c>
      <c r="AD86" s="329">
        <v>-20</v>
      </c>
      <c r="AE86" s="329">
        <v>-20</v>
      </c>
      <c r="AF86" s="329">
        <v>-20</v>
      </c>
      <c r="AG86" s="329">
        <v>-20</v>
      </c>
      <c r="AH86" s="329">
        <v>-20</v>
      </c>
      <c r="AO86" s="338"/>
      <c r="AP86" s="449"/>
      <c r="AR86" s="449"/>
      <c r="AS86" s="449"/>
      <c r="BA86" s="498"/>
      <c r="BB86" s="498"/>
      <c r="BC86" s="498"/>
      <c r="BD86" s="498"/>
      <c r="BE86" s="498"/>
      <c r="BF86" s="498"/>
      <c r="BG86" s="498"/>
      <c r="BH86" s="498"/>
      <c r="BI86" s="498"/>
      <c r="BJ86" s="498"/>
      <c r="BK86" s="498"/>
      <c r="BL86" s="498"/>
      <c r="BM86" s="498"/>
      <c r="BN86" s="498"/>
      <c r="BO86" s="498"/>
      <c r="BP86" s="498"/>
      <c r="BQ86" s="498"/>
      <c r="BR86" s="498"/>
      <c r="BS86" s="498"/>
      <c r="BT86" s="498"/>
      <c r="BU86" s="498"/>
      <c r="BV86" s="498"/>
      <c r="BW86" s="498"/>
      <c r="BX86" s="498"/>
      <c r="BY86" s="498"/>
      <c r="BZ86" s="498"/>
      <c r="CA86" s="498"/>
      <c r="CB86" s="498"/>
      <c r="CC86" s="498"/>
      <c r="CD86" s="498"/>
      <c r="CE86" s="498"/>
      <c r="CF86" s="498"/>
      <c r="CG86" s="293"/>
      <c r="CH86" s="293"/>
      <c r="CI86" s="293"/>
      <c r="CJ86" s="293"/>
      <c r="CK86" s="293"/>
      <c r="CL86" s="293"/>
      <c r="CM86" s="293"/>
      <c r="CN86" s="293"/>
      <c r="CO86" s="227"/>
      <c r="CR86" s="498"/>
      <c r="CS86" s="498"/>
      <c r="CT86" s="498"/>
      <c r="CU86" s="498"/>
      <c r="CV86" s="498"/>
      <c r="CW86" s="498"/>
      <c r="CX86" s="498"/>
      <c r="CY86" s="498"/>
      <c r="CZ86" s="498"/>
      <c r="DA86" s="498"/>
      <c r="DB86" s="498"/>
      <c r="DC86" s="498"/>
      <c r="DD86" s="498"/>
      <c r="DE86" s="498"/>
      <c r="DF86" s="498"/>
      <c r="DG86" s="498"/>
      <c r="DH86" s="498"/>
      <c r="DI86" s="498"/>
      <c r="DJ86" s="498"/>
      <c r="DK86" s="498"/>
      <c r="DL86" s="498"/>
      <c r="DM86" s="498"/>
      <c r="DN86" s="498"/>
      <c r="DO86" s="498"/>
      <c r="DP86" s="498"/>
      <c r="DQ86" s="498"/>
      <c r="DR86" s="498"/>
      <c r="DS86" s="498"/>
      <c r="DT86" s="498"/>
      <c r="DU86" s="498"/>
      <c r="DV86" s="498"/>
      <c r="DW86" s="498"/>
      <c r="DX86" s="498"/>
      <c r="DY86" s="498"/>
      <c r="DZ86" s="498"/>
      <c r="EA86" s="498"/>
      <c r="EB86" s="498"/>
      <c r="EC86" s="498"/>
      <c r="ED86" s="498"/>
      <c r="EE86" s="498"/>
      <c r="EF86" s="498"/>
      <c r="EG86" s="498"/>
      <c r="EH86" s="498"/>
      <c r="EI86" s="498"/>
      <c r="EJ86" s="498"/>
      <c r="EK86" s="498"/>
      <c r="EL86" s="498"/>
      <c r="EM86" s="498"/>
      <c r="EN86" s="498"/>
      <c r="EO86" s="498"/>
      <c r="EP86" s="498"/>
      <c r="EQ86" s="498"/>
      <c r="ER86" s="498"/>
      <c r="ES86" s="498"/>
      <c r="ET86" s="498"/>
      <c r="EU86" s="498"/>
      <c r="EV86" s="498"/>
      <c r="EW86" s="498"/>
      <c r="EX86" s="498"/>
      <c r="EY86" s="498"/>
      <c r="EZ86" s="498"/>
      <c r="FA86" s="498"/>
      <c r="FB86" s="498"/>
      <c r="FC86" s="498"/>
    </row>
    <row r="87" spans="3:159">
      <c r="C87" s="291" t="s">
        <v>834</v>
      </c>
      <c r="D87" s="19"/>
      <c r="E87" s="19"/>
      <c r="F87" s="19"/>
      <c r="G87" s="19"/>
      <c r="H87" s="19"/>
      <c r="I87" s="19"/>
      <c r="J87" s="19"/>
      <c r="K87" s="293">
        <v>-49</v>
      </c>
      <c r="L87" s="293">
        <v>-12</v>
      </c>
      <c r="M87" s="293">
        <v>5</v>
      </c>
      <c r="N87" s="293">
        <v>111</v>
      </c>
      <c r="O87" s="293">
        <v>115</v>
      </c>
      <c r="P87" s="293">
        <v>-42</v>
      </c>
      <c r="Q87" s="287"/>
      <c r="R87" s="287"/>
      <c r="S87" s="287"/>
      <c r="T87" s="287"/>
      <c r="U87" s="287"/>
      <c r="V87" s="287"/>
      <c r="W87" s="287"/>
      <c r="X87" s="287"/>
      <c r="Y87" s="287"/>
      <c r="Z87" s="287"/>
      <c r="AA87" s="287"/>
      <c r="AB87" s="287"/>
      <c r="AC87" s="327"/>
      <c r="AD87" s="327"/>
      <c r="AE87" s="327"/>
      <c r="AF87" s="327"/>
      <c r="AG87" s="327"/>
      <c r="AH87" s="327"/>
      <c r="AO87" s="338"/>
      <c r="AP87" s="449"/>
      <c r="AR87" s="449"/>
      <c r="AS87" s="449"/>
      <c r="BA87" s="498"/>
      <c r="BB87" s="498"/>
      <c r="BC87" s="498"/>
      <c r="BD87" s="498"/>
      <c r="BE87" s="498"/>
      <c r="BF87" s="498"/>
      <c r="BG87" s="498"/>
      <c r="BH87" s="498"/>
      <c r="BI87" s="498"/>
      <c r="BJ87" s="498"/>
      <c r="BK87" s="498"/>
      <c r="BL87" s="498"/>
      <c r="BM87" s="498"/>
      <c r="BN87" s="498"/>
      <c r="BO87" s="498"/>
      <c r="BP87" s="498"/>
      <c r="BQ87" s="498"/>
      <c r="BR87" s="498"/>
      <c r="BS87" s="498"/>
      <c r="BT87" s="498"/>
      <c r="BU87" s="498"/>
      <c r="BV87" s="498"/>
      <c r="BW87" s="498"/>
      <c r="BX87" s="498"/>
      <c r="BY87" s="498"/>
      <c r="BZ87" s="498"/>
      <c r="CA87" s="498"/>
      <c r="CB87" s="498"/>
      <c r="CC87" s="498"/>
      <c r="CD87" s="498"/>
      <c r="CE87" s="498"/>
      <c r="CF87" s="498"/>
      <c r="CG87" s="287"/>
      <c r="CH87" s="287"/>
      <c r="CI87" s="287"/>
      <c r="CJ87" s="287"/>
      <c r="CK87" s="287"/>
      <c r="CL87" s="287"/>
      <c r="CM87" s="287"/>
      <c r="CN87" s="287"/>
      <c r="CO87" s="27"/>
      <c r="CR87" s="498"/>
      <c r="CS87" s="498"/>
      <c r="CT87" s="498"/>
      <c r="CU87" s="498"/>
      <c r="CV87" s="498"/>
      <c r="CW87" s="498"/>
      <c r="CX87" s="498"/>
      <c r="CY87" s="498"/>
      <c r="CZ87" s="498"/>
      <c r="DA87" s="498"/>
      <c r="DB87" s="498"/>
      <c r="DC87" s="498"/>
      <c r="DD87" s="498"/>
      <c r="DE87" s="498"/>
      <c r="DF87" s="498"/>
      <c r="DG87" s="498"/>
      <c r="DH87" s="498"/>
      <c r="DI87" s="498"/>
      <c r="DJ87" s="498"/>
      <c r="DK87" s="498"/>
      <c r="DL87" s="498"/>
      <c r="DM87" s="498"/>
      <c r="DN87" s="498"/>
      <c r="DO87" s="498"/>
      <c r="DP87" s="498"/>
      <c r="DQ87" s="498"/>
      <c r="DR87" s="498"/>
      <c r="DS87" s="498"/>
      <c r="DT87" s="498"/>
      <c r="DU87" s="498"/>
      <c r="DV87" s="498"/>
      <c r="DW87" s="498"/>
      <c r="DX87" s="498"/>
      <c r="DY87" s="498"/>
      <c r="DZ87" s="498"/>
      <c r="EA87" s="498"/>
      <c r="EB87" s="498"/>
      <c r="EC87" s="498"/>
      <c r="ED87" s="498"/>
      <c r="EE87" s="498"/>
      <c r="EF87" s="498"/>
      <c r="EG87" s="498"/>
      <c r="EH87" s="498"/>
      <c r="EI87" s="498"/>
      <c r="EJ87" s="498"/>
      <c r="EK87" s="498"/>
      <c r="EL87" s="498"/>
      <c r="EM87" s="498"/>
      <c r="EN87" s="498"/>
      <c r="EO87" s="498"/>
      <c r="EP87" s="498"/>
      <c r="EQ87" s="498"/>
      <c r="ER87" s="498"/>
      <c r="ES87" s="498"/>
      <c r="ET87" s="498"/>
      <c r="EU87" s="498"/>
      <c r="EV87" s="498"/>
      <c r="EW87" s="498"/>
      <c r="EX87" s="498"/>
      <c r="EY87" s="498"/>
      <c r="EZ87" s="498"/>
      <c r="FA87" s="498"/>
      <c r="FB87" s="498"/>
      <c r="FC87" s="498"/>
    </row>
    <row r="88" spans="3:159">
      <c r="C88" s="291" t="s">
        <v>833</v>
      </c>
      <c r="D88" s="19"/>
      <c r="E88" s="19"/>
      <c r="F88" s="19"/>
      <c r="G88" s="19"/>
      <c r="H88" s="19"/>
      <c r="I88" s="19"/>
      <c r="J88" s="19"/>
      <c r="K88" s="287"/>
      <c r="L88" s="287"/>
      <c r="M88" s="287"/>
      <c r="N88" s="287"/>
      <c r="O88" s="293">
        <v>-29</v>
      </c>
      <c r="P88" s="293">
        <v>10</v>
      </c>
      <c r="Q88" s="287"/>
      <c r="R88" s="287"/>
      <c r="S88" s="287"/>
      <c r="T88" s="287"/>
      <c r="U88" s="287"/>
      <c r="V88" s="287"/>
      <c r="W88" s="287"/>
      <c r="X88" s="287"/>
      <c r="Y88" s="287"/>
      <c r="Z88" s="287"/>
      <c r="AA88" s="287"/>
      <c r="AB88" s="287"/>
      <c r="AC88" s="327"/>
      <c r="AD88" s="327"/>
      <c r="AE88" s="327"/>
      <c r="AF88" s="327"/>
      <c r="AG88" s="327"/>
      <c r="AH88" s="327"/>
      <c r="AO88" s="338"/>
      <c r="AP88" s="449"/>
      <c r="AR88" s="449"/>
      <c r="AS88" s="449"/>
      <c r="BA88" s="498"/>
      <c r="BB88" s="498"/>
      <c r="BC88" s="498"/>
      <c r="BD88" s="498"/>
      <c r="BE88" s="498"/>
      <c r="BF88" s="498"/>
      <c r="BG88" s="498"/>
      <c r="BH88" s="498"/>
      <c r="BI88" s="498"/>
      <c r="BJ88" s="498"/>
      <c r="BK88" s="498"/>
      <c r="BL88" s="498"/>
      <c r="BM88" s="498"/>
      <c r="BN88" s="498"/>
      <c r="BO88" s="498"/>
      <c r="BP88" s="498"/>
      <c r="BQ88" s="498"/>
      <c r="BR88" s="498"/>
      <c r="BS88" s="498"/>
      <c r="BT88" s="498"/>
      <c r="BU88" s="498"/>
      <c r="BV88" s="498"/>
      <c r="BW88" s="498"/>
      <c r="BX88" s="498"/>
      <c r="BY88" s="498"/>
      <c r="BZ88" s="498"/>
      <c r="CA88" s="498"/>
      <c r="CB88" s="498"/>
      <c r="CC88" s="498"/>
      <c r="CD88" s="498"/>
      <c r="CE88" s="498"/>
      <c r="CF88" s="498"/>
      <c r="CG88" s="287"/>
      <c r="CH88" s="287"/>
      <c r="CI88" s="287"/>
      <c r="CJ88" s="287"/>
      <c r="CK88" s="287"/>
      <c r="CL88" s="287"/>
      <c r="CM88" s="287"/>
      <c r="CN88" s="287"/>
      <c r="CO88" s="27"/>
      <c r="CR88" s="498"/>
      <c r="CS88" s="498"/>
      <c r="CT88" s="498"/>
      <c r="CU88" s="498"/>
      <c r="CV88" s="498"/>
      <c r="CW88" s="498"/>
      <c r="CX88" s="498"/>
      <c r="CY88" s="498"/>
      <c r="CZ88" s="498"/>
      <c r="DA88" s="498"/>
      <c r="DB88" s="498"/>
      <c r="DC88" s="498"/>
      <c r="DD88" s="498"/>
      <c r="DE88" s="498"/>
      <c r="DF88" s="498"/>
      <c r="DG88" s="498"/>
      <c r="DH88" s="498"/>
      <c r="DI88" s="498"/>
      <c r="DJ88" s="498"/>
      <c r="DK88" s="498"/>
      <c r="DL88" s="498"/>
      <c r="DM88" s="498"/>
      <c r="DN88" s="498"/>
      <c r="DO88" s="498"/>
      <c r="DP88" s="498"/>
      <c r="DQ88" s="498"/>
      <c r="DR88" s="498"/>
      <c r="DS88" s="498"/>
      <c r="DT88" s="498"/>
      <c r="DU88" s="498"/>
      <c r="DV88" s="498"/>
      <c r="DW88" s="498"/>
      <c r="DX88" s="498"/>
      <c r="DY88" s="498"/>
      <c r="DZ88" s="498"/>
      <c r="EA88" s="498"/>
      <c r="EB88" s="498"/>
      <c r="EC88" s="498"/>
      <c r="ED88" s="498"/>
      <c r="EE88" s="498"/>
      <c r="EF88" s="498"/>
      <c r="EG88" s="498"/>
      <c r="EH88" s="498"/>
      <c r="EI88" s="498"/>
      <c r="EJ88" s="498"/>
      <c r="EK88" s="498"/>
      <c r="EL88" s="498"/>
      <c r="EM88" s="498"/>
      <c r="EN88" s="498"/>
      <c r="EO88" s="498"/>
      <c r="EP88" s="498"/>
      <c r="EQ88" s="498"/>
      <c r="ER88" s="498"/>
      <c r="ES88" s="498"/>
      <c r="ET88" s="498"/>
      <c r="EU88" s="498"/>
      <c r="EV88" s="498"/>
      <c r="EW88" s="498"/>
      <c r="EX88" s="498"/>
      <c r="EY88" s="498"/>
      <c r="EZ88" s="498"/>
      <c r="FA88" s="498"/>
      <c r="FB88" s="498"/>
      <c r="FC88" s="498"/>
    </row>
    <row r="89" spans="3:159">
      <c r="C89" s="291" t="s">
        <v>832</v>
      </c>
      <c r="D89" s="19"/>
      <c r="E89" s="19"/>
      <c r="F89" s="19"/>
      <c r="G89" s="19"/>
      <c r="H89" s="19"/>
      <c r="I89" s="19"/>
      <c r="J89" s="19"/>
      <c r="K89" s="293">
        <v>13</v>
      </c>
      <c r="L89" s="293">
        <v>-151</v>
      </c>
      <c r="M89" s="293">
        <v>5</v>
      </c>
      <c r="N89" s="287"/>
      <c r="O89" s="293">
        <v>180</v>
      </c>
      <c r="P89" s="293">
        <v>118</v>
      </c>
      <c r="Q89" s="287">
        <f>'Cashflow Statement'!O38</f>
        <v>2</v>
      </c>
      <c r="R89" s="287">
        <f>'Cashflow Statement'!P38</f>
        <v>-1</v>
      </c>
      <c r="S89" s="287">
        <f>'Cashflow Statement'!Q38</f>
        <v>0</v>
      </c>
      <c r="T89" s="287">
        <f>'Cashflow Statement'!R38</f>
        <v>-38</v>
      </c>
      <c r="U89" s="287">
        <f>'Cashflow Statement'!S38</f>
        <v>-449</v>
      </c>
      <c r="V89" s="287">
        <f>'Cashflow Statement'!T38</f>
        <v>-539</v>
      </c>
      <c r="W89" s="287">
        <f>'Cashflow Statement'!U38</f>
        <v>-1299</v>
      </c>
      <c r="X89" s="287">
        <f>'Cashflow Statement'!V38</f>
        <v>96</v>
      </c>
      <c r="Y89" s="287">
        <f>'Cashflow Statement'!W38</f>
        <v>-73</v>
      </c>
      <c r="Z89" s="287">
        <f>'Cashflow Statement'!X38</f>
        <v>-270</v>
      </c>
      <c r="AA89" s="287">
        <f>'Cashflow Statement'!Y38</f>
        <v>-1535</v>
      </c>
      <c r="AB89" s="287">
        <f>'Cashflow Statement'!Z38</f>
        <v>-1320</v>
      </c>
      <c r="AC89" s="327">
        <f>'Cashflow Statement'!AA38</f>
        <v>0</v>
      </c>
      <c r="AD89" s="327">
        <f>'Cashflow Statement'!AB38</f>
        <v>0</v>
      </c>
      <c r="AE89" s="327">
        <f>'Cashflow Statement'!AC38</f>
        <v>0</v>
      </c>
      <c r="AF89" s="327">
        <f>'Cashflow Statement'!AD38</f>
        <v>0</v>
      </c>
      <c r="AG89" s="327">
        <f>'Cashflow Statement'!AE38</f>
        <v>0</v>
      </c>
      <c r="AH89" s="327">
        <f>'Cashflow Statement'!AF38</f>
        <v>0</v>
      </c>
      <c r="AO89" s="338"/>
      <c r="AP89" s="449"/>
      <c r="AR89" s="449"/>
      <c r="AS89" s="449"/>
      <c r="BA89" s="498"/>
      <c r="BB89" s="498"/>
      <c r="BC89" s="498"/>
      <c r="BD89" s="498"/>
      <c r="BE89" s="498"/>
      <c r="BF89" s="498"/>
      <c r="BG89" s="498"/>
      <c r="BH89" s="498"/>
      <c r="BI89" s="498"/>
      <c r="BJ89" s="498"/>
      <c r="BK89" s="498"/>
      <c r="BL89" s="498"/>
      <c r="BM89" s="498"/>
      <c r="BN89" s="498"/>
      <c r="BO89" s="498"/>
      <c r="BP89" s="498"/>
      <c r="BQ89" s="498"/>
      <c r="BR89" s="498"/>
      <c r="BS89" s="498"/>
      <c r="BT89" s="498"/>
      <c r="BU89" s="498"/>
      <c r="BV89" s="498"/>
      <c r="BW89" s="498"/>
      <c r="BX89" s="498"/>
      <c r="BY89" s="498"/>
      <c r="BZ89" s="498"/>
      <c r="CA89" s="498"/>
      <c r="CB89" s="498"/>
      <c r="CC89" s="498"/>
      <c r="CD89" s="498"/>
      <c r="CE89" s="498"/>
      <c r="CF89" s="498"/>
      <c r="CG89" s="287"/>
      <c r="CH89" s="287"/>
      <c r="CI89" s="287"/>
      <c r="CJ89" s="287"/>
      <c r="CK89" s="287"/>
      <c r="CL89" s="287"/>
      <c r="CM89" s="287"/>
      <c r="CN89" s="287"/>
      <c r="CO89" s="27"/>
      <c r="CR89" s="498"/>
      <c r="CS89" s="498"/>
      <c r="CT89" s="498"/>
      <c r="CU89" s="498"/>
      <c r="CV89" s="498"/>
      <c r="CW89" s="498"/>
      <c r="CX89" s="498"/>
      <c r="CY89" s="498"/>
      <c r="CZ89" s="498"/>
      <c r="DA89" s="498"/>
      <c r="DB89" s="498"/>
      <c r="DC89" s="498"/>
      <c r="DD89" s="498"/>
      <c r="DE89" s="498"/>
      <c r="DF89" s="498"/>
      <c r="DG89" s="498"/>
      <c r="DH89" s="498"/>
      <c r="DI89" s="498"/>
      <c r="DJ89" s="498"/>
      <c r="DK89" s="498"/>
      <c r="DL89" s="498"/>
      <c r="DM89" s="498"/>
      <c r="DN89" s="498"/>
      <c r="DO89" s="498"/>
      <c r="DP89" s="498"/>
      <c r="DQ89" s="498"/>
      <c r="DR89" s="498"/>
      <c r="DS89" s="498"/>
      <c r="DT89" s="498"/>
      <c r="DU89" s="498"/>
      <c r="DV89" s="498"/>
      <c r="DW89" s="498"/>
      <c r="DX89" s="498"/>
      <c r="DY89" s="498"/>
      <c r="DZ89" s="498"/>
      <c r="EA89" s="498"/>
      <c r="EB89" s="498"/>
      <c r="EC89" s="498"/>
      <c r="ED89" s="498"/>
      <c r="EE89" s="498"/>
      <c r="EF89" s="498"/>
      <c r="EG89" s="498"/>
      <c r="EH89" s="498"/>
      <c r="EI89" s="498"/>
      <c r="EJ89" s="498"/>
      <c r="EK89" s="498"/>
      <c r="EL89" s="498"/>
      <c r="EM89" s="498"/>
      <c r="EN89" s="498"/>
      <c r="EO89" s="498"/>
      <c r="EP89" s="498"/>
      <c r="EQ89" s="498"/>
      <c r="ER89" s="498"/>
      <c r="ES89" s="498"/>
      <c r="ET89" s="498"/>
      <c r="EU89" s="498"/>
      <c r="EV89" s="498"/>
      <c r="EW89" s="498"/>
      <c r="EX89" s="498"/>
      <c r="EY89" s="498"/>
      <c r="EZ89" s="498"/>
      <c r="FA89" s="498"/>
      <c r="FB89" s="498"/>
      <c r="FC89" s="498"/>
    </row>
    <row r="90" spans="3:159">
      <c r="C90" s="291" t="s">
        <v>831</v>
      </c>
      <c r="D90" s="19"/>
      <c r="E90" s="19"/>
      <c r="F90" s="19"/>
      <c r="G90" s="19"/>
      <c r="H90" s="19"/>
      <c r="I90" s="19"/>
      <c r="J90" s="19"/>
      <c r="K90" s="287"/>
      <c r="L90" s="287"/>
      <c r="M90" s="287"/>
      <c r="N90" s="293">
        <v>-24</v>
      </c>
      <c r="O90" s="293">
        <v>-16</v>
      </c>
      <c r="P90" s="293">
        <v>-20</v>
      </c>
      <c r="Q90" s="287"/>
      <c r="R90" s="287"/>
      <c r="S90" s="287"/>
      <c r="T90" s="287"/>
      <c r="U90" s="287"/>
      <c r="V90" s="287"/>
      <c r="W90" s="287"/>
      <c r="X90" s="287"/>
      <c r="Y90" s="287"/>
      <c r="Z90" s="287"/>
      <c r="AA90" s="287"/>
      <c r="AB90" s="287"/>
      <c r="AC90" s="327"/>
      <c r="AD90" s="327"/>
      <c r="AE90" s="327"/>
      <c r="AF90" s="327"/>
      <c r="AG90" s="327"/>
      <c r="AH90" s="327"/>
      <c r="AO90" s="338"/>
      <c r="AP90" s="449"/>
      <c r="AR90" s="449"/>
      <c r="AS90" s="449"/>
      <c r="BA90" s="498"/>
      <c r="BB90" s="498"/>
      <c r="BC90" s="498"/>
      <c r="BD90" s="498"/>
      <c r="BE90" s="498"/>
      <c r="BF90" s="498"/>
      <c r="BG90" s="498"/>
      <c r="BH90" s="498"/>
      <c r="BI90" s="498"/>
      <c r="BJ90" s="498"/>
      <c r="BK90" s="498"/>
      <c r="BL90" s="498"/>
      <c r="BM90" s="498"/>
      <c r="BN90" s="498"/>
      <c r="BO90" s="498"/>
      <c r="BP90" s="498"/>
      <c r="BQ90" s="498"/>
      <c r="BR90" s="498"/>
      <c r="BS90" s="498"/>
      <c r="BT90" s="498"/>
      <c r="BU90" s="498"/>
      <c r="BV90" s="498"/>
      <c r="BW90" s="498"/>
      <c r="BX90" s="498"/>
      <c r="BY90" s="498"/>
      <c r="BZ90" s="498"/>
      <c r="CA90" s="498"/>
      <c r="CB90" s="498"/>
      <c r="CC90" s="498"/>
      <c r="CD90" s="498"/>
      <c r="CE90" s="498"/>
      <c r="CF90" s="498"/>
      <c r="CG90" s="287"/>
      <c r="CH90" s="287"/>
      <c r="CI90" s="287"/>
      <c r="CJ90" s="287"/>
      <c r="CK90" s="287"/>
      <c r="CL90" s="287"/>
      <c r="CM90" s="287"/>
      <c r="CN90" s="287"/>
      <c r="CO90" s="27"/>
      <c r="CR90" s="498"/>
      <c r="CS90" s="498"/>
      <c r="CT90" s="498"/>
      <c r="CU90" s="498"/>
      <c r="CV90" s="498"/>
      <c r="CW90" s="498"/>
      <c r="CX90" s="498"/>
      <c r="CY90" s="498"/>
      <c r="CZ90" s="498"/>
      <c r="DA90" s="498"/>
      <c r="DB90" s="498"/>
      <c r="DC90" s="498"/>
      <c r="DD90" s="498"/>
      <c r="DE90" s="498"/>
      <c r="DF90" s="498"/>
      <c r="DG90" s="498"/>
      <c r="DH90" s="498"/>
      <c r="DI90" s="498"/>
      <c r="DJ90" s="498"/>
      <c r="DK90" s="498"/>
      <c r="DL90" s="498"/>
      <c r="DM90" s="498"/>
      <c r="DN90" s="498"/>
      <c r="DO90" s="498"/>
      <c r="DP90" s="498"/>
      <c r="DQ90" s="498"/>
      <c r="DR90" s="498"/>
      <c r="DS90" s="498"/>
      <c r="DT90" s="498"/>
      <c r="DU90" s="498"/>
      <c r="DV90" s="498"/>
      <c r="DW90" s="498"/>
      <c r="DX90" s="498"/>
      <c r="DY90" s="498"/>
      <c r="DZ90" s="498"/>
      <c r="EA90" s="498"/>
      <c r="EB90" s="498"/>
      <c r="EC90" s="498"/>
      <c r="ED90" s="498"/>
      <c r="EE90" s="498"/>
      <c r="EF90" s="498"/>
      <c r="EG90" s="498"/>
      <c r="EH90" s="498"/>
      <c r="EI90" s="498"/>
      <c r="EJ90" s="498"/>
      <c r="EK90" s="498"/>
      <c r="EL90" s="498"/>
      <c r="EM90" s="498"/>
      <c r="EN90" s="498"/>
      <c r="EO90" s="498"/>
      <c r="EP90" s="498"/>
      <c r="EQ90" s="498"/>
      <c r="ER90" s="498"/>
      <c r="ES90" s="498"/>
      <c r="ET90" s="498"/>
      <c r="EU90" s="498"/>
      <c r="EV90" s="498"/>
      <c r="EW90" s="498"/>
      <c r="EX90" s="498"/>
      <c r="EY90" s="498"/>
      <c r="EZ90" s="498"/>
      <c r="FA90" s="498"/>
      <c r="FB90" s="498"/>
      <c r="FC90" s="498"/>
    </row>
    <row r="91" spans="3:159">
      <c r="C91" s="291" t="s">
        <v>776</v>
      </c>
      <c r="D91" s="19"/>
      <c r="E91" s="19"/>
      <c r="F91" s="19"/>
      <c r="G91" s="19"/>
      <c r="H91" s="19"/>
      <c r="I91" s="19"/>
      <c r="J91" s="19"/>
      <c r="K91" s="293">
        <v>10</v>
      </c>
      <c r="L91" s="293">
        <v>2</v>
      </c>
      <c r="M91" s="293">
        <v>12</v>
      </c>
      <c r="N91" s="287">
        <f>12+7</f>
        <v>19</v>
      </c>
      <c r="O91" s="293">
        <v>20</v>
      </c>
      <c r="P91" s="293">
        <v>9</v>
      </c>
      <c r="Q91" s="287"/>
      <c r="R91" s="287">
        <f t="shared" ref="R91:AB91" si="27">R92-SUM(R82:R90)</f>
        <v>73.130000000000109</v>
      </c>
      <c r="S91" s="287">
        <f t="shared" si="27"/>
        <v>344</v>
      </c>
      <c r="T91" s="287">
        <f t="shared" si="27"/>
        <v>-338</v>
      </c>
      <c r="U91" s="287">
        <f t="shared" si="27"/>
        <v>-908</v>
      </c>
      <c r="V91" s="287">
        <f t="shared" si="27"/>
        <v>2603</v>
      </c>
      <c r="W91" s="287">
        <f t="shared" si="27"/>
        <v>75</v>
      </c>
      <c r="X91" s="287">
        <f t="shared" si="27"/>
        <v>-450</v>
      </c>
      <c r="Y91" s="287">
        <f t="shared" si="27"/>
        <v>725</v>
      </c>
      <c r="Z91" s="287">
        <f t="shared" si="27"/>
        <v>532</v>
      </c>
      <c r="AA91" s="287">
        <f t="shared" si="27"/>
        <v>-159</v>
      </c>
      <c r="AB91" s="287">
        <f t="shared" si="27"/>
        <v>1517</v>
      </c>
      <c r="AC91" s="327">
        <f>'Cashflow Statement'!AA47</f>
        <v>-1250</v>
      </c>
      <c r="AD91" s="327">
        <f>'Cashflow Statement'!AB47</f>
        <v>-1250</v>
      </c>
      <c r="AE91" s="327">
        <f>'Cashflow Statement'!AC47</f>
        <v>-1250</v>
      </c>
      <c r="AF91" s="327">
        <f>'Cashflow Statement'!AD47</f>
        <v>-1250</v>
      </c>
      <c r="AG91" s="327">
        <f>'Cashflow Statement'!AE47</f>
        <v>0</v>
      </c>
      <c r="AH91" s="327">
        <f>'Cashflow Statement'!AF47</f>
        <v>0</v>
      </c>
      <c r="AO91" s="338"/>
      <c r="AP91" s="449"/>
      <c r="AR91" s="449"/>
      <c r="AS91" s="449"/>
      <c r="BA91" s="498"/>
      <c r="BB91" s="498"/>
      <c r="BC91" s="498"/>
      <c r="BD91" s="498"/>
      <c r="BE91" s="498"/>
      <c r="BF91" s="498"/>
      <c r="BG91" s="498"/>
      <c r="BH91" s="498"/>
      <c r="BI91" s="498"/>
      <c r="BJ91" s="498"/>
      <c r="BK91" s="498"/>
      <c r="BL91" s="498"/>
      <c r="BM91" s="498"/>
      <c r="BN91" s="498"/>
      <c r="BO91" s="498"/>
      <c r="BP91" s="498"/>
      <c r="BQ91" s="498"/>
      <c r="BR91" s="498"/>
      <c r="BS91" s="498"/>
      <c r="BT91" s="498"/>
      <c r="BU91" s="498"/>
      <c r="BV91" s="498"/>
      <c r="BW91" s="498"/>
      <c r="BX91" s="498"/>
      <c r="BY91" s="498"/>
      <c r="BZ91" s="498"/>
      <c r="CA91" s="498"/>
      <c r="CB91" s="498"/>
      <c r="CC91" s="498"/>
      <c r="CD91" s="498"/>
      <c r="CE91" s="498"/>
      <c r="CF91" s="498"/>
      <c r="CG91" s="287"/>
      <c r="CH91" s="287"/>
      <c r="CI91" s="287"/>
      <c r="CJ91" s="287"/>
      <c r="CK91" s="287"/>
      <c r="CL91" s="287"/>
      <c r="CM91" s="287"/>
      <c r="CN91" s="287"/>
      <c r="CO91" s="27"/>
      <c r="CR91" s="498"/>
      <c r="CS91" s="498"/>
      <c r="CT91" s="498"/>
      <c r="CU91" s="498"/>
      <c r="CV91" s="498"/>
      <c r="CW91" s="498"/>
      <c r="CX91" s="498"/>
      <c r="CY91" s="498"/>
      <c r="CZ91" s="498"/>
      <c r="DA91" s="498"/>
      <c r="DB91" s="498"/>
      <c r="DC91" s="498"/>
      <c r="DD91" s="498"/>
      <c r="DE91" s="498"/>
      <c r="DF91" s="498"/>
      <c r="DG91" s="498"/>
      <c r="DH91" s="498"/>
      <c r="DI91" s="498"/>
      <c r="DJ91" s="498"/>
      <c r="DK91" s="498"/>
      <c r="DL91" s="498"/>
      <c r="DM91" s="498"/>
      <c r="DN91" s="498"/>
      <c r="DO91" s="498"/>
      <c r="DP91" s="498"/>
      <c r="DQ91" s="498"/>
      <c r="DR91" s="498"/>
      <c r="DS91" s="498"/>
      <c r="DT91" s="498"/>
      <c r="DU91" s="498"/>
      <c r="DV91" s="498"/>
      <c r="DW91" s="498"/>
      <c r="DX91" s="498"/>
      <c r="DY91" s="498"/>
      <c r="DZ91" s="498"/>
      <c r="EA91" s="498"/>
      <c r="EB91" s="498"/>
      <c r="EC91" s="498"/>
      <c r="ED91" s="498"/>
      <c r="EE91" s="498"/>
      <c r="EF91" s="498"/>
      <c r="EG91" s="498"/>
      <c r="EH91" s="498"/>
      <c r="EI91" s="498"/>
      <c r="EJ91" s="498"/>
      <c r="EK91" s="498"/>
      <c r="EL91" s="498"/>
      <c r="EM91" s="498"/>
      <c r="EN91" s="498"/>
      <c r="EO91" s="498"/>
      <c r="EP91" s="498"/>
      <c r="EQ91" s="498"/>
      <c r="ER91" s="498"/>
      <c r="ES91" s="498"/>
      <c r="ET91" s="498"/>
      <c r="EU91" s="498"/>
      <c r="EV91" s="498"/>
      <c r="EW91" s="498"/>
      <c r="EX91" s="498"/>
      <c r="EY91" s="498"/>
      <c r="EZ91" s="498"/>
      <c r="FA91" s="498"/>
      <c r="FB91" s="498"/>
      <c r="FC91" s="498"/>
    </row>
    <row r="92" spans="3:159">
      <c r="C92" s="214" t="s">
        <v>830</v>
      </c>
      <c r="D92" s="214"/>
      <c r="E92" s="214"/>
      <c r="F92" s="214"/>
      <c r="G92" s="214"/>
      <c r="H92" s="214"/>
      <c r="I92" s="214"/>
      <c r="J92" s="214"/>
      <c r="K92" s="290">
        <v>4189</v>
      </c>
      <c r="L92" s="290">
        <v>3870</v>
      </c>
      <c r="M92" s="289">
        <f>SUM(M82:M91)</f>
        <v>3619</v>
      </c>
      <c r="N92" s="289">
        <f>SUM(N82:N91)</f>
        <v>4214</v>
      </c>
      <c r="O92" s="289">
        <f>SUM(O82:O91)</f>
        <v>4387</v>
      </c>
      <c r="P92" s="289">
        <f>SUM(P82:P91)</f>
        <v>4653</v>
      </c>
      <c r="Q92" s="289">
        <f>SUM(Q82:Q91)</f>
        <v>5436.87</v>
      </c>
      <c r="R92" s="289">
        <f>'Balance Sheet'!P50</f>
        <v>6246</v>
      </c>
      <c r="S92" s="289">
        <f>'Balance Sheet'!Q50</f>
        <v>5927</v>
      </c>
      <c r="T92" s="289">
        <f>'Balance Sheet'!R50</f>
        <v>4495</v>
      </c>
      <c r="U92" s="289">
        <f>'Balance Sheet'!S50</f>
        <v>4686</v>
      </c>
      <c r="V92" s="289">
        <f>'Balance Sheet'!T50</f>
        <v>10585</v>
      </c>
      <c r="W92" s="289">
        <f>'Balance Sheet'!U50</f>
        <v>9839</v>
      </c>
      <c r="X92" s="289">
        <f>'Balance Sheet'!V50</f>
        <v>11912</v>
      </c>
      <c r="Y92" s="289">
        <f>'Balance Sheet'!W50</f>
        <v>12713</v>
      </c>
      <c r="Z92" s="289">
        <f>'Balance Sheet'!X50</f>
        <v>12785</v>
      </c>
      <c r="AA92" s="289">
        <f>'Balance Sheet'!Y50</f>
        <v>8048</v>
      </c>
      <c r="AB92" s="289">
        <f>'Balance Sheet'!Z50</f>
        <v>10758</v>
      </c>
      <c r="AC92" s="464">
        <f t="shared" ref="AC92:AH92" si="28">SUM(AC82:AC91)</f>
        <v>7614.1663630000003</v>
      </c>
      <c r="AD92" s="464">
        <f t="shared" si="28"/>
        <v>8324.4913337558555</v>
      </c>
      <c r="AE92" s="464">
        <f t="shared" si="28"/>
        <v>9435.7192849596704</v>
      </c>
      <c r="AF92" s="464">
        <f t="shared" si="28"/>
        <v>11164.7840958795</v>
      </c>
      <c r="AG92" s="464">
        <f t="shared" si="28"/>
        <v>14482.234216496418</v>
      </c>
      <c r="AH92" s="464">
        <f t="shared" si="28"/>
        <v>18004.038541124653</v>
      </c>
      <c r="AO92" s="338"/>
      <c r="AP92" s="449"/>
      <c r="AR92" s="449"/>
      <c r="AS92" s="449"/>
      <c r="BA92" s="498"/>
      <c r="BB92" s="498"/>
      <c r="BC92" s="498"/>
      <c r="BD92" s="498"/>
      <c r="BE92" s="498"/>
      <c r="BF92" s="498"/>
      <c r="BG92" s="498"/>
      <c r="BH92" s="498"/>
      <c r="BI92" s="498"/>
      <c r="BJ92" s="498"/>
      <c r="BK92" s="498"/>
      <c r="BL92" s="498"/>
      <c r="BM92" s="498"/>
      <c r="BN92" s="498"/>
      <c r="BO92" s="498"/>
      <c r="BP92" s="498"/>
      <c r="BQ92" s="498"/>
      <c r="BR92" s="498"/>
      <c r="BS92" s="498"/>
      <c r="BT92" s="498"/>
      <c r="BU92" s="498"/>
      <c r="BV92" s="498"/>
      <c r="BW92" s="498"/>
      <c r="BX92" s="498"/>
      <c r="BY92" s="498"/>
      <c r="BZ92" s="498"/>
      <c r="CA92" s="498"/>
      <c r="CB92" s="498"/>
      <c r="CC92" s="498"/>
      <c r="CD92" s="498"/>
      <c r="CE92" s="498"/>
      <c r="CF92" s="498"/>
      <c r="CG92" s="289"/>
      <c r="CH92" s="289"/>
      <c r="CI92" s="289"/>
      <c r="CJ92" s="289"/>
      <c r="CK92" s="289"/>
      <c r="CL92" s="289"/>
      <c r="CM92" s="289"/>
      <c r="CN92" s="289"/>
      <c r="CO92" s="281"/>
      <c r="CR92" s="498"/>
      <c r="CS92" s="498"/>
      <c r="CT92" s="498"/>
      <c r="CU92" s="498"/>
      <c r="CV92" s="498"/>
      <c r="CW92" s="498"/>
      <c r="CX92" s="498"/>
      <c r="CY92" s="498"/>
      <c r="CZ92" s="498"/>
      <c r="DA92" s="498"/>
      <c r="DB92" s="498"/>
      <c r="DC92" s="498"/>
      <c r="DD92" s="498"/>
      <c r="DE92" s="498"/>
      <c r="DF92" s="498"/>
      <c r="DG92" s="498"/>
      <c r="DH92" s="498"/>
      <c r="DI92" s="498"/>
      <c r="DJ92" s="498"/>
      <c r="DK92" s="498"/>
      <c r="DL92" s="498"/>
      <c r="DM92" s="498"/>
      <c r="DN92" s="498"/>
      <c r="DO92" s="498"/>
      <c r="DP92" s="498"/>
      <c r="DQ92" s="498"/>
      <c r="DR92" s="498"/>
      <c r="DS92" s="498"/>
      <c r="DT92" s="498"/>
      <c r="DU92" s="498"/>
      <c r="DV92" s="498"/>
      <c r="DW92" s="498"/>
      <c r="DX92" s="498"/>
      <c r="DY92" s="498"/>
      <c r="DZ92" s="498"/>
      <c r="EA92" s="498"/>
      <c r="EB92" s="498"/>
      <c r="EC92" s="498"/>
      <c r="ED92" s="498"/>
      <c r="EE92" s="498"/>
      <c r="EF92" s="498"/>
      <c r="EG92" s="498"/>
      <c r="EH92" s="498"/>
      <c r="EI92" s="498"/>
      <c r="EJ92" s="498"/>
      <c r="EK92" s="498"/>
      <c r="EL92" s="498"/>
      <c r="EM92" s="498"/>
      <c r="EN92" s="498"/>
      <c r="EO92" s="498"/>
      <c r="EP92" s="498"/>
      <c r="EQ92" s="498"/>
      <c r="ER92" s="498"/>
      <c r="ES92" s="498"/>
      <c r="ET92" s="498"/>
      <c r="EU92" s="498"/>
      <c r="EV92" s="498"/>
      <c r="EW92" s="498"/>
      <c r="EX92" s="498"/>
      <c r="EY92" s="498"/>
      <c r="EZ92" s="498"/>
      <c r="FA92" s="498"/>
      <c r="FB92" s="498"/>
      <c r="FC92" s="498"/>
    </row>
    <row r="93" spans="3:159">
      <c r="C93" s="19"/>
      <c r="D93" s="19"/>
      <c r="E93" s="19"/>
      <c r="F93" s="19"/>
      <c r="G93" s="19"/>
      <c r="H93" s="19"/>
      <c r="I93" s="19"/>
      <c r="J93" s="19"/>
      <c r="K93" s="19"/>
      <c r="L93" s="19"/>
      <c r="M93" s="19"/>
      <c r="N93" s="19"/>
      <c r="O93" s="19"/>
      <c r="P93" s="19"/>
      <c r="Q93" s="19"/>
      <c r="R93" s="19"/>
      <c r="S93" s="19"/>
      <c r="T93" s="19"/>
      <c r="U93" s="19"/>
      <c r="V93" s="19"/>
      <c r="W93" s="19"/>
      <c r="X93" s="19"/>
      <c r="Y93" s="19"/>
      <c r="AO93" s="338"/>
      <c r="AP93" s="449"/>
      <c r="AR93" s="449"/>
      <c r="AS93" s="449"/>
      <c r="BA93" s="19"/>
      <c r="BB93" s="19"/>
      <c r="BC93" s="19"/>
      <c r="BD93" s="19"/>
      <c r="BE93" s="19"/>
      <c r="BF93" s="19"/>
      <c r="BG93" s="19"/>
      <c r="BH93" s="19"/>
      <c r="BI93" s="19"/>
      <c r="BJ93" s="19"/>
      <c r="BK93" s="19"/>
      <c r="BL93" s="19"/>
      <c r="BM93" s="19"/>
      <c r="BN93" s="19"/>
      <c r="BO93" s="19"/>
      <c r="BP93" s="19"/>
      <c r="BQ93" s="19"/>
      <c r="BR93" s="19"/>
      <c r="BS93" s="19"/>
      <c r="BT93" s="19"/>
      <c r="BU93" s="19"/>
      <c r="BV93" s="19"/>
      <c r="BW93" s="19"/>
      <c r="BX93" s="19"/>
      <c r="BY93" s="19"/>
      <c r="BZ93" s="19"/>
      <c r="CA93" s="19"/>
      <c r="CB93" s="19"/>
      <c r="CC93" s="19"/>
      <c r="CD93" s="19"/>
      <c r="CE93" s="19"/>
      <c r="CF93" s="19"/>
      <c r="CG93" s="19"/>
      <c r="CH93" s="19"/>
      <c r="CI93" s="19"/>
      <c r="CJ93" s="19"/>
      <c r="CK93" s="19"/>
      <c r="CL93" s="19"/>
      <c r="CM93" s="19"/>
      <c r="CN93" s="19"/>
      <c r="CO93" s="4"/>
      <c r="CR93" s="19"/>
      <c r="CS93" s="19"/>
      <c r="CT93" s="19"/>
      <c r="CU93" s="19"/>
      <c r="CV93" s="19"/>
      <c r="CW93" s="19"/>
      <c r="CX93" s="19"/>
      <c r="CY93" s="19"/>
      <c r="CZ93" s="19"/>
      <c r="DA93" s="19"/>
      <c r="DB93" s="19"/>
      <c r="DC93" s="19"/>
      <c r="DD93" s="19"/>
      <c r="DE93" s="19"/>
      <c r="DF93" s="19"/>
      <c r="DG93" s="19"/>
      <c r="DH93" s="19"/>
      <c r="DI93" s="19"/>
      <c r="DJ93" s="19"/>
      <c r="DK93" s="19"/>
      <c r="DL93" s="19"/>
      <c r="DM93" s="19"/>
      <c r="DN93" s="19"/>
      <c r="DO93" s="19"/>
      <c r="DP93" s="19"/>
      <c r="DQ93" s="19"/>
      <c r="DR93" s="19"/>
      <c r="DS93" s="19"/>
      <c r="DT93" s="19"/>
      <c r="DU93" s="19"/>
      <c r="DV93" s="19"/>
      <c r="DW93" s="19"/>
      <c r="DX93" s="19"/>
      <c r="DY93" s="19"/>
      <c r="DZ93" s="19"/>
      <c r="EA93" s="19"/>
      <c r="EB93" s="19"/>
      <c r="EC93" s="19"/>
      <c r="ED93" s="19"/>
      <c r="EE93" s="19"/>
      <c r="EF93" s="19"/>
      <c r="EG93" s="19"/>
      <c r="EH93" s="19"/>
      <c r="EI93" s="19"/>
      <c r="EJ93" s="19"/>
      <c r="EK93" s="19"/>
      <c r="EL93" s="19"/>
      <c r="EM93" s="19"/>
      <c r="EN93" s="19"/>
      <c r="EO93" s="19"/>
      <c r="EP93" s="19"/>
      <c r="EQ93" s="19"/>
      <c r="ER93" s="19"/>
      <c r="ES93" s="19"/>
      <c r="ET93" s="19"/>
      <c r="EU93" s="19"/>
      <c r="EV93" s="19"/>
      <c r="EW93" s="19"/>
      <c r="EX93" s="19"/>
      <c r="EY93" s="19"/>
      <c r="EZ93" s="19"/>
      <c r="FA93" s="19"/>
      <c r="FB93" s="19"/>
      <c r="FC93" s="19"/>
    </row>
    <row r="103" spans="3:159">
      <c r="C103" s="19"/>
      <c r="D103" s="366"/>
      <c r="E103" s="366"/>
      <c r="F103" s="366"/>
      <c r="G103" s="366"/>
      <c r="H103" s="366"/>
      <c r="I103" s="366"/>
      <c r="J103" s="366"/>
      <c r="K103" s="366"/>
      <c r="L103" s="366"/>
      <c r="M103" s="366"/>
      <c r="N103" s="366"/>
      <c r="O103" s="366"/>
      <c r="P103" s="366"/>
      <c r="Q103" s="366"/>
      <c r="R103" s="366"/>
      <c r="S103" s="366"/>
      <c r="T103" s="366"/>
      <c r="U103" s="366"/>
      <c r="V103" s="366"/>
      <c r="W103" s="366"/>
      <c r="X103" s="366"/>
      <c r="Y103" s="366"/>
      <c r="AO103" s="338"/>
      <c r="AP103" s="449"/>
      <c r="AR103" s="449"/>
      <c r="AS103" s="449"/>
      <c r="BA103" s="366"/>
      <c r="BB103" s="366"/>
      <c r="BC103" s="366"/>
      <c r="BD103" s="366"/>
      <c r="BE103" s="366"/>
      <c r="BF103" s="366"/>
      <c r="BG103" s="366"/>
      <c r="BH103" s="366"/>
      <c r="BI103" s="366"/>
      <c r="BJ103" s="366"/>
      <c r="BK103" s="366"/>
      <c r="BL103" s="366"/>
      <c r="BM103" s="366"/>
      <c r="BN103" s="366"/>
      <c r="BO103" s="366"/>
      <c r="BP103" s="366"/>
      <c r="BQ103" s="366"/>
      <c r="BR103" s="366"/>
      <c r="BS103" s="366"/>
      <c r="BT103" s="366"/>
      <c r="BU103" s="366"/>
      <c r="BV103" s="366"/>
      <c r="BW103" s="366"/>
      <c r="BX103" s="366"/>
      <c r="BY103" s="366"/>
      <c r="BZ103" s="366"/>
      <c r="CA103" s="366"/>
      <c r="CB103" s="366"/>
      <c r="CC103" s="366"/>
      <c r="CD103" s="366"/>
      <c r="CE103" s="366"/>
      <c r="CF103" s="366"/>
      <c r="CG103" s="366"/>
      <c r="CH103" s="366"/>
      <c r="CI103" s="366"/>
      <c r="CJ103" s="366"/>
      <c r="CK103" s="366"/>
      <c r="CL103" s="366"/>
      <c r="CM103" s="366"/>
      <c r="CN103" s="366"/>
      <c r="CO103" s="482"/>
      <c r="CR103" s="366"/>
      <c r="CS103" s="366"/>
      <c r="CT103" s="366"/>
      <c r="CU103" s="366"/>
      <c r="CV103" s="366"/>
      <c r="CW103" s="366"/>
      <c r="CX103" s="366"/>
      <c r="CY103" s="366"/>
      <c r="CZ103" s="366"/>
      <c r="DA103" s="366"/>
      <c r="DB103" s="366"/>
      <c r="DC103" s="366"/>
      <c r="DD103" s="366"/>
      <c r="DE103" s="366"/>
      <c r="DF103" s="366"/>
      <c r="DG103" s="366"/>
      <c r="DH103" s="366"/>
      <c r="DI103" s="366"/>
      <c r="DJ103" s="366"/>
      <c r="DK103" s="366"/>
      <c r="DL103" s="366"/>
      <c r="DM103" s="366"/>
      <c r="DN103" s="366"/>
      <c r="DO103" s="366"/>
      <c r="DP103" s="366"/>
      <c r="DQ103" s="366"/>
      <c r="DR103" s="366"/>
      <c r="DS103" s="366"/>
      <c r="DT103" s="366"/>
      <c r="DU103" s="366"/>
      <c r="DV103" s="366"/>
      <c r="DW103" s="366"/>
      <c r="DX103" s="366"/>
      <c r="DY103" s="366"/>
      <c r="DZ103" s="366"/>
      <c r="EA103" s="366"/>
      <c r="EB103" s="366"/>
      <c r="EC103" s="366"/>
      <c r="ED103" s="366"/>
      <c r="EE103" s="366"/>
      <c r="EF103" s="366"/>
      <c r="EG103" s="366"/>
      <c r="EH103" s="366"/>
      <c r="EI103" s="366"/>
      <c r="EJ103" s="366"/>
      <c r="EK103" s="366"/>
      <c r="EL103" s="366"/>
      <c r="EM103" s="366"/>
      <c r="EN103" s="366"/>
      <c r="EO103" s="366"/>
      <c r="EP103" s="366"/>
      <c r="EQ103" s="366"/>
      <c r="ER103" s="366"/>
      <c r="ES103" s="366"/>
      <c r="ET103" s="366"/>
      <c r="EU103" s="366"/>
      <c r="EV103" s="366"/>
      <c r="EW103" s="366"/>
      <c r="EX103" s="366"/>
      <c r="EY103" s="366"/>
      <c r="EZ103" s="366"/>
      <c r="FA103" s="366"/>
      <c r="FB103" s="366"/>
      <c r="FC103" s="366"/>
    </row>
    <row r="104" spans="3:159">
      <c r="AO104" s="338"/>
      <c r="AP104" s="449"/>
      <c r="AR104" s="449"/>
      <c r="AS104" s="449"/>
      <c r="BA104" s="282"/>
      <c r="BB104" s="282"/>
      <c r="BC104" s="282"/>
      <c r="BD104" s="282"/>
      <c r="BE104" s="282"/>
      <c r="BF104" s="282"/>
      <c r="BG104" s="282"/>
      <c r="BH104" s="282"/>
      <c r="BI104" s="282"/>
      <c r="BJ104" s="282"/>
      <c r="BK104" s="282"/>
      <c r="BL104" s="282"/>
      <c r="BM104" s="282"/>
      <c r="BN104" s="282"/>
      <c r="BO104" s="282"/>
      <c r="BP104" s="282"/>
      <c r="BQ104" s="282"/>
      <c r="BR104" s="282"/>
      <c r="BS104" s="282"/>
      <c r="BT104" s="282"/>
      <c r="BU104" s="282"/>
      <c r="BV104" s="282"/>
      <c r="BW104" s="282"/>
      <c r="BX104" s="282"/>
      <c r="BY104" s="282"/>
      <c r="BZ104" s="282"/>
      <c r="CA104" s="282"/>
      <c r="CB104" s="282"/>
      <c r="CC104" s="337"/>
      <c r="CD104" s="337"/>
      <c r="CE104" s="337"/>
      <c r="CF104" s="337"/>
      <c r="CG104" s="337"/>
      <c r="CH104" s="337"/>
      <c r="CI104" s="337"/>
      <c r="CJ104" s="337"/>
      <c r="CK104" s="337"/>
      <c r="CL104" s="337"/>
      <c r="CM104" s="337"/>
      <c r="CN104" s="337"/>
      <c r="CO104" s="483"/>
      <c r="CR104" s="282"/>
      <c r="CS104" s="282"/>
      <c r="CT104" s="282"/>
      <c r="CU104" s="282"/>
      <c r="CV104" s="282"/>
      <c r="CW104" s="282"/>
      <c r="CX104" s="282"/>
      <c r="CY104" s="282"/>
      <c r="CZ104" s="282"/>
      <c r="DA104" s="282"/>
      <c r="DB104" s="282"/>
      <c r="DC104" s="282"/>
      <c r="DD104" s="282"/>
      <c r="DE104" s="282"/>
      <c r="DF104" s="282"/>
      <c r="DG104" s="282"/>
      <c r="DH104" s="282"/>
      <c r="DI104" s="282"/>
      <c r="DJ104" s="282"/>
      <c r="DK104" s="282"/>
      <c r="DL104" s="282"/>
      <c r="DM104" s="282"/>
      <c r="DN104" s="282"/>
      <c r="DO104" s="282"/>
      <c r="DP104" s="282"/>
      <c r="DQ104" s="282"/>
      <c r="DR104" s="282"/>
      <c r="DS104" s="282"/>
      <c r="DT104" s="282"/>
      <c r="DU104" s="282"/>
      <c r="DV104" s="282"/>
      <c r="DW104" s="282"/>
      <c r="DX104" s="282"/>
      <c r="DY104" s="282"/>
      <c r="DZ104" s="282"/>
      <c r="EA104" s="282"/>
      <c r="EB104" s="282"/>
      <c r="EC104" s="282"/>
      <c r="ED104" s="282"/>
      <c r="EE104" s="282"/>
      <c r="EF104" s="282"/>
      <c r="EG104" s="282"/>
      <c r="EH104" s="282"/>
      <c r="EI104" s="282"/>
      <c r="EJ104" s="282"/>
      <c r="EK104" s="282"/>
      <c r="EL104" s="282"/>
      <c r="EM104" s="282"/>
      <c r="EN104" s="282"/>
      <c r="EO104" s="282"/>
      <c r="EP104" s="282"/>
      <c r="EQ104" s="282"/>
      <c r="ER104" s="282"/>
      <c r="ES104" s="282"/>
      <c r="ET104" s="282"/>
      <c r="EU104" s="282"/>
      <c r="EV104" s="282"/>
      <c r="EW104" s="337"/>
      <c r="EX104" s="337"/>
      <c r="EY104" s="337"/>
      <c r="EZ104" s="337"/>
      <c r="FA104" s="337"/>
      <c r="FB104" s="337"/>
      <c r="FC104" s="337"/>
    </row>
    <row r="105" spans="3:159">
      <c r="AO105" s="338"/>
      <c r="AP105" s="449"/>
      <c r="AR105" s="449"/>
      <c r="AS105" s="449"/>
      <c r="BA105" s="498"/>
      <c r="BB105" s="498"/>
      <c r="BC105" s="498"/>
      <c r="BD105" s="498"/>
      <c r="BE105" s="498"/>
      <c r="BF105" s="498"/>
      <c r="BG105" s="498"/>
      <c r="BH105" s="498"/>
      <c r="BI105" s="498"/>
      <c r="BJ105" s="498"/>
      <c r="BK105" s="498"/>
      <c r="BL105" s="498"/>
      <c r="BM105" s="498"/>
      <c r="BN105" s="498"/>
      <c r="BO105" s="498"/>
      <c r="BP105" s="498"/>
      <c r="BQ105" s="498"/>
      <c r="BR105" s="498"/>
      <c r="BS105" s="498"/>
      <c r="BT105" s="498"/>
      <c r="BU105" s="498"/>
      <c r="BV105" s="498"/>
      <c r="BW105" s="498"/>
      <c r="BX105" s="498"/>
      <c r="BY105" s="498"/>
      <c r="BZ105" s="498"/>
      <c r="CA105" s="498"/>
      <c r="CB105" s="498"/>
      <c r="CC105" s="498"/>
      <c r="CD105" s="498"/>
      <c r="CE105" s="498"/>
      <c r="CF105" s="498"/>
      <c r="CG105" s="293"/>
      <c r="CH105" s="293"/>
      <c r="CI105" s="293"/>
      <c r="CJ105" s="293"/>
      <c r="CK105" s="293"/>
      <c r="CL105" s="293"/>
      <c r="CM105" s="293"/>
      <c r="CN105" s="293"/>
      <c r="CO105" s="227"/>
      <c r="CR105" s="498"/>
      <c r="CS105" s="498"/>
      <c r="CT105" s="498"/>
      <c r="CU105" s="498"/>
      <c r="CV105" s="498"/>
      <c r="CW105" s="498"/>
      <c r="CX105" s="498"/>
      <c r="CY105" s="498"/>
      <c r="CZ105" s="498"/>
      <c r="DA105" s="498"/>
      <c r="DB105" s="498"/>
      <c r="DC105" s="498"/>
      <c r="DD105" s="498"/>
      <c r="DE105" s="498"/>
      <c r="DF105" s="498"/>
      <c r="DG105" s="498"/>
      <c r="DH105" s="498"/>
      <c r="DI105" s="498"/>
      <c r="DJ105" s="498"/>
      <c r="DK105" s="498"/>
      <c r="DL105" s="498"/>
      <c r="DM105" s="498"/>
      <c r="DN105" s="498"/>
      <c r="DO105" s="498"/>
      <c r="DP105" s="498"/>
      <c r="DQ105" s="498"/>
      <c r="DR105" s="498"/>
      <c r="DS105" s="498"/>
      <c r="DT105" s="498"/>
      <c r="DU105" s="498"/>
      <c r="DV105" s="498"/>
      <c r="DW105" s="498"/>
      <c r="DX105" s="498"/>
      <c r="DY105" s="498"/>
      <c r="DZ105" s="498"/>
      <c r="EA105" s="498"/>
      <c r="EB105" s="498"/>
      <c r="EC105" s="498"/>
      <c r="ED105" s="498"/>
      <c r="EE105" s="498"/>
      <c r="EF105" s="498"/>
      <c r="EG105" s="498"/>
      <c r="EH105" s="498"/>
      <c r="EI105" s="498"/>
      <c r="EJ105" s="498"/>
      <c r="EK105" s="498"/>
      <c r="EL105" s="498"/>
      <c r="EM105" s="498"/>
      <c r="EN105" s="498"/>
      <c r="EO105" s="498"/>
      <c r="EP105" s="498"/>
      <c r="EQ105" s="498"/>
      <c r="ER105" s="498"/>
      <c r="ES105" s="498"/>
      <c r="ET105" s="498"/>
      <c r="EU105" s="498"/>
      <c r="EV105" s="498"/>
      <c r="EW105" s="498"/>
      <c r="EX105" s="498"/>
      <c r="EY105" s="498"/>
      <c r="EZ105" s="498"/>
      <c r="FA105" s="498"/>
      <c r="FB105" s="498"/>
      <c r="FC105" s="498"/>
    </row>
    <row r="106" spans="3:159">
      <c r="AO106" s="338"/>
      <c r="AP106" s="449"/>
      <c r="AR106" s="449"/>
      <c r="AS106" s="449"/>
      <c r="BA106" s="498"/>
      <c r="BB106" s="498"/>
      <c r="BC106" s="498"/>
      <c r="BD106" s="498"/>
      <c r="BE106" s="498"/>
      <c r="BF106" s="498"/>
      <c r="BG106" s="498"/>
      <c r="BH106" s="498"/>
      <c r="BI106" s="498"/>
      <c r="BJ106" s="498"/>
      <c r="BK106" s="498"/>
      <c r="BL106" s="498"/>
      <c r="BM106" s="498"/>
      <c r="BN106" s="498"/>
      <c r="BO106" s="498"/>
      <c r="BP106" s="498"/>
      <c r="BQ106" s="498"/>
      <c r="BR106" s="498"/>
      <c r="BS106" s="498"/>
      <c r="BT106" s="498"/>
      <c r="BU106" s="498"/>
      <c r="BV106" s="498"/>
      <c r="BW106" s="498"/>
      <c r="BX106" s="498"/>
      <c r="BY106" s="498"/>
      <c r="BZ106" s="498"/>
      <c r="CA106" s="498"/>
      <c r="CB106" s="498"/>
      <c r="CC106" s="498"/>
      <c r="CD106" s="498"/>
      <c r="CE106" s="498"/>
      <c r="CF106" s="498"/>
      <c r="CG106" s="293"/>
      <c r="CH106" s="293"/>
      <c r="CI106" s="293"/>
      <c r="CJ106" s="293"/>
      <c r="CK106" s="293"/>
      <c r="CL106" s="293"/>
      <c r="CM106" s="293"/>
      <c r="CN106" s="293"/>
      <c r="CO106" s="227"/>
      <c r="CR106" s="498"/>
      <c r="CS106" s="498"/>
      <c r="CT106" s="498"/>
      <c r="CU106" s="498"/>
      <c r="CV106" s="498"/>
      <c r="CW106" s="498"/>
      <c r="CX106" s="498"/>
      <c r="CY106" s="498"/>
      <c r="CZ106" s="498"/>
      <c r="DA106" s="498"/>
      <c r="DB106" s="498"/>
      <c r="DC106" s="498"/>
      <c r="DD106" s="498"/>
      <c r="DE106" s="498"/>
      <c r="DF106" s="498"/>
      <c r="DG106" s="498"/>
      <c r="DH106" s="498"/>
      <c r="DI106" s="498"/>
      <c r="DJ106" s="498"/>
      <c r="DK106" s="498"/>
      <c r="DL106" s="498"/>
      <c r="DM106" s="498"/>
      <c r="DN106" s="498"/>
      <c r="DO106" s="498"/>
      <c r="DP106" s="498"/>
      <c r="DQ106" s="498"/>
      <c r="DR106" s="498"/>
      <c r="DS106" s="498"/>
      <c r="DT106" s="498"/>
      <c r="DU106" s="498"/>
      <c r="DV106" s="498"/>
      <c r="DW106" s="498"/>
      <c r="DX106" s="498"/>
      <c r="DY106" s="498"/>
      <c r="DZ106" s="498"/>
      <c r="EA106" s="498"/>
      <c r="EB106" s="498"/>
      <c r="EC106" s="498"/>
      <c r="ED106" s="498"/>
      <c r="EE106" s="498"/>
      <c r="EF106" s="498"/>
      <c r="EG106" s="498"/>
      <c r="EH106" s="498"/>
      <c r="EI106" s="498"/>
      <c r="EJ106" s="498"/>
      <c r="EK106" s="498"/>
      <c r="EL106" s="498"/>
      <c r="EM106" s="498"/>
      <c r="EN106" s="498"/>
      <c r="EO106" s="498"/>
      <c r="EP106" s="498"/>
      <c r="EQ106" s="498"/>
      <c r="ER106" s="498"/>
      <c r="ES106" s="498"/>
      <c r="ET106" s="498"/>
      <c r="EU106" s="498"/>
      <c r="EV106" s="498"/>
      <c r="EW106" s="498"/>
      <c r="EX106" s="498"/>
      <c r="EY106" s="498"/>
      <c r="EZ106" s="498"/>
      <c r="FA106" s="498"/>
      <c r="FB106" s="498"/>
      <c r="FC106" s="498"/>
    </row>
    <row r="107" spans="3:159">
      <c r="AO107" s="338"/>
      <c r="AP107" s="449"/>
      <c r="AR107" s="449"/>
      <c r="AS107" s="449"/>
      <c r="BA107" s="498"/>
      <c r="BB107" s="498"/>
      <c r="BC107" s="498"/>
      <c r="BD107" s="498"/>
      <c r="BE107" s="498"/>
      <c r="BF107" s="498"/>
      <c r="BG107" s="498"/>
      <c r="BH107" s="498"/>
      <c r="BI107" s="498"/>
      <c r="BJ107" s="498"/>
      <c r="BK107" s="498"/>
      <c r="BL107" s="498"/>
      <c r="BM107" s="498"/>
      <c r="BN107" s="498"/>
      <c r="BO107" s="498"/>
      <c r="BP107" s="498"/>
      <c r="BQ107" s="498"/>
      <c r="BR107" s="498"/>
      <c r="BS107" s="498"/>
      <c r="BT107" s="498"/>
      <c r="BU107" s="498"/>
      <c r="BV107" s="498"/>
      <c r="BW107" s="498"/>
      <c r="BX107" s="498"/>
      <c r="BY107" s="498"/>
      <c r="BZ107" s="498"/>
      <c r="CA107" s="498"/>
      <c r="CB107" s="498"/>
      <c r="CC107" s="498"/>
      <c r="CD107" s="498"/>
      <c r="CE107" s="498"/>
      <c r="CF107" s="498"/>
      <c r="CG107" s="293"/>
      <c r="CH107" s="293"/>
      <c r="CI107" s="293"/>
      <c r="CJ107" s="293"/>
      <c r="CK107" s="293"/>
      <c r="CL107" s="293"/>
      <c r="CM107" s="293"/>
      <c r="CN107" s="293"/>
      <c r="CO107" s="227"/>
      <c r="CR107" s="498"/>
      <c r="CS107" s="498"/>
      <c r="CT107" s="498"/>
      <c r="CU107" s="498"/>
      <c r="CV107" s="498"/>
      <c r="CW107" s="498"/>
      <c r="CX107" s="498"/>
      <c r="CY107" s="498"/>
      <c r="CZ107" s="498"/>
      <c r="DA107" s="498"/>
      <c r="DB107" s="498"/>
      <c r="DC107" s="498"/>
      <c r="DD107" s="498"/>
      <c r="DE107" s="498"/>
      <c r="DF107" s="498"/>
      <c r="DG107" s="498"/>
      <c r="DH107" s="498"/>
      <c r="DI107" s="498"/>
      <c r="DJ107" s="498"/>
      <c r="DK107" s="498"/>
      <c r="DL107" s="498"/>
      <c r="DM107" s="498"/>
      <c r="DN107" s="498"/>
      <c r="DO107" s="498"/>
      <c r="DP107" s="498"/>
      <c r="DQ107" s="498"/>
      <c r="DR107" s="498"/>
      <c r="DS107" s="498"/>
      <c r="DT107" s="498"/>
      <c r="DU107" s="498"/>
      <c r="DV107" s="498"/>
      <c r="DW107" s="498"/>
      <c r="DX107" s="498"/>
      <c r="DY107" s="498"/>
      <c r="DZ107" s="498"/>
      <c r="EA107" s="498"/>
      <c r="EB107" s="498"/>
      <c r="EC107" s="498"/>
      <c r="ED107" s="498"/>
      <c r="EE107" s="498"/>
      <c r="EF107" s="498"/>
      <c r="EG107" s="498"/>
      <c r="EH107" s="498"/>
      <c r="EI107" s="498"/>
      <c r="EJ107" s="498"/>
      <c r="EK107" s="498"/>
      <c r="EL107" s="498"/>
      <c r="EM107" s="498"/>
      <c r="EN107" s="498"/>
      <c r="EO107" s="498"/>
      <c r="EP107" s="498"/>
      <c r="EQ107" s="498"/>
      <c r="ER107" s="498"/>
      <c r="ES107" s="498"/>
      <c r="ET107" s="498"/>
      <c r="EU107" s="498"/>
      <c r="EV107" s="498"/>
      <c r="EW107" s="498"/>
      <c r="EX107" s="498"/>
      <c r="EY107" s="498"/>
      <c r="EZ107" s="498"/>
      <c r="FA107" s="498"/>
      <c r="FB107" s="498"/>
      <c r="FC107" s="498"/>
    </row>
    <row r="108" spans="3:159">
      <c r="AO108" s="338"/>
      <c r="AP108" s="449"/>
      <c r="AR108" s="449"/>
      <c r="AS108" s="449"/>
      <c r="BA108" s="498"/>
      <c r="BB108" s="498"/>
      <c r="BC108" s="498"/>
      <c r="BD108" s="498"/>
      <c r="BE108" s="498"/>
      <c r="BF108" s="498"/>
      <c r="BG108" s="498"/>
      <c r="BH108" s="498"/>
      <c r="BI108" s="498"/>
      <c r="BJ108" s="498"/>
      <c r="BK108" s="498"/>
      <c r="BL108" s="498"/>
      <c r="BM108" s="498"/>
      <c r="BN108" s="498"/>
      <c r="BO108" s="498"/>
      <c r="BP108" s="498"/>
      <c r="BQ108" s="498"/>
      <c r="BR108" s="498"/>
      <c r="BS108" s="498"/>
      <c r="BT108" s="498"/>
      <c r="BU108" s="498"/>
      <c r="BV108" s="498"/>
      <c r="BW108" s="498"/>
      <c r="BX108" s="498"/>
      <c r="BY108" s="498"/>
      <c r="BZ108" s="498"/>
      <c r="CA108" s="498"/>
      <c r="CB108" s="498"/>
      <c r="CC108" s="498"/>
      <c r="CD108" s="498"/>
      <c r="CE108" s="498"/>
      <c r="CF108" s="498"/>
      <c r="CG108" s="287"/>
      <c r="CH108" s="287"/>
      <c r="CI108" s="287"/>
      <c r="CJ108" s="287"/>
      <c r="CK108" s="287"/>
      <c r="CL108" s="287"/>
      <c r="CM108" s="287"/>
      <c r="CN108" s="287"/>
      <c r="CO108" s="27"/>
      <c r="CR108" s="498"/>
      <c r="CS108" s="498"/>
      <c r="CT108" s="498"/>
      <c r="CU108" s="498"/>
      <c r="CV108" s="498"/>
      <c r="CW108" s="498"/>
      <c r="CX108" s="498"/>
      <c r="CY108" s="498"/>
      <c r="CZ108" s="498"/>
      <c r="DA108" s="498"/>
      <c r="DB108" s="498"/>
      <c r="DC108" s="498"/>
      <c r="DD108" s="498"/>
      <c r="DE108" s="498"/>
      <c r="DF108" s="498"/>
      <c r="DG108" s="498"/>
      <c r="DH108" s="498"/>
      <c r="DI108" s="498"/>
      <c r="DJ108" s="498"/>
      <c r="DK108" s="498"/>
      <c r="DL108" s="498"/>
      <c r="DM108" s="498"/>
      <c r="DN108" s="498"/>
      <c r="DO108" s="498"/>
      <c r="DP108" s="498"/>
      <c r="DQ108" s="498"/>
      <c r="DR108" s="498"/>
      <c r="DS108" s="498"/>
      <c r="DT108" s="498"/>
      <c r="DU108" s="498"/>
      <c r="DV108" s="498"/>
      <c r="DW108" s="498"/>
      <c r="DX108" s="498"/>
      <c r="DY108" s="498"/>
      <c r="DZ108" s="498"/>
      <c r="EA108" s="498"/>
      <c r="EB108" s="498"/>
      <c r="EC108" s="498"/>
      <c r="ED108" s="498"/>
      <c r="EE108" s="498"/>
      <c r="EF108" s="498"/>
      <c r="EG108" s="498"/>
      <c r="EH108" s="498"/>
      <c r="EI108" s="498"/>
      <c r="EJ108" s="498"/>
      <c r="EK108" s="498"/>
      <c r="EL108" s="498"/>
      <c r="EM108" s="498"/>
      <c r="EN108" s="498"/>
      <c r="EO108" s="498"/>
      <c r="EP108" s="498"/>
      <c r="EQ108" s="498"/>
      <c r="ER108" s="498"/>
      <c r="ES108" s="498"/>
      <c r="ET108" s="498"/>
      <c r="EU108" s="498"/>
      <c r="EV108" s="498"/>
      <c r="EW108" s="498"/>
      <c r="EX108" s="498"/>
      <c r="EY108" s="498"/>
      <c r="EZ108" s="498"/>
      <c r="FA108" s="498"/>
      <c r="FB108" s="498"/>
      <c r="FC108" s="498"/>
    </row>
    <row r="109" spans="3:159">
      <c r="AO109" s="338"/>
      <c r="AP109" s="449"/>
      <c r="AR109" s="449"/>
      <c r="AS109" s="449"/>
      <c r="BA109" s="498"/>
      <c r="BB109" s="498"/>
      <c r="BC109" s="498"/>
      <c r="BD109" s="498"/>
      <c r="BE109" s="498"/>
      <c r="BF109" s="498"/>
      <c r="BG109" s="498"/>
      <c r="BH109" s="498"/>
      <c r="BI109" s="498"/>
      <c r="BJ109" s="498"/>
      <c r="BK109" s="498"/>
      <c r="BL109" s="498"/>
      <c r="BM109" s="498"/>
      <c r="BN109" s="498"/>
      <c r="BO109" s="498"/>
      <c r="BP109" s="498"/>
      <c r="BQ109" s="498"/>
      <c r="BR109" s="498"/>
      <c r="BS109" s="498"/>
      <c r="BT109" s="498"/>
      <c r="BU109" s="498"/>
      <c r="BV109" s="498"/>
      <c r="BW109" s="498"/>
      <c r="BX109" s="498"/>
      <c r="BY109" s="498"/>
      <c r="BZ109" s="498"/>
      <c r="CA109" s="498"/>
      <c r="CB109" s="498"/>
      <c r="CC109" s="498"/>
      <c r="CD109" s="498"/>
      <c r="CE109" s="498"/>
      <c r="CF109" s="498"/>
      <c r="CG109" s="293"/>
      <c r="CH109" s="293"/>
      <c r="CI109" s="293"/>
      <c r="CJ109" s="293"/>
      <c r="CK109" s="293"/>
      <c r="CL109" s="293"/>
      <c r="CM109" s="293"/>
      <c r="CN109" s="293"/>
      <c r="CO109" s="227"/>
      <c r="CR109" s="498"/>
      <c r="CS109" s="498"/>
      <c r="CT109" s="498"/>
      <c r="CU109" s="498"/>
      <c r="CV109" s="498"/>
      <c r="CW109" s="498"/>
      <c r="CX109" s="498"/>
      <c r="CY109" s="498"/>
      <c r="CZ109" s="498"/>
      <c r="DA109" s="498"/>
      <c r="DB109" s="498"/>
      <c r="DC109" s="498"/>
      <c r="DD109" s="498"/>
      <c r="DE109" s="498"/>
      <c r="DF109" s="498"/>
      <c r="DG109" s="498"/>
      <c r="DH109" s="498"/>
      <c r="DI109" s="498"/>
      <c r="DJ109" s="498"/>
      <c r="DK109" s="498"/>
      <c r="DL109" s="498"/>
      <c r="DM109" s="498"/>
      <c r="DN109" s="498"/>
      <c r="DO109" s="498"/>
      <c r="DP109" s="498"/>
      <c r="DQ109" s="498"/>
      <c r="DR109" s="498"/>
      <c r="DS109" s="498"/>
      <c r="DT109" s="498"/>
      <c r="DU109" s="498"/>
      <c r="DV109" s="498"/>
      <c r="DW109" s="498"/>
      <c r="DX109" s="498"/>
      <c r="DY109" s="498"/>
      <c r="DZ109" s="498"/>
      <c r="EA109" s="498"/>
      <c r="EB109" s="498"/>
      <c r="EC109" s="498"/>
      <c r="ED109" s="498"/>
      <c r="EE109" s="498"/>
      <c r="EF109" s="498"/>
      <c r="EG109" s="498"/>
      <c r="EH109" s="498"/>
      <c r="EI109" s="498"/>
      <c r="EJ109" s="498"/>
      <c r="EK109" s="498"/>
      <c r="EL109" s="498"/>
      <c r="EM109" s="498"/>
      <c r="EN109" s="498"/>
      <c r="EO109" s="498"/>
      <c r="EP109" s="498"/>
      <c r="EQ109" s="498"/>
      <c r="ER109" s="498"/>
      <c r="ES109" s="498"/>
      <c r="ET109" s="498"/>
      <c r="EU109" s="498"/>
      <c r="EV109" s="498"/>
      <c r="EW109" s="498"/>
      <c r="EX109" s="498"/>
      <c r="EY109" s="498"/>
      <c r="EZ109" s="498"/>
      <c r="FA109" s="498"/>
      <c r="FB109" s="498"/>
      <c r="FC109" s="498"/>
    </row>
    <row r="110" spans="3:159">
      <c r="AO110" s="338"/>
      <c r="AP110" s="449"/>
      <c r="AR110" s="449"/>
      <c r="AS110" s="449"/>
      <c r="BA110" s="498"/>
      <c r="BB110" s="498"/>
      <c r="BC110" s="498"/>
      <c r="BD110" s="498"/>
      <c r="BE110" s="498"/>
      <c r="BF110" s="498"/>
      <c r="BG110" s="498"/>
      <c r="BH110" s="498"/>
      <c r="BI110" s="498"/>
      <c r="BJ110" s="498"/>
      <c r="BK110" s="498"/>
      <c r="BL110" s="498"/>
      <c r="BM110" s="498"/>
      <c r="BN110" s="498"/>
      <c r="BO110" s="498"/>
      <c r="BP110" s="498"/>
      <c r="BQ110" s="498"/>
      <c r="BR110" s="498"/>
      <c r="BS110" s="498"/>
      <c r="BT110" s="498"/>
      <c r="BU110" s="498"/>
      <c r="BV110" s="498"/>
      <c r="BW110" s="498"/>
      <c r="BX110" s="498"/>
      <c r="BY110" s="498"/>
      <c r="BZ110" s="498"/>
      <c r="CA110" s="498"/>
      <c r="CB110" s="498"/>
      <c r="CC110" s="498"/>
      <c r="CD110" s="498"/>
      <c r="CE110" s="498"/>
      <c r="CF110" s="498"/>
      <c r="CG110" s="293"/>
      <c r="CH110" s="293"/>
      <c r="CI110" s="293"/>
      <c r="CJ110" s="293"/>
      <c r="CK110" s="293"/>
      <c r="CL110" s="293"/>
      <c r="CM110" s="293"/>
      <c r="CN110" s="293"/>
      <c r="CO110" s="227"/>
      <c r="CR110" s="498"/>
      <c r="CS110" s="498"/>
      <c r="CT110" s="498"/>
      <c r="CU110" s="498"/>
      <c r="CV110" s="498"/>
      <c r="CW110" s="498"/>
      <c r="CX110" s="498"/>
      <c r="CY110" s="498"/>
      <c r="CZ110" s="498"/>
      <c r="DA110" s="498"/>
      <c r="DB110" s="498"/>
      <c r="DC110" s="498"/>
      <c r="DD110" s="498"/>
      <c r="DE110" s="498"/>
      <c r="DF110" s="498"/>
      <c r="DG110" s="498"/>
      <c r="DH110" s="498"/>
      <c r="DI110" s="498"/>
      <c r="DJ110" s="498"/>
      <c r="DK110" s="498"/>
      <c r="DL110" s="498"/>
      <c r="DM110" s="498"/>
      <c r="DN110" s="498"/>
      <c r="DO110" s="498"/>
      <c r="DP110" s="498"/>
      <c r="DQ110" s="498"/>
      <c r="DR110" s="498"/>
      <c r="DS110" s="498"/>
      <c r="DT110" s="498"/>
      <c r="DU110" s="498"/>
      <c r="DV110" s="498"/>
      <c r="DW110" s="498"/>
      <c r="DX110" s="498"/>
      <c r="DY110" s="498"/>
      <c r="DZ110" s="498"/>
      <c r="EA110" s="498"/>
      <c r="EB110" s="498"/>
      <c r="EC110" s="498"/>
      <c r="ED110" s="498"/>
      <c r="EE110" s="498"/>
      <c r="EF110" s="498"/>
      <c r="EG110" s="498"/>
      <c r="EH110" s="498"/>
      <c r="EI110" s="498"/>
      <c r="EJ110" s="498"/>
      <c r="EK110" s="498"/>
      <c r="EL110" s="498"/>
      <c r="EM110" s="498"/>
      <c r="EN110" s="498"/>
      <c r="EO110" s="498"/>
      <c r="EP110" s="498"/>
      <c r="EQ110" s="498"/>
      <c r="ER110" s="498"/>
      <c r="ES110" s="498"/>
      <c r="ET110" s="498"/>
      <c r="EU110" s="498"/>
      <c r="EV110" s="498"/>
      <c r="EW110" s="498"/>
      <c r="EX110" s="498"/>
      <c r="EY110" s="498"/>
      <c r="EZ110" s="498"/>
      <c r="FA110" s="498"/>
      <c r="FB110" s="498"/>
      <c r="FC110" s="498"/>
    </row>
    <row r="111" spans="3:159">
      <c r="AO111" s="338"/>
      <c r="AP111" s="449"/>
      <c r="AR111" s="449"/>
      <c r="AS111" s="449"/>
      <c r="BA111" s="498"/>
      <c r="BB111" s="498"/>
      <c r="BC111" s="498"/>
      <c r="BD111" s="498"/>
      <c r="BE111" s="498"/>
      <c r="BF111" s="498"/>
      <c r="BG111" s="498"/>
      <c r="BH111" s="498"/>
      <c r="BI111" s="498"/>
      <c r="BJ111" s="498"/>
      <c r="BK111" s="498"/>
      <c r="BL111" s="498"/>
      <c r="BM111" s="498"/>
      <c r="BN111" s="498"/>
      <c r="BO111" s="498"/>
      <c r="BP111" s="498"/>
      <c r="BQ111" s="498"/>
      <c r="BR111" s="498"/>
      <c r="BS111" s="498"/>
      <c r="BT111" s="498"/>
      <c r="BU111" s="498"/>
      <c r="BV111" s="498"/>
      <c r="BW111" s="498"/>
      <c r="BX111" s="498"/>
      <c r="BY111" s="498"/>
      <c r="BZ111" s="498"/>
      <c r="CA111" s="498"/>
      <c r="CB111" s="498"/>
      <c r="CC111" s="498"/>
      <c r="CD111" s="498"/>
      <c r="CE111" s="498"/>
      <c r="CF111" s="498"/>
      <c r="CG111" s="287"/>
      <c r="CH111" s="287"/>
      <c r="CI111" s="287"/>
      <c r="CJ111" s="287"/>
      <c r="CK111" s="287"/>
      <c r="CL111" s="287"/>
      <c r="CM111" s="287"/>
      <c r="CN111" s="287"/>
      <c r="CO111" s="27"/>
      <c r="CR111" s="498"/>
      <c r="CS111" s="498"/>
      <c r="CT111" s="498"/>
      <c r="CU111" s="498"/>
      <c r="CV111" s="498"/>
      <c r="CW111" s="498"/>
      <c r="CX111" s="498"/>
      <c r="CY111" s="498"/>
      <c r="CZ111" s="498"/>
      <c r="DA111" s="498"/>
      <c r="DB111" s="498"/>
      <c r="DC111" s="498"/>
      <c r="DD111" s="498"/>
      <c r="DE111" s="498"/>
      <c r="DF111" s="498"/>
      <c r="DG111" s="498"/>
      <c r="DH111" s="498"/>
      <c r="DI111" s="498"/>
      <c r="DJ111" s="498"/>
      <c r="DK111" s="498"/>
      <c r="DL111" s="498"/>
      <c r="DM111" s="498"/>
      <c r="DN111" s="498"/>
      <c r="DO111" s="498"/>
      <c r="DP111" s="498"/>
      <c r="DQ111" s="498"/>
      <c r="DR111" s="498"/>
      <c r="DS111" s="498"/>
      <c r="DT111" s="498"/>
      <c r="DU111" s="498"/>
      <c r="DV111" s="498"/>
      <c r="DW111" s="498"/>
      <c r="DX111" s="498"/>
      <c r="DY111" s="498"/>
      <c r="DZ111" s="498"/>
      <c r="EA111" s="498"/>
      <c r="EB111" s="498"/>
      <c r="EC111" s="498"/>
      <c r="ED111" s="498"/>
      <c r="EE111" s="498"/>
      <c r="EF111" s="498"/>
      <c r="EG111" s="498"/>
      <c r="EH111" s="498"/>
      <c r="EI111" s="498"/>
      <c r="EJ111" s="498"/>
      <c r="EK111" s="498"/>
      <c r="EL111" s="498"/>
      <c r="EM111" s="498"/>
      <c r="EN111" s="498"/>
      <c r="EO111" s="498"/>
      <c r="EP111" s="498"/>
      <c r="EQ111" s="498"/>
      <c r="ER111" s="498"/>
      <c r="ES111" s="498"/>
      <c r="ET111" s="498"/>
      <c r="EU111" s="498"/>
      <c r="EV111" s="498"/>
      <c r="EW111" s="498"/>
      <c r="EX111" s="498"/>
      <c r="EY111" s="498"/>
      <c r="EZ111" s="498"/>
      <c r="FA111" s="498"/>
      <c r="FB111" s="498"/>
      <c r="FC111" s="498"/>
    </row>
    <row r="112" spans="3:159">
      <c r="AO112" s="338"/>
      <c r="AP112" s="449"/>
      <c r="AR112" s="449"/>
      <c r="AS112" s="449"/>
      <c r="BA112" s="498"/>
      <c r="BB112" s="498"/>
      <c r="BC112" s="498"/>
      <c r="BD112" s="498"/>
      <c r="BE112" s="498"/>
      <c r="BF112" s="498"/>
      <c r="BG112" s="498"/>
      <c r="BH112" s="498"/>
      <c r="BI112" s="498"/>
      <c r="BJ112" s="498"/>
      <c r="BK112" s="498"/>
      <c r="BL112" s="498"/>
      <c r="BM112" s="498"/>
      <c r="BN112" s="498"/>
      <c r="BO112" s="498"/>
      <c r="BP112" s="498"/>
      <c r="BQ112" s="498"/>
      <c r="BR112" s="498"/>
      <c r="BS112" s="498"/>
      <c r="BT112" s="498"/>
      <c r="BU112" s="498"/>
      <c r="BV112" s="498"/>
      <c r="BW112" s="498"/>
      <c r="BX112" s="498"/>
      <c r="BY112" s="498"/>
      <c r="BZ112" s="498"/>
      <c r="CA112" s="498"/>
      <c r="CB112" s="498"/>
      <c r="CC112" s="498"/>
      <c r="CD112" s="498"/>
      <c r="CE112" s="498"/>
      <c r="CF112" s="498"/>
      <c r="CG112" s="293"/>
      <c r="CH112" s="293"/>
      <c r="CI112" s="293"/>
      <c r="CJ112" s="293"/>
      <c r="CK112" s="293"/>
      <c r="CL112" s="293"/>
      <c r="CM112" s="293"/>
      <c r="CN112" s="293"/>
      <c r="CO112" s="227"/>
      <c r="CR112" s="498"/>
      <c r="CS112" s="498"/>
      <c r="CT112" s="498"/>
      <c r="CU112" s="498"/>
      <c r="CV112" s="498"/>
      <c r="CW112" s="498"/>
      <c r="CX112" s="498"/>
      <c r="CY112" s="498"/>
      <c r="CZ112" s="498"/>
      <c r="DA112" s="498"/>
      <c r="DB112" s="498"/>
      <c r="DC112" s="498"/>
      <c r="DD112" s="498"/>
      <c r="DE112" s="498"/>
      <c r="DF112" s="498"/>
      <c r="DG112" s="498"/>
      <c r="DH112" s="498"/>
      <c r="DI112" s="498"/>
      <c r="DJ112" s="498"/>
      <c r="DK112" s="498"/>
      <c r="DL112" s="498"/>
      <c r="DM112" s="498"/>
      <c r="DN112" s="498"/>
      <c r="DO112" s="498"/>
      <c r="DP112" s="498"/>
      <c r="DQ112" s="498"/>
      <c r="DR112" s="498"/>
      <c r="DS112" s="498"/>
      <c r="DT112" s="498"/>
      <c r="DU112" s="498"/>
      <c r="DV112" s="498"/>
      <c r="DW112" s="498"/>
      <c r="DX112" s="498"/>
      <c r="DY112" s="498"/>
      <c r="DZ112" s="498"/>
      <c r="EA112" s="498"/>
      <c r="EB112" s="498"/>
      <c r="EC112" s="498"/>
      <c r="ED112" s="498"/>
      <c r="EE112" s="498"/>
      <c r="EF112" s="498"/>
      <c r="EG112" s="498"/>
      <c r="EH112" s="498"/>
      <c r="EI112" s="498"/>
      <c r="EJ112" s="498"/>
      <c r="EK112" s="498"/>
      <c r="EL112" s="498"/>
      <c r="EM112" s="498"/>
      <c r="EN112" s="498"/>
      <c r="EO112" s="498"/>
      <c r="EP112" s="498"/>
      <c r="EQ112" s="498"/>
      <c r="ER112" s="498"/>
      <c r="ES112" s="498"/>
      <c r="ET112" s="498"/>
      <c r="EU112" s="498"/>
      <c r="EV112" s="498"/>
      <c r="EW112" s="498"/>
      <c r="EX112" s="498"/>
      <c r="EY112" s="498"/>
      <c r="EZ112" s="498"/>
      <c r="FA112" s="498"/>
      <c r="FB112" s="498"/>
      <c r="FC112" s="498"/>
    </row>
    <row r="113" spans="3:159">
      <c r="AO113" s="338"/>
      <c r="AP113" s="449"/>
      <c r="AR113" s="449"/>
      <c r="AS113" s="449"/>
      <c r="BA113" s="498"/>
      <c r="BB113" s="498"/>
      <c r="BC113" s="498"/>
      <c r="BD113" s="498"/>
      <c r="BE113" s="498"/>
      <c r="BF113" s="498"/>
      <c r="BG113" s="498"/>
      <c r="BH113" s="498"/>
      <c r="BI113" s="498"/>
      <c r="BJ113" s="498"/>
      <c r="BK113" s="498"/>
      <c r="BL113" s="498"/>
      <c r="BM113" s="498"/>
      <c r="BN113" s="498"/>
      <c r="BO113" s="498"/>
      <c r="BP113" s="498"/>
      <c r="BQ113" s="498"/>
      <c r="BR113" s="498"/>
      <c r="BS113" s="498"/>
      <c r="BT113" s="498"/>
      <c r="BU113" s="498"/>
      <c r="BV113" s="498"/>
      <c r="BW113" s="498"/>
      <c r="BX113" s="498"/>
      <c r="BY113" s="498"/>
      <c r="BZ113" s="498"/>
      <c r="CA113" s="498"/>
      <c r="CB113" s="498"/>
      <c r="CC113" s="498"/>
      <c r="CD113" s="498"/>
      <c r="CE113" s="498"/>
      <c r="CF113" s="498"/>
      <c r="CG113" s="19"/>
      <c r="CH113" s="19"/>
      <c r="CI113" s="19"/>
      <c r="CJ113" s="19"/>
      <c r="CK113" s="19"/>
      <c r="CL113" s="19"/>
      <c r="CM113" s="19"/>
      <c r="CN113" s="19"/>
      <c r="CO113" s="4"/>
      <c r="CR113" s="498"/>
      <c r="CS113" s="498"/>
      <c r="CT113" s="498"/>
      <c r="CU113" s="498"/>
      <c r="CV113" s="498"/>
      <c r="CW113" s="498"/>
      <c r="CX113" s="498"/>
      <c r="CY113" s="498"/>
      <c r="CZ113" s="498"/>
      <c r="DA113" s="498"/>
      <c r="DB113" s="498"/>
      <c r="DC113" s="498"/>
      <c r="DD113" s="498"/>
      <c r="DE113" s="498"/>
      <c r="DF113" s="498"/>
      <c r="DG113" s="498"/>
      <c r="DH113" s="498"/>
      <c r="DI113" s="498"/>
      <c r="DJ113" s="498"/>
      <c r="DK113" s="498"/>
      <c r="DL113" s="498"/>
      <c r="DM113" s="498"/>
      <c r="DN113" s="498"/>
      <c r="DO113" s="498"/>
      <c r="DP113" s="498"/>
      <c r="DQ113" s="498"/>
      <c r="DR113" s="498"/>
      <c r="DS113" s="498"/>
      <c r="DT113" s="498"/>
      <c r="DU113" s="498"/>
      <c r="DV113" s="498"/>
      <c r="DW113" s="498"/>
      <c r="DX113" s="498"/>
      <c r="DY113" s="498"/>
      <c r="DZ113" s="498"/>
      <c r="EA113" s="498"/>
      <c r="EB113" s="498"/>
      <c r="EC113" s="498"/>
      <c r="ED113" s="498"/>
      <c r="EE113" s="498"/>
      <c r="EF113" s="498"/>
      <c r="EG113" s="498"/>
      <c r="EH113" s="498"/>
      <c r="EI113" s="498"/>
      <c r="EJ113" s="498"/>
      <c r="EK113" s="498"/>
      <c r="EL113" s="498"/>
      <c r="EM113" s="498"/>
      <c r="EN113" s="498"/>
      <c r="EO113" s="498"/>
      <c r="EP113" s="498"/>
      <c r="EQ113" s="498"/>
      <c r="ER113" s="498"/>
      <c r="ES113" s="498"/>
      <c r="ET113" s="498"/>
      <c r="EU113" s="498"/>
      <c r="EV113" s="498"/>
      <c r="EW113" s="498"/>
      <c r="EX113" s="498"/>
      <c r="EY113" s="498"/>
      <c r="EZ113" s="498"/>
      <c r="FA113" s="498"/>
      <c r="FB113" s="498"/>
      <c r="FC113" s="498"/>
    </row>
    <row r="114" spans="3:159">
      <c r="AO114" s="338"/>
      <c r="AP114" s="449" t="s">
        <v>1600</v>
      </c>
      <c r="AR114" s="449"/>
      <c r="AS114" s="449"/>
      <c r="BA114" s="498"/>
      <c r="BB114" s="498"/>
      <c r="BC114" s="498"/>
      <c r="BD114" s="498"/>
      <c r="BE114" s="498"/>
      <c r="BF114" s="498"/>
      <c r="BG114" s="498"/>
      <c r="BH114" s="498"/>
      <c r="BI114" s="498"/>
      <c r="BJ114" s="498"/>
      <c r="BK114" s="498"/>
      <c r="BL114" s="498"/>
      <c r="BM114" s="498"/>
      <c r="BN114" s="498"/>
      <c r="BO114" s="498"/>
      <c r="BP114" s="498"/>
      <c r="BQ114" s="498"/>
      <c r="BR114" s="498"/>
      <c r="BS114" s="498"/>
      <c r="BT114" s="498"/>
      <c r="BU114" s="498"/>
      <c r="BV114" s="498"/>
      <c r="BW114" s="498"/>
      <c r="BX114" s="498"/>
      <c r="BY114" s="498"/>
      <c r="BZ114" s="498"/>
      <c r="CA114" s="498"/>
      <c r="CB114" s="498"/>
      <c r="CC114" s="498"/>
      <c r="CD114" s="498"/>
      <c r="CE114" s="498"/>
      <c r="CF114" s="498"/>
      <c r="CG114" s="285"/>
      <c r="CH114" s="285"/>
      <c r="CI114" s="285"/>
      <c r="CJ114" s="285"/>
      <c r="CK114" s="285"/>
      <c r="CL114" s="285"/>
      <c r="CM114" s="285"/>
      <c r="CN114" s="285"/>
      <c r="CO114" s="473"/>
      <c r="CR114" s="498"/>
      <c r="CS114" s="498"/>
      <c r="CT114" s="498"/>
      <c r="CU114" s="498"/>
      <c r="CV114" s="498"/>
      <c r="CW114" s="498"/>
      <c r="CX114" s="498"/>
      <c r="CY114" s="498"/>
      <c r="CZ114" s="498"/>
      <c r="DA114" s="498"/>
      <c r="DB114" s="498"/>
      <c r="DC114" s="498"/>
      <c r="DD114" s="498"/>
      <c r="DE114" s="498"/>
      <c r="DF114" s="498"/>
      <c r="DG114" s="498"/>
      <c r="DH114" s="498"/>
      <c r="DI114" s="498"/>
      <c r="DJ114" s="498"/>
      <c r="DK114" s="498"/>
      <c r="DL114" s="498"/>
      <c r="DM114" s="498"/>
      <c r="DN114" s="498"/>
      <c r="DO114" s="498"/>
      <c r="DP114" s="498"/>
      <c r="DQ114" s="498"/>
      <c r="DR114" s="498"/>
      <c r="DS114" s="498"/>
      <c r="DT114" s="498"/>
      <c r="DU114" s="498"/>
      <c r="DV114" s="498"/>
      <c r="DW114" s="498"/>
      <c r="DX114" s="498"/>
      <c r="DY114" s="498"/>
      <c r="DZ114" s="498"/>
      <c r="EA114" s="498"/>
      <c r="EB114" s="498"/>
      <c r="EC114" s="498"/>
      <c r="ED114" s="498"/>
      <c r="EE114" s="498"/>
      <c r="EF114" s="498"/>
      <c r="EG114" s="498"/>
      <c r="EH114" s="498"/>
      <c r="EI114" s="498"/>
      <c r="EJ114" s="498"/>
      <c r="EK114" s="498"/>
      <c r="EL114" s="498"/>
      <c r="EM114" s="498"/>
      <c r="EN114" s="498"/>
      <c r="EO114" s="498"/>
      <c r="EP114" s="498"/>
      <c r="EQ114" s="498"/>
      <c r="ER114" s="498"/>
      <c r="ES114" s="498"/>
      <c r="ET114" s="498"/>
      <c r="EU114" s="498"/>
      <c r="EV114" s="498"/>
      <c r="EW114" s="498"/>
      <c r="EX114" s="498"/>
      <c r="EY114" s="498"/>
      <c r="EZ114" s="498"/>
      <c r="FA114" s="498"/>
      <c r="FB114" s="498"/>
      <c r="FC114" s="498"/>
    </row>
    <row r="115" spans="3:159">
      <c r="AO115" s="338"/>
      <c r="AP115" s="449"/>
      <c r="AR115" s="449"/>
      <c r="AS115" s="449"/>
      <c r="BA115" s="498"/>
      <c r="BB115" s="498"/>
      <c r="BC115" s="498"/>
      <c r="BD115" s="498"/>
      <c r="BE115" s="498"/>
      <c r="BF115" s="498"/>
      <c r="BG115" s="498"/>
      <c r="BH115" s="498"/>
      <c r="BI115" s="498"/>
      <c r="BJ115" s="498"/>
      <c r="BK115" s="498"/>
      <c r="BL115" s="498"/>
      <c r="BM115" s="498"/>
      <c r="BN115" s="498"/>
      <c r="BO115" s="498"/>
      <c r="BP115" s="498"/>
      <c r="BQ115" s="498"/>
      <c r="BR115" s="498"/>
      <c r="BS115" s="498"/>
      <c r="BT115" s="498"/>
      <c r="BU115" s="498"/>
      <c r="BV115" s="498"/>
      <c r="BW115" s="498"/>
      <c r="BX115" s="498"/>
      <c r="BY115" s="498"/>
      <c r="BZ115" s="498"/>
      <c r="CA115" s="498"/>
      <c r="CB115" s="498"/>
      <c r="CC115" s="498"/>
      <c r="CD115" s="498"/>
      <c r="CE115" s="498"/>
      <c r="CF115" s="498"/>
      <c r="CG115" s="285"/>
      <c r="CH115" s="285"/>
      <c r="CI115" s="285"/>
      <c r="CJ115" s="285"/>
      <c r="CK115" s="285"/>
      <c r="CL115" s="285"/>
      <c r="CM115" s="285"/>
      <c r="CN115" s="285"/>
      <c r="CO115" s="473"/>
      <c r="CR115" s="498"/>
      <c r="CS115" s="498"/>
      <c r="CT115" s="498"/>
      <c r="CU115" s="498"/>
      <c r="CV115" s="498"/>
      <c r="CW115" s="498"/>
      <c r="CX115" s="498"/>
      <c r="CY115" s="498"/>
      <c r="CZ115" s="498"/>
      <c r="DA115" s="498"/>
      <c r="DB115" s="498"/>
      <c r="DC115" s="498"/>
      <c r="DD115" s="498"/>
      <c r="DE115" s="498"/>
      <c r="DF115" s="498"/>
      <c r="DG115" s="498"/>
      <c r="DH115" s="498"/>
      <c r="DI115" s="498"/>
      <c r="DJ115" s="498"/>
      <c r="DK115" s="498"/>
      <c r="DL115" s="498"/>
      <c r="DM115" s="498"/>
      <c r="DN115" s="498"/>
      <c r="DO115" s="498"/>
      <c r="DP115" s="498"/>
      <c r="DQ115" s="498"/>
      <c r="DR115" s="498"/>
      <c r="DS115" s="498"/>
      <c r="DT115" s="498"/>
      <c r="DU115" s="498"/>
      <c r="DV115" s="498"/>
      <c r="DW115" s="498"/>
      <c r="DX115" s="498"/>
      <c r="DY115" s="498"/>
      <c r="DZ115" s="498"/>
      <c r="EA115" s="498"/>
      <c r="EB115" s="498"/>
      <c r="EC115" s="498"/>
      <c r="ED115" s="498"/>
      <c r="EE115" s="498"/>
      <c r="EF115" s="498"/>
      <c r="EG115" s="498"/>
      <c r="EH115" s="498"/>
      <c r="EI115" s="498"/>
      <c r="EJ115" s="498"/>
      <c r="EK115" s="498"/>
      <c r="EL115" s="498"/>
      <c r="EM115" s="498"/>
      <c r="EN115" s="498"/>
      <c r="EO115" s="498"/>
      <c r="EP115" s="498"/>
      <c r="EQ115" s="498"/>
      <c r="ER115" s="498"/>
      <c r="ES115" s="498"/>
      <c r="ET115" s="498"/>
      <c r="EU115" s="498"/>
      <c r="EV115" s="498"/>
      <c r="EW115" s="498"/>
      <c r="EX115" s="498"/>
      <c r="EY115" s="498"/>
      <c r="EZ115" s="498"/>
      <c r="FA115" s="498"/>
      <c r="FB115" s="498"/>
      <c r="FC115" s="498"/>
    </row>
    <row r="116" spans="3:159">
      <c r="AO116" s="338"/>
      <c r="AP116" s="449"/>
      <c r="AR116" s="449"/>
      <c r="AS116" s="449"/>
      <c r="BA116" s="498"/>
      <c r="BB116" s="498"/>
      <c r="BC116" s="498"/>
      <c r="BD116" s="498"/>
      <c r="BE116" s="498"/>
      <c r="BF116" s="498"/>
      <c r="BG116" s="498"/>
      <c r="BH116" s="498"/>
      <c r="BI116" s="498"/>
      <c r="BJ116" s="498"/>
      <c r="BK116" s="498"/>
      <c r="BL116" s="498"/>
      <c r="BM116" s="498"/>
      <c r="BN116" s="498"/>
      <c r="BO116" s="498"/>
      <c r="BP116" s="498"/>
      <c r="BQ116" s="498"/>
      <c r="BR116" s="498"/>
      <c r="BS116" s="498"/>
      <c r="BT116" s="498"/>
      <c r="BU116" s="498"/>
      <c r="BV116" s="498"/>
      <c r="BW116" s="498"/>
      <c r="BX116" s="498"/>
      <c r="BY116" s="498"/>
      <c r="BZ116" s="498"/>
      <c r="CA116" s="498"/>
      <c r="CB116" s="498"/>
      <c r="CC116" s="498"/>
      <c r="CD116" s="498"/>
      <c r="CE116" s="498"/>
      <c r="CF116" s="498"/>
      <c r="CG116" s="285"/>
      <c r="CH116" s="285"/>
      <c r="CI116" s="285"/>
      <c r="CJ116" s="285"/>
      <c r="CK116" s="285"/>
      <c r="CL116" s="285"/>
      <c r="CM116" s="285"/>
      <c r="CN116" s="285"/>
      <c r="CO116" s="473"/>
      <c r="CR116" s="498"/>
      <c r="CS116" s="498"/>
      <c r="CT116" s="498"/>
      <c r="CU116" s="498"/>
      <c r="CV116" s="498"/>
      <c r="CW116" s="498"/>
      <c r="CX116" s="498"/>
      <c r="CY116" s="498"/>
      <c r="CZ116" s="498"/>
      <c r="DA116" s="498"/>
      <c r="DB116" s="498"/>
      <c r="DC116" s="498"/>
      <c r="DD116" s="498"/>
      <c r="DE116" s="498"/>
      <c r="DF116" s="498"/>
      <c r="DG116" s="498"/>
      <c r="DH116" s="498"/>
      <c r="DI116" s="498"/>
      <c r="DJ116" s="498"/>
      <c r="DK116" s="498"/>
      <c r="DL116" s="498"/>
      <c r="DM116" s="498"/>
      <c r="DN116" s="498"/>
      <c r="DO116" s="498"/>
      <c r="DP116" s="498"/>
      <c r="DQ116" s="498"/>
      <c r="DR116" s="498"/>
      <c r="DS116" s="498"/>
      <c r="DT116" s="498"/>
      <c r="DU116" s="498"/>
      <c r="DV116" s="498"/>
      <c r="DW116" s="498"/>
      <c r="DX116" s="498"/>
      <c r="DY116" s="498"/>
      <c r="DZ116" s="498"/>
      <c r="EA116" s="498"/>
      <c r="EB116" s="498"/>
      <c r="EC116" s="498"/>
      <c r="ED116" s="498"/>
      <c r="EE116" s="498"/>
      <c r="EF116" s="498"/>
      <c r="EG116" s="498"/>
      <c r="EH116" s="498"/>
      <c r="EI116" s="498"/>
      <c r="EJ116" s="498"/>
      <c r="EK116" s="498"/>
      <c r="EL116" s="498"/>
      <c r="EM116" s="498"/>
      <c r="EN116" s="498"/>
      <c r="EO116" s="498"/>
      <c r="EP116" s="498"/>
      <c r="EQ116" s="498"/>
      <c r="ER116" s="498"/>
      <c r="ES116" s="498"/>
      <c r="ET116" s="498"/>
      <c r="EU116" s="498"/>
      <c r="EV116" s="498"/>
      <c r="EW116" s="498"/>
      <c r="EX116" s="498"/>
      <c r="EY116" s="498"/>
      <c r="EZ116" s="498"/>
      <c r="FA116" s="498"/>
      <c r="FB116" s="498"/>
      <c r="FC116" s="498"/>
    </row>
    <row r="117" spans="3:159">
      <c r="AO117" s="338"/>
      <c r="AP117" s="449"/>
      <c r="AR117" s="449"/>
      <c r="AS117" s="449"/>
      <c r="BA117" s="498"/>
      <c r="BB117" s="498"/>
      <c r="BC117" s="498"/>
      <c r="BD117" s="498"/>
      <c r="BE117" s="498"/>
      <c r="BF117" s="498"/>
      <c r="BG117" s="498"/>
      <c r="BH117" s="498"/>
      <c r="BI117" s="498"/>
      <c r="BJ117" s="498"/>
      <c r="BK117" s="498"/>
      <c r="BL117" s="498"/>
      <c r="BM117" s="498"/>
      <c r="BN117" s="498"/>
      <c r="BO117" s="498"/>
      <c r="BP117" s="498"/>
      <c r="BQ117" s="498"/>
      <c r="BR117" s="498"/>
      <c r="BS117" s="498"/>
      <c r="BT117" s="498"/>
      <c r="BU117" s="498"/>
      <c r="BV117" s="498"/>
      <c r="BW117" s="498"/>
      <c r="BX117" s="498"/>
      <c r="BY117" s="498"/>
      <c r="BZ117" s="498"/>
      <c r="CA117" s="498"/>
      <c r="CB117" s="498"/>
      <c r="CC117" s="498"/>
      <c r="CD117" s="498"/>
      <c r="CE117" s="498"/>
      <c r="CF117" s="498"/>
      <c r="CG117" s="285"/>
      <c r="CH117" s="285"/>
      <c r="CI117" s="285"/>
      <c r="CJ117" s="285"/>
      <c r="CK117" s="285"/>
      <c r="CL117" s="285"/>
      <c r="CM117" s="285"/>
      <c r="CN117" s="285"/>
      <c r="CO117" s="473"/>
      <c r="CR117" s="498"/>
      <c r="CS117" s="498"/>
      <c r="CT117" s="498"/>
      <c r="CU117" s="498"/>
      <c r="CV117" s="498"/>
      <c r="CW117" s="498"/>
      <c r="CX117" s="498"/>
      <c r="CY117" s="498"/>
      <c r="CZ117" s="498"/>
      <c r="DA117" s="498"/>
      <c r="DB117" s="498"/>
      <c r="DC117" s="498"/>
      <c r="DD117" s="498"/>
      <c r="DE117" s="498"/>
      <c r="DF117" s="498"/>
      <c r="DG117" s="498"/>
      <c r="DH117" s="498"/>
      <c r="DI117" s="498"/>
      <c r="DJ117" s="498"/>
      <c r="DK117" s="498"/>
      <c r="DL117" s="498"/>
      <c r="DM117" s="498"/>
      <c r="DN117" s="498"/>
      <c r="DO117" s="498"/>
      <c r="DP117" s="498"/>
      <c r="DQ117" s="498"/>
      <c r="DR117" s="498"/>
      <c r="DS117" s="498"/>
      <c r="DT117" s="498"/>
      <c r="DU117" s="498"/>
      <c r="DV117" s="498"/>
      <c r="DW117" s="498"/>
      <c r="DX117" s="498"/>
      <c r="DY117" s="498"/>
      <c r="DZ117" s="498"/>
      <c r="EA117" s="498"/>
      <c r="EB117" s="498"/>
      <c r="EC117" s="498"/>
      <c r="ED117" s="498"/>
      <c r="EE117" s="498"/>
      <c r="EF117" s="498"/>
      <c r="EG117" s="498"/>
      <c r="EH117" s="498"/>
      <c r="EI117" s="498"/>
      <c r="EJ117" s="498"/>
      <c r="EK117" s="498"/>
      <c r="EL117" s="498"/>
      <c r="EM117" s="498"/>
      <c r="EN117" s="498"/>
      <c r="EO117" s="498"/>
      <c r="EP117" s="498"/>
      <c r="EQ117" s="498"/>
      <c r="ER117" s="498"/>
      <c r="ES117" s="498"/>
      <c r="ET117" s="498"/>
      <c r="EU117" s="498"/>
      <c r="EV117" s="498"/>
      <c r="EW117" s="498"/>
      <c r="EX117" s="498"/>
      <c r="EY117" s="498"/>
      <c r="EZ117" s="498"/>
      <c r="FA117" s="498"/>
      <c r="FB117" s="498"/>
      <c r="FC117" s="498"/>
    </row>
    <row r="118" spans="3:159">
      <c r="AO118" s="338"/>
      <c r="AP118" s="449"/>
      <c r="AR118" s="449"/>
      <c r="AS118" s="449"/>
      <c r="BA118" s="498"/>
      <c r="BB118" s="498"/>
      <c r="BC118" s="498"/>
      <c r="BD118" s="498"/>
      <c r="BE118" s="498"/>
      <c r="BF118" s="498"/>
      <c r="BG118" s="498"/>
      <c r="BH118" s="498"/>
      <c r="BI118" s="498"/>
      <c r="BJ118" s="498"/>
      <c r="BK118" s="498"/>
      <c r="BL118" s="498"/>
      <c r="BM118" s="498"/>
      <c r="BN118" s="498"/>
      <c r="BO118" s="498"/>
      <c r="BP118" s="498"/>
      <c r="BQ118" s="498"/>
      <c r="BR118" s="498"/>
      <c r="BS118" s="498"/>
      <c r="BT118" s="498"/>
      <c r="BU118" s="498"/>
      <c r="BV118" s="498"/>
      <c r="BW118" s="498"/>
      <c r="BX118" s="498"/>
      <c r="BY118" s="498"/>
      <c r="BZ118" s="498"/>
      <c r="CA118" s="498"/>
      <c r="CB118" s="498"/>
      <c r="CC118" s="498"/>
      <c r="CD118" s="498"/>
      <c r="CE118" s="498"/>
      <c r="CF118" s="498"/>
      <c r="CG118" s="285"/>
      <c r="CH118" s="285"/>
      <c r="CI118" s="285"/>
      <c r="CJ118" s="285"/>
      <c r="CK118" s="285"/>
      <c r="CL118" s="285"/>
      <c r="CM118" s="285"/>
      <c r="CN118" s="285"/>
      <c r="CO118" s="473"/>
      <c r="CR118" s="498"/>
      <c r="CS118" s="498"/>
      <c r="CT118" s="498"/>
      <c r="CU118" s="498"/>
      <c r="CV118" s="498"/>
      <c r="CW118" s="498"/>
      <c r="CX118" s="498"/>
      <c r="CY118" s="498"/>
      <c r="CZ118" s="498"/>
      <c r="DA118" s="498"/>
      <c r="DB118" s="498"/>
      <c r="DC118" s="498"/>
      <c r="DD118" s="498"/>
      <c r="DE118" s="498"/>
      <c r="DF118" s="498"/>
      <c r="DG118" s="498"/>
      <c r="DH118" s="498"/>
      <c r="DI118" s="498"/>
      <c r="DJ118" s="498"/>
      <c r="DK118" s="498"/>
      <c r="DL118" s="498"/>
      <c r="DM118" s="498"/>
      <c r="DN118" s="498"/>
      <c r="DO118" s="498"/>
      <c r="DP118" s="498"/>
      <c r="DQ118" s="498"/>
      <c r="DR118" s="498"/>
      <c r="DS118" s="498"/>
      <c r="DT118" s="498"/>
      <c r="DU118" s="498"/>
      <c r="DV118" s="498"/>
      <c r="DW118" s="498"/>
      <c r="DX118" s="498"/>
      <c r="DY118" s="498"/>
      <c r="DZ118" s="498"/>
      <c r="EA118" s="498"/>
      <c r="EB118" s="498"/>
      <c r="EC118" s="498"/>
      <c r="ED118" s="498"/>
      <c r="EE118" s="498"/>
      <c r="EF118" s="498"/>
      <c r="EG118" s="498"/>
      <c r="EH118" s="498"/>
      <c r="EI118" s="498"/>
      <c r="EJ118" s="498"/>
      <c r="EK118" s="498"/>
      <c r="EL118" s="498"/>
      <c r="EM118" s="498"/>
      <c r="EN118" s="498"/>
      <c r="EO118" s="498"/>
      <c r="EP118" s="498"/>
      <c r="EQ118" s="498"/>
      <c r="ER118" s="498"/>
      <c r="ES118" s="498"/>
      <c r="ET118" s="498"/>
      <c r="EU118" s="498"/>
      <c r="EV118" s="498"/>
      <c r="EW118" s="498"/>
      <c r="EX118" s="498"/>
      <c r="EY118" s="498"/>
      <c r="EZ118" s="498"/>
      <c r="FA118" s="498"/>
      <c r="FB118" s="498"/>
      <c r="FC118" s="498"/>
    </row>
    <row r="119" spans="3:159">
      <c r="AO119" s="338"/>
      <c r="AP119" s="449"/>
      <c r="AR119" s="449"/>
      <c r="AS119" s="449"/>
      <c r="BA119" s="498"/>
      <c r="BB119" s="498"/>
      <c r="BC119" s="498"/>
      <c r="BD119" s="498"/>
      <c r="BE119" s="498"/>
      <c r="BF119" s="498"/>
      <c r="BG119" s="498"/>
      <c r="BH119" s="498"/>
      <c r="BI119" s="498"/>
      <c r="BJ119" s="498"/>
      <c r="BK119" s="498"/>
      <c r="BL119" s="498"/>
      <c r="BM119" s="498"/>
      <c r="BN119" s="498"/>
      <c r="BO119" s="498"/>
      <c r="BP119" s="498"/>
      <c r="BQ119" s="498"/>
      <c r="BR119" s="498"/>
      <c r="BS119" s="498"/>
      <c r="BT119" s="498"/>
      <c r="BU119" s="498"/>
      <c r="BV119" s="498"/>
      <c r="BW119" s="498"/>
      <c r="BX119" s="498"/>
      <c r="BY119" s="498"/>
      <c r="BZ119" s="498"/>
      <c r="CA119" s="498"/>
      <c r="CB119" s="498"/>
      <c r="CC119" s="498"/>
      <c r="CD119" s="498"/>
      <c r="CE119" s="498"/>
      <c r="CF119" s="498"/>
      <c r="CG119" s="285"/>
      <c r="CH119" s="285"/>
      <c r="CI119" s="285"/>
      <c r="CJ119" s="285"/>
      <c r="CK119" s="285"/>
      <c r="CL119" s="285"/>
      <c r="CM119" s="285"/>
      <c r="CN119" s="285"/>
      <c r="CO119" s="473"/>
      <c r="CR119" s="498"/>
      <c r="CS119" s="498"/>
      <c r="CT119" s="498"/>
      <c r="CU119" s="498"/>
      <c r="CV119" s="498"/>
      <c r="CW119" s="498"/>
      <c r="CX119" s="498"/>
      <c r="CY119" s="498"/>
      <c r="CZ119" s="498"/>
      <c r="DA119" s="498"/>
      <c r="DB119" s="498"/>
      <c r="DC119" s="498"/>
      <c r="DD119" s="498"/>
      <c r="DE119" s="498"/>
      <c r="DF119" s="498"/>
      <c r="DG119" s="498"/>
      <c r="DH119" s="498"/>
      <c r="DI119" s="498"/>
      <c r="DJ119" s="498"/>
      <c r="DK119" s="498"/>
      <c r="DL119" s="498"/>
      <c r="DM119" s="498"/>
      <c r="DN119" s="498"/>
      <c r="DO119" s="498"/>
      <c r="DP119" s="498"/>
      <c r="DQ119" s="498"/>
      <c r="DR119" s="498"/>
      <c r="DS119" s="498"/>
      <c r="DT119" s="498"/>
      <c r="DU119" s="498"/>
      <c r="DV119" s="498"/>
      <c r="DW119" s="498"/>
      <c r="DX119" s="498"/>
      <c r="DY119" s="498"/>
      <c r="DZ119" s="498"/>
      <c r="EA119" s="498"/>
      <c r="EB119" s="498"/>
      <c r="EC119" s="498"/>
      <c r="ED119" s="498"/>
      <c r="EE119" s="498"/>
      <c r="EF119" s="498"/>
      <c r="EG119" s="498"/>
      <c r="EH119" s="498"/>
      <c r="EI119" s="498"/>
      <c r="EJ119" s="498"/>
      <c r="EK119" s="498"/>
      <c r="EL119" s="498"/>
      <c r="EM119" s="498"/>
      <c r="EN119" s="498"/>
      <c r="EO119" s="498"/>
      <c r="EP119" s="498"/>
      <c r="EQ119" s="498"/>
      <c r="ER119" s="498"/>
      <c r="ES119" s="498"/>
      <c r="ET119" s="498"/>
      <c r="EU119" s="498"/>
      <c r="EV119" s="498"/>
      <c r="EW119" s="498"/>
      <c r="EX119" s="498"/>
      <c r="EY119" s="498"/>
      <c r="EZ119" s="498"/>
      <c r="FA119" s="498"/>
      <c r="FB119" s="498"/>
      <c r="FC119" s="498"/>
    </row>
    <row r="120" spans="3:159">
      <c r="AO120" s="338"/>
      <c r="AP120" s="449"/>
      <c r="AR120" s="449"/>
      <c r="AS120" s="449"/>
      <c r="BA120" s="498"/>
      <c r="BB120" s="498"/>
      <c r="BC120" s="498"/>
      <c r="BD120" s="498"/>
      <c r="BE120" s="498"/>
      <c r="BF120" s="498"/>
      <c r="BG120" s="498"/>
      <c r="BH120" s="498"/>
      <c r="BI120" s="498"/>
      <c r="BJ120" s="498"/>
      <c r="BK120" s="498"/>
      <c r="BL120" s="498"/>
      <c r="BM120" s="498"/>
      <c r="BN120" s="498"/>
      <c r="BO120" s="498"/>
      <c r="BP120" s="498"/>
      <c r="BQ120" s="498"/>
      <c r="BR120" s="498"/>
      <c r="BS120" s="498"/>
      <c r="BT120" s="498"/>
      <c r="BU120" s="498"/>
      <c r="BV120" s="498"/>
      <c r="BW120" s="498"/>
      <c r="BX120" s="498"/>
      <c r="BY120" s="498"/>
      <c r="BZ120" s="498"/>
      <c r="CA120" s="498"/>
      <c r="CB120" s="498"/>
      <c r="CC120" s="498"/>
      <c r="CD120" s="498"/>
      <c r="CE120" s="498"/>
      <c r="CF120" s="498"/>
      <c r="CG120" s="285"/>
      <c r="CH120" s="285"/>
      <c r="CI120" s="285"/>
      <c r="CJ120" s="285"/>
      <c r="CK120" s="285"/>
      <c r="CL120" s="285"/>
      <c r="CM120" s="285"/>
      <c r="CN120" s="285"/>
      <c r="CO120" s="473"/>
      <c r="CR120" s="498"/>
      <c r="CS120" s="498"/>
      <c r="CT120" s="498"/>
      <c r="CU120" s="498"/>
      <c r="CV120" s="498"/>
      <c r="CW120" s="498"/>
      <c r="CX120" s="498"/>
      <c r="CY120" s="498"/>
      <c r="CZ120" s="498"/>
      <c r="DA120" s="498"/>
      <c r="DB120" s="498"/>
      <c r="DC120" s="498"/>
      <c r="DD120" s="498"/>
      <c r="DE120" s="498"/>
      <c r="DF120" s="498"/>
      <c r="DG120" s="498"/>
      <c r="DH120" s="498"/>
      <c r="DI120" s="498"/>
      <c r="DJ120" s="498"/>
      <c r="DK120" s="498"/>
      <c r="DL120" s="498"/>
      <c r="DM120" s="498"/>
      <c r="DN120" s="498"/>
      <c r="DO120" s="498"/>
      <c r="DP120" s="498"/>
      <c r="DQ120" s="498"/>
      <c r="DR120" s="498"/>
      <c r="DS120" s="498"/>
      <c r="DT120" s="498"/>
      <c r="DU120" s="498"/>
      <c r="DV120" s="498"/>
      <c r="DW120" s="498"/>
      <c r="DX120" s="498"/>
      <c r="DY120" s="498"/>
      <c r="DZ120" s="498"/>
      <c r="EA120" s="498"/>
      <c r="EB120" s="498"/>
      <c r="EC120" s="498"/>
      <c r="ED120" s="498"/>
      <c r="EE120" s="498"/>
      <c r="EF120" s="498"/>
      <c r="EG120" s="498"/>
      <c r="EH120" s="498"/>
      <c r="EI120" s="498"/>
      <c r="EJ120" s="498"/>
      <c r="EK120" s="498"/>
      <c r="EL120" s="498"/>
      <c r="EM120" s="498"/>
      <c r="EN120" s="498"/>
      <c r="EO120" s="498"/>
      <c r="EP120" s="498"/>
      <c r="EQ120" s="498"/>
      <c r="ER120" s="498"/>
      <c r="ES120" s="498"/>
      <c r="ET120" s="498"/>
      <c r="EU120" s="498"/>
      <c r="EV120" s="498"/>
      <c r="EW120" s="498"/>
      <c r="EX120" s="498"/>
      <c r="EY120" s="498"/>
      <c r="EZ120" s="498"/>
      <c r="FA120" s="498"/>
      <c r="FB120" s="498"/>
      <c r="FC120" s="498"/>
    </row>
    <row r="121" spans="3:159">
      <c r="C121" s="19"/>
      <c r="D121" s="19"/>
      <c r="E121" s="19"/>
      <c r="F121" s="19"/>
      <c r="G121" s="19"/>
      <c r="H121" s="19"/>
      <c r="I121" s="19"/>
      <c r="J121" s="19"/>
      <c r="K121" s="19"/>
      <c r="L121" s="19"/>
      <c r="M121" s="19"/>
      <c r="N121" s="19"/>
      <c r="O121" s="19"/>
      <c r="P121" s="19"/>
      <c r="Q121" s="19"/>
      <c r="R121" s="19"/>
      <c r="S121" s="19"/>
      <c r="T121" s="19"/>
      <c r="U121" s="285"/>
      <c r="V121" s="285"/>
      <c r="W121" s="285"/>
      <c r="X121" s="367"/>
      <c r="Y121" s="367"/>
      <c r="AO121" s="338"/>
      <c r="AP121" s="449"/>
      <c r="AR121" s="449"/>
      <c r="AS121" s="449"/>
      <c r="BA121" s="367"/>
      <c r="BB121" s="367"/>
      <c r="BC121" s="367"/>
      <c r="BD121" s="367"/>
      <c r="BE121" s="367"/>
      <c r="BF121" s="367"/>
      <c r="BG121" s="367"/>
      <c r="BH121" s="367"/>
      <c r="BI121" s="367"/>
      <c r="BJ121" s="367"/>
      <c r="BK121" s="367"/>
      <c r="BL121" s="367"/>
      <c r="BM121" s="367"/>
      <c r="BN121" s="367"/>
      <c r="BO121" s="367"/>
      <c r="BP121" s="367"/>
      <c r="BQ121" s="367"/>
      <c r="BR121" s="367"/>
      <c r="BS121" s="367"/>
      <c r="BT121" s="367"/>
      <c r="BU121" s="367"/>
      <c r="BV121" s="367"/>
      <c r="BW121" s="367"/>
      <c r="BX121" s="367"/>
      <c r="BY121" s="367"/>
      <c r="BZ121" s="367"/>
      <c r="CA121" s="367"/>
      <c r="CB121" s="367"/>
      <c r="CC121" s="367"/>
      <c r="CD121" s="367"/>
      <c r="CE121" s="367"/>
      <c r="CF121" s="367"/>
      <c r="CG121" s="367"/>
      <c r="CH121" s="367"/>
      <c r="CI121" s="367"/>
      <c r="CJ121" s="367"/>
      <c r="CK121" s="367"/>
      <c r="CL121" s="367"/>
      <c r="CM121" s="367"/>
      <c r="CN121" s="367"/>
      <c r="CO121" s="367"/>
      <c r="CR121" s="367"/>
      <c r="CS121" s="367"/>
      <c r="CT121" s="367"/>
      <c r="CU121" s="367"/>
      <c r="CV121" s="367"/>
      <c r="CW121" s="367"/>
      <c r="CX121" s="367"/>
      <c r="CY121" s="367"/>
      <c r="CZ121" s="367"/>
      <c r="DA121" s="367"/>
      <c r="DB121" s="367"/>
      <c r="DC121" s="367"/>
      <c r="DD121" s="367"/>
      <c r="DE121" s="367"/>
      <c r="DF121" s="367"/>
      <c r="DG121" s="367"/>
      <c r="DH121" s="367"/>
      <c r="DI121" s="367"/>
      <c r="DJ121" s="367"/>
      <c r="DK121" s="367"/>
      <c r="DL121" s="367"/>
      <c r="DM121" s="367"/>
      <c r="DN121" s="367"/>
      <c r="DO121" s="367"/>
      <c r="DP121" s="367"/>
      <c r="DQ121" s="367"/>
      <c r="DR121" s="367"/>
      <c r="DS121" s="367"/>
      <c r="DT121" s="367"/>
      <c r="DU121" s="367"/>
      <c r="DV121" s="367"/>
      <c r="DW121" s="367"/>
      <c r="DX121" s="367"/>
      <c r="DY121" s="367"/>
      <c r="DZ121" s="367"/>
      <c r="EA121" s="367"/>
      <c r="EB121" s="367"/>
      <c r="EC121" s="367"/>
      <c r="ED121" s="367"/>
      <c r="EE121" s="367"/>
      <c r="EF121" s="367"/>
      <c r="EG121" s="367"/>
      <c r="EH121" s="367"/>
      <c r="EI121" s="367"/>
      <c r="EJ121" s="367"/>
      <c r="EK121" s="367"/>
      <c r="EL121" s="367"/>
      <c r="EM121" s="367"/>
      <c r="EN121" s="367"/>
      <c r="EO121" s="367"/>
      <c r="EP121" s="367"/>
      <c r="EQ121" s="367"/>
      <c r="ER121" s="367"/>
      <c r="ES121" s="367"/>
      <c r="ET121" s="367"/>
      <c r="EU121" s="367"/>
      <c r="EV121" s="367"/>
      <c r="EW121" s="367"/>
      <c r="EX121" s="367"/>
      <c r="EY121" s="367"/>
      <c r="EZ121" s="367"/>
      <c r="FA121" s="367"/>
      <c r="FB121" s="367"/>
      <c r="FC121" s="367"/>
    </row>
    <row r="122" spans="3:159">
      <c r="AO122" s="338"/>
      <c r="AP122" s="449"/>
      <c r="AR122" s="449"/>
      <c r="AS122" s="449"/>
      <c r="BA122" s="282"/>
      <c r="BB122" s="282"/>
      <c r="BC122" s="282"/>
      <c r="BD122" s="282"/>
      <c r="BE122" s="282"/>
      <c r="BF122" s="282"/>
      <c r="BG122" s="282"/>
      <c r="BH122" s="282"/>
      <c r="BI122" s="282"/>
      <c r="BJ122" s="282"/>
      <c r="BK122" s="282"/>
      <c r="BL122" s="282"/>
      <c r="BM122" s="282"/>
      <c r="BN122" s="282"/>
      <c r="BO122" s="282"/>
      <c r="BP122" s="282"/>
      <c r="BQ122" s="282"/>
      <c r="BR122" s="282"/>
      <c r="BS122" s="282"/>
      <c r="BT122" s="282"/>
      <c r="BU122" s="282"/>
      <c r="BV122" s="282"/>
      <c r="BW122" s="282"/>
      <c r="BX122" s="282"/>
      <c r="BY122" s="282"/>
      <c r="BZ122" s="282"/>
      <c r="CA122" s="282"/>
      <c r="CB122" s="282"/>
      <c r="CC122" s="337"/>
      <c r="CD122" s="337"/>
      <c r="CE122" s="337"/>
      <c r="CF122" s="337"/>
      <c r="CG122" s="337"/>
      <c r="CH122" s="337"/>
      <c r="CI122" s="337"/>
      <c r="CJ122" s="337"/>
      <c r="CK122" s="337"/>
      <c r="CL122" s="337"/>
      <c r="CM122" s="337"/>
      <c r="CN122" s="337"/>
      <c r="CO122" s="483"/>
      <c r="CR122" s="282"/>
      <c r="CS122" s="282"/>
      <c r="CT122" s="282"/>
      <c r="CU122" s="282"/>
      <c r="CV122" s="282"/>
      <c r="CW122" s="282"/>
      <c r="CX122" s="282"/>
      <c r="CY122" s="282"/>
      <c r="CZ122" s="282"/>
      <c r="DA122" s="282"/>
      <c r="DB122" s="282"/>
      <c r="DC122" s="282"/>
      <c r="DD122" s="282"/>
      <c r="DE122" s="282"/>
      <c r="DF122" s="282"/>
      <c r="DG122" s="282"/>
      <c r="DH122" s="282"/>
      <c r="DI122" s="282"/>
      <c r="DJ122" s="282"/>
      <c r="DK122" s="282"/>
      <c r="DL122" s="282"/>
      <c r="DM122" s="282"/>
      <c r="DN122" s="282"/>
      <c r="DO122" s="282"/>
      <c r="DP122" s="282"/>
      <c r="DQ122" s="282"/>
      <c r="DR122" s="282"/>
      <c r="DS122" s="282"/>
      <c r="DT122" s="282"/>
      <c r="DU122" s="282"/>
      <c r="DV122" s="282"/>
      <c r="DW122" s="282"/>
      <c r="DX122" s="282"/>
      <c r="DY122" s="282"/>
      <c r="DZ122" s="282"/>
      <c r="EA122" s="282"/>
      <c r="EB122" s="282"/>
      <c r="EC122" s="282"/>
      <c r="ED122" s="282"/>
      <c r="EE122" s="282"/>
      <c r="EF122" s="282"/>
      <c r="EG122" s="282"/>
      <c r="EH122" s="282"/>
      <c r="EI122" s="282"/>
      <c r="EJ122" s="282"/>
      <c r="EK122" s="282"/>
      <c r="EL122" s="282"/>
      <c r="EM122" s="282"/>
      <c r="EN122" s="282"/>
      <c r="EO122" s="282"/>
      <c r="EP122" s="282"/>
      <c r="EQ122" s="282"/>
      <c r="ER122" s="282"/>
      <c r="ES122" s="282"/>
      <c r="ET122" s="282"/>
      <c r="EU122" s="282"/>
      <c r="EV122" s="282"/>
      <c r="EW122" s="337"/>
      <c r="EX122" s="337"/>
      <c r="EY122" s="337"/>
      <c r="EZ122" s="337"/>
      <c r="FA122" s="337"/>
      <c r="FB122" s="337"/>
      <c r="FC122" s="337"/>
    </row>
    <row r="123" spans="3:159">
      <c r="AO123" s="338"/>
      <c r="AP123" s="449"/>
      <c r="AR123" s="449"/>
      <c r="AS123" s="449"/>
      <c r="BA123" s="498"/>
      <c r="BB123" s="498"/>
      <c r="BC123" s="498"/>
      <c r="BD123" s="498"/>
      <c r="BE123" s="498"/>
      <c r="BF123" s="498"/>
      <c r="BG123" s="498"/>
      <c r="BH123" s="498"/>
      <c r="BI123" s="498"/>
      <c r="BJ123" s="498"/>
      <c r="BK123" s="498"/>
      <c r="BL123" s="498"/>
      <c r="BM123" s="498"/>
      <c r="BN123" s="498"/>
      <c r="BO123" s="498"/>
      <c r="BP123" s="498"/>
      <c r="BQ123" s="498"/>
      <c r="BR123" s="498"/>
      <c r="BS123" s="498"/>
      <c r="BT123" s="498"/>
      <c r="BU123" s="498"/>
      <c r="BV123" s="498"/>
      <c r="BW123" s="498"/>
      <c r="BX123" s="498"/>
      <c r="BY123" s="498"/>
      <c r="BZ123" s="498"/>
      <c r="CA123" s="498"/>
      <c r="CB123" s="498"/>
      <c r="CC123" s="498"/>
      <c r="CD123" s="498"/>
      <c r="CE123" s="498"/>
      <c r="CF123" s="498"/>
      <c r="CG123" s="287"/>
      <c r="CH123" s="287"/>
      <c r="CI123" s="287"/>
      <c r="CJ123" s="287"/>
      <c r="CK123" s="287"/>
      <c r="CL123" s="287"/>
      <c r="CM123" s="287"/>
      <c r="CN123" s="287"/>
      <c r="CO123" s="27"/>
      <c r="CR123" s="498"/>
      <c r="CS123" s="498"/>
      <c r="CT123" s="498"/>
      <c r="CU123" s="498"/>
      <c r="CV123" s="498"/>
      <c r="CW123" s="498"/>
      <c r="CX123" s="498"/>
      <c r="CY123" s="498"/>
      <c r="CZ123" s="498"/>
      <c r="DA123" s="498"/>
      <c r="DB123" s="498"/>
      <c r="DC123" s="498"/>
      <c r="DD123" s="498"/>
      <c r="DE123" s="498"/>
      <c r="DF123" s="498"/>
      <c r="DG123" s="498"/>
      <c r="DH123" s="498"/>
      <c r="DI123" s="498"/>
      <c r="DJ123" s="498"/>
      <c r="DK123" s="498"/>
      <c r="DL123" s="498"/>
      <c r="DM123" s="498"/>
      <c r="DN123" s="498"/>
      <c r="DO123" s="498"/>
      <c r="DP123" s="498"/>
      <c r="DQ123" s="498"/>
      <c r="DR123" s="498"/>
      <c r="DS123" s="498"/>
      <c r="DT123" s="498"/>
      <c r="DU123" s="498"/>
      <c r="DV123" s="498"/>
      <c r="DW123" s="498"/>
      <c r="DX123" s="498"/>
      <c r="DY123" s="498"/>
      <c r="DZ123" s="498"/>
      <c r="EA123" s="498"/>
      <c r="EB123" s="498"/>
      <c r="EC123" s="498"/>
      <c r="ED123" s="498"/>
      <c r="EE123" s="498"/>
      <c r="EF123" s="498"/>
      <c r="EG123" s="498"/>
      <c r="EH123" s="498"/>
      <c r="EI123" s="498"/>
      <c r="EJ123" s="498"/>
      <c r="EK123" s="498"/>
      <c r="EL123" s="498"/>
      <c r="EM123" s="498"/>
      <c r="EN123" s="498"/>
      <c r="EO123" s="498"/>
      <c r="EP123" s="498"/>
      <c r="EQ123" s="498"/>
      <c r="ER123" s="498"/>
      <c r="ES123" s="498"/>
      <c r="ET123" s="498"/>
      <c r="EU123" s="498"/>
      <c r="EV123" s="498"/>
      <c r="EW123" s="498"/>
      <c r="EX123" s="498"/>
      <c r="EY123" s="498"/>
      <c r="EZ123" s="498"/>
      <c r="FA123" s="498"/>
      <c r="FB123" s="498"/>
      <c r="FC123" s="498"/>
    </row>
    <row r="124" spans="3:159">
      <c r="AO124" s="338"/>
      <c r="AP124" s="449"/>
      <c r="AR124" s="449"/>
      <c r="AS124" s="449"/>
      <c r="BA124" s="498"/>
      <c r="BB124" s="498"/>
      <c r="BC124" s="498"/>
      <c r="BD124" s="498"/>
      <c r="BE124" s="498"/>
      <c r="BF124" s="498"/>
      <c r="BG124" s="498"/>
      <c r="BH124" s="498"/>
      <c r="BI124" s="498"/>
      <c r="BJ124" s="498"/>
      <c r="BK124" s="498"/>
      <c r="BL124" s="498"/>
      <c r="BM124" s="498"/>
      <c r="BN124" s="498"/>
      <c r="BO124" s="498"/>
      <c r="BP124" s="498"/>
      <c r="BQ124" s="498"/>
      <c r="BR124" s="498"/>
      <c r="BS124" s="498"/>
      <c r="BT124" s="498"/>
      <c r="BU124" s="498"/>
      <c r="BV124" s="498"/>
      <c r="BW124" s="498"/>
      <c r="BX124" s="498"/>
      <c r="BY124" s="498"/>
      <c r="BZ124" s="498"/>
      <c r="CA124" s="498"/>
      <c r="CB124" s="498"/>
      <c r="CC124" s="498"/>
      <c r="CD124" s="498"/>
      <c r="CE124" s="498"/>
      <c r="CF124" s="498"/>
      <c r="CG124" s="287"/>
      <c r="CH124" s="287"/>
      <c r="CI124" s="287"/>
      <c r="CJ124" s="287"/>
      <c r="CK124" s="287"/>
      <c r="CL124" s="287"/>
      <c r="CM124" s="287"/>
      <c r="CN124" s="287"/>
      <c r="CO124" s="27"/>
      <c r="CR124" s="498"/>
      <c r="CS124" s="498"/>
      <c r="CT124" s="498"/>
      <c r="CU124" s="498"/>
      <c r="CV124" s="498"/>
      <c r="CW124" s="498"/>
      <c r="CX124" s="498"/>
      <c r="CY124" s="498"/>
      <c r="CZ124" s="498"/>
      <c r="DA124" s="498"/>
      <c r="DB124" s="498"/>
      <c r="DC124" s="498"/>
      <c r="DD124" s="498"/>
      <c r="DE124" s="498"/>
      <c r="DF124" s="498"/>
      <c r="DG124" s="498"/>
      <c r="DH124" s="498"/>
      <c r="DI124" s="498"/>
      <c r="DJ124" s="498"/>
      <c r="DK124" s="498"/>
      <c r="DL124" s="498"/>
      <c r="DM124" s="498"/>
      <c r="DN124" s="498"/>
      <c r="DO124" s="498"/>
      <c r="DP124" s="498"/>
      <c r="DQ124" s="498"/>
      <c r="DR124" s="498"/>
      <c r="DS124" s="498"/>
      <c r="DT124" s="498"/>
      <c r="DU124" s="498"/>
      <c r="DV124" s="498"/>
      <c r="DW124" s="498"/>
      <c r="DX124" s="498"/>
      <c r="DY124" s="498"/>
      <c r="DZ124" s="498"/>
      <c r="EA124" s="498"/>
      <c r="EB124" s="498"/>
      <c r="EC124" s="498"/>
      <c r="ED124" s="498"/>
      <c r="EE124" s="498"/>
      <c r="EF124" s="498"/>
      <c r="EG124" s="498"/>
      <c r="EH124" s="498"/>
      <c r="EI124" s="498"/>
      <c r="EJ124" s="498"/>
      <c r="EK124" s="498"/>
      <c r="EL124" s="498"/>
      <c r="EM124" s="498"/>
      <c r="EN124" s="498"/>
      <c r="EO124" s="498"/>
      <c r="EP124" s="498"/>
      <c r="EQ124" s="498"/>
      <c r="ER124" s="498"/>
      <c r="ES124" s="498"/>
      <c r="ET124" s="498"/>
      <c r="EU124" s="498"/>
      <c r="EV124" s="498"/>
      <c r="EW124" s="498"/>
      <c r="EX124" s="498"/>
      <c r="EY124" s="498"/>
      <c r="EZ124" s="498"/>
      <c r="FA124" s="498"/>
      <c r="FB124" s="498"/>
      <c r="FC124" s="498"/>
    </row>
    <row r="125" spans="3:159">
      <c r="AO125" s="338"/>
      <c r="AP125" s="449"/>
      <c r="AR125" s="449"/>
      <c r="AS125" s="449"/>
      <c r="BA125" s="498"/>
      <c r="BB125" s="498"/>
      <c r="BC125" s="498"/>
      <c r="BD125" s="498"/>
      <c r="BE125" s="498"/>
      <c r="BF125" s="498"/>
      <c r="BG125" s="498"/>
      <c r="BH125" s="498"/>
      <c r="BI125" s="498"/>
      <c r="BJ125" s="498"/>
      <c r="BK125" s="498"/>
      <c r="BL125" s="498"/>
      <c r="BM125" s="498"/>
      <c r="BN125" s="498"/>
      <c r="BO125" s="498"/>
      <c r="BP125" s="498"/>
      <c r="BQ125" s="498"/>
      <c r="BR125" s="498"/>
      <c r="BS125" s="498"/>
      <c r="BT125" s="498"/>
      <c r="BU125" s="498"/>
      <c r="BV125" s="498"/>
      <c r="BW125" s="498"/>
      <c r="BX125" s="498"/>
      <c r="BY125" s="498"/>
      <c r="BZ125" s="498"/>
      <c r="CA125" s="498"/>
      <c r="CB125" s="498"/>
      <c r="CC125" s="498"/>
      <c r="CD125" s="498"/>
      <c r="CE125" s="498"/>
      <c r="CF125" s="498"/>
      <c r="CG125" s="293"/>
      <c r="CH125" s="293"/>
      <c r="CI125" s="293"/>
      <c r="CJ125" s="293"/>
      <c r="CK125" s="293"/>
      <c r="CL125" s="293"/>
      <c r="CM125" s="293"/>
      <c r="CN125" s="293"/>
      <c r="CO125" s="227"/>
      <c r="CR125" s="498"/>
      <c r="CS125" s="498"/>
      <c r="CT125" s="498"/>
      <c r="CU125" s="498"/>
      <c r="CV125" s="498"/>
      <c r="CW125" s="498"/>
      <c r="CX125" s="498"/>
      <c r="CY125" s="498"/>
      <c r="CZ125" s="498"/>
      <c r="DA125" s="498"/>
      <c r="DB125" s="498"/>
      <c r="DC125" s="498"/>
      <c r="DD125" s="498"/>
      <c r="DE125" s="498"/>
      <c r="DF125" s="498"/>
      <c r="DG125" s="498"/>
      <c r="DH125" s="498"/>
      <c r="DI125" s="498"/>
      <c r="DJ125" s="498"/>
      <c r="DK125" s="498"/>
      <c r="DL125" s="498"/>
      <c r="DM125" s="498"/>
      <c r="DN125" s="498"/>
      <c r="DO125" s="498"/>
      <c r="DP125" s="498"/>
      <c r="DQ125" s="498"/>
      <c r="DR125" s="498"/>
      <c r="DS125" s="498"/>
      <c r="DT125" s="498"/>
      <c r="DU125" s="498"/>
      <c r="DV125" s="498"/>
      <c r="DW125" s="498"/>
      <c r="DX125" s="498"/>
      <c r="DY125" s="498"/>
      <c r="DZ125" s="498"/>
      <c r="EA125" s="498"/>
      <c r="EB125" s="498"/>
      <c r="EC125" s="498"/>
      <c r="ED125" s="498"/>
      <c r="EE125" s="498"/>
      <c r="EF125" s="498"/>
      <c r="EG125" s="498"/>
      <c r="EH125" s="498"/>
      <c r="EI125" s="498"/>
      <c r="EJ125" s="498"/>
      <c r="EK125" s="498"/>
      <c r="EL125" s="498"/>
      <c r="EM125" s="498"/>
      <c r="EN125" s="498"/>
      <c r="EO125" s="498"/>
      <c r="EP125" s="498"/>
      <c r="EQ125" s="498"/>
      <c r="ER125" s="498"/>
      <c r="ES125" s="498"/>
      <c r="ET125" s="498"/>
      <c r="EU125" s="498"/>
      <c r="EV125" s="498"/>
      <c r="EW125" s="498"/>
      <c r="EX125" s="498"/>
      <c r="EY125" s="498"/>
      <c r="EZ125" s="498"/>
      <c r="FA125" s="498"/>
      <c r="FB125" s="498"/>
      <c r="FC125" s="498"/>
    </row>
    <row r="126" spans="3:159">
      <c r="AO126" s="338"/>
      <c r="AP126" s="449"/>
      <c r="AR126" s="449"/>
      <c r="AS126" s="449"/>
      <c r="BA126" s="498"/>
      <c r="BB126" s="498"/>
      <c r="BC126" s="498"/>
      <c r="BD126" s="498"/>
      <c r="BE126" s="498"/>
      <c r="BF126" s="498"/>
      <c r="BG126" s="498"/>
      <c r="BH126" s="498"/>
      <c r="BI126" s="498"/>
      <c r="BJ126" s="498"/>
      <c r="BK126" s="498"/>
      <c r="BL126" s="498"/>
      <c r="BM126" s="498"/>
      <c r="BN126" s="498"/>
      <c r="BO126" s="498"/>
      <c r="BP126" s="498"/>
      <c r="BQ126" s="498"/>
      <c r="BR126" s="498"/>
      <c r="BS126" s="498"/>
      <c r="BT126" s="498"/>
      <c r="BU126" s="498"/>
      <c r="BV126" s="498"/>
      <c r="BW126" s="498"/>
      <c r="BX126" s="498"/>
      <c r="BY126" s="498"/>
      <c r="BZ126" s="498"/>
      <c r="CA126" s="498"/>
      <c r="CB126" s="498"/>
      <c r="CC126" s="498"/>
      <c r="CD126" s="498"/>
      <c r="CE126" s="498"/>
      <c r="CF126" s="498"/>
      <c r="CG126" s="293"/>
      <c r="CH126" s="293"/>
      <c r="CI126" s="293"/>
      <c r="CJ126" s="293"/>
      <c r="CK126" s="293"/>
      <c r="CL126" s="293"/>
      <c r="CM126" s="293"/>
      <c r="CN126" s="293"/>
      <c r="CO126" s="227"/>
      <c r="CR126" s="498"/>
      <c r="CS126" s="498"/>
      <c r="CT126" s="498"/>
      <c r="CU126" s="498"/>
      <c r="CV126" s="498"/>
      <c r="CW126" s="498"/>
      <c r="CX126" s="498"/>
      <c r="CY126" s="498"/>
      <c r="CZ126" s="498"/>
      <c r="DA126" s="498"/>
      <c r="DB126" s="498"/>
      <c r="DC126" s="498"/>
      <c r="DD126" s="498"/>
      <c r="DE126" s="498"/>
      <c r="DF126" s="498"/>
      <c r="DG126" s="498"/>
      <c r="DH126" s="498"/>
      <c r="DI126" s="498"/>
      <c r="DJ126" s="498"/>
      <c r="DK126" s="498"/>
      <c r="DL126" s="498"/>
      <c r="DM126" s="498"/>
      <c r="DN126" s="498"/>
      <c r="DO126" s="498"/>
      <c r="DP126" s="498"/>
      <c r="DQ126" s="498"/>
      <c r="DR126" s="498"/>
      <c r="DS126" s="498"/>
      <c r="DT126" s="498"/>
      <c r="DU126" s="498"/>
      <c r="DV126" s="498"/>
      <c r="DW126" s="498"/>
      <c r="DX126" s="498"/>
      <c r="DY126" s="498"/>
      <c r="DZ126" s="498"/>
      <c r="EA126" s="498"/>
      <c r="EB126" s="498"/>
      <c r="EC126" s="498"/>
      <c r="ED126" s="498"/>
      <c r="EE126" s="498"/>
      <c r="EF126" s="498"/>
      <c r="EG126" s="498"/>
      <c r="EH126" s="498"/>
      <c r="EI126" s="498"/>
      <c r="EJ126" s="498"/>
      <c r="EK126" s="498"/>
      <c r="EL126" s="498"/>
      <c r="EM126" s="498"/>
      <c r="EN126" s="498"/>
      <c r="EO126" s="498"/>
      <c r="EP126" s="498"/>
      <c r="EQ126" s="498"/>
      <c r="ER126" s="498"/>
      <c r="ES126" s="498"/>
      <c r="ET126" s="498"/>
      <c r="EU126" s="498"/>
      <c r="EV126" s="498"/>
      <c r="EW126" s="498"/>
      <c r="EX126" s="498"/>
      <c r="EY126" s="498"/>
      <c r="EZ126" s="498"/>
      <c r="FA126" s="498"/>
      <c r="FB126" s="498"/>
      <c r="FC126" s="498"/>
    </row>
    <row r="127" spans="3:159">
      <c r="AO127" s="338"/>
      <c r="AP127" s="449"/>
      <c r="AR127" s="449"/>
      <c r="AS127" s="449"/>
      <c r="BA127" s="498"/>
      <c r="BB127" s="498"/>
      <c r="BC127" s="498"/>
      <c r="BD127" s="498"/>
      <c r="BE127" s="498"/>
      <c r="BF127" s="498"/>
      <c r="BG127" s="498"/>
      <c r="BH127" s="498"/>
      <c r="BI127" s="498"/>
      <c r="BJ127" s="498"/>
      <c r="BK127" s="498"/>
      <c r="BL127" s="498"/>
      <c r="BM127" s="498"/>
      <c r="BN127" s="498"/>
      <c r="BO127" s="498"/>
      <c r="BP127" s="498"/>
      <c r="BQ127" s="498"/>
      <c r="BR127" s="498"/>
      <c r="BS127" s="498"/>
      <c r="BT127" s="498"/>
      <c r="BU127" s="498"/>
      <c r="BV127" s="498"/>
      <c r="BW127" s="498"/>
      <c r="BX127" s="498"/>
      <c r="BY127" s="498"/>
      <c r="BZ127" s="498"/>
      <c r="CA127" s="498"/>
      <c r="CB127" s="498"/>
      <c r="CC127" s="498"/>
      <c r="CD127" s="498"/>
      <c r="CE127" s="498"/>
      <c r="CF127" s="498"/>
      <c r="CG127" s="287"/>
      <c r="CH127" s="287"/>
      <c r="CI127" s="287"/>
      <c r="CJ127" s="287"/>
      <c r="CK127" s="287"/>
      <c r="CL127" s="287"/>
      <c r="CM127" s="287"/>
      <c r="CN127" s="287"/>
      <c r="CO127" s="27"/>
      <c r="CR127" s="498"/>
      <c r="CS127" s="498"/>
      <c r="CT127" s="498"/>
      <c r="CU127" s="498"/>
      <c r="CV127" s="498"/>
      <c r="CW127" s="498"/>
      <c r="CX127" s="498"/>
      <c r="CY127" s="498"/>
      <c r="CZ127" s="498"/>
      <c r="DA127" s="498"/>
      <c r="DB127" s="498"/>
      <c r="DC127" s="498"/>
      <c r="DD127" s="498"/>
      <c r="DE127" s="498"/>
      <c r="DF127" s="498"/>
      <c r="DG127" s="498"/>
      <c r="DH127" s="498"/>
      <c r="DI127" s="498"/>
      <c r="DJ127" s="498"/>
      <c r="DK127" s="498"/>
      <c r="DL127" s="498"/>
      <c r="DM127" s="498"/>
      <c r="DN127" s="498"/>
      <c r="DO127" s="498"/>
      <c r="DP127" s="498"/>
      <c r="DQ127" s="498"/>
      <c r="DR127" s="498"/>
      <c r="DS127" s="498"/>
      <c r="DT127" s="498"/>
      <c r="DU127" s="498"/>
      <c r="DV127" s="498"/>
      <c r="DW127" s="498"/>
      <c r="DX127" s="498"/>
      <c r="DY127" s="498"/>
      <c r="DZ127" s="498"/>
      <c r="EA127" s="498"/>
      <c r="EB127" s="498"/>
      <c r="EC127" s="498"/>
      <c r="ED127" s="498"/>
      <c r="EE127" s="498"/>
      <c r="EF127" s="498"/>
      <c r="EG127" s="498"/>
      <c r="EH127" s="498"/>
      <c r="EI127" s="498"/>
      <c r="EJ127" s="498"/>
      <c r="EK127" s="498"/>
      <c r="EL127" s="498"/>
      <c r="EM127" s="498"/>
      <c r="EN127" s="498"/>
      <c r="EO127" s="498"/>
      <c r="EP127" s="498"/>
      <c r="EQ127" s="498"/>
      <c r="ER127" s="498"/>
      <c r="ES127" s="498"/>
      <c r="ET127" s="498"/>
      <c r="EU127" s="498"/>
      <c r="EV127" s="498"/>
      <c r="EW127" s="498"/>
      <c r="EX127" s="498"/>
      <c r="EY127" s="498"/>
      <c r="EZ127" s="498"/>
      <c r="FA127" s="498"/>
      <c r="FB127" s="498"/>
      <c r="FC127" s="498"/>
    </row>
    <row r="128" spans="3:159">
      <c r="AO128" s="338"/>
      <c r="AP128" s="449"/>
      <c r="AR128" s="449"/>
      <c r="AS128" s="449"/>
      <c r="BA128" s="498"/>
      <c r="BB128" s="498"/>
      <c r="BC128" s="498"/>
      <c r="BD128" s="498"/>
      <c r="BE128" s="498"/>
      <c r="BF128" s="498"/>
      <c r="BG128" s="498"/>
      <c r="BH128" s="498"/>
      <c r="BI128" s="498"/>
      <c r="BJ128" s="498"/>
      <c r="BK128" s="498"/>
      <c r="BL128" s="498"/>
      <c r="BM128" s="498"/>
      <c r="BN128" s="498"/>
      <c r="BO128" s="498"/>
      <c r="BP128" s="498"/>
      <c r="BQ128" s="498"/>
      <c r="BR128" s="498"/>
      <c r="BS128" s="498"/>
      <c r="BT128" s="498"/>
      <c r="BU128" s="498"/>
      <c r="BV128" s="498"/>
      <c r="BW128" s="498"/>
      <c r="BX128" s="498"/>
      <c r="BY128" s="498"/>
      <c r="BZ128" s="498"/>
      <c r="CA128" s="498"/>
      <c r="CB128" s="498"/>
      <c r="CC128" s="498"/>
      <c r="CD128" s="498"/>
      <c r="CE128" s="498"/>
      <c r="CF128" s="498"/>
      <c r="CG128" s="293"/>
      <c r="CH128" s="293"/>
      <c r="CI128" s="293"/>
      <c r="CJ128" s="293"/>
      <c r="CK128" s="293"/>
      <c r="CL128" s="293"/>
      <c r="CM128" s="293"/>
      <c r="CN128" s="293"/>
      <c r="CO128" s="227"/>
      <c r="CR128" s="498"/>
      <c r="CS128" s="498"/>
      <c r="CT128" s="498"/>
      <c r="CU128" s="498"/>
      <c r="CV128" s="498"/>
      <c r="CW128" s="498"/>
      <c r="CX128" s="498"/>
      <c r="CY128" s="498"/>
      <c r="CZ128" s="498"/>
      <c r="DA128" s="498"/>
      <c r="DB128" s="498"/>
      <c r="DC128" s="498"/>
      <c r="DD128" s="498"/>
      <c r="DE128" s="498"/>
      <c r="DF128" s="498"/>
      <c r="DG128" s="498"/>
      <c r="DH128" s="498"/>
      <c r="DI128" s="498"/>
      <c r="DJ128" s="498"/>
      <c r="DK128" s="498"/>
      <c r="DL128" s="498"/>
      <c r="DM128" s="498"/>
      <c r="DN128" s="498"/>
      <c r="DO128" s="498"/>
      <c r="DP128" s="498"/>
      <c r="DQ128" s="498"/>
      <c r="DR128" s="498"/>
      <c r="DS128" s="498"/>
      <c r="DT128" s="498"/>
      <c r="DU128" s="498"/>
      <c r="DV128" s="498"/>
      <c r="DW128" s="498"/>
      <c r="DX128" s="498"/>
      <c r="DY128" s="498"/>
      <c r="DZ128" s="498"/>
      <c r="EA128" s="498"/>
      <c r="EB128" s="498"/>
      <c r="EC128" s="498"/>
      <c r="ED128" s="498"/>
      <c r="EE128" s="498"/>
      <c r="EF128" s="498"/>
      <c r="EG128" s="498"/>
      <c r="EH128" s="498"/>
      <c r="EI128" s="498"/>
      <c r="EJ128" s="498"/>
      <c r="EK128" s="498"/>
      <c r="EL128" s="498"/>
      <c r="EM128" s="498"/>
      <c r="EN128" s="498"/>
      <c r="EO128" s="498"/>
      <c r="EP128" s="498"/>
      <c r="EQ128" s="498"/>
      <c r="ER128" s="498"/>
      <c r="ES128" s="498"/>
      <c r="ET128" s="498"/>
      <c r="EU128" s="498"/>
      <c r="EV128" s="498"/>
      <c r="EW128" s="498"/>
      <c r="EX128" s="498"/>
      <c r="EY128" s="498"/>
      <c r="EZ128" s="498"/>
      <c r="FA128" s="498"/>
      <c r="FB128" s="498"/>
      <c r="FC128" s="498"/>
    </row>
    <row r="129" spans="3:159">
      <c r="AO129" s="338"/>
      <c r="AP129" s="449"/>
      <c r="AR129" s="449"/>
      <c r="AS129" s="449"/>
      <c r="BA129" s="498"/>
      <c r="BB129" s="498"/>
      <c r="BC129" s="498"/>
      <c r="BD129" s="498"/>
      <c r="BE129" s="498"/>
      <c r="BF129" s="498"/>
      <c r="BG129" s="498"/>
      <c r="BH129" s="498"/>
      <c r="BI129" s="498"/>
      <c r="BJ129" s="498"/>
      <c r="BK129" s="498"/>
      <c r="BL129" s="498"/>
      <c r="BM129" s="498"/>
      <c r="BN129" s="498"/>
      <c r="BO129" s="498"/>
      <c r="BP129" s="498"/>
      <c r="BQ129" s="498"/>
      <c r="BR129" s="498"/>
      <c r="BS129" s="498"/>
      <c r="BT129" s="498"/>
      <c r="BU129" s="498"/>
      <c r="BV129" s="498"/>
      <c r="BW129" s="498"/>
      <c r="BX129" s="498"/>
      <c r="BY129" s="498"/>
      <c r="BZ129" s="498"/>
      <c r="CA129" s="498"/>
      <c r="CB129" s="498"/>
      <c r="CC129" s="498"/>
      <c r="CD129" s="498"/>
      <c r="CE129" s="498"/>
      <c r="CF129" s="498"/>
      <c r="CG129" s="293"/>
      <c r="CH129" s="293"/>
      <c r="CI129" s="293"/>
      <c r="CJ129" s="293"/>
      <c r="CK129" s="293"/>
      <c r="CL129" s="293"/>
      <c r="CM129" s="293"/>
      <c r="CN129" s="293"/>
      <c r="CO129" s="227"/>
      <c r="CR129" s="498"/>
      <c r="CS129" s="498"/>
      <c r="CT129" s="498"/>
      <c r="CU129" s="498"/>
      <c r="CV129" s="498"/>
      <c r="CW129" s="498"/>
      <c r="CX129" s="498"/>
      <c r="CY129" s="498"/>
      <c r="CZ129" s="498"/>
      <c r="DA129" s="498"/>
      <c r="DB129" s="498"/>
      <c r="DC129" s="498"/>
      <c r="DD129" s="498"/>
      <c r="DE129" s="498"/>
      <c r="DF129" s="498"/>
      <c r="DG129" s="498"/>
      <c r="DH129" s="498"/>
      <c r="DI129" s="498"/>
      <c r="DJ129" s="498"/>
      <c r="DK129" s="498"/>
      <c r="DL129" s="498"/>
      <c r="DM129" s="498"/>
      <c r="DN129" s="498"/>
      <c r="DO129" s="498"/>
      <c r="DP129" s="498"/>
      <c r="DQ129" s="498"/>
      <c r="DR129" s="498"/>
      <c r="DS129" s="498"/>
      <c r="DT129" s="498"/>
      <c r="DU129" s="498"/>
      <c r="DV129" s="498"/>
      <c r="DW129" s="498"/>
      <c r="DX129" s="498"/>
      <c r="DY129" s="498"/>
      <c r="DZ129" s="498"/>
      <c r="EA129" s="498"/>
      <c r="EB129" s="498"/>
      <c r="EC129" s="498"/>
      <c r="ED129" s="498"/>
      <c r="EE129" s="498"/>
      <c r="EF129" s="498"/>
      <c r="EG129" s="498"/>
      <c r="EH129" s="498"/>
      <c r="EI129" s="498"/>
      <c r="EJ129" s="498"/>
      <c r="EK129" s="498"/>
      <c r="EL129" s="498"/>
      <c r="EM129" s="498"/>
      <c r="EN129" s="498"/>
      <c r="EO129" s="498"/>
      <c r="EP129" s="498"/>
      <c r="EQ129" s="498"/>
      <c r="ER129" s="498"/>
      <c r="ES129" s="498"/>
      <c r="ET129" s="498"/>
      <c r="EU129" s="498"/>
      <c r="EV129" s="498"/>
      <c r="EW129" s="498"/>
      <c r="EX129" s="498"/>
      <c r="EY129" s="498"/>
      <c r="EZ129" s="498"/>
      <c r="FA129" s="498"/>
      <c r="FB129" s="498"/>
      <c r="FC129" s="498"/>
    </row>
    <row r="130" spans="3:159">
      <c r="AO130" s="338"/>
      <c r="AP130" s="449"/>
      <c r="AR130" s="449"/>
      <c r="AS130" s="449"/>
      <c r="BA130" s="498"/>
      <c r="BB130" s="498"/>
      <c r="BC130" s="498"/>
      <c r="BD130" s="498"/>
      <c r="BE130" s="498"/>
      <c r="BF130" s="498"/>
      <c r="BG130" s="498"/>
      <c r="BH130" s="498"/>
      <c r="BI130" s="498"/>
      <c r="BJ130" s="498"/>
      <c r="BK130" s="498"/>
      <c r="BL130" s="498"/>
      <c r="BM130" s="498"/>
      <c r="BN130" s="498"/>
      <c r="BO130" s="498"/>
      <c r="BP130" s="498"/>
      <c r="BQ130" s="498"/>
      <c r="BR130" s="498"/>
      <c r="BS130" s="498"/>
      <c r="BT130" s="498"/>
      <c r="BU130" s="498"/>
      <c r="BV130" s="498"/>
      <c r="BW130" s="498"/>
      <c r="BX130" s="498"/>
      <c r="BY130" s="498"/>
      <c r="BZ130" s="498"/>
      <c r="CA130" s="498"/>
      <c r="CB130" s="498"/>
      <c r="CC130" s="498"/>
      <c r="CD130" s="498"/>
      <c r="CE130" s="498"/>
      <c r="CF130" s="498"/>
      <c r="CG130" s="27"/>
      <c r="CH130" s="27"/>
      <c r="CI130" s="27"/>
      <c r="CJ130" s="27"/>
      <c r="CK130" s="27"/>
      <c r="CL130" s="27"/>
      <c r="CM130" s="27"/>
      <c r="CN130" s="27"/>
      <c r="CO130" s="27"/>
      <c r="CR130" s="498"/>
      <c r="CS130" s="498"/>
      <c r="CT130" s="498"/>
      <c r="CU130" s="498"/>
      <c r="CV130" s="498"/>
      <c r="CW130" s="498"/>
      <c r="CX130" s="498"/>
      <c r="CY130" s="498"/>
      <c r="CZ130" s="498"/>
      <c r="DA130" s="498"/>
      <c r="DB130" s="498"/>
      <c r="DC130" s="498"/>
      <c r="DD130" s="498"/>
      <c r="DE130" s="498"/>
      <c r="DF130" s="498"/>
      <c r="DG130" s="498"/>
      <c r="DH130" s="498"/>
      <c r="DI130" s="498"/>
      <c r="DJ130" s="498"/>
      <c r="DK130" s="498"/>
      <c r="DL130" s="498"/>
      <c r="DM130" s="498"/>
      <c r="DN130" s="498"/>
      <c r="DO130" s="498"/>
      <c r="DP130" s="498"/>
      <c r="DQ130" s="498"/>
      <c r="DR130" s="498"/>
      <c r="DS130" s="498"/>
      <c r="DT130" s="498"/>
      <c r="DU130" s="498"/>
      <c r="DV130" s="498"/>
      <c r="DW130" s="498"/>
      <c r="DX130" s="498"/>
      <c r="DY130" s="498"/>
      <c r="DZ130" s="498"/>
      <c r="EA130" s="498"/>
      <c r="EB130" s="498"/>
      <c r="EC130" s="498"/>
      <c r="ED130" s="498"/>
      <c r="EE130" s="498"/>
      <c r="EF130" s="498"/>
      <c r="EG130" s="498"/>
      <c r="EH130" s="498"/>
      <c r="EI130" s="498"/>
      <c r="EJ130" s="498"/>
      <c r="EK130" s="498"/>
      <c r="EL130" s="498"/>
      <c r="EM130" s="498"/>
      <c r="EN130" s="498"/>
      <c r="EO130" s="498"/>
      <c r="EP130" s="498"/>
      <c r="EQ130" s="498"/>
      <c r="ER130" s="498"/>
      <c r="ES130" s="498"/>
      <c r="ET130" s="498"/>
      <c r="EU130" s="498"/>
      <c r="EV130" s="498"/>
      <c r="EW130" s="498"/>
      <c r="EX130" s="498"/>
      <c r="EY130" s="498"/>
      <c r="EZ130" s="498"/>
      <c r="FA130" s="498"/>
      <c r="FB130" s="498"/>
      <c r="FC130" s="498"/>
    </row>
    <row r="131" spans="3:159">
      <c r="AO131" s="338"/>
      <c r="AP131" s="449"/>
      <c r="AR131" s="449"/>
      <c r="AS131" s="449"/>
      <c r="BA131" s="498"/>
      <c r="BB131" s="498"/>
      <c r="BC131" s="498"/>
      <c r="BD131" s="498"/>
      <c r="BE131" s="498"/>
      <c r="BF131" s="498"/>
      <c r="BG131" s="498"/>
      <c r="BH131" s="498"/>
      <c r="BI131" s="498"/>
      <c r="BJ131" s="498"/>
      <c r="BK131" s="498"/>
      <c r="BL131" s="498"/>
      <c r="BM131" s="498"/>
      <c r="BN131" s="498"/>
      <c r="BO131" s="498"/>
      <c r="BP131" s="498"/>
      <c r="BQ131" s="498"/>
      <c r="BR131" s="498"/>
      <c r="BS131" s="498"/>
      <c r="BT131" s="498"/>
      <c r="BU131" s="498"/>
      <c r="BV131" s="498"/>
      <c r="BW131" s="498"/>
      <c r="BX131" s="498"/>
      <c r="BY131" s="498"/>
      <c r="BZ131" s="498"/>
      <c r="CA131" s="498"/>
      <c r="CB131" s="498"/>
      <c r="CC131" s="498"/>
      <c r="CD131" s="498"/>
      <c r="CE131" s="498"/>
      <c r="CF131" s="498"/>
      <c r="CG131" s="27"/>
      <c r="CH131" s="27"/>
      <c r="CI131" s="27"/>
      <c r="CJ131" s="27"/>
      <c r="CK131" s="27"/>
      <c r="CL131" s="27"/>
      <c r="CM131" s="27"/>
      <c r="CN131" s="27"/>
      <c r="CO131" s="27"/>
      <c r="CR131" s="498"/>
      <c r="CS131" s="498"/>
      <c r="CT131" s="498"/>
      <c r="CU131" s="498"/>
      <c r="CV131" s="498"/>
      <c r="CW131" s="498"/>
      <c r="CX131" s="498"/>
      <c r="CY131" s="498"/>
      <c r="CZ131" s="498"/>
      <c r="DA131" s="498"/>
      <c r="DB131" s="498"/>
      <c r="DC131" s="498"/>
      <c r="DD131" s="498"/>
      <c r="DE131" s="498"/>
      <c r="DF131" s="498"/>
      <c r="DG131" s="498"/>
      <c r="DH131" s="498"/>
      <c r="DI131" s="498"/>
      <c r="DJ131" s="498"/>
      <c r="DK131" s="498"/>
      <c r="DL131" s="498"/>
      <c r="DM131" s="498"/>
      <c r="DN131" s="498"/>
      <c r="DO131" s="498"/>
      <c r="DP131" s="498"/>
      <c r="DQ131" s="498"/>
      <c r="DR131" s="498"/>
      <c r="DS131" s="498"/>
      <c r="DT131" s="498"/>
      <c r="DU131" s="498"/>
      <c r="DV131" s="498"/>
      <c r="DW131" s="498"/>
      <c r="DX131" s="498"/>
      <c r="DY131" s="498"/>
      <c r="DZ131" s="498"/>
      <c r="EA131" s="498"/>
      <c r="EB131" s="498"/>
      <c r="EC131" s="498"/>
      <c r="ED131" s="498"/>
      <c r="EE131" s="498"/>
      <c r="EF131" s="498"/>
      <c r="EG131" s="498"/>
      <c r="EH131" s="498"/>
      <c r="EI131" s="498"/>
      <c r="EJ131" s="498"/>
      <c r="EK131" s="498"/>
      <c r="EL131" s="498"/>
      <c r="EM131" s="498"/>
      <c r="EN131" s="498"/>
      <c r="EO131" s="498"/>
      <c r="EP131" s="498"/>
      <c r="EQ131" s="498"/>
      <c r="ER131" s="498"/>
      <c r="ES131" s="498"/>
      <c r="ET131" s="498"/>
      <c r="EU131" s="498"/>
      <c r="EV131" s="498"/>
      <c r="EW131" s="498"/>
      <c r="EX131" s="498"/>
      <c r="EY131" s="498"/>
      <c r="EZ131" s="498"/>
      <c r="FA131" s="498"/>
      <c r="FB131" s="498"/>
      <c r="FC131" s="498"/>
    </row>
    <row r="132" spans="3:159">
      <c r="C132" s="19"/>
      <c r="AO132" s="338"/>
      <c r="AP132" s="449"/>
      <c r="AR132" s="449"/>
      <c r="AS132" s="449"/>
    </row>
    <row r="133" spans="3:159">
      <c r="C133" s="282" t="s">
        <v>808</v>
      </c>
      <c r="D133" s="282"/>
      <c r="E133" s="282"/>
      <c r="F133" s="282"/>
      <c r="G133" s="282"/>
      <c r="H133" s="282"/>
      <c r="I133" s="282"/>
      <c r="J133" s="282"/>
      <c r="K133" s="282"/>
      <c r="L133" s="282"/>
      <c r="M133" s="282"/>
      <c r="N133" s="282"/>
      <c r="O133" s="282"/>
      <c r="P133" s="282"/>
      <c r="Q133" s="282"/>
      <c r="R133" s="282"/>
      <c r="S133" s="282"/>
      <c r="T133" s="282"/>
      <c r="U133" s="282"/>
      <c r="V133" s="282"/>
      <c r="W133" s="282"/>
      <c r="X133" s="282"/>
      <c r="Y133" s="282"/>
      <c r="Z133" s="282"/>
      <c r="AA133" s="282"/>
      <c r="AB133" s="282"/>
      <c r="AC133" s="195"/>
      <c r="AD133" s="195"/>
      <c r="AE133" s="195"/>
      <c r="AF133" s="195"/>
      <c r="AG133" s="195"/>
      <c r="AH133" s="195"/>
      <c r="AO133" s="338"/>
      <c r="AP133" s="449"/>
      <c r="AR133" s="449"/>
      <c r="AS133" s="449"/>
      <c r="BA133" s="282"/>
      <c r="BB133" s="282"/>
      <c r="BC133" s="282"/>
      <c r="BD133" s="282"/>
      <c r="BE133" s="282"/>
      <c r="BF133" s="282"/>
      <c r="BG133" s="282"/>
      <c r="BH133" s="282"/>
      <c r="BI133" s="282"/>
      <c r="BJ133" s="282"/>
      <c r="BK133" s="282"/>
      <c r="BL133" s="282"/>
      <c r="BM133" s="282"/>
      <c r="BN133" s="282"/>
      <c r="BO133" s="282"/>
      <c r="BP133" s="282"/>
      <c r="BQ133" s="282"/>
      <c r="BR133" s="282"/>
      <c r="BS133" s="282"/>
      <c r="BT133" s="282"/>
      <c r="BU133" s="282"/>
      <c r="BV133" s="282"/>
      <c r="BW133" s="282"/>
      <c r="BX133" s="282"/>
      <c r="BY133" s="282"/>
      <c r="BZ133" s="282"/>
      <c r="CA133" s="282"/>
      <c r="CB133" s="282"/>
      <c r="CC133" s="337"/>
      <c r="CD133" s="337"/>
      <c r="CE133" s="337"/>
      <c r="CF133" s="337"/>
      <c r="CG133" s="337"/>
      <c r="CH133" s="337"/>
      <c r="CI133" s="337"/>
      <c r="CJ133" s="337"/>
      <c r="CK133" s="337"/>
      <c r="CL133" s="337"/>
      <c r="CM133" s="337"/>
      <c r="CN133" s="337"/>
      <c r="CO133" s="483"/>
      <c r="CR133" s="282"/>
      <c r="CS133" s="282"/>
      <c r="CT133" s="282"/>
      <c r="CU133" s="282"/>
      <c r="CV133" s="282"/>
      <c r="CW133" s="282"/>
      <c r="CX133" s="282"/>
      <c r="CY133" s="282"/>
      <c r="CZ133" s="282"/>
      <c r="DA133" s="282"/>
      <c r="DB133" s="282"/>
      <c r="DC133" s="282"/>
      <c r="DD133" s="282"/>
      <c r="DE133" s="282"/>
      <c r="DF133" s="282"/>
      <c r="DG133" s="282"/>
      <c r="DH133" s="282"/>
      <c r="DI133" s="282"/>
      <c r="DJ133" s="282"/>
      <c r="DK133" s="282"/>
      <c r="DL133" s="282"/>
      <c r="DM133" s="282"/>
      <c r="DN133" s="282"/>
      <c r="DO133" s="282"/>
      <c r="DP133" s="282"/>
      <c r="DQ133" s="282"/>
      <c r="DR133" s="282"/>
      <c r="DS133" s="282"/>
      <c r="DT133" s="282"/>
      <c r="DU133" s="282"/>
      <c r="DV133" s="282"/>
      <c r="DW133" s="282"/>
      <c r="DX133" s="282"/>
      <c r="DY133" s="282"/>
      <c r="DZ133" s="282"/>
      <c r="EA133" s="282"/>
      <c r="EB133" s="282"/>
      <c r="EC133" s="282"/>
      <c r="ED133" s="282"/>
      <c r="EE133" s="282"/>
      <c r="EF133" s="282"/>
      <c r="EG133" s="282"/>
      <c r="EH133" s="282"/>
      <c r="EI133" s="282"/>
      <c r="EJ133" s="282"/>
      <c r="EK133" s="282"/>
      <c r="EL133" s="282"/>
      <c r="EM133" s="282"/>
      <c r="EN133" s="282"/>
      <c r="EO133" s="282"/>
      <c r="EP133" s="282"/>
      <c r="EQ133" s="282"/>
      <c r="ER133" s="282"/>
      <c r="ES133" s="282"/>
      <c r="ET133" s="282"/>
      <c r="EU133" s="282"/>
      <c r="EV133" s="282"/>
      <c r="EW133" s="337"/>
      <c r="EX133" s="337"/>
      <c r="EY133" s="337"/>
      <c r="EZ133" s="337"/>
      <c r="FA133" s="337"/>
      <c r="FB133" s="337"/>
      <c r="FC133" s="337"/>
    </row>
    <row r="134" spans="3:159">
      <c r="C134" s="295" t="s">
        <v>807</v>
      </c>
      <c r="D134" s="296"/>
      <c r="E134" s="296"/>
      <c r="F134" s="296"/>
      <c r="G134" s="296"/>
      <c r="H134" s="296"/>
      <c r="I134" s="296"/>
      <c r="J134" s="296" t="e">
        <f t="shared" ref="J134:AH134" si="29">J140/AVERAGE(I156:J156)</f>
        <v>#REF!</v>
      </c>
      <c r="K134" s="296" t="e">
        <f t="shared" si="29"/>
        <v>#REF!</v>
      </c>
      <c r="L134" s="296" t="e">
        <f t="shared" si="29"/>
        <v>#REF!</v>
      </c>
      <c r="M134" s="296" t="e">
        <f t="shared" si="29"/>
        <v>#REF!</v>
      </c>
      <c r="N134" s="296" t="e">
        <f t="shared" si="29"/>
        <v>#REF!</v>
      </c>
      <c r="O134" s="296" t="e">
        <f t="shared" si="29"/>
        <v>#REF!</v>
      </c>
      <c r="P134" s="296" t="e">
        <f t="shared" si="29"/>
        <v>#REF!</v>
      </c>
      <c r="Q134" s="296">
        <f t="shared" si="29"/>
        <v>0.10965732402527245</v>
      </c>
      <c r="R134" s="296">
        <f t="shared" si="29"/>
        <v>0.13522102203095165</v>
      </c>
      <c r="S134" s="296">
        <f t="shared" si="29"/>
        <v>0.14320057840462549</v>
      </c>
      <c r="T134" s="296">
        <f t="shared" si="29"/>
        <v>0.16181051907530133</v>
      </c>
      <c r="U134" s="296" t="e">
        <f t="shared" si="29"/>
        <v>#REF!</v>
      </c>
      <c r="V134" s="296" t="e">
        <f t="shared" si="29"/>
        <v>#REF!</v>
      </c>
      <c r="W134" s="296" t="e">
        <f t="shared" si="29"/>
        <v>#REF!</v>
      </c>
      <c r="X134" s="296" t="e">
        <f t="shared" si="29"/>
        <v>#REF!</v>
      </c>
      <c r="Y134" s="296" t="e">
        <f t="shared" si="29"/>
        <v>#REF!</v>
      </c>
      <c r="Z134" s="296" t="e">
        <f t="shared" si="29"/>
        <v>#REF!</v>
      </c>
      <c r="AA134" s="296" t="e">
        <f t="shared" si="29"/>
        <v>#REF!</v>
      </c>
      <c r="AB134" s="296" t="e">
        <f t="shared" si="29"/>
        <v>#REF!</v>
      </c>
      <c r="AC134" s="296" t="e">
        <f t="shared" si="29"/>
        <v>#REF!</v>
      </c>
      <c r="AD134" s="296" t="e">
        <f t="shared" si="29"/>
        <v>#REF!</v>
      </c>
      <c r="AE134" s="296" t="e">
        <f t="shared" si="29"/>
        <v>#REF!</v>
      </c>
      <c r="AF134" s="296" t="e">
        <f t="shared" si="29"/>
        <v>#REF!</v>
      </c>
      <c r="AG134" s="296" t="e">
        <f t="shared" si="29"/>
        <v>#REF!</v>
      </c>
      <c r="AH134" s="296" t="e">
        <f t="shared" si="29"/>
        <v>#REF!</v>
      </c>
      <c r="AO134" s="338"/>
      <c r="AP134" s="449"/>
      <c r="AR134" s="449"/>
      <c r="AS134" s="449"/>
      <c r="BA134" s="498"/>
      <c r="BB134" s="498"/>
      <c r="BC134" s="498"/>
      <c r="BD134" s="498"/>
      <c r="BE134" s="498"/>
      <c r="BF134" s="498"/>
      <c r="BG134" s="498"/>
      <c r="BH134" s="498"/>
      <c r="BI134" s="498"/>
      <c r="BJ134" s="498"/>
      <c r="BK134" s="498"/>
      <c r="BL134" s="498"/>
      <c r="BM134" s="498"/>
      <c r="BN134" s="498"/>
      <c r="BO134" s="498"/>
      <c r="BP134" s="498"/>
      <c r="BQ134" s="498"/>
      <c r="BR134" s="498"/>
      <c r="BS134" s="498"/>
      <c r="BT134" s="498"/>
      <c r="BU134" s="498"/>
      <c r="BV134" s="498"/>
      <c r="BW134" s="498"/>
      <c r="BX134" s="498"/>
      <c r="BY134" s="498"/>
      <c r="BZ134" s="498"/>
      <c r="CA134" s="498"/>
      <c r="CB134" s="498"/>
      <c r="CC134" s="498"/>
      <c r="CD134" s="498"/>
      <c r="CE134" s="498"/>
      <c r="CF134" s="498"/>
      <c r="CG134" s="296"/>
      <c r="CH134" s="296"/>
      <c r="CI134" s="296"/>
      <c r="CJ134" s="296"/>
      <c r="CK134" s="296"/>
      <c r="CL134" s="296"/>
      <c r="CM134" s="296"/>
      <c r="CN134" s="296"/>
      <c r="CO134" s="296"/>
      <c r="CR134" s="498"/>
      <c r="CS134" s="498"/>
      <c r="CT134" s="498"/>
      <c r="CU134" s="498"/>
      <c r="CV134" s="498"/>
      <c r="CW134" s="498"/>
      <c r="CX134" s="498"/>
      <c r="CY134" s="498"/>
      <c r="CZ134" s="498"/>
      <c r="DA134" s="498"/>
      <c r="DB134" s="498"/>
      <c r="DC134" s="498"/>
      <c r="DD134" s="498"/>
      <c r="DE134" s="498"/>
      <c r="DF134" s="498"/>
      <c r="DG134" s="498"/>
      <c r="DH134" s="498"/>
      <c r="DI134" s="498"/>
      <c r="DJ134" s="498"/>
      <c r="DK134" s="498"/>
      <c r="DL134" s="498"/>
      <c r="DM134" s="498"/>
      <c r="DN134" s="498"/>
      <c r="DO134" s="498"/>
      <c r="DP134" s="498"/>
      <c r="DQ134" s="498"/>
      <c r="DR134" s="498"/>
      <c r="DS134" s="498"/>
      <c r="DT134" s="498"/>
      <c r="DU134" s="498"/>
      <c r="DV134" s="498"/>
      <c r="DW134" s="498"/>
      <c r="DX134" s="498"/>
      <c r="DY134" s="498"/>
      <c r="DZ134" s="498"/>
      <c r="EA134" s="498"/>
      <c r="EB134" s="498"/>
      <c r="EC134" s="498"/>
      <c r="ED134" s="498"/>
      <c r="EE134" s="498"/>
      <c r="EF134" s="498"/>
      <c r="EG134" s="498"/>
      <c r="EH134" s="498"/>
      <c r="EI134" s="498"/>
      <c r="EJ134" s="498"/>
      <c r="EK134" s="498"/>
      <c r="EL134" s="498"/>
      <c r="EM134" s="498"/>
      <c r="EN134" s="498"/>
      <c r="EO134" s="498"/>
      <c r="EP134" s="498"/>
      <c r="EQ134" s="498"/>
      <c r="ER134" s="498"/>
      <c r="ES134" s="498"/>
      <c r="ET134" s="498"/>
      <c r="EU134" s="498"/>
      <c r="EV134" s="498"/>
      <c r="EW134" s="498"/>
      <c r="EX134" s="498"/>
      <c r="EY134" s="498"/>
      <c r="EZ134" s="498"/>
      <c r="FA134" s="498"/>
      <c r="FB134" s="498"/>
      <c r="FC134" s="498"/>
    </row>
    <row r="135" spans="3:159">
      <c r="C135" s="291" t="s">
        <v>806</v>
      </c>
      <c r="D135" s="352"/>
      <c r="E135" s="352"/>
      <c r="F135" s="352"/>
      <c r="G135" s="352"/>
      <c r="H135" s="352"/>
      <c r="I135" s="352"/>
      <c r="J135" s="287">
        <f>'Cashflow Statement'!H24</f>
        <v>854</v>
      </c>
      <c r="K135" s="287">
        <f>'Cashflow Statement'!I24</f>
        <v>1108</v>
      </c>
      <c r="L135" s="287">
        <f>'Cashflow Statement'!J24</f>
        <v>626</v>
      </c>
      <c r="M135" s="287">
        <f>'Cashflow Statement'!K24</f>
        <v>1408</v>
      </c>
      <c r="N135" s="287">
        <f>'Cashflow Statement'!L24</f>
        <v>1430</v>
      </c>
      <c r="O135" s="287">
        <f>'Cashflow Statement'!M24</f>
        <v>1237</v>
      </c>
      <c r="P135" s="287">
        <f>'Cashflow Statement'!N24</f>
        <v>1617</v>
      </c>
      <c r="Q135" s="287">
        <f>'Cashflow Statement'!O24</f>
        <v>2139</v>
      </c>
      <c r="R135" s="287">
        <f>'Cashflow Statement'!P24</f>
        <v>2357</v>
      </c>
      <c r="S135" s="287">
        <f>'Cashflow Statement'!Q24</f>
        <v>2631</v>
      </c>
      <c r="T135" s="287">
        <f>'Cashflow Statement'!R24</f>
        <v>2483</v>
      </c>
      <c r="U135" s="287">
        <f>'Cashflow Statement'!S24</f>
        <v>2752</v>
      </c>
      <c r="V135" s="287">
        <f>'Cashflow Statement'!T24</f>
        <v>3071</v>
      </c>
      <c r="W135" s="287">
        <f>'Cashflow Statement'!U24</f>
        <v>3145</v>
      </c>
      <c r="X135" s="287">
        <f>'Cashflow Statement'!V24</f>
        <v>1866</v>
      </c>
      <c r="Y135" s="287">
        <f>'Cashflow Statement'!W24</f>
        <v>2436</v>
      </c>
      <c r="Z135" s="287">
        <f>'Cashflow Statement'!X24</f>
        <v>3545</v>
      </c>
      <c r="AA135" s="287">
        <f>'Cashflow Statement'!Y24</f>
        <v>4270</v>
      </c>
      <c r="AB135" s="287">
        <f>'Cashflow Statement'!Z24</f>
        <v>4733</v>
      </c>
      <c r="AC135" s="287">
        <f>'Cashflow Statement'!AA24</f>
        <v>5618.3996852983528</v>
      </c>
      <c r="AD135" s="287">
        <f>'Cashflow Statement'!AB24</f>
        <v>6309.7084706526002</v>
      </c>
      <c r="AE135" s="287">
        <f>'Cashflow Statement'!AC24</f>
        <v>6952.3116278334801</v>
      </c>
      <c r="AF135" s="287">
        <f>'Cashflow Statement'!AD24</f>
        <v>7448.6352241017748</v>
      </c>
      <c r="AG135" s="287">
        <f>'Cashflow Statement'!AE24</f>
        <v>7959.2339884091671</v>
      </c>
      <c r="AH135" s="287">
        <f>'Cashflow Statement'!AF24</f>
        <v>8271.3615689948329</v>
      </c>
      <c r="AO135" s="338"/>
      <c r="AP135" s="449"/>
      <c r="AR135" s="449"/>
      <c r="AS135" s="449"/>
      <c r="BA135" s="498"/>
      <c r="BB135" s="498"/>
      <c r="BC135" s="498"/>
      <c r="BD135" s="498"/>
      <c r="BE135" s="498"/>
      <c r="BF135" s="498"/>
      <c r="BG135" s="498"/>
      <c r="BH135" s="498"/>
      <c r="BI135" s="498"/>
      <c r="BJ135" s="498"/>
      <c r="BK135" s="498"/>
      <c r="BL135" s="498"/>
      <c r="BM135" s="498"/>
      <c r="BN135" s="498"/>
      <c r="BO135" s="498"/>
      <c r="BP135" s="498"/>
      <c r="BQ135" s="498"/>
      <c r="BR135" s="498"/>
      <c r="BS135" s="498"/>
      <c r="BT135" s="498"/>
      <c r="BU135" s="498"/>
      <c r="BV135" s="498"/>
      <c r="BW135" s="498"/>
      <c r="BX135" s="498"/>
      <c r="BY135" s="498"/>
      <c r="BZ135" s="498"/>
      <c r="CA135" s="498"/>
      <c r="CB135" s="498"/>
      <c r="CC135" s="498"/>
      <c r="CD135" s="498"/>
      <c r="CE135" s="498"/>
      <c r="CF135" s="498"/>
      <c r="CG135" s="287"/>
      <c r="CH135" s="287"/>
      <c r="CI135" s="287"/>
      <c r="CJ135" s="287"/>
      <c r="CK135" s="287"/>
      <c r="CL135" s="287"/>
      <c r="CM135" s="287"/>
      <c r="CN135" s="287"/>
      <c r="CO135" s="27"/>
      <c r="CR135" s="498"/>
      <c r="CS135" s="498"/>
      <c r="CT135" s="498"/>
      <c r="CU135" s="498"/>
      <c r="CV135" s="498"/>
      <c r="CW135" s="498"/>
      <c r="CX135" s="498"/>
      <c r="CY135" s="498"/>
      <c r="CZ135" s="498"/>
      <c r="DA135" s="498"/>
      <c r="DB135" s="498"/>
      <c r="DC135" s="498"/>
      <c r="DD135" s="498"/>
      <c r="DE135" s="498"/>
      <c r="DF135" s="498"/>
      <c r="DG135" s="498"/>
      <c r="DH135" s="498"/>
      <c r="DI135" s="498"/>
      <c r="DJ135" s="498"/>
      <c r="DK135" s="498"/>
      <c r="DL135" s="498"/>
      <c r="DM135" s="498"/>
      <c r="DN135" s="498"/>
      <c r="DO135" s="498"/>
      <c r="DP135" s="498"/>
      <c r="DQ135" s="498"/>
      <c r="DR135" s="498"/>
      <c r="DS135" s="498"/>
      <c r="DT135" s="498"/>
      <c r="DU135" s="498"/>
      <c r="DV135" s="498"/>
      <c r="DW135" s="498"/>
      <c r="DX135" s="498"/>
      <c r="DY135" s="498"/>
      <c r="DZ135" s="498"/>
      <c r="EA135" s="498"/>
      <c r="EB135" s="498"/>
      <c r="EC135" s="498"/>
      <c r="ED135" s="498"/>
      <c r="EE135" s="498"/>
      <c r="EF135" s="498"/>
      <c r="EG135" s="498"/>
      <c r="EH135" s="498"/>
      <c r="EI135" s="498"/>
      <c r="EJ135" s="498"/>
      <c r="EK135" s="498"/>
      <c r="EL135" s="498"/>
      <c r="EM135" s="498"/>
      <c r="EN135" s="498"/>
      <c r="EO135" s="498"/>
      <c r="EP135" s="498"/>
      <c r="EQ135" s="498"/>
      <c r="ER135" s="498"/>
      <c r="ES135" s="498"/>
      <c r="ET135" s="498"/>
      <c r="EU135" s="498"/>
      <c r="EV135" s="498"/>
      <c r="EW135" s="498"/>
      <c r="EX135" s="498"/>
      <c r="EY135" s="498"/>
      <c r="EZ135" s="498"/>
      <c r="FA135" s="498"/>
      <c r="FB135" s="498"/>
      <c r="FC135" s="498"/>
    </row>
    <row r="136" spans="3:159">
      <c r="C136" s="291" t="s">
        <v>805</v>
      </c>
      <c r="D136" s="352"/>
      <c r="E136" s="352"/>
      <c r="F136" s="352"/>
      <c r="G136" s="352"/>
      <c r="H136" s="352"/>
      <c r="I136" s="352"/>
      <c r="J136" s="287">
        <f>SUM('Cashflow Statement'!H18:H21)</f>
        <v>-149</v>
      </c>
      <c r="K136" s="287">
        <f>SUM('Cashflow Statement'!I18:I21)</f>
        <v>-113</v>
      </c>
      <c r="L136" s="287">
        <f>SUM('Cashflow Statement'!J18:J21)</f>
        <v>-91</v>
      </c>
      <c r="M136" s="287">
        <f>SUM('Cashflow Statement'!K18:K21)</f>
        <v>337</v>
      </c>
      <c r="N136" s="287">
        <f>SUM('Cashflow Statement'!L18:L21)</f>
        <v>317</v>
      </c>
      <c r="O136" s="287">
        <f>SUM('Cashflow Statement'!M18:M21)</f>
        <v>47</v>
      </c>
      <c r="P136" s="287">
        <f>SUM('Cashflow Statement'!N18:N21)</f>
        <v>-85</v>
      </c>
      <c r="Q136" s="287">
        <f>SUM('Cashflow Statement'!O18:O21)</f>
        <v>155</v>
      </c>
      <c r="R136" s="287">
        <f>SUM('Cashflow Statement'!P18:P21)</f>
        <v>-111</v>
      </c>
      <c r="S136" s="287">
        <f>SUM('Cashflow Statement'!Q18:Q21)</f>
        <v>5</v>
      </c>
      <c r="T136" s="287">
        <f>SUM('Cashflow Statement'!R18:R21)</f>
        <v>-168</v>
      </c>
      <c r="U136" s="287">
        <f>SUM('Cashflow Statement'!S18:S21)</f>
        <v>691</v>
      </c>
      <c r="V136" s="287">
        <f>SUM('Cashflow Statement'!T18:T21)</f>
        <v>-27</v>
      </c>
      <c r="W136" s="287">
        <f>SUM('Cashflow Statement'!U18:U21)</f>
        <v>-897</v>
      </c>
      <c r="X136" s="287">
        <f>SUM('Cashflow Statement'!V18:V21)</f>
        <v>-8</v>
      </c>
      <c r="Y136" s="287">
        <f>SUM('Cashflow Statement'!W18:W21)</f>
        <v>250</v>
      </c>
      <c r="Z136" s="287">
        <f>SUM('Cashflow Statement'!X18:X21)</f>
        <v>729</v>
      </c>
      <c r="AA136" s="287">
        <f>SUM('Cashflow Statement'!Y18:Y21)</f>
        <v>758</v>
      </c>
      <c r="AB136" s="287">
        <f>SUM('Cashflow Statement'!Z18:Z21)</f>
        <v>7</v>
      </c>
      <c r="AC136" s="287">
        <f>SUM('Cashflow Statement'!AA18:AA21)</f>
        <v>134.24465624493496</v>
      </c>
      <c r="AD136" s="287">
        <f>SUM('Cashflow Statement'!AB18:AB21)</f>
        <v>228.01263880030092</v>
      </c>
      <c r="AE136" s="287">
        <f>SUM('Cashflow Statement'!AC18:AC21)</f>
        <v>-54.587281404747046</v>
      </c>
      <c r="AF136" s="287">
        <f>SUM('Cashflow Statement'!AD18:AD21)</f>
        <v>-501.92971793559809</v>
      </c>
      <c r="AG136" s="287">
        <f>SUM('Cashflow Statement'!AE18:AE21)</f>
        <v>-444.89696808365989</v>
      </c>
      <c r="AH136" s="287">
        <f>SUM('Cashflow Statement'!AF18:AF21)</f>
        <v>-599.4732165548794</v>
      </c>
      <c r="AO136" s="338"/>
      <c r="AP136" s="449"/>
      <c r="AR136" s="449"/>
      <c r="AS136" s="449"/>
      <c r="BA136" s="498"/>
      <c r="BB136" s="498"/>
      <c r="BC136" s="498"/>
      <c r="BD136" s="498"/>
      <c r="BE136" s="498"/>
      <c r="BF136" s="498"/>
      <c r="BG136" s="498"/>
      <c r="BH136" s="498"/>
      <c r="BI136" s="498"/>
      <c r="BJ136" s="498"/>
      <c r="BK136" s="498"/>
      <c r="BL136" s="498"/>
      <c r="BM136" s="498"/>
      <c r="BN136" s="498"/>
      <c r="BO136" s="498"/>
      <c r="BP136" s="498"/>
      <c r="BQ136" s="498"/>
      <c r="BR136" s="498"/>
      <c r="BS136" s="498"/>
      <c r="BT136" s="498"/>
      <c r="BU136" s="498"/>
      <c r="BV136" s="498"/>
      <c r="BW136" s="498"/>
      <c r="BX136" s="498"/>
      <c r="BY136" s="498"/>
      <c r="BZ136" s="498"/>
      <c r="CA136" s="498"/>
      <c r="CB136" s="498"/>
      <c r="CC136" s="498"/>
      <c r="CD136" s="498"/>
      <c r="CE136" s="498"/>
      <c r="CF136" s="498"/>
      <c r="CG136" s="287"/>
      <c r="CH136" s="287"/>
      <c r="CI136" s="287"/>
      <c r="CJ136" s="287"/>
      <c r="CK136" s="287"/>
      <c r="CL136" s="287"/>
      <c r="CM136" s="287"/>
      <c r="CN136" s="287"/>
      <c r="CO136" s="27"/>
      <c r="CR136" s="498"/>
      <c r="CS136" s="498"/>
      <c r="CT136" s="498"/>
      <c r="CU136" s="498"/>
      <c r="CV136" s="498"/>
      <c r="CW136" s="498"/>
      <c r="CX136" s="498"/>
      <c r="CY136" s="498"/>
      <c r="CZ136" s="498"/>
      <c r="DA136" s="498"/>
      <c r="DB136" s="498"/>
      <c r="DC136" s="498"/>
      <c r="DD136" s="498"/>
      <c r="DE136" s="498"/>
      <c r="DF136" s="498"/>
      <c r="DG136" s="498"/>
      <c r="DH136" s="498"/>
      <c r="DI136" s="498"/>
      <c r="DJ136" s="498"/>
      <c r="DK136" s="498"/>
      <c r="DL136" s="498"/>
      <c r="DM136" s="498"/>
      <c r="DN136" s="498"/>
      <c r="DO136" s="498"/>
      <c r="DP136" s="498"/>
      <c r="DQ136" s="498"/>
      <c r="DR136" s="498"/>
      <c r="DS136" s="498"/>
      <c r="DT136" s="498"/>
      <c r="DU136" s="498"/>
      <c r="DV136" s="498"/>
      <c r="DW136" s="498"/>
      <c r="DX136" s="498"/>
      <c r="DY136" s="498"/>
      <c r="DZ136" s="498"/>
      <c r="EA136" s="498"/>
      <c r="EB136" s="498"/>
      <c r="EC136" s="498"/>
      <c r="ED136" s="498"/>
      <c r="EE136" s="498"/>
      <c r="EF136" s="498"/>
      <c r="EG136" s="498"/>
      <c r="EH136" s="498"/>
      <c r="EI136" s="498"/>
      <c r="EJ136" s="498"/>
      <c r="EK136" s="498"/>
      <c r="EL136" s="498"/>
      <c r="EM136" s="498"/>
      <c r="EN136" s="498"/>
      <c r="EO136" s="498"/>
      <c r="EP136" s="498"/>
      <c r="EQ136" s="498"/>
      <c r="ER136" s="498"/>
      <c r="ES136" s="498"/>
      <c r="ET136" s="498"/>
      <c r="EU136" s="498"/>
      <c r="EV136" s="498"/>
      <c r="EW136" s="498"/>
      <c r="EX136" s="498"/>
      <c r="EY136" s="498"/>
      <c r="EZ136" s="498"/>
      <c r="FA136" s="498"/>
      <c r="FB136" s="498"/>
      <c r="FC136" s="498"/>
    </row>
    <row r="137" spans="3:159">
      <c r="C137" s="291" t="s">
        <v>804</v>
      </c>
      <c r="D137" s="30"/>
      <c r="E137" s="30"/>
      <c r="F137" s="30"/>
      <c r="G137" s="30"/>
      <c r="H137" s="30"/>
      <c r="I137" s="30"/>
      <c r="J137" s="30" t="e">
        <f t="shared" ref="J137:AH137" si="30">1+J256</f>
        <v>#REF!</v>
      </c>
      <c r="K137" s="30" t="e">
        <f t="shared" si="30"/>
        <v>#REF!</v>
      </c>
      <c r="L137" s="30" t="e">
        <f t="shared" si="30"/>
        <v>#REF!</v>
      </c>
      <c r="M137" s="30" t="e">
        <f t="shared" si="30"/>
        <v>#REF!</v>
      </c>
      <c r="N137" s="30" t="e">
        <f t="shared" si="30"/>
        <v>#REF!</v>
      </c>
      <c r="O137" s="30" t="e">
        <f t="shared" si="30"/>
        <v>#REF!</v>
      </c>
      <c r="P137" s="30" t="e">
        <f t="shared" si="30"/>
        <v>#REF!</v>
      </c>
      <c r="Q137" s="30">
        <f t="shared" si="30"/>
        <v>2.7307692307692308</v>
      </c>
      <c r="R137" s="30">
        <f t="shared" si="30"/>
        <v>2.2167832167832167</v>
      </c>
      <c r="S137" s="30">
        <f t="shared" si="30"/>
        <v>1.400995024875622</v>
      </c>
      <c r="T137" s="30">
        <f t="shared" si="30"/>
        <v>3.6631016042780749</v>
      </c>
      <c r="U137" s="30">
        <f t="shared" si="30"/>
        <v>0.74530075187969924</v>
      </c>
      <c r="V137" s="30">
        <f t="shared" si="30"/>
        <v>0.76344086021505375</v>
      </c>
      <c r="W137" s="30">
        <f t="shared" si="30"/>
        <v>0.72970085470085477</v>
      </c>
      <c r="X137" s="30">
        <f t="shared" si="30"/>
        <v>0.72464962901896124</v>
      </c>
      <c r="Y137" s="30">
        <f t="shared" si="30"/>
        <v>0.65551839464882944</v>
      </c>
      <c r="Z137" s="30">
        <f t="shared" si="30"/>
        <v>0.68566591422121892</v>
      </c>
      <c r="AA137" s="30">
        <f t="shared" si="30"/>
        <v>0.74407917992223394</v>
      </c>
      <c r="AB137" s="30">
        <f t="shared" si="30"/>
        <v>0.76205400192864037</v>
      </c>
      <c r="AC137" s="30">
        <f t="shared" si="30"/>
        <v>0.65779999999999994</v>
      </c>
      <c r="AD137" s="30">
        <f t="shared" si="30"/>
        <v>0.69889999999999997</v>
      </c>
      <c r="AE137" s="30">
        <f t="shared" si="30"/>
        <v>0.74</v>
      </c>
      <c r="AF137" s="30">
        <f t="shared" si="30"/>
        <v>0.74</v>
      </c>
      <c r="AG137" s="30">
        <f t="shared" si="30"/>
        <v>0.74</v>
      </c>
      <c r="AH137" s="30">
        <f t="shared" si="30"/>
        <v>0.74</v>
      </c>
      <c r="AO137" s="338"/>
      <c r="AP137" s="449"/>
      <c r="AR137" s="449"/>
      <c r="AS137" s="449"/>
      <c r="BA137" s="498"/>
      <c r="BB137" s="498"/>
      <c r="BC137" s="498"/>
      <c r="BD137" s="498"/>
      <c r="BE137" s="498"/>
      <c r="BF137" s="498"/>
      <c r="BG137" s="498"/>
      <c r="BH137" s="498"/>
      <c r="BI137" s="498"/>
      <c r="BJ137" s="498"/>
      <c r="BK137" s="498"/>
      <c r="BL137" s="498"/>
      <c r="BM137" s="498"/>
      <c r="BN137" s="498"/>
      <c r="BO137" s="498"/>
      <c r="BP137" s="498"/>
      <c r="BQ137" s="498"/>
      <c r="BR137" s="498"/>
      <c r="BS137" s="498"/>
      <c r="BT137" s="498"/>
      <c r="BU137" s="498"/>
      <c r="BV137" s="498"/>
      <c r="BW137" s="498"/>
      <c r="BX137" s="498"/>
      <c r="BY137" s="498"/>
      <c r="BZ137" s="498"/>
      <c r="CA137" s="498"/>
      <c r="CB137" s="498"/>
      <c r="CC137" s="498"/>
      <c r="CD137" s="498"/>
      <c r="CE137" s="498"/>
      <c r="CF137" s="498"/>
      <c r="CG137" s="30"/>
      <c r="CH137" s="30"/>
      <c r="CI137" s="30"/>
      <c r="CJ137" s="30"/>
      <c r="CK137" s="30"/>
      <c r="CL137" s="30"/>
      <c r="CM137" s="30"/>
      <c r="CN137" s="30"/>
      <c r="CO137" s="355"/>
      <c r="CR137" s="498"/>
      <c r="CS137" s="498"/>
      <c r="CT137" s="498"/>
      <c r="CU137" s="498"/>
      <c r="CV137" s="498"/>
      <c r="CW137" s="498"/>
      <c r="CX137" s="498"/>
      <c r="CY137" s="498"/>
      <c r="CZ137" s="498"/>
      <c r="DA137" s="498"/>
      <c r="DB137" s="498"/>
      <c r="DC137" s="498"/>
      <c r="DD137" s="498"/>
      <c r="DE137" s="498"/>
      <c r="DF137" s="498"/>
      <c r="DG137" s="498"/>
      <c r="DH137" s="498"/>
      <c r="DI137" s="498"/>
      <c r="DJ137" s="498"/>
      <c r="DK137" s="498"/>
      <c r="DL137" s="498"/>
      <c r="DM137" s="498"/>
      <c r="DN137" s="498"/>
      <c r="DO137" s="498"/>
      <c r="DP137" s="498"/>
      <c r="DQ137" s="498"/>
      <c r="DR137" s="498"/>
      <c r="DS137" s="498"/>
      <c r="DT137" s="498"/>
      <c r="DU137" s="498"/>
      <c r="DV137" s="498"/>
      <c r="DW137" s="498"/>
      <c r="DX137" s="498"/>
      <c r="DY137" s="498"/>
      <c r="DZ137" s="498"/>
      <c r="EA137" s="498"/>
      <c r="EB137" s="498"/>
      <c r="EC137" s="498"/>
      <c r="ED137" s="498"/>
      <c r="EE137" s="498"/>
      <c r="EF137" s="498"/>
      <c r="EG137" s="498"/>
      <c r="EH137" s="498"/>
      <c r="EI137" s="498"/>
      <c r="EJ137" s="498"/>
      <c r="EK137" s="498"/>
      <c r="EL137" s="498"/>
      <c r="EM137" s="498"/>
      <c r="EN137" s="498"/>
      <c r="EO137" s="498"/>
      <c r="EP137" s="498"/>
      <c r="EQ137" s="498"/>
      <c r="ER137" s="498"/>
      <c r="ES137" s="498"/>
      <c r="ET137" s="498"/>
      <c r="EU137" s="498"/>
      <c r="EV137" s="498"/>
      <c r="EW137" s="498"/>
      <c r="EX137" s="498"/>
      <c r="EY137" s="498"/>
      <c r="EZ137" s="498"/>
      <c r="FA137" s="498"/>
      <c r="FB137" s="498"/>
      <c r="FC137" s="498"/>
    </row>
    <row r="138" spans="3:159">
      <c r="C138" s="291" t="s">
        <v>803</v>
      </c>
      <c r="D138" s="19"/>
      <c r="E138" s="19"/>
      <c r="F138" s="19"/>
      <c r="G138" s="19"/>
      <c r="H138" s="19"/>
      <c r="I138" s="19"/>
      <c r="J138" s="19">
        <f t="shared" ref="J138:AH138" si="31">J243</f>
        <v>-78</v>
      </c>
      <c r="K138" s="19">
        <f t="shared" si="31"/>
        <v>-65</v>
      </c>
      <c r="L138" s="19">
        <f t="shared" si="31"/>
        <v>-203</v>
      </c>
      <c r="M138" s="19">
        <f t="shared" si="31"/>
        <v>-174</v>
      </c>
      <c r="N138" s="19">
        <f t="shared" si="31"/>
        <v>-168</v>
      </c>
      <c r="O138" s="19">
        <f t="shared" si="31"/>
        <v>-215</v>
      </c>
      <c r="P138" s="19">
        <f t="shared" si="31"/>
        <v>-154</v>
      </c>
      <c r="Q138" s="300">
        <f t="shared" si="31"/>
        <v>-138</v>
      </c>
      <c r="R138" s="300">
        <f t="shared" si="31"/>
        <v>-165</v>
      </c>
      <c r="S138" s="300">
        <f t="shared" si="31"/>
        <v>-225</v>
      </c>
      <c r="T138" s="300">
        <f t="shared" si="31"/>
        <v>-144</v>
      </c>
      <c r="U138" s="300">
        <f t="shared" si="31"/>
        <v>26</v>
      </c>
      <c r="V138" s="300">
        <f t="shared" si="31"/>
        <v>-211</v>
      </c>
      <c r="W138" s="300">
        <f t="shared" si="31"/>
        <v>-89</v>
      </c>
      <c r="X138" s="300">
        <f t="shared" si="31"/>
        <v>-7</v>
      </c>
      <c r="Y138" s="300">
        <f t="shared" si="31"/>
        <v>-204</v>
      </c>
      <c r="Z138" s="300">
        <f t="shared" si="31"/>
        <v>-186</v>
      </c>
      <c r="AA138" s="300">
        <f t="shared" si="31"/>
        <v>174</v>
      </c>
      <c r="AB138" s="300">
        <f t="shared" si="31"/>
        <v>23</v>
      </c>
      <c r="AC138" s="300">
        <f t="shared" si="31"/>
        <v>85.985000000000014</v>
      </c>
      <c r="AD138" s="300">
        <f t="shared" si="31"/>
        <v>98.92821272622497</v>
      </c>
      <c r="AE138" s="300">
        <f t="shared" si="31"/>
        <v>115.85053320935441</v>
      </c>
      <c r="AF138" s="300">
        <f t="shared" si="31"/>
        <v>140.32129448281512</v>
      </c>
      <c r="AG138" s="300">
        <f t="shared" si="31"/>
        <v>167.6653324986309</v>
      </c>
      <c r="AH138" s="300">
        <f t="shared" si="31"/>
        <v>214.18511461063076</v>
      </c>
      <c r="AO138" s="338"/>
      <c r="AP138" s="449"/>
      <c r="AR138" s="449"/>
      <c r="AS138" s="449"/>
      <c r="BA138" s="498"/>
      <c r="BB138" s="498"/>
      <c r="BC138" s="498"/>
      <c r="BD138" s="498"/>
      <c r="BE138" s="498"/>
      <c r="BF138" s="498"/>
      <c r="BG138" s="498"/>
      <c r="BH138" s="498"/>
      <c r="BI138" s="498"/>
      <c r="BJ138" s="498"/>
      <c r="BK138" s="498"/>
      <c r="BL138" s="498"/>
      <c r="BM138" s="498"/>
      <c r="BN138" s="498"/>
      <c r="BO138" s="498"/>
      <c r="BP138" s="498"/>
      <c r="BQ138" s="498"/>
      <c r="BR138" s="498"/>
      <c r="BS138" s="498"/>
      <c r="BT138" s="498"/>
      <c r="BU138" s="498"/>
      <c r="BV138" s="498"/>
      <c r="BW138" s="498"/>
      <c r="BX138" s="498"/>
      <c r="BY138" s="498"/>
      <c r="BZ138" s="498"/>
      <c r="CA138" s="498"/>
      <c r="CB138" s="498"/>
      <c r="CC138" s="498"/>
      <c r="CD138" s="498"/>
      <c r="CE138" s="498"/>
      <c r="CF138" s="498"/>
      <c r="CG138" s="300"/>
      <c r="CH138" s="300"/>
      <c r="CI138" s="300"/>
      <c r="CJ138" s="300"/>
      <c r="CK138" s="300"/>
      <c r="CL138" s="300"/>
      <c r="CM138" s="300"/>
      <c r="CN138" s="300"/>
      <c r="CO138" s="357"/>
      <c r="CR138" s="498"/>
      <c r="CS138" s="498"/>
      <c r="CT138" s="498"/>
      <c r="CU138" s="498"/>
      <c r="CV138" s="498"/>
      <c r="CW138" s="498"/>
      <c r="CX138" s="498"/>
      <c r="CY138" s="498"/>
      <c r="CZ138" s="498"/>
      <c r="DA138" s="498"/>
      <c r="DB138" s="498"/>
      <c r="DC138" s="498"/>
      <c r="DD138" s="498"/>
      <c r="DE138" s="498"/>
      <c r="DF138" s="498"/>
      <c r="DG138" s="498"/>
      <c r="DH138" s="498"/>
      <c r="DI138" s="498"/>
      <c r="DJ138" s="498"/>
      <c r="DK138" s="498"/>
      <c r="DL138" s="498"/>
      <c r="DM138" s="498"/>
      <c r="DN138" s="498"/>
      <c r="DO138" s="498"/>
      <c r="DP138" s="498"/>
      <c r="DQ138" s="498"/>
      <c r="DR138" s="498"/>
      <c r="DS138" s="498"/>
      <c r="DT138" s="498"/>
      <c r="DU138" s="498"/>
      <c r="DV138" s="498"/>
      <c r="DW138" s="498"/>
      <c r="DX138" s="498"/>
      <c r="DY138" s="498"/>
      <c r="DZ138" s="498"/>
      <c r="EA138" s="498"/>
      <c r="EB138" s="498"/>
      <c r="EC138" s="498"/>
      <c r="ED138" s="498"/>
      <c r="EE138" s="498"/>
      <c r="EF138" s="498"/>
      <c r="EG138" s="498"/>
      <c r="EH138" s="498"/>
      <c r="EI138" s="498"/>
      <c r="EJ138" s="498"/>
      <c r="EK138" s="498"/>
      <c r="EL138" s="498"/>
      <c r="EM138" s="498"/>
      <c r="EN138" s="498"/>
      <c r="EO138" s="498"/>
      <c r="EP138" s="498"/>
      <c r="EQ138" s="498"/>
      <c r="ER138" s="498"/>
      <c r="ES138" s="498"/>
      <c r="ET138" s="498"/>
      <c r="EU138" s="498"/>
      <c r="EV138" s="498"/>
      <c r="EW138" s="498"/>
      <c r="EX138" s="498"/>
      <c r="EY138" s="498"/>
      <c r="EZ138" s="498"/>
      <c r="FA138" s="498"/>
      <c r="FB138" s="498"/>
      <c r="FC138" s="498"/>
    </row>
    <row r="139" spans="3:159">
      <c r="C139" s="291" t="s">
        <v>660</v>
      </c>
      <c r="D139" s="292"/>
      <c r="E139" s="292"/>
      <c r="F139" s="292"/>
      <c r="G139" s="292"/>
      <c r="H139" s="292"/>
      <c r="I139" s="292"/>
      <c r="J139" s="292">
        <v>0</v>
      </c>
      <c r="K139" s="292">
        <v>0</v>
      </c>
      <c r="L139" s="292">
        <v>0</v>
      </c>
      <c r="M139" s="292">
        <v>0</v>
      </c>
      <c r="N139" s="292">
        <v>0</v>
      </c>
      <c r="O139" s="292">
        <v>0</v>
      </c>
      <c r="P139" s="292">
        <v>0</v>
      </c>
      <c r="Q139" s="292">
        <v>0</v>
      </c>
      <c r="R139" s="292">
        <v>0</v>
      </c>
      <c r="S139" s="292">
        <v>0</v>
      </c>
      <c r="T139" s="292">
        <v>0</v>
      </c>
      <c r="U139" s="292">
        <v>0</v>
      </c>
      <c r="V139" s="292">
        <v>0</v>
      </c>
      <c r="W139" s="292">
        <v>0</v>
      </c>
      <c r="X139" s="292">
        <v>0</v>
      </c>
      <c r="Y139" s="292">
        <v>0</v>
      </c>
      <c r="Z139" s="292">
        <v>0</v>
      </c>
      <c r="AA139" s="292">
        <v>0</v>
      </c>
      <c r="AB139" s="292">
        <v>0</v>
      </c>
      <c r="AC139" s="292">
        <v>0</v>
      </c>
      <c r="AD139" s="292">
        <v>0</v>
      </c>
      <c r="AE139" s="292">
        <v>0</v>
      </c>
      <c r="AF139" s="292">
        <v>0</v>
      </c>
      <c r="AG139" s="292">
        <v>0</v>
      </c>
      <c r="AH139" s="292">
        <v>1</v>
      </c>
      <c r="AO139" s="338"/>
      <c r="AP139" s="449"/>
      <c r="AR139" s="449"/>
      <c r="AS139" s="449"/>
      <c r="BA139" s="498"/>
      <c r="BB139" s="498"/>
      <c r="BC139" s="498"/>
      <c r="BD139" s="498"/>
      <c r="BE139" s="498"/>
      <c r="BF139" s="498"/>
      <c r="BG139" s="498"/>
      <c r="BH139" s="498"/>
      <c r="BI139" s="498"/>
      <c r="BJ139" s="498"/>
      <c r="BK139" s="498"/>
      <c r="BL139" s="498"/>
      <c r="BM139" s="498"/>
      <c r="BN139" s="498"/>
      <c r="BO139" s="498"/>
      <c r="BP139" s="498"/>
      <c r="BQ139" s="498"/>
      <c r="BR139" s="498"/>
      <c r="BS139" s="498"/>
      <c r="BT139" s="498"/>
      <c r="BU139" s="498"/>
      <c r="BV139" s="498"/>
      <c r="BW139" s="498"/>
      <c r="BX139" s="498"/>
      <c r="BY139" s="498"/>
      <c r="BZ139" s="498"/>
      <c r="CA139" s="498"/>
      <c r="CB139" s="498"/>
      <c r="CC139" s="498"/>
      <c r="CD139" s="498"/>
      <c r="CE139" s="498"/>
      <c r="CF139" s="498"/>
      <c r="CG139" s="292"/>
      <c r="CH139" s="292"/>
      <c r="CI139" s="292"/>
      <c r="CJ139" s="292"/>
      <c r="CK139" s="292"/>
      <c r="CL139" s="292"/>
      <c r="CM139" s="292"/>
      <c r="CN139" s="292"/>
      <c r="CO139" s="363"/>
      <c r="CR139" s="498"/>
      <c r="CS139" s="498"/>
      <c r="CT139" s="498"/>
      <c r="CU139" s="498"/>
      <c r="CV139" s="498"/>
      <c r="CW139" s="498"/>
      <c r="CX139" s="498"/>
      <c r="CY139" s="498"/>
      <c r="CZ139" s="498"/>
      <c r="DA139" s="498"/>
      <c r="DB139" s="498"/>
      <c r="DC139" s="498"/>
      <c r="DD139" s="498"/>
      <c r="DE139" s="498"/>
      <c r="DF139" s="498"/>
      <c r="DG139" s="498"/>
      <c r="DH139" s="498"/>
      <c r="DI139" s="498"/>
      <c r="DJ139" s="498"/>
      <c r="DK139" s="498"/>
      <c r="DL139" s="498"/>
      <c r="DM139" s="498"/>
      <c r="DN139" s="498"/>
      <c r="DO139" s="498"/>
      <c r="DP139" s="498"/>
      <c r="DQ139" s="498"/>
      <c r="DR139" s="498"/>
      <c r="DS139" s="498"/>
      <c r="DT139" s="498"/>
      <c r="DU139" s="498"/>
      <c r="DV139" s="498"/>
      <c r="DW139" s="498"/>
      <c r="DX139" s="498"/>
      <c r="DY139" s="498"/>
      <c r="DZ139" s="498"/>
      <c r="EA139" s="498"/>
      <c r="EB139" s="498"/>
      <c r="EC139" s="498"/>
      <c r="ED139" s="498"/>
      <c r="EE139" s="498"/>
      <c r="EF139" s="498"/>
      <c r="EG139" s="498"/>
      <c r="EH139" s="498"/>
      <c r="EI139" s="498"/>
      <c r="EJ139" s="498"/>
      <c r="EK139" s="498"/>
      <c r="EL139" s="498"/>
      <c r="EM139" s="498"/>
      <c r="EN139" s="498"/>
      <c r="EO139" s="498"/>
      <c r="EP139" s="498"/>
      <c r="EQ139" s="498"/>
      <c r="ER139" s="498"/>
      <c r="ES139" s="498"/>
      <c r="ET139" s="498"/>
      <c r="EU139" s="498"/>
      <c r="EV139" s="498"/>
      <c r="EW139" s="498"/>
      <c r="EX139" s="498"/>
      <c r="EY139" s="498"/>
      <c r="EZ139" s="498"/>
      <c r="FA139" s="498"/>
      <c r="FB139" s="498"/>
      <c r="FC139" s="498"/>
    </row>
    <row r="140" spans="3:159">
      <c r="C140" s="214" t="s">
        <v>802</v>
      </c>
      <c r="D140" s="288"/>
      <c r="E140" s="288"/>
      <c r="F140" s="288"/>
      <c r="G140" s="288"/>
      <c r="H140" s="288"/>
      <c r="I140" s="288"/>
      <c r="J140" s="289" t="e">
        <f>((J135-J136)-(J137*J138))-(J139*J137)-'Income Statement'!H166</f>
        <v>#REF!</v>
      </c>
      <c r="K140" s="289" t="e">
        <f>((K135-K136)-(K137*K138))-(K139*K137)-'Income Statement'!I166</f>
        <v>#REF!</v>
      </c>
      <c r="L140" s="289" t="e">
        <f>((L135-L136)-(L137*L138))-(L139*L137)-'Income Statement'!J166</f>
        <v>#REF!</v>
      </c>
      <c r="M140" s="289" t="e">
        <f>((M135-M136)-(M137*M138))-(M139*M137)-'Income Statement'!K166</f>
        <v>#REF!</v>
      </c>
      <c r="N140" s="289" t="e">
        <f>((N135-N136)-(N137*N138))-(N139*N137)-'Income Statement'!L166</f>
        <v>#REF!</v>
      </c>
      <c r="O140" s="289" t="e">
        <f>((O135-O136)-(O137*O138))-(O139*O137)-'Income Statement'!M166</f>
        <v>#REF!</v>
      </c>
      <c r="P140" s="289" t="e">
        <f>((P135-P136)-(P137*P138))-(P139*P137)-'Income Statement'!N166</f>
        <v>#REF!</v>
      </c>
      <c r="Q140" s="289">
        <f>((Q135-Q136)-(Q137*Q138))-(Q139*Q137)-'Income Statement'!O166</f>
        <v>1666.8461538461538</v>
      </c>
      <c r="R140" s="289">
        <f>((R135-R136)-(R137*R138))-(R139*R137)-'Income Statement'!P166</f>
        <v>2189.7692307692309</v>
      </c>
      <c r="S140" s="289">
        <f>((S135-S136)-(S137*S138))-(S139*S137)-'Income Statement'!Q166</f>
        <v>2446.2238805970151</v>
      </c>
      <c r="T140" s="289">
        <f>((T135-T136)-(T137*T138))-(T139*T137)-'Income Statement'!R166</f>
        <v>2835.4866310160428</v>
      </c>
      <c r="U140" s="289" t="e">
        <f>((U135-U136)-(U137*U138))-(U139*U137)-'Income Statement'!S166+U141</f>
        <v>#REF!</v>
      </c>
      <c r="V140" s="289" t="e">
        <f>((V135-V136)-(V137*V138))-(V139*V137)-'Income Statement'!T166+V141</f>
        <v>#REF!</v>
      </c>
      <c r="W140" s="289" t="e">
        <f>((W135-W136)-(W137*W138))-(W139*W137)-'Income Statement'!U166+W141</f>
        <v>#REF!</v>
      </c>
      <c r="X140" s="289" t="e">
        <f>((X135-X136)-(X137*X138))-(X139*X137)-'Income Statement'!V166+X141</f>
        <v>#REF!</v>
      </c>
      <c r="Y140" s="289" t="e">
        <f>((Y135-Y136)-(Y137*Y138))-(Y139*Y137)-'Income Statement'!W166+Y141</f>
        <v>#REF!</v>
      </c>
      <c r="Z140" s="289" t="e">
        <f>((Z135-Z136)-(Z137*Z138))-(Z139*Z137)-'Income Statement'!X166+Z141</f>
        <v>#REF!</v>
      </c>
      <c r="AA140" s="289" t="e">
        <f>((AA135-AA136)-(AA137*AA138))-(AA139*AA137)-'Income Statement'!Y166+AA141</f>
        <v>#REF!</v>
      </c>
      <c r="AB140" s="289" t="e">
        <f>((AB135-AB136)-(AB137*AB138))-(AB139*AB137)-'Income Statement'!Z166+AB141</f>
        <v>#REF!</v>
      </c>
      <c r="AC140" s="289" t="e">
        <f>((AC135-AC136)-(AC137*AC138))-(AC139*AC137)-'Income Statement'!AA166+AC141</f>
        <v>#REF!</v>
      </c>
      <c r="AD140" s="289" t="e">
        <f>((AD135-AD136)-(AD137*AD138))-(AD139*AD137)-'Income Statement'!AB166+AD141</f>
        <v>#REF!</v>
      </c>
      <c r="AE140" s="289" t="e">
        <f>((AE135-AE136)-(AE137*AE138))-(AE139*AE137)-'Income Statement'!AC166+AE141</f>
        <v>#REF!</v>
      </c>
      <c r="AF140" s="289" t="e">
        <f>((AF135-AF136)-(AF137*AF138))-(AF139*AF137)-'Income Statement'!AD166+AF141</f>
        <v>#REF!</v>
      </c>
      <c r="AG140" s="289" t="e">
        <f>((AG135-AG136)-(AG137*AG138))-(AG139*AG137)-'Income Statement'!AE166+AG141</f>
        <v>#REF!</v>
      </c>
      <c r="AH140" s="289" t="e">
        <f>((AH135-AH136)-(AH137*AH138))-(AH139*AH137)-'Income Statement'!AF166+AH141</f>
        <v>#REF!</v>
      </c>
      <c r="AO140" s="338"/>
      <c r="AP140" s="449"/>
      <c r="AR140" s="449"/>
      <c r="AS140" s="449"/>
      <c r="BA140" s="498"/>
      <c r="BB140" s="498"/>
      <c r="BC140" s="498"/>
      <c r="BD140" s="498"/>
      <c r="BE140" s="498"/>
      <c r="BF140" s="498"/>
      <c r="BG140" s="498"/>
      <c r="BH140" s="498"/>
      <c r="BI140" s="498"/>
      <c r="BJ140" s="498"/>
      <c r="BK140" s="498"/>
      <c r="BL140" s="498"/>
      <c r="BM140" s="498"/>
      <c r="BN140" s="498"/>
      <c r="BO140" s="498"/>
      <c r="BP140" s="498"/>
      <c r="BQ140" s="498"/>
      <c r="BR140" s="498"/>
      <c r="BS140" s="498"/>
      <c r="BT140" s="498"/>
      <c r="BU140" s="498"/>
      <c r="BV140" s="498"/>
      <c r="BW140" s="498"/>
      <c r="BX140" s="498"/>
      <c r="BY140" s="498"/>
      <c r="BZ140" s="498"/>
      <c r="CA140" s="498"/>
      <c r="CB140" s="498"/>
      <c r="CC140" s="498"/>
      <c r="CD140" s="498"/>
      <c r="CE140" s="498"/>
      <c r="CF140" s="498"/>
      <c r="CG140" s="289"/>
      <c r="CH140" s="289"/>
      <c r="CI140" s="289"/>
      <c r="CJ140" s="289"/>
      <c r="CK140" s="289"/>
      <c r="CL140" s="289"/>
      <c r="CM140" s="289"/>
      <c r="CN140" s="289"/>
      <c r="CO140" s="281"/>
      <c r="CR140" s="498"/>
      <c r="CS140" s="498"/>
      <c r="CT140" s="498"/>
      <c r="CU140" s="498"/>
      <c r="CV140" s="498"/>
      <c r="CW140" s="498"/>
      <c r="CX140" s="498"/>
      <c r="CY140" s="498"/>
      <c r="CZ140" s="498"/>
      <c r="DA140" s="498"/>
      <c r="DB140" s="498"/>
      <c r="DC140" s="498"/>
      <c r="DD140" s="498"/>
      <c r="DE140" s="498"/>
      <c r="DF140" s="498"/>
      <c r="DG140" s="498"/>
      <c r="DH140" s="498"/>
      <c r="DI140" s="498"/>
      <c r="DJ140" s="498"/>
      <c r="DK140" s="498"/>
      <c r="DL140" s="498"/>
      <c r="DM140" s="498"/>
      <c r="DN140" s="498"/>
      <c r="DO140" s="498"/>
      <c r="DP140" s="498"/>
      <c r="DQ140" s="498"/>
      <c r="DR140" s="498"/>
      <c r="DS140" s="498"/>
      <c r="DT140" s="498"/>
      <c r="DU140" s="498"/>
      <c r="DV140" s="498"/>
      <c r="DW140" s="498"/>
      <c r="DX140" s="498"/>
      <c r="DY140" s="498"/>
      <c r="DZ140" s="498"/>
      <c r="EA140" s="498"/>
      <c r="EB140" s="498"/>
      <c r="EC140" s="498"/>
      <c r="ED140" s="498"/>
      <c r="EE140" s="498"/>
      <c r="EF140" s="498"/>
      <c r="EG140" s="498"/>
      <c r="EH140" s="498"/>
      <c r="EI140" s="498"/>
      <c r="EJ140" s="498"/>
      <c r="EK140" s="498"/>
      <c r="EL140" s="498"/>
      <c r="EM140" s="498"/>
      <c r="EN140" s="498"/>
      <c r="EO140" s="498"/>
      <c r="EP140" s="498"/>
      <c r="EQ140" s="498"/>
      <c r="ER140" s="498"/>
      <c r="ES140" s="498"/>
      <c r="ET140" s="498"/>
      <c r="EU140" s="498"/>
      <c r="EV140" s="498"/>
      <c r="EW140" s="498"/>
      <c r="EX140" s="498"/>
      <c r="EY140" s="498"/>
      <c r="EZ140" s="498"/>
      <c r="FA140" s="498"/>
      <c r="FB140" s="498"/>
      <c r="FC140" s="498"/>
    </row>
    <row r="141" spans="3:159">
      <c r="C141" s="291" t="s">
        <v>1556</v>
      </c>
      <c r="D141" s="19"/>
      <c r="E141" s="19"/>
      <c r="F141" s="19"/>
      <c r="G141" s="19"/>
      <c r="H141" s="19"/>
      <c r="I141" s="19"/>
      <c r="J141" s="19"/>
      <c r="K141" s="19"/>
      <c r="L141" s="19"/>
      <c r="M141" s="19"/>
      <c r="N141" s="19"/>
      <c r="O141" s="19"/>
      <c r="P141" s="19"/>
      <c r="Q141" s="19"/>
      <c r="R141" s="19"/>
      <c r="S141" s="19"/>
      <c r="T141" s="19"/>
      <c r="U141" s="287" t="e">
        <f>'Aerospace Propulsion Division'!#REF!+'Aerospace Propulsion Division'!#REF!</f>
        <v>#REF!</v>
      </c>
      <c r="V141" s="287" t="e">
        <f>'Aerospace Propulsion Division'!#REF!+'Aerospace Propulsion Division'!#REF!</f>
        <v>#REF!</v>
      </c>
      <c r="W141" s="287" t="e">
        <f>'Aerospace Propulsion Division'!#REF!+'Aerospace Propulsion Division'!#REF!</f>
        <v>#REF!</v>
      </c>
      <c r="X141" s="287" t="e">
        <f>'Aerospace Propulsion Division'!#REF!+'Aerospace Propulsion Division'!#REF!</f>
        <v>#REF!</v>
      </c>
      <c r="Y141" s="287" t="e">
        <f>'Aerospace Propulsion Division'!#REF!+'Aerospace Propulsion Division'!#REF!</f>
        <v>#REF!</v>
      </c>
      <c r="Z141" s="287" t="e">
        <f>'Aerospace Propulsion Division'!#REF!+'Aerospace Propulsion Division'!#REF!</f>
        <v>#REF!</v>
      </c>
      <c r="AA141" s="287" t="e">
        <f>'Aerospace Propulsion Division'!#REF!+'Aerospace Propulsion Division'!#REF!</f>
        <v>#REF!</v>
      </c>
      <c r="AB141" s="287" t="e">
        <f>'Aerospace Propulsion Division'!#REF!+'Aerospace Propulsion Division'!#REF!</f>
        <v>#REF!</v>
      </c>
      <c r="AC141" s="287" t="e">
        <f>'Aerospace Propulsion Division'!#REF!+'Aerospace Propulsion Division'!#REF!</f>
        <v>#REF!</v>
      </c>
      <c r="AD141" s="287" t="e">
        <f>'Aerospace Propulsion Division'!#REF!+'Aerospace Propulsion Division'!#REF!</f>
        <v>#REF!</v>
      </c>
      <c r="AE141" s="287" t="e">
        <f>'Aerospace Propulsion Division'!#REF!+'Aerospace Propulsion Division'!#REF!</f>
        <v>#REF!</v>
      </c>
      <c r="AF141" s="287" t="e">
        <f>'Aerospace Propulsion Division'!#REF!+'Aerospace Propulsion Division'!#REF!</f>
        <v>#REF!</v>
      </c>
      <c r="AG141" s="287" t="e">
        <f>'Aerospace Propulsion Division'!#REF!+'Aerospace Propulsion Division'!#REF!</f>
        <v>#REF!</v>
      </c>
      <c r="AH141" s="287" t="e">
        <f>'Aerospace Propulsion Division'!#REF!+'Aerospace Propulsion Division'!#REF!</f>
        <v>#REF!</v>
      </c>
      <c r="AO141" s="338"/>
      <c r="AP141" s="449" t="s">
        <v>1555</v>
      </c>
      <c r="AR141" s="449"/>
      <c r="AS141" s="449"/>
      <c r="BA141" s="498"/>
      <c r="BB141" s="498"/>
      <c r="BC141" s="498"/>
      <c r="BD141" s="498"/>
      <c r="BE141" s="498"/>
      <c r="BF141" s="498"/>
      <c r="BG141" s="498"/>
      <c r="BH141" s="498"/>
      <c r="BI141" s="498"/>
      <c r="BJ141" s="498"/>
      <c r="BK141" s="498"/>
      <c r="BL141" s="498"/>
      <c r="BM141" s="498"/>
      <c r="BN141" s="498"/>
      <c r="BO141" s="498"/>
      <c r="BP141" s="498"/>
      <c r="BQ141" s="498"/>
      <c r="BR141" s="498"/>
      <c r="BS141" s="498"/>
      <c r="BT141" s="498"/>
      <c r="BU141" s="498"/>
      <c r="BV141" s="498"/>
      <c r="BW141" s="498"/>
      <c r="BX141" s="498"/>
      <c r="BY141" s="498"/>
      <c r="BZ141" s="498"/>
      <c r="CA141" s="498"/>
      <c r="CB141" s="498"/>
      <c r="CC141" s="498"/>
      <c r="CD141" s="498"/>
      <c r="CE141" s="498"/>
      <c r="CF141" s="498"/>
      <c r="CG141" s="287"/>
      <c r="CH141" s="287"/>
      <c r="CI141" s="287"/>
      <c r="CJ141" s="287"/>
      <c r="CK141" s="287"/>
      <c r="CL141" s="287"/>
      <c r="CM141" s="287"/>
      <c r="CN141" s="287"/>
      <c r="CO141" s="27"/>
      <c r="CR141" s="498"/>
      <c r="CS141" s="498"/>
      <c r="CT141" s="498"/>
      <c r="CU141" s="498"/>
      <c r="CV141" s="498"/>
      <c r="CW141" s="498"/>
      <c r="CX141" s="498"/>
      <c r="CY141" s="498"/>
      <c r="CZ141" s="498"/>
      <c r="DA141" s="498"/>
      <c r="DB141" s="498"/>
      <c r="DC141" s="498"/>
      <c r="DD141" s="498"/>
      <c r="DE141" s="498"/>
      <c r="DF141" s="498"/>
      <c r="DG141" s="498"/>
      <c r="DH141" s="498"/>
      <c r="DI141" s="498"/>
      <c r="DJ141" s="498"/>
      <c r="DK141" s="498"/>
      <c r="DL141" s="498"/>
      <c r="DM141" s="498"/>
      <c r="DN141" s="498"/>
      <c r="DO141" s="498"/>
      <c r="DP141" s="498"/>
      <c r="DQ141" s="498"/>
      <c r="DR141" s="498"/>
      <c r="DS141" s="498"/>
      <c r="DT141" s="498"/>
      <c r="DU141" s="498"/>
      <c r="DV141" s="498"/>
      <c r="DW141" s="498"/>
      <c r="DX141" s="498"/>
      <c r="DY141" s="498"/>
      <c r="DZ141" s="498"/>
      <c r="EA141" s="498"/>
      <c r="EB141" s="498"/>
      <c r="EC141" s="498"/>
      <c r="ED141" s="498"/>
      <c r="EE141" s="498"/>
      <c r="EF141" s="498"/>
      <c r="EG141" s="498"/>
      <c r="EH141" s="498"/>
      <c r="EI141" s="498"/>
      <c r="EJ141" s="498"/>
      <c r="EK141" s="498"/>
      <c r="EL141" s="498"/>
      <c r="EM141" s="498"/>
      <c r="EN141" s="498"/>
      <c r="EO141" s="498"/>
      <c r="EP141" s="498"/>
      <c r="EQ141" s="498"/>
      <c r="ER141" s="498"/>
      <c r="ES141" s="498"/>
      <c r="ET141" s="498"/>
      <c r="EU141" s="498"/>
      <c r="EV141" s="498"/>
      <c r="EW141" s="498"/>
      <c r="EX141" s="498"/>
      <c r="EY141" s="498"/>
      <c r="EZ141" s="498"/>
      <c r="FA141" s="498"/>
      <c r="FB141" s="498"/>
      <c r="FC141" s="498"/>
    </row>
    <row r="142" spans="3:159">
      <c r="C142" s="19" t="s">
        <v>513</v>
      </c>
      <c r="D142" s="19"/>
      <c r="E142" s="19"/>
      <c r="F142" s="19"/>
      <c r="G142" s="19"/>
      <c r="H142" s="19"/>
      <c r="I142" s="19"/>
      <c r="J142" s="19"/>
      <c r="K142" s="19"/>
      <c r="L142" s="19"/>
      <c r="M142" s="19"/>
      <c r="N142" s="19"/>
      <c r="O142" s="19"/>
      <c r="P142" s="19"/>
      <c r="Q142" s="19"/>
      <c r="R142" s="19"/>
      <c r="S142" s="19"/>
      <c r="T142" s="19"/>
      <c r="U142" s="19"/>
      <c r="V142" s="19"/>
      <c r="W142" s="19"/>
      <c r="X142" s="19"/>
      <c r="Y142" s="19"/>
      <c r="Z142" s="19"/>
      <c r="AA142" s="19"/>
      <c r="AB142" s="19"/>
      <c r="AC142" s="19"/>
      <c r="AD142" s="19"/>
      <c r="AE142" s="19"/>
      <c r="AF142" s="19"/>
      <c r="AG142" s="19"/>
      <c r="AH142" s="19"/>
      <c r="AO142" s="338"/>
      <c r="AP142" s="449"/>
      <c r="AR142" s="449"/>
      <c r="AS142" s="449"/>
      <c r="BA142" s="498"/>
      <c r="BB142" s="498"/>
      <c r="BC142" s="498"/>
      <c r="BD142" s="498"/>
      <c r="BE142" s="498"/>
      <c r="BF142" s="498"/>
      <c r="BG142" s="498"/>
      <c r="BH142" s="498"/>
      <c r="BI142" s="498"/>
      <c r="BJ142" s="498"/>
      <c r="BK142" s="498"/>
      <c r="BL142" s="498"/>
      <c r="BM142" s="498"/>
      <c r="BN142" s="498"/>
      <c r="BO142" s="498"/>
      <c r="BP142" s="498"/>
      <c r="BQ142" s="498"/>
      <c r="BR142" s="498"/>
      <c r="BS142" s="498"/>
      <c r="BT142" s="498"/>
      <c r="BU142" s="498"/>
      <c r="BV142" s="498"/>
      <c r="BW142" s="498"/>
      <c r="BX142" s="498"/>
      <c r="BY142" s="498"/>
      <c r="BZ142" s="498"/>
      <c r="CA142" s="498"/>
      <c r="CB142" s="498"/>
      <c r="CC142" s="498"/>
      <c r="CD142" s="498"/>
      <c r="CE142" s="498"/>
      <c r="CF142" s="498"/>
      <c r="CG142" s="19"/>
      <c r="CH142" s="19"/>
      <c r="CI142" s="19"/>
      <c r="CJ142" s="19"/>
      <c r="CK142" s="19"/>
      <c r="CL142" s="19"/>
      <c r="CM142" s="19"/>
      <c r="CN142" s="19"/>
      <c r="CO142" s="4"/>
      <c r="CR142" s="498"/>
      <c r="CS142" s="498"/>
      <c r="CT142" s="498"/>
      <c r="CU142" s="498"/>
      <c r="CV142" s="498"/>
      <c r="CW142" s="498"/>
      <c r="CX142" s="498"/>
      <c r="CY142" s="498"/>
      <c r="CZ142" s="498"/>
      <c r="DA142" s="498"/>
      <c r="DB142" s="498"/>
      <c r="DC142" s="498"/>
      <c r="DD142" s="498"/>
      <c r="DE142" s="498"/>
      <c r="DF142" s="498"/>
      <c r="DG142" s="498"/>
      <c r="DH142" s="498"/>
      <c r="DI142" s="498"/>
      <c r="DJ142" s="498"/>
      <c r="DK142" s="498"/>
      <c r="DL142" s="498"/>
      <c r="DM142" s="498"/>
      <c r="DN142" s="498"/>
      <c r="DO142" s="498"/>
      <c r="DP142" s="498"/>
      <c r="DQ142" s="498"/>
      <c r="DR142" s="498"/>
      <c r="DS142" s="498"/>
      <c r="DT142" s="498"/>
      <c r="DU142" s="498"/>
      <c r="DV142" s="498"/>
      <c r="DW142" s="498"/>
      <c r="DX142" s="498"/>
      <c r="DY142" s="498"/>
      <c r="DZ142" s="498"/>
      <c r="EA142" s="498"/>
      <c r="EB142" s="498"/>
      <c r="EC142" s="498"/>
      <c r="ED142" s="498"/>
      <c r="EE142" s="498"/>
      <c r="EF142" s="498"/>
      <c r="EG142" s="498"/>
      <c r="EH142" s="498"/>
      <c r="EI142" s="498"/>
      <c r="EJ142" s="498"/>
      <c r="EK142" s="498"/>
      <c r="EL142" s="498"/>
      <c r="EM142" s="498"/>
      <c r="EN142" s="498"/>
      <c r="EO142" s="498"/>
      <c r="EP142" s="498"/>
      <c r="EQ142" s="498"/>
      <c r="ER142" s="498"/>
      <c r="ES142" s="498"/>
      <c r="ET142" s="498"/>
      <c r="EU142" s="498"/>
      <c r="EV142" s="498"/>
      <c r="EW142" s="498"/>
      <c r="EX142" s="498"/>
      <c r="EY142" s="498"/>
      <c r="EZ142" s="498"/>
      <c r="FA142" s="498"/>
      <c r="FB142" s="498"/>
      <c r="FC142" s="498"/>
    </row>
    <row r="143" spans="3:159">
      <c r="C143" s="291" t="s">
        <v>645</v>
      </c>
      <c r="D143" s="19"/>
      <c r="E143" s="19"/>
      <c r="F143" s="19"/>
      <c r="G143" s="19"/>
      <c r="H143" s="19"/>
      <c r="I143" s="19"/>
      <c r="J143" s="287">
        <f>'Balance Sheet'!H132</f>
        <v>4871</v>
      </c>
      <c r="K143" s="287">
        <f>'Balance Sheet'!I132</f>
        <v>4881</v>
      </c>
      <c r="L143" s="287">
        <f>'Balance Sheet'!J132</f>
        <v>5238</v>
      </c>
      <c r="M143" s="287">
        <f>'Balance Sheet'!K132</f>
        <v>5436</v>
      </c>
      <c r="N143" s="287">
        <f>'Balance Sheet'!L132</f>
        <v>5750</v>
      </c>
      <c r="O143" s="287">
        <f>'Balance Sheet'!M132</f>
        <v>6434</v>
      </c>
      <c r="P143" s="287">
        <f>'Balance Sheet'!N132</f>
        <v>6768</v>
      </c>
      <c r="Q143" s="287">
        <f>'Balance Sheet'!O132</f>
        <v>6510</v>
      </c>
      <c r="R143" s="287">
        <f>'Balance Sheet'!P132</f>
        <v>7299</v>
      </c>
      <c r="S143" s="287">
        <f>'Balance Sheet'!Q132</f>
        <v>8105</v>
      </c>
      <c r="T143" s="287">
        <f>'Balance Sheet'!R132</f>
        <v>7385</v>
      </c>
      <c r="U143" s="287">
        <f>'Balance Sheet'!S132</f>
        <v>7889</v>
      </c>
      <c r="V143" s="287">
        <f>'Balance Sheet'!T132</f>
        <v>9636</v>
      </c>
      <c r="W143" s="287">
        <f>'Balance Sheet'!U132</f>
        <v>9934</v>
      </c>
      <c r="X143" s="287">
        <f>'Balance Sheet'!V132</f>
        <v>10006</v>
      </c>
      <c r="Y143" s="287">
        <f>'Balance Sheet'!W132</f>
        <v>10490</v>
      </c>
      <c r="Z143" s="287">
        <f>'Balance Sheet'!X132</f>
        <v>10619</v>
      </c>
      <c r="AA143" s="287">
        <f>'Balance Sheet'!Y132</f>
        <v>11317</v>
      </c>
      <c r="AB143" s="287">
        <f>'Balance Sheet'!Z132</f>
        <v>12251</v>
      </c>
      <c r="AC143" s="287">
        <f>'Balance Sheet'!AA132</f>
        <v>13972.798346120169</v>
      </c>
      <c r="AD143" s="287">
        <f>'Balance Sheet'!AB132</f>
        <v>15698.230146878879</v>
      </c>
      <c r="AE143" s="287">
        <f>'Balance Sheet'!AC132</f>
        <v>17397.053779278373</v>
      </c>
      <c r="AF143" s="287">
        <f>'Balance Sheet'!AD132</f>
        <v>19018.068437485032</v>
      </c>
      <c r="AG143" s="287">
        <f>'Balance Sheet'!AE132</f>
        <v>20493.071694325441</v>
      </c>
      <c r="AH143" s="287">
        <f>'Balance Sheet'!AF132</f>
        <v>21803.468795353856</v>
      </c>
      <c r="AO143" s="338"/>
      <c r="AP143" s="449"/>
      <c r="AR143" s="449"/>
      <c r="AS143" s="449"/>
      <c r="BA143" s="498"/>
      <c r="BB143" s="498"/>
      <c r="BC143" s="498"/>
      <c r="BD143" s="498"/>
      <c r="BE143" s="498"/>
      <c r="BF143" s="498"/>
      <c r="BG143" s="498"/>
      <c r="BH143" s="498"/>
      <c r="BI143" s="498"/>
      <c r="BJ143" s="498"/>
      <c r="BK143" s="498"/>
      <c r="BL143" s="498"/>
      <c r="BM143" s="498"/>
      <c r="BN143" s="498"/>
      <c r="BO143" s="498"/>
      <c r="BP143" s="498"/>
      <c r="BQ143" s="498"/>
      <c r="BR143" s="498"/>
      <c r="BS143" s="498"/>
      <c r="BT143" s="498"/>
      <c r="BU143" s="498"/>
      <c r="BV143" s="498"/>
      <c r="BW143" s="498"/>
      <c r="BX143" s="498"/>
      <c r="BY143" s="498"/>
      <c r="BZ143" s="498"/>
      <c r="CA143" s="498"/>
      <c r="CB143" s="498"/>
      <c r="CC143" s="498"/>
      <c r="CD143" s="498"/>
      <c r="CE143" s="498"/>
      <c r="CF143" s="498"/>
      <c r="CG143" s="287"/>
      <c r="CH143" s="287"/>
      <c r="CI143" s="287"/>
      <c r="CJ143" s="287"/>
      <c r="CK143" s="287"/>
      <c r="CL143" s="287"/>
      <c r="CM143" s="287"/>
      <c r="CN143" s="287"/>
      <c r="CO143" s="27"/>
      <c r="CR143" s="498"/>
      <c r="CS143" s="498"/>
      <c r="CT143" s="498"/>
      <c r="CU143" s="498"/>
      <c r="CV143" s="498"/>
      <c r="CW143" s="498"/>
      <c r="CX143" s="498"/>
      <c r="CY143" s="498"/>
      <c r="CZ143" s="498"/>
      <c r="DA143" s="498"/>
      <c r="DB143" s="498"/>
      <c r="DC143" s="498"/>
      <c r="DD143" s="498"/>
      <c r="DE143" s="498"/>
      <c r="DF143" s="498"/>
      <c r="DG143" s="498"/>
      <c r="DH143" s="498"/>
      <c r="DI143" s="498"/>
      <c r="DJ143" s="498"/>
      <c r="DK143" s="498"/>
      <c r="DL143" s="498"/>
      <c r="DM143" s="498"/>
      <c r="DN143" s="498"/>
      <c r="DO143" s="498"/>
      <c r="DP143" s="498"/>
      <c r="DQ143" s="498"/>
      <c r="DR143" s="498"/>
      <c r="DS143" s="498"/>
      <c r="DT143" s="498"/>
      <c r="DU143" s="498"/>
      <c r="DV143" s="498"/>
      <c r="DW143" s="498"/>
      <c r="DX143" s="498"/>
      <c r="DY143" s="498"/>
      <c r="DZ143" s="498"/>
      <c r="EA143" s="498"/>
      <c r="EB143" s="498"/>
      <c r="EC143" s="498"/>
      <c r="ED143" s="498"/>
      <c r="EE143" s="498"/>
      <c r="EF143" s="498"/>
      <c r="EG143" s="498"/>
      <c r="EH143" s="498"/>
      <c r="EI143" s="498"/>
      <c r="EJ143" s="498"/>
      <c r="EK143" s="498"/>
      <c r="EL143" s="498"/>
      <c r="EM143" s="498"/>
      <c r="EN143" s="498"/>
      <c r="EO143" s="498"/>
      <c r="EP143" s="498"/>
      <c r="EQ143" s="498"/>
      <c r="ER143" s="498"/>
      <c r="ES143" s="498"/>
      <c r="ET143" s="498"/>
      <c r="EU143" s="498"/>
      <c r="EV143" s="498"/>
      <c r="EW143" s="498"/>
      <c r="EX143" s="498"/>
      <c r="EY143" s="498"/>
      <c r="EZ143" s="498"/>
      <c r="FA143" s="498"/>
      <c r="FB143" s="498"/>
      <c r="FC143" s="498"/>
    </row>
    <row r="144" spans="3:159">
      <c r="C144" s="291" t="s">
        <v>642</v>
      </c>
      <c r="D144" s="19"/>
      <c r="E144" s="19"/>
      <c r="F144" s="19"/>
      <c r="G144" s="19"/>
      <c r="H144" s="19"/>
      <c r="I144" s="19"/>
      <c r="J144" s="287">
        <f>'Balance Sheet'!H127</f>
        <v>5404</v>
      </c>
      <c r="K144" s="287">
        <f>'Balance Sheet'!I127</f>
        <v>5591</v>
      </c>
      <c r="L144" s="287">
        <f>'Balance Sheet'!J127</f>
        <v>6187</v>
      </c>
      <c r="M144" s="287">
        <f>'Balance Sheet'!K127</f>
        <v>7048</v>
      </c>
      <c r="N144" s="287">
        <f>'Balance Sheet'!L127</f>
        <v>7339</v>
      </c>
      <c r="O144" s="287">
        <f>'Balance Sheet'!M127</f>
        <v>8923</v>
      </c>
      <c r="P144" s="287">
        <f>'Balance Sheet'!N127</f>
        <v>9631</v>
      </c>
      <c r="Q144" s="287">
        <f>'Balance Sheet'!O127</f>
        <v>11067</v>
      </c>
      <c r="R144" s="287">
        <f>'Balance Sheet'!P127</f>
        <v>12560</v>
      </c>
      <c r="S144" s="287">
        <f>'Balance Sheet'!Q127</f>
        <v>12935</v>
      </c>
      <c r="T144" s="287">
        <f>'Balance Sheet'!R127</f>
        <v>10635</v>
      </c>
      <c r="U144" s="287">
        <f>'Balance Sheet'!S127</f>
        <v>11199</v>
      </c>
      <c r="V144" s="287">
        <f>'Balance Sheet'!T127</f>
        <v>19703</v>
      </c>
      <c r="W144" s="287">
        <f>'Balance Sheet'!U127</f>
        <v>20172</v>
      </c>
      <c r="X144" s="287">
        <f>'Balance Sheet'!V127</f>
        <v>20181</v>
      </c>
      <c r="Y144" s="287">
        <f>'Balance Sheet'!W127</f>
        <v>20761</v>
      </c>
      <c r="Z144" s="287">
        <f>'Balance Sheet'!X127</f>
        <v>21110</v>
      </c>
      <c r="AA144" s="287">
        <f>'Balance Sheet'!Y127</f>
        <v>21196</v>
      </c>
      <c r="AB144" s="287">
        <f>'Balance Sheet'!Z127</f>
        <v>22300</v>
      </c>
      <c r="AC144" s="287">
        <f>'Balance Sheet'!AA127</f>
        <v>23022</v>
      </c>
      <c r="AD144" s="287">
        <f>'Balance Sheet'!AB127</f>
        <v>23744</v>
      </c>
      <c r="AE144" s="287">
        <f>'Balance Sheet'!AC127</f>
        <v>24466</v>
      </c>
      <c r="AF144" s="287">
        <f>'Balance Sheet'!AD127</f>
        <v>25188</v>
      </c>
      <c r="AG144" s="287">
        <f>'Balance Sheet'!AE127</f>
        <v>25910</v>
      </c>
      <c r="AH144" s="287">
        <f>'Balance Sheet'!AF127</f>
        <v>26632</v>
      </c>
      <c r="AO144" s="338"/>
      <c r="AP144" s="449"/>
      <c r="AR144" s="449"/>
      <c r="AS144" s="449"/>
      <c r="BA144" s="498"/>
      <c r="BB144" s="498"/>
      <c r="BC144" s="498"/>
      <c r="BD144" s="498"/>
      <c r="BE144" s="498"/>
      <c r="BF144" s="498"/>
      <c r="BG144" s="498"/>
      <c r="BH144" s="498"/>
      <c r="BI144" s="498"/>
      <c r="BJ144" s="498"/>
      <c r="BK144" s="498"/>
      <c r="BL144" s="498"/>
      <c r="BM144" s="498"/>
      <c r="BN144" s="498"/>
      <c r="BO144" s="498"/>
      <c r="BP144" s="498"/>
      <c r="BQ144" s="498"/>
      <c r="BR144" s="498"/>
      <c r="BS144" s="498"/>
      <c r="BT144" s="498"/>
      <c r="BU144" s="498"/>
      <c r="BV144" s="498"/>
      <c r="BW144" s="498"/>
      <c r="BX144" s="498"/>
      <c r="BY144" s="498"/>
      <c r="BZ144" s="498"/>
      <c r="CA144" s="498"/>
      <c r="CB144" s="498"/>
      <c r="CC144" s="498"/>
      <c r="CD144" s="498"/>
      <c r="CE144" s="498"/>
      <c r="CF144" s="498"/>
      <c r="CG144" s="287"/>
      <c r="CH144" s="287"/>
      <c r="CI144" s="287"/>
      <c r="CJ144" s="287"/>
      <c r="CK144" s="287"/>
      <c r="CL144" s="287"/>
      <c r="CM144" s="287"/>
      <c r="CN144" s="287"/>
      <c r="CO144" s="27"/>
      <c r="CR144" s="498"/>
      <c r="CS144" s="498"/>
      <c r="CT144" s="498"/>
      <c r="CU144" s="498"/>
      <c r="CV144" s="498"/>
      <c r="CW144" s="498"/>
      <c r="CX144" s="498"/>
      <c r="CY144" s="498"/>
      <c r="CZ144" s="498"/>
      <c r="DA144" s="498"/>
      <c r="DB144" s="498"/>
      <c r="DC144" s="498"/>
      <c r="DD144" s="498"/>
      <c r="DE144" s="498"/>
      <c r="DF144" s="498"/>
      <c r="DG144" s="498"/>
      <c r="DH144" s="498"/>
      <c r="DI144" s="498"/>
      <c r="DJ144" s="498"/>
      <c r="DK144" s="498"/>
      <c r="DL144" s="498"/>
      <c r="DM144" s="498"/>
      <c r="DN144" s="498"/>
      <c r="DO144" s="498"/>
      <c r="DP144" s="498"/>
      <c r="DQ144" s="498"/>
      <c r="DR144" s="498"/>
      <c r="DS144" s="498"/>
      <c r="DT144" s="498"/>
      <c r="DU144" s="498"/>
      <c r="DV144" s="498"/>
      <c r="DW144" s="498"/>
      <c r="DX144" s="498"/>
      <c r="DY144" s="498"/>
      <c r="DZ144" s="498"/>
      <c r="EA144" s="498"/>
      <c r="EB144" s="498"/>
      <c r="EC144" s="498"/>
      <c r="ED144" s="498"/>
      <c r="EE144" s="498"/>
      <c r="EF144" s="498"/>
      <c r="EG144" s="498"/>
      <c r="EH144" s="498"/>
      <c r="EI144" s="498"/>
      <c r="EJ144" s="498"/>
      <c r="EK144" s="498"/>
      <c r="EL144" s="498"/>
      <c r="EM144" s="498"/>
      <c r="EN144" s="498"/>
      <c r="EO144" s="498"/>
      <c r="EP144" s="498"/>
      <c r="EQ144" s="498"/>
      <c r="ER144" s="498"/>
      <c r="ES144" s="498"/>
      <c r="ET144" s="498"/>
      <c r="EU144" s="498"/>
      <c r="EV144" s="498"/>
      <c r="EW144" s="498"/>
      <c r="EX144" s="498"/>
      <c r="EY144" s="498"/>
      <c r="EZ144" s="498"/>
      <c r="FA144" s="498"/>
      <c r="FB144" s="498"/>
      <c r="FC144" s="498"/>
    </row>
    <row r="145" spans="3:159">
      <c r="C145" s="19" t="s">
        <v>529</v>
      </c>
      <c r="D145" s="19"/>
      <c r="E145" s="19"/>
      <c r="F145" s="19"/>
      <c r="G145" s="19"/>
      <c r="H145" s="19"/>
      <c r="I145" s="19"/>
      <c r="J145" s="287"/>
      <c r="K145" s="287"/>
      <c r="L145" s="287"/>
      <c r="M145" s="287"/>
      <c r="N145" s="287"/>
      <c r="O145" s="287"/>
      <c r="P145" s="287"/>
      <c r="Q145" s="287"/>
      <c r="R145" s="287"/>
      <c r="S145" s="287"/>
      <c r="T145" s="287"/>
      <c r="U145" s="287"/>
      <c r="V145" s="287"/>
      <c r="W145" s="287"/>
      <c r="X145" s="287"/>
      <c r="Y145" s="287"/>
      <c r="Z145" s="287"/>
      <c r="AA145" s="287"/>
      <c r="AB145" s="287"/>
      <c r="AC145" s="287"/>
      <c r="AD145" s="287"/>
      <c r="AE145" s="287"/>
      <c r="AF145" s="287"/>
      <c r="AG145" s="287"/>
      <c r="AH145" s="287"/>
      <c r="AO145" s="338"/>
      <c r="AP145" s="449"/>
      <c r="AR145" s="449"/>
      <c r="AS145" s="449"/>
      <c r="BA145" s="498"/>
      <c r="BB145" s="498"/>
      <c r="BC145" s="498"/>
      <c r="BD145" s="498"/>
      <c r="BE145" s="498"/>
      <c r="BF145" s="498"/>
      <c r="BG145" s="498"/>
      <c r="BH145" s="498"/>
      <c r="BI145" s="498"/>
      <c r="BJ145" s="498"/>
      <c r="BK145" s="498"/>
      <c r="BL145" s="498"/>
      <c r="BM145" s="498"/>
      <c r="BN145" s="498"/>
      <c r="BO145" s="498"/>
      <c r="BP145" s="498"/>
      <c r="BQ145" s="498"/>
      <c r="BR145" s="498"/>
      <c r="BS145" s="498"/>
      <c r="BT145" s="498"/>
      <c r="BU145" s="498"/>
      <c r="BV145" s="498"/>
      <c r="BW145" s="498"/>
      <c r="BX145" s="498"/>
      <c r="BY145" s="498"/>
      <c r="BZ145" s="498"/>
      <c r="CA145" s="498"/>
      <c r="CB145" s="498"/>
      <c r="CC145" s="498"/>
      <c r="CD145" s="498"/>
      <c r="CE145" s="498"/>
      <c r="CF145" s="498"/>
      <c r="CG145" s="287"/>
      <c r="CH145" s="287"/>
      <c r="CI145" s="287"/>
      <c r="CJ145" s="287"/>
      <c r="CK145" s="287"/>
      <c r="CL145" s="287"/>
      <c r="CM145" s="287"/>
      <c r="CN145" s="287"/>
      <c r="CO145" s="27"/>
      <c r="CR145" s="498"/>
      <c r="CS145" s="498"/>
      <c r="CT145" s="498"/>
      <c r="CU145" s="498"/>
      <c r="CV145" s="498"/>
      <c r="CW145" s="498"/>
      <c r="CX145" s="498"/>
      <c r="CY145" s="498"/>
      <c r="CZ145" s="498"/>
      <c r="DA145" s="498"/>
      <c r="DB145" s="498"/>
      <c r="DC145" s="498"/>
      <c r="DD145" s="498"/>
      <c r="DE145" s="498"/>
      <c r="DF145" s="498"/>
      <c r="DG145" s="498"/>
      <c r="DH145" s="498"/>
      <c r="DI145" s="498"/>
      <c r="DJ145" s="498"/>
      <c r="DK145" s="498"/>
      <c r="DL145" s="498"/>
      <c r="DM145" s="498"/>
      <c r="DN145" s="498"/>
      <c r="DO145" s="498"/>
      <c r="DP145" s="498"/>
      <c r="DQ145" s="498"/>
      <c r="DR145" s="498"/>
      <c r="DS145" s="498"/>
      <c r="DT145" s="498"/>
      <c r="DU145" s="498"/>
      <c r="DV145" s="498"/>
      <c r="DW145" s="498"/>
      <c r="DX145" s="498"/>
      <c r="DY145" s="498"/>
      <c r="DZ145" s="498"/>
      <c r="EA145" s="498"/>
      <c r="EB145" s="498"/>
      <c r="EC145" s="498"/>
      <c r="ED145" s="498"/>
      <c r="EE145" s="498"/>
      <c r="EF145" s="498"/>
      <c r="EG145" s="498"/>
      <c r="EH145" s="498"/>
      <c r="EI145" s="498"/>
      <c r="EJ145" s="498"/>
      <c r="EK145" s="498"/>
      <c r="EL145" s="498"/>
      <c r="EM145" s="498"/>
      <c r="EN145" s="498"/>
      <c r="EO145" s="498"/>
      <c r="EP145" s="498"/>
      <c r="EQ145" s="498"/>
      <c r="ER145" s="498"/>
      <c r="ES145" s="498"/>
      <c r="ET145" s="498"/>
      <c r="EU145" s="498"/>
      <c r="EV145" s="498"/>
      <c r="EW145" s="498"/>
      <c r="EX145" s="498"/>
      <c r="EY145" s="498"/>
      <c r="EZ145" s="498"/>
      <c r="FA145" s="498"/>
      <c r="FB145" s="498"/>
      <c r="FC145" s="498"/>
    </row>
    <row r="146" spans="3:159">
      <c r="C146" s="291" t="s">
        <v>648</v>
      </c>
      <c r="D146" s="284"/>
      <c r="E146" s="284"/>
      <c r="F146" s="284"/>
      <c r="G146" s="284"/>
      <c r="H146" s="284"/>
      <c r="I146" s="284"/>
      <c r="J146" s="287">
        <f>'Balance Sheet'!H18</f>
        <v>3240</v>
      </c>
      <c r="K146" s="287">
        <f>'Balance Sheet'!I18</f>
        <v>3240</v>
      </c>
      <c r="L146" s="287">
        <f>'Balance Sheet'!J18</f>
        <v>3673</v>
      </c>
      <c r="M146" s="287">
        <f>'Balance Sheet'!K18</f>
        <v>3382</v>
      </c>
      <c r="N146" s="287">
        <f>'Balance Sheet'!L18</f>
        <v>3508</v>
      </c>
      <c r="O146" s="287">
        <f>'Balance Sheet'!M18</f>
        <v>3799</v>
      </c>
      <c r="P146" s="287">
        <f>'Balance Sheet'!N18</f>
        <v>4131</v>
      </c>
      <c r="Q146" s="287">
        <f>'Balance Sheet'!O18</f>
        <v>3998</v>
      </c>
      <c r="R146" s="287">
        <f>'Balance Sheet'!P18</f>
        <v>4265</v>
      </c>
      <c r="S146" s="287">
        <f>'Balance Sheet'!Q18</f>
        <v>4518</v>
      </c>
      <c r="T146" s="287">
        <f>'Balance Sheet'!R18</f>
        <v>4247</v>
      </c>
      <c r="U146" s="287">
        <f>'Balance Sheet'!S18</f>
        <v>3954</v>
      </c>
      <c r="V146" s="287">
        <f>'Balance Sheet'!T18</f>
        <v>5558</v>
      </c>
      <c r="W146" s="287">
        <f>'Balance Sheet'!U18</f>
        <v>6312</v>
      </c>
      <c r="X146" s="287">
        <f>'Balance Sheet'!V18</f>
        <v>5190</v>
      </c>
      <c r="Y146" s="287">
        <f>'Balance Sheet'!W18</f>
        <v>5063</v>
      </c>
      <c r="Z146" s="287">
        <f>'Balance Sheet'!X18</f>
        <v>6408</v>
      </c>
      <c r="AA146" s="287">
        <f>'Balance Sheet'!Y18</f>
        <v>7903</v>
      </c>
      <c r="AB146" s="287">
        <f>'Balance Sheet'!Z18</f>
        <v>9491</v>
      </c>
      <c r="AC146" s="287">
        <f>'Balance Sheet'!AA18</f>
        <v>10049.084193765748</v>
      </c>
      <c r="AD146" s="287">
        <f>'Balance Sheet'!AB18</f>
        <v>10129.828478723583</v>
      </c>
      <c r="AE146" s="287">
        <f>'Balance Sheet'!AC18</f>
        <v>10839.540118158493</v>
      </c>
      <c r="AF146" s="287">
        <f>'Balance Sheet'!AD18</f>
        <v>11756.734465785312</v>
      </c>
      <c r="AG146" s="287">
        <f>'Balance Sheet'!AE18</f>
        <v>12471.109842128253</v>
      </c>
      <c r="AH146" s="287">
        <f>'Balance Sheet'!AF18</f>
        <v>13146.626724810252</v>
      </c>
      <c r="AO146" s="338"/>
      <c r="AP146" s="449"/>
      <c r="AR146" s="449"/>
      <c r="AS146" s="449"/>
      <c r="BA146" s="498"/>
      <c r="BB146" s="498"/>
      <c r="BC146" s="498"/>
      <c r="BD146" s="498"/>
      <c r="BE146" s="498"/>
      <c r="BF146" s="498"/>
      <c r="BG146" s="498"/>
      <c r="BH146" s="498"/>
      <c r="BI146" s="498"/>
      <c r="BJ146" s="498"/>
      <c r="BK146" s="498"/>
      <c r="BL146" s="498"/>
      <c r="BM146" s="498"/>
      <c r="BN146" s="498"/>
      <c r="BO146" s="498"/>
      <c r="BP146" s="498"/>
      <c r="BQ146" s="498"/>
      <c r="BR146" s="498"/>
      <c r="BS146" s="498"/>
      <c r="BT146" s="498"/>
      <c r="BU146" s="498"/>
      <c r="BV146" s="498"/>
      <c r="BW146" s="498"/>
      <c r="BX146" s="498"/>
      <c r="BY146" s="498"/>
      <c r="BZ146" s="498"/>
      <c r="CA146" s="498"/>
      <c r="CB146" s="498"/>
      <c r="CC146" s="498"/>
      <c r="CD146" s="498"/>
      <c r="CE146" s="498"/>
      <c r="CF146" s="498"/>
      <c r="CG146" s="287"/>
      <c r="CH146" s="287"/>
      <c r="CI146" s="287"/>
      <c r="CJ146" s="287"/>
      <c r="CK146" s="287"/>
      <c r="CL146" s="287"/>
      <c r="CM146" s="287"/>
      <c r="CN146" s="287"/>
      <c r="CO146" s="27"/>
      <c r="CR146" s="498"/>
      <c r="CS146" s="498"/>
      <c r="CT146" s="498"/>
      <c r="CU146" s="498"/>
      <c r="CV146" s="498"/>
      <c r="CW146" s="498"/>
      <c r="CX146" s="498"/>
      <c r="CY146" s="498"/>
      <c r="CZ146" s="498"/>
      <c r="DA146" s="498"/>
      <c r="DB146" s="498"/>
      <c r="DC146" s="498"/>
      <c r="DD146" s="498"/>
      <c r="DE146" s="498"/>
      <c r="DF146" s="498"/>
      <c r="DG146" s="498"/>
      <c r="DH146" s="498"/>
      <c r="DI146" s="498"/>
      <c r="DJ146" s="498"/>
      <c r="DK146" s="498"/>
      <c r="DL146" s="498"/>
      <c r="DM146" s="498"/>
      <c r="DN146" s="498"/>
      <c r="DO146" s="498"/>
      <c r="DP146" s="498"/>
      <c r="DQ146" s="498"/>
      <c r="DR146" s="498"/>
      <c r="DS146" s="498"/>
      <c r="DT146" s="498"/>
      <c r="DU146" s="498"/>
      <c r="DV146" s="498"/>
      <c r="DW146" s="498"/>
      <c r="DX146" s="498"/>
      <c r="DY146" s="498"/>
      <c r="DZ146" s="498"/>
      <c r="EA146" s="498"/>
      <c r="EB146" s="498"/>
      <c r="EC146" s="498"/>
      <c r="ED146" s="498"/>
      <c r="EE146" s="498"/>
      <c r="EF146" s="498"/>
      <c r="EG146" s="498"/>
      <c r="EH146" s="498"/>
      <c r="EI146" s="498"/>
      <c r="EJ146" s="498"/>
      <c r="EK146" s="498"/>
      <c r="EL146" s="498"/>
      <c r="EM146" s="498"/>
      <c r="EN146" s="498"/>
      <c r="EO146" s="498"/>
      <c r="EP146" s="498"/>
      <c r="EQ146" s="498"/>
      <c r="ER146" s="498"/>
      <c r="ES146" s="498"/>
      <c r="ET146" s="498"/>
      <c r="EU146" s="498"/>
      <c r="EV146" s="498"/>
      <c r="EW146" s="498"/>
      <c r="EX146" s="498"/>
      <c r="EY146" s="498"/>
      <c r="EZ146" s="498"/>
      <c r="FA146" s="498"/>
      <c r="FB146" s="498"/>
      <c r="FC146" s="498"/>
    </row>
    <row r="147" spans="3:159">
      <c r="C147" s="291" t="s">
        <v>649</v>
      </c>
      <c r="D147" s="284"/>
      <c r="E147" s="284"/>
      <c r="F147" s="284"/>
      <c r="G147" s="284"/>
      <c r="H147" s="284"/>
      <c r="I147" s="284"/>
      <c r="J147" s="287">
        <f>'Balance Sheet'!H20</f>
        <v>4218</v>
      </c>
      <c r="K147" s="287">
        <f>'Balance Sheet'!I20</f>
        <v>3926</v>
      </c>
      <c r="L147" s="287">
        <f>'Balance Sheet'!J20</f>
        <v>3881</v>
      </c>
      <c r="M147" s="287">
        <f>'Balance Sheet'!K20</f>
        <v>4158</v>
      </c>
      <c r="N147" s="287">
        <f>'Balance Sheet'!L20</f>
        <v>4219</v>
      </c>
      <c r="O147" s="287">
        <f>'Balance Sheet'!M20</f>
        <v>5005</v>
      </c>
      <c r="P147" s="287">
        <f>'Balance Sheet'!N20</f>
        <v>5025</v>
      </c>
      <c r="Q147" s="287">
        <f>'Balance Sheet'!O20</f>
        <v>4967</v>
      </c>
      <c r="R147" s="287">
        <f>'Balance Sheet'!P20</f>
        <v>5827</v>
      </c>
      <c r="S147" s="287">
        <f>'Balance Sheet'!Q20</f>
        <v>6515</v>
      </c>
      <c r="T147" s="287">
        <f>'Balance Sheet'!R20</f>
        <v>6252</v>
      </c>
      <c r="U147" s="287">
        <f>'Balance Sheet'!S20</f>
        <v>4952</v>
      </c>
      <c r="V147" s="287">
        <f>'Balance Sheet'!T20</f>
        <v>6580</v>
      </c>
      <c r="W147" s="287">
        <f>'Balance Sheet'!U20</f>
        <v>7639</v>
      </c>
      <c r="X147" s="287">
        <f>'Balance Sheet'!V20</f>
        <v>5769</v>
      </c>
      <c r="Y147" s="287">
        <f>'Balance Sheet'!W20</f>
        <v>6504</v>
      </c>
      <c r="Z147" s="287">
        <f>'Balance Sheet'!X20</f>
        <v>7904</v>
      </c>
      <c r="AA147" s="287">
        <f>'Balance Sheet'!Y20</f>
        <v>9417</v>
      </c>
      <c r="AB147" s="287">
        <f>'Balance Sheet'!Z20</f>
        <v>10572</v>
      </c>
      <c r="AC147" s="287">
        <f>'Balance Sheet'!AA20</f>
        <v>11039.659451814905</v>
      </c>
      <c r="AD147" s="287">
        <f>'Balance Sheet'!AB20</f>
        <v>12295.046216050665</v>
      </c>
      <c r="AE147" s="287">
        <f>'Balance Sheet'!AC20</f>
        <v>13385.851023776366</v>
      </c>
      <c r="AF147" s="287">
        <f>'Balance Sheet'!AD20</f>
        <v>14178.225618460461</v>
      </c>
      <c r="AG147" s="287">
        <f>'Balance Sheet'!AE20</f>
        <v>14874.466402287771</v>
      </c>
      <c r="AH147" s="287">
        <f>'Balance Sheet'!AF20</f>
        <v>15594.480836005698</v>
      </c>
      <c r="AO147" s="338"/>
      <c r="AP147" s="449"/>
      <c r="AR147" s="449"/>
      <c r="AS147" s="449"/>
      <c r="BA147" s="498"/>
      <c r="BB147" s="498"/>
      <c r="BC147" s="498"/>
      <c r="BD147" s="498"/>
      <c r="BE147" s="498"/>
      <c r="BF147" s="498"/>
      <c r="BG147" s="498"/>
      <c r="BH147" s="498"/>
      <c r="BI147" s="498"/>
      <c r="BJ147" s="498"/>
      <c r="BK147" s="498"/>
      <c r="BL147" s="498"/>
      <c r="BM147" s="498"/>
      <c r="BN147" s="498"/>
      <c r="BO147" s="498"/>
      <c r="BP147" s="498"/>
      <c r="BQ147" s="498"/>
      <c r="BR147" s="498"/>
      <c r="BS147" s="498"/>
      <c r="BT147" s="498"/>
      <c r="BU147" s="498"/>
      <c r="BV147" s="498"/>
      <c r="BW147" s="498"/>
      <c r="BX147" s="498"/>
      <c r="BY147" s="498"/>
      <c r="BZ147" s="498"/>
      <c r="CA147" s="498"/>
      <c r="CB147" s="498"/>
      <c r="CC147" s="498"/>
      <c r="CD147" s="498"/>
      <c r="CE147" s="498"/>
      <c r="CF147" s="498"/>
      <c r="CG147" s="287"/>
      <c r="CH147" s="287"/>
      <c r="CI147" s="287"/>
      <c r="CJ147" s="287"/>
      <c r="CK147" s="287"/>
      <c r="CL147" s="287"/>
      <c r="CM147" s="287"/>
      <c r="CN147" s="287"/>
      <c r="CO147" s="27"/>
      <c r="CR147" s="498"/>
      <c r="CS147" s="498"/>
      <c r="CT147" s="498"/>
      <c r="CU147" s="498"/>
      <c r="CV147" s="498"/>
      <c r="CW147" s="498"/>
      <c r="CX147" s="498"/>
      <c r="CY147" s="498"/>
      <c r="CZ147" s="498"/>
      <c r="DA147" s="498"/>
      <c r="DB147" s="498"/>
      <c r="DC147" s="498"/>
      <c r="DD147" s="498"/>
      <c r="DE147" s="498"/>
      <c r="DF147" s="498"/>
      <c r="DG147" s="498"/>
      <c r="DH147" s="498"/>
      <c r="DI147" s="498"/>
      <c r="DJ147" s="498"/>
      <c r="DK147" s="498"/>
      <c r="DL147" s="498"/>
      <c r="DM147" s="498"/>
      <c r="DN147" s="498"/>
      <c r="DO147" s="498"/>
      <c r="DP147" s="498"/>
      <c r="DQ147" s="498"/>
      <c r="DR147" s="498"/>
      <c r="DS147" s="498"/>
      <c r="DT147" s="498"/>
      <c r="DU147" s="498"/>
      <c r="DV147" s="498"/>
      <c r="DW147" s="498"/>
      <c r="DX147" s="498"/>
      <c r="DY147" s="498"/>
      <c r="DZ147" s="498"/>
      <c r="EA147" s="498"/>
      <c r="EB147" s="498"/>
      <c r="EC147" s="498"/>
      <c r="ED147" s="498"/>
      <c r="EE147" s="498"/>
      <c r="EF147" s="498"/>
      <c r="EG147" s="498"/>
      <c r="EH147" s="498"/>
      <c r="EI147" s="498"/>
      <c r="EJ147" s="498"/>
      <c r="EK147" s="498"/>
      <c r="EL147" s="498"/>
      <c r="EM147" s="498"/>
      <c r="EN147" s="498"/>
      <c r="EO147" s="498"/>
      <c r="EP147" s="498"/>
      <c r="EQ147" s="498"/>
      <c r="ER147" s="498"/>
      <c r="ES147" s="498"/>
      <c r="ET147" s="498"/>
      <c r="EU147" s="498"/>
      <c r="EV147" s="498"/>
      <c r="EW147" s="498"/>
      <c r="EX147" s="498"/>
      <c r="EY147" s="498"/>
      <c r="EZ147" s="498"/>
      <c r="FA147" s="498"/>
      <c r="FB147" s="498"/>
      <c r="FC147" s="498"/>
    </row>
    <row r="148" spans="3:159">
      <c r="C148" s="291" t="s">
        <v>647</v>
      </c>
      <c r="D148" s="352"/>
      <c r="E148" s="352"/>
      <c r="F148" s="352"/>
      <c r="G148" s="352"/>
      <c r="H148" s="352"/>
      <c r="I148" s="352"/>
      <c r="J148" s="287">
        <f>SUM('Balance Sheet'!H16:H17,'Balance Sheet'!H22,'Balance Sheet'!H26)</f>
        <v>724</v>
      </c>
      <c r="K148" s="287">
        <f>SUM('Balance Sheet'!I16:I17,'Balance Sheet'!I22,'Balance Sheet'!I26)</f>
        <v>1402</v>
      </c>
      <c r="L148" s="287">
        <f>SUM('Balance Sheet'!J16:J17,'Balance Sheet'!J22,'Balance Sheet'!J26)</f>
        <v>637</v>
      </c>
      <c r="M148" s="287">
        <f>SUM('Balance Sheet'!K16:K17,'Balance Sheet'!K22,'Balance Sheet'!K26)</f>
        <v>283</v>
      </c>
      <c r="N148" s="287">
        <f>SUM('Balance Sheet'!L16:L17,'Balance Sheet'!L22,'Balance Sheet'!L26)</f>
        <v>384</v>
      </c>
      <c r="O148" s="287">
        <f>SUM('Balance Sheet'!M16:M17,'Balance Sheet'!M22,'Balance Sheet'!M26)</f>
        <v>575</v>
      </c>
      <c r="P148" s="287">
        <f>SUM('Balance Sheet'!N16:N17,'Balance Sheet'!N22,'Balance Sheet'!N26)</f>
        <v>1182</v>
      </c>
      <c r="Q148" s="287">
        <f>SUM('Balance Sheet'!O16:O17,'Balance Sheet'!O22,'Balance Sheet'!O26)</f>
        <v>1439</v>
      </c>
      <c r="R148" s="287">
        <f>SUM('Balance Sheet'!P16:P17,'Balance Sheet'!P22,'Balance Sheet'!P26)</f>
        <v>1050</v>
      </c>
      <c r="S148" s="287">
        <f>SUM('Balance Sheet'!Q16:Q17,'Balance Sheet'!Q22,'Balance Sheet'!Q26)</f>
        <v>1243</v>
      </c>
      <c r="T148" s="287">
        <f>SUM('Balance Sheet'!R16:R17,'Balance Sheet'!R22,'Balance Sheet'!R26)</f>
        <v>4486</v>
      </c>
      <c r="U148" s="287">
        <f>SUM('Balance Sheet'!S16:S17,'Balance Sheet'!S22,'Balance Sheet'!S26)</f>
        <v>3275</v>
      </c>
      <c r="V148" s="287">
        <f>SUM('Balance Sheet'!T16:T17,'Balance Sheet'!T22,'Balance Sheet'!T26)</f>
        <v>1677</v>
      </c>
      <c r="W148" s="287">
        <f>SUM('Balance Sheet'!U16:U17,'Balance Sheet'!U22,'Balance Sheet'!U26)</f>
        <v>1275</v>
      </c>
      <c r="X148" s="287">
        <f>SUM('Balance Sheet'!V16:V17,'Balance Sheet'!V22,'Balance Sheet'!V26)</f>
        <v>1301</v>
      </c>
      <c r="Y148" s="287">
        <f>SUM('Balance Sheet'!W16:W17,'Balance Sheet'!W22,'Balance Sheet'!W26)</f>
        <v>1364</v>
      </c>
      <c r="Z148" s="287">
        <f>SUM('Balance Sheet'!X16:X17,'Balance Sheet'!X22,'Balance Sheet'!X26)</f>
        <v>1352</v>
      </c>
      <c r="AA148" s="287">
        <f>SUM('Balance Sheet'!Y16:Y17,'Balance Sheet'!Y22,'Balance Sheet'!Y26)</f>
        <v>2269</v>
      </c>
      <c r="AB148" s="287">
        <f>SUM('Balance Sheet'!Z16:Z17,'Balance Sheet'!Z22,'Balance Sheet'!Z26)</f>
        <v>1559</v>
      </c>
      <c r="AC148" s="287">
        <f>SUM('Balance Sheet'!AA16:AA17,'Balance Sheet'!AA22,'Balance Sheet'!AA26)</f>
        <v>1559</v>
      </c>
      <c r="AD148" s="287">
        <f>SUM('Balance Sheet'!AB16:AB17,'Balance Sheet'!AB22,'Balance Sheet'!AB26)</f>
        <v>1559</v>
      </c>
      <c r="AE148" s="287">
        <f>SUM('Balance Sheet'!AC16:AC17,'Balance Sheet'!AC22,'Balance Sheet'!AC26)</f>
        <v>1559</v>
      </c>
      <c r="AF148" s="287">
        <f>SUM('Balance Sheet'!AD16:AD17,'Balance Sheet'!AD22,'Balance Sheet'!AD26)</f>
        <v>1559</v>
      </c>
      <c r="AG148" s="287">
        <f>SUM('Balance Sheet'!AE16:AE17,'Balance Sheet'!AE22,'Balance Sheet'!AE26)</f>
        <v>1559</v>
      </c>
      <c r="AH148" s="287">
        <f>SUM('Balance Sheet'!AF16:AF17,'Balance Sheet'!AF22,'Balance Sheet'!AF26)</f>
        <v>1559</v>
      </c>
      <c r="AO148" s="338"/>
      <c r="AP148" s="449"/>
      <c r="AR148" s="449"/>
      <c r="AS148" s="449"/>
      <c r="BA148" s="498"/>
      <c r="BB148" s="498"/>
      <c r="BC148" s="498"/>
      <c r="BD148" s="498"/>
      <c r="BE148" s="498"/>
      <c r="BF148" s="498"/>
      <c r="BG148" s="498"/>
      <c r="BH148" s="498"/>
      <c r="BI148" s="498"/>
      <c r="BJ148" s="498"/>
      <c r="BK148" s="498"/>
      <c r="BL148" s="498"/>
      <c r="BM148" s="498"/>
      <c r="BN148" s="498"/>
      <c r="BO148" s="498"/>
      <c r="BP148" s="498"/>
      <c r="BQ148" s="498"/>
      <c r="BR148" s="498"/>
      <c r="BS148" s="498"/>
      <c r="BT148" s="498"/>
      <c r="BU148" s="498"/>
      <c r="BV148" s="498"/>
      <c r="BW148" s="498"/>
      <c r="BX148" s="498"/>
      <c r="BY148" s="498"/>
      <c r="BZ148" s="498"/>
      <c r="CA148" s="498"/>
      <c r="CB148" s="498"/>
      <c r="CC148" s="498"/>
      <c r="CD148" s="498"/>
      <c r="CE148" s="498"/>
      <c r="CF148" s="498"/>
      <c r="CG148" s="287"/>
      <c r="CH148" s="287"/>
      <c r="CI148" s="287"/>
      <c r="CJ148" s="287"/>
      <c r="CK148" s="287"/>
      <c r="CL148" s="287"/>
      <c r="CM148" s="287"/>
      <c r="CN148" s="287"/>
      <c r="CO148" s="27"/>
      <c r="CR148" s="498"/>
      <c r="CS148" s="498"/>
      <c r="CT148" s="498"/>
      <c r="CU148" s="498"/>
      <c r="CV148" s="498"/>
      <c r="CW148" s="498"/>
      <c r="CX148" s="498"/>
      <c r="CY148" s="498"/>
      <c r="CZ148" s="498"/>
      <c r="DA148" s="498"/>
      <c r="DB148" s="498"/>
      <c r="DC148" s="498"/>
      <c r="DD148" s="498"/>
      <c r="DE148" s="498"/>
      <c r="DF148" s="498"/>
      <c r="DG148" s="498"/>
      <c r="DH148" s="498"/>
      <c r="DI148" s="498"/>
      <c r="DJ148" s="498"/>
      <c r="DK148" s="498"/>
      <c r="DL148" s="498"/>
      <c r="DM148" s="498"/>
      <c r="DN148" s="498"/>
      <c r="DO148" s="498"/>
      <c r="DP148" s="498"/>
      <c r="DQ148" s="498"/>
      <c r="DR148" s="498"/>
      <c r="DS148" s="498"/>
      <c r="DT148" s="498"/>
      <c r="DU148" s="498"/>
      <c r="DV148" s="498"/>
      <c r="DW148" s="498"/>
      <c r="DX148" s="498"/>
      <c r="DY148" s="498"/>
      <c r="DZ148" s="498"/>
      <c r="EA148" s="498"/>
      <c r="EB148" s="498"/>
      <c r="EC148" s="498"/>
      <c r="ED148" s="498"/>
      <c r="EE148" s="498"/>
      <c r="EF148" s="498"/>
      <c r="EG148" s="498"/>
      <c r="EH148" s="498"/>
      <c r="EI148" s="498"/>
      <c r="EJ148" s="498"/>
      <c r="EK148" s="498"/>
      <c r="EL148" s="498"/>
      <c r="EM148" s="498"/>
      <c r="EN148" s="498"/>
      <c r="EO148" s="498"/>
      <c r="EP148" s="498"/>
      <c r="EQ148" s="498"/>
      <c r="ER148" s="498"/>
      <c r="ES148" s="498"/>
      <c r="ET148" s="498"/>
      <c r="EU148" s="498"/>
      <c r="EV148" s="498"/>
      <c r="EW148" s="498"/>
      <c r="EX148" s="498"/>
      <c r="EY148" s="498"/>
      <c r="EZ148" s="498"/>
      <c r="FA148" s="498"/>
      <c r="FB148" s="498"/>
      <c r="FC148" s="498"/>
    </row>
    <row r="149" spans="3:159">
      <c r="C149" s="19" t="s">
        <v>801</v>
      </c>
      <c r="D149" s="19"/>
      <c r="E149" s="19"/>
      <c r="F149" s="19"/>
      <c r="G149" s="19"/>
      <c r="H149" s="19"/>
      <c r="I149" s="19"/>
      <c r="J149" s="287"/>
      <c r="K149" s="287"/>
      <c r="L149" s="287"/>
      <c r="M149" s="287"/>
      <c r="N149" s="287"/>
      <c r="O149" s="287"/>
      <c r="P149" s="287"/>
      <c r="Q149" s="287"/>
      <c r="R149" s="287"/>
      <c r="S149" s="287"/>
      <c r="T149" s="287"/>
      <c r="U149" s="287"/>
      <c r="V149" s="287"/>
      <c r="W149" s="287"/>
      <c r="X149" s="287"/>
      <c r="Y149" s="287"/>
      <c r="Z149" s="287"/>
      <c r="AA149" s="287"/>
      <c r="AB149" s="287"/>
      <c r="AC149" s="287"/>
      <c r="AD149" s="287"/>
      <c r="AE149" s="287"/>
      <c r="AF149" s="287"/>
      <c r="AG149" s="287"/>
      <c r="AH149" s="287"/>
      <c r="AO149" s="338"/>
      <c r="AP149" s="449"/>
      <c r="AR149" s="449"/>
      <c r="AS149" s="449"/>
      <c r="BA149" s="498"/>
      <c r="BB149" s="498"/>
      <c r="BC149" s="498"/>
      <c r="BD149" s="498"/>
      <c r="BE149" s="498"/>
      <c r="BF149" s="498"/>
      <c r="BG149" s="498"/>
      <c r="BH149" s="498"/>
      <c r="BI149" s="498"/>
      <c r="BJ149" s="498"/>
      <c r="BK149" s="498"/>
      <c r="BL149" s="498"/>
      <c r="BM149" s="498"/>
      <c r="BN149" s="498"/>
      <c r="BO149" s="498"/>
      <c r="BP149" s="498"/>
      <c r="BQ149" s="498"/>
      <c r="BR149" s="498"/>
      <c r="BS149" s="498"/>
      <c r="BT149" s="498"/>
      <c r="BU149" s="498"/>
      <c r="BV149" s="498"/>
      <c r="BW149" s="498"/>
      <c r="BX149" s="498"/>
      <c r="BY149" s="498"/>
      <c r="BZ149" s="498"/>
      <c r="CA149" s="498"/>
      <c r="CB149" s="498"/>
      <c r="CC149" s="498"/>
      <c r="CD149" s="498"/>
      <c r="CE149" s="498"/>
      <c r="CF149" s="498"/>
      <c r="CG149" s="287"/>
      <c r="CH149" s="287"/>
      <c r="CI149" s="287"/>
      <c r="CJ149" s="287"/>
      <c r="CK149" s="287"/>
      <c r="CL149" s="287"/>
      <c r="CM149" s="287"/>
      <c r="CN149" s="287"/>
      <c r="CO149" s="27"/>
      <c r="CR149" s="498"/>
      <c r="CS149" s="498"/>
      <c r="CT149" s="498"/>
      <c r="CU149" s="498"/>
      <c r="CV149" s="498"/>
      <c r="CW149" s="498"/>
      <c r="CX149" s="498"/>
      <c r="CY149" s="498"/>
      <c r="CZ149" s="498"/>
      <c r="DA149" s="498"/>
      <c r="DB149" s="498"/>
      <c r="DC149" s="498"/>
      <c r="DD149" s="498"/>
      <c r="DE149" s="498"/>
      <c r="DF149" s="498"/>
      <c r="DG149" s="498"/>
      <c r="DH149" s="498"/>
      <c r="DI149" s="498"/>
      <c r="DJ149" s="498"/>
      <c r="DK149" s="498"/>
      <c r="DL149" s="498"/>
      <c r="DM149" s="498"/>
      <c r="DN149" s="498"/>
      <c r="DO149" s="498"/>
      <c r="DP149" s="498"/>
      <c r="DQ149" s="498"/>
      <c r="DR149" s="498"/>
      <c r="DS149" s="498"/>
      <c r="DT149" s="498"/>
      <c r="DU149" s="498"/>
      <c r="DV149" s="498"/>
      <c r="DW149" s="498"/>
      <c r="DX149" s="498"/>
      <c r="DY149" s="498"/>
      <c r="DZ149" s="498"/>
      <c r="EA149" s="498"/>
      <c r="EB149" s="498"/>
      <c r="EC149" s="498"/>
      <c r="ED149" s="498"/>
      <c r="EE149" s="498"/>
      <c r="EF149" s="498"/>
      <c r="EG149" s="498"/>
      <c r="EH149" s="498"/>
      <c r="EI149" s="498"/>
      <c r="EJ149" s="498"/>
      <c r="EK149" s="498"/>
      <c r="EL149" s="498"/>
      <c r="EM149" s="498"/>
      <c r="EN149" s="498"/>
      <c r="EO149" s="498"/>
      <c r="EP149" s="498"/>
      <c r="EQ149" s="498"/>
      <c r="ER149" s="498"/>
      <c r="ES149" s="498"/>
      <c r="ET149" s="498"/>
      <c r="EU149" s="498"/>
      <c r="EV149" s="498"/>
      <c r="EW149" s="498"/>
      <c r="EX149" s="498"/>
      <c r="EY149" s="498"/>
      <c r="EZ149" s="498"/>
      <c r="FA149" s="498"/>
      <c r="FB149" s="498"/>
      <c r="FC149" s="498"/>
    </row>
    <row r="150" spans="3:159">
      <c r="C150" s="291" t="s">
        <v>633</v>
      </c>
      <c r="D150" s="352"/>
      <c r="E150" s="352"/>
      <c r="F150" s="352"/>
      <c r="G150" s="352"/>
      <c r="H150" s="352"/>
      <c r="I150" s="352"/>
      <c r="J150" s="287">
        <f>-'Balance Sheet'!H47</f>
        <v>8363</v>
      </c>
      <c r="K150" s="287">
        <f>-'Balance Sheet'!I47</f>
        <v>8790</v>
      </c>
      <c r="L150" s="287">
        <f>-'Balance Sheet'!J47</f>
        <v>10011</v>
      </c>
      <c r="M150" s="287">
        <f>-'Balance Sheet'!K47</f>
        <v>9408</v>
      </c>
      <c r="N150" s="287">
        <f>-'Balance Sheet'!L47</f>
        <v>9441</v>
      </c>
      <c r="O150" s="287">
        <f>-'Balance Sheet'!M47</f>
        <v>11155</v>
      </c>
      <c r="P150" s="287">
        <f>-'Balance Sheet'!N47</f>
        <v>11142</v>
      </c>
      <c r="Q150" s="287">
        <f>-'Balance Sheet'!O47</f>
        <v>11746</v>
      </c>
      <c r="R150" s="287">
        <f>-'Balance Sheet'!P47</f>
        <v>14585</v>
      </c>
      <c r="S150" s="287">
        <f>-'Balance Sheet'!Q47</f>
        <v>17649</v>
      </c>
      <c r="T150" s="287">
        <f>-'Balance Sheet'!R47</f>
        <v>18460</v>
      </c>
      <c r="U150" s="287">
        <f>-'Balance Sheet'!S47</f>
        <v>16977</v>
      </c>
      <c r="V150" s="287">
        <f>-'Balance Sheet'!T47</f>
        <v>21091</v>
      </c>
      <c r="W150" s="287">
        <f>-'Balance Sheet'!U47</f>
        <v>22876</v>
      </c>
      <c r="X150" s="287">
        <f>-'Balance Sheet'!V47</f>
        <v>19026</v>
      </c>
      <c r="Y150" s="287">
        <f>-'Balance Sheet'!W47</f>
        <v>19828</v>
      </c>
      <c r="Z150" s="287">
        <f>-'Balance Sheet'!X47</f>
        <v>27427</v>
      </c>
      <c r="AA150" s="287">
        <f>-'Balance Sheet'!Y47</f>
        <v>30777</v>
      </c>
      <c r="AB150" s="287">
        <f>-'Balance Sheet'!Z47</f>
        <v>37440</v>
      </c>
      <c r="AC150" s="287">
        <f>-'Balance Sheet'!AA47</f>
        <v>38599.988301825586</v>
      </c>
      <c r="AD150" s="287">
        <f>-'Balance Sheet'!AB47</f>
        <v>40164.131989819485</v>
      </c>
      <c r="AE150" s="287">
        <f>-'Balance Sheet'!AC47</f>
        <v>41910.061155575349</v>
      </c>
      <c r="AF150" s="287">
        <f>-'Balance Sheet'!AD47</f>
        <v>43117.700379950664</v>
      </c>
      <c r="AG150" s="287">
        <f>-'Balance Sheet'!AE47</f>
        <v>44083.419572037252</v>
      </c>
      <c r="AH150" s="287">
        <f>-'Balance Sheet'!AF47</f>
        <v>44879.477671882298</v>
      </c>
      <c r="AO150" s="338"/>
      <c r="AP150" s="449"/>
      <c r="AR150" s="449"/>
      <c r="AS150" s="449"/>
      <c r="BA150" s="498"/>
      <c r="BB150" s="498"/>
      <c r="BC150" s="498"/>
      <c r="BD150" s="498"/>
      <c r="BE150" s="498"/>
      <c r="BF150" s="498"/>
      <c r="BG150" s="498"/>
      <c r="BH150" s="498"/>
      <c r="BI150" s="498"/>
      <c r="BJ150" s="498"/>
      <c r="BK150" s="498"/>
      <c r="BL150" s="498"/>
      <c r="BM150" s="498"/>
      <c r="BN150" s="498"/>
      <c r="BO150" s="498"/>
      <c r="BP150" s="498"/>
      <c r="BQ150" s="498"/>
      <c r="BR150" s="498"/>
      <c r="BS150" s="498"/>
      <c r="BT150" s="498"/>
      <c r="BU150" s="498"/>
      <c r="BV150" s="498"/>
      <c r="BW150" s="498"/>
      <c r="BX150" s="498"/>
      <c r="BY150" s="498"/>
      <c r="BZ150" s="498"/>
      <c r="CA150" s="498"/>
      <c r="CB150" s="498"/>
      <c r="CC150" s="498"/>
      <c r="CD150" s="498"/>
      <c r="CE150" s="498"/>
      <c r="CF150" s="498"/>
      <c r="CG150" s="287"/>
      <c r="CH150" s="287"/>
      <c r="CI150" s="287"/>
      <c r="CJ150" s="287"/>
      <c r="CK150" s="287"/>
      <c r="CL150" s="287"/>
      <c r="CM150" s="287"/>
      <c r="CN150" s="287"/>
      <c r="CO150" s="27"/>
      <c r="CR150" s="498"/>
      <c r="CS150" s="498"/>
      <c r="CT150" s="498"/>
      <c r="CU150" s="498"/>
      <c r="CV150" s="498"/>
      <c r="CW150" s="498"/>
      <c r="CX150" s="498"/>
      <c r="CY150" s="498"/>
      <c r="CZ150" s="498"/>
      <c r="DA150" s="498"/>
      <c r="DB150" s="498"/>
      <c r="DC150" s="498"/>
      <c r="DD150" s="498"/>
      <c r="DE150" s="498"/>
      <c r="DF150" s="498"/>
      <c r="DG150" s="498"/>
      <c r="DH150" s="498"/>
      <c r="DI150" s="498"/>
      <c r="DJ150" s="498"/>
      <c r="DK150" s="498"/>
      <c r="DL150" s="498"/>
      <c r="DM150" s="498"/>
      <c r="DN150" s="498"/>
      <c r="DO150" s="498"/>
      <c r="DP150" s="498"/>
      <c r="DQ150" s="498"/>
      <c r="DR150" s="498"/>
      <c r="DS150" s="498"/>
      <c r="DT150" s="498"/>
      <c r="DU150" s="498"/>
      <c r="DV150" s="498"/>
      <c r="DW150" s="498"/>
      <c r="DX150" s="498"/>
      <c r="DY150" s="498"/>
      <c r="DZ150" s="498"/>
      <c r="EA150" s="498"/>
      <c r="EB150" s="498"/>
      <c r="EC150" s="498"/>
      <c r="ED150" s="498"/>
      <c r="EE150" s="498"/>
      <c r="EF150" s="498"/>
      <c r="EG150" s="498"/>
      <c r="EH150" s="498"/>
      <c r="EI150" s="498"/>
      <c r="EJ150" s="498"/>
      <c r="EK150" s="498"/>
      <c r="EL150" s="498"/>
      <c r="EM150" s="498"/>
      <c r="EN150" s="498"/>
      <c r="EO150" s="498"/>
      <c r="EP150" s="498"/>
      <c r="EQ150" s="498"/>
      <c r="ER150" s="498"/>
      <c r="ES150" s="498"/>
      <c r="ET150" s="498"/>
      <c r="EU150" s="498"/>
      <c r="EV150" s="498"/>
      <c r="EW150" s="498"/>
      <c r="EX150" s="498"/>
      <c r="EY150" s="498"/>
      <c r="EZ150" s="498"/>
      <c r="FA150" s="498"/>
      <c r="FB150" s="498"/>
      <c r="FC150" s="498"/>
    </row>
    <row r="151" spans="3:159">
      <c r="C151" s="291" t="s">
        <v>635</v>
      </c>
      <c r="D151" s="19"/>
      <c r="E151" s="19"/>
      <c r="F151" s="19"/>
      <c r="G151" s="19"/>
      <c r="H151" s="19"/>
      <c r="I151" s="19"/>
      <c r="J151" s="287">
        <f>-'Balance Sheet'!H39</f>
        <v>699</v>
      </c>
      <c r="K151" s="287">
        <f>-'Balance Sheet'!I39</f>
        <v>502</v>
      </c>
      <c r="L151" s="287">
        <f>-'Balance Sheet'!J39</f>
        <v>1136</v>
      </c>
      <c r="M151" s="287">
        <f>-'Balance Sheet'!K39</f>
        <v>1367</v>
      </c>
      <c r="N151" s="287">
        <f>-'Balance Sheet'!L39</f>
        <v>568</v>
      </c>
      <c r="O151" s="287">
        <f>-'Balance Sheet'!M39</f>
        <v>998</v>
      </c>
      <c r="P151" s="287">
        <f>-'Balance Sheet'!N39</f>
        <v>916</v>
      </c>
      <c r="Q151" s="287">
        <f>-'Balance Sheet'!O39</f>
        <v>1435</v>
      </c>
      <c r="R151" s="287">
        <f>-'Balance Sheet'!P39</f>
        <v>1507</v>
      </c>
      <c r="S151" s="287">
        <f>-'Balance Sheet'!Q39</f>
        <v>876</v>
      </c>
      <c r="T151" s="287">
        <f>-'Balance Sheet'!R39</f>
        <v>945</v>
      </c>
      <c r="U151" s="287">
        <f>-'Balance Sheet'!S39</f>
        <v>1390</v>
      </c>
      <c r="V151" s="287">
        <f>-'Balance Sheet'!T39</f>
        <v>2221</v>
      </c>
      <c r="W151" s="287">
        <f>-'Balance Sheet'!U39</f>
        <v>3540</v>
      </c>
      <c r="X151" s="287">
        <f>-'Balance Sheet'!V39</f>
        <v>2509</v>
      </c>
      <c r="Y151" s="287">
        <f>-'Balance Sheet'!W39</f>
        <v>1720</v>
      </c>
      <c r="Z151" s="287">
        <f>-'Balance Sheet'!X39</f>
        <v>1277</v>
      </c>
      <c r="AA151" s="287">
        <f>-'Balance Sheet'!Y39</f>
        <v>1608</v>
      </c>
      <c r="AB151" s="287">
        <f>-'Balance Sheet'!Z39</f>
        <v>988</v>
      </c>
      <c r="AC151" s="287">
        <f>-'Balance Sheet'!AA39</f>
        <v>988</v>
      </c>
      <c r="AD151" s="287">
        <f>-'Balance Sheet'!AB39</f>
        <v>988</v>
      </c>
      <c r="AE151" s="287">
        <f>-'Balance Sheet'!AC39</f>
        <v>988</v>
      </c>
      <c r="AF151" s="287">
        <f>-'Balance Sheet'!AD39</f>
        <v>988</v>
      </c>
      <c r="AG151" s="287">
        <f>-'Balance Sheet'!AE39</f>
        <v>988</v>
      </c>
      <c r="AH151" s="287">
        <f>-'Balance Sheet'!AF39</f>
        <v>988</v>
      </c>
      <c r="AO151" s="338"/>
      <c r="AP151" s="449"/>
      <c r="AR151" s="449"/>
      <c r="AS151" s="449"/>
      <c r="BA151" s="498"/>
      <c r="BB151" s="498"/>
      <c r="BC151" s="498"/>
      <c r="BD151" s="498"/>
      <c r="BE151" s="498"/>
      <c r="BF151" s="498"/>
      <c r="BG151" s="498"/>
      <c r="BH151" s="498"/>
      <c r="BI151" s="498"/>
      <c r="BJ151" s="498"/>
      <c r="BK151" s="498"/>
      <c r="BL151" s="498"/>
      <c r="BM151" s="498"/>
      <c r="BN151" s="498"/>
      <c r="BO151" s="498"/>
      <c r="BP151" s="498"/>
      <c r="BQ151" s="498"/>
      <c r="BR151" s="498"/>
      <c r="BS151" s="498"/>
      <c r="BT151" s="498"/>
      <c r="BU151" s="498"/>
      <c r="BV151" s="498"/>
      <c r="BW151" s="498"/>
      <c r="BX151" s="498"/>
      <c r="BY151" s="498"/>
      <c r="BZ151" s="498"/>
      <c r="CA151" s="498"/>
      <c r="CB151" s="498"/>
      <c r="CC151" s="498"/>
      <c r="CD151" s="498"/>
      <c r="CE151" s="498"/>
      <c r="CF151" s="498"/>
      <c r="CG151" s="287"/>
      <c r="CH151" s="287"/>
      <c r="CI151" s="287"/>
      <c r="CJ151" s="287"/>
      <c r="CK151" s="287"/>
      <c r="CL151" s="287"/>
      <c r="CM151" s="287"/>
      <c r="CN151" s="287"/>
      <c r="CO151" s="27"/>
      <c r="CR151" s="498"/>
      <c r="CS151" s="498"/>
      <c r="CT151" s="498"/>
      <c r="CU151" s="498"/>
      <c r="CV151" s="498"/>
      <c r="CW151" s="498"/>
      <c r="CX151" s="498"/>
      <c r="CY151" s="498"/>
      <c r="CZ151" s="498"/>
      <c r="DA151" s="498"/>
      <c r="DB151" s="498"/>
      <c r="DC151" s="498"/>
      <c r="DD151" s="498"/>
      <c r="DE151" s="498"/>
      <c r="DF151" s="498"/>
      <c r="DG151" s="498"/>
      <c r="DH151" s="498"/>
      <c r="DI151" s="498"/>
      <c r="DJ151" s="498"/>
      <c r="DK151" s="498"/>
      <c r="DL151" s="498"/>
      <c r="DM151" s="498"/>
      <c r="DN151" s="498"/>
      <c r="DO151" s="498"/>
      <c r="DP151" s="498"/>
      <c r="DQ151" s="498"/>
      <c r="DR151" s="498"/>
      <c r="DS151" s="498"/>
      <c r="DT151" s="498"/>
      <c r="DU151" s="498"/>
      <c r="DV151" s="498"/>
      <c r="DW151" s="498"/>
      <c r="DX151" s="498"/>
      <c r="DY151" s="498"/>
      <c r="DZ151" s="498"/>
      <c r="EA151" s="498"/>
      <c r="EB151" s="498"/>
      <c r="EC151" s="498"/>
      <c r="ED151" s="498"/>
      <c r="EE151" s="498"/>
      <c r="EF151" s="498"/>
      <c r="EG151" s="498"/>
      <c r="EH151" s="498"/>
      <c r="EI151" s="498"/>
      <c r="EJ151" s="498"/>
      <c r="EK151" s="498"/>
      <c r="EL151" s="498"/>
      <c r="EM151" s="498"/>
      <c r="EN151" s="498"/>
      <c r="EO151" s="498"/>
      <c r="EP151" s="498"/>
      <c r="EQ151" s="498"/>
      <c r="ER151" s="498"/>
      <c r="ES151" s="498"/>
      <c r="ET151" s="498"/>
      <c r="EU151" s="498"/>
      <c r="EV151" s="498"/>
      <c r="EW151" s="498"/>
      <c r="EX151" s="498"/>
      <c r="EY151" s="498"/>
      <c r="EZ151" s="498"/>
      <c r="FA151" s="498"/>
      <c r="FB151" s="498"/>
      <c r="FC151" s="498"/>
    </row>
    <row r="152" spans="3:159">
      <c r="C152" s="19" t="s">
        <v>800</v>
      </c>
      <c r="D152" s="19"/>
      <c r="E152" s="19"/>
      <c r="F152" s="19"/>
      <c r="G152" s="19"/>
      <c r="H152" s="19"/>
      <c r="I152" s="19"/>
      <c r="J152" s="287"/>
      <c r="K152" s="287"/>
      <c r="L152" s="287"/>
      <c r="M152" s="287"/>
      <c r="N152" s="287"/>
      <c r="O152" s="287"/>
      <c r="P152" s="287"/>
      <c r="Q152" s="287"/>
      <c r="R152" s="287"/>
      <c r="S152" s="287"/>
      <c r="T152" s="287"/>
      <c r="U152" s="287"/>
      <c r="V152" s="287"/>
      <c r="W152" s="287"/>
      <c r="X152" s="287"/>
      <c r="Y152" s="287"/>
      <c r="Z152" s="287"/>
      <c r="AA152" s="287"/>
      <c r="AB152" s="287"/>
      <c r="AC152" s="287"/>
      <c r="AD152" s="287"/>
      <c r="AE152" s="287"/>
      <c r="AF152" s="287"/>
      <c r="AG152" s="287"/>
      <c r="AH152" s="287"/>
      <c r="AO152" s="338"/>
      <c r="AP152" s="449"/>
      <c r="AR152" s="449"/>
      <c r="AS152" s="449"/>
      <c r="BA152" s="498"/>
      <c r="BB152" s="498"/>
      <c r="BC152" s="498"/>
      <c r="BD152" s="498"/>
      <c r="BE152" s="498"/>
      <c r="BF152" s="498"/>
      <c r="BG152" s="498"/>
      <c r="BH152" s="498"/>
      <c r="BI152" s="498"/>
      <c r="BJ152" s="498"/>
      <c r="BK152" s="498"/>
      <c r="BL152" s="498"/>
      <c r="BM152" s="498"/>
      <c r="BN152" s="498"/>
      <c r="BO152" s="498"/>
      <c r="BP152" s="498"/>
      <c r="BQ152" s="498"/>
      <c r="BR152" s="498"/>
      <c r="BS152" s="498"/>
      <c r="BT152" s="498"/>
      <c r="BU152" s="498"/>
      <c r="BV152" s="498"/>
      <c r="BW152" s="498"/>
      <c r="BX152" s="498"/>
      <c r="BY152" s="498"/>
      <c r="BZ152" s="498"/>
      <c r="CA152" s="498"/>
      <c r="CB152" s="498"/>
      <c r="CC152" s="498"/>
      <c r="CD152" s="498"/>
      <c r="CE152" s="498"/>
      <c r="CF152" s="498"/>
      <c r="CG152" s="287"/>
      <c r="CH152" s="287"/>
      <c r="CI152" s="287"/>
      <c r="CJ152" s="287"/>
      <c r="CK152" s="287"/>
      <c r="CL152" s="287"/>
      <c r="CM152" s="287"/>
      <c r="CN152" s="287"/>
      <c r="CO152" s="27"/>
      <c r="CR152" s="498"/>
      <c r="CS152" s="498"/>
      <c r="CT152" s="498"/>
      <c r="CU152" s="498"/>
      <c r="CV152" s="498"/>
      <c r="CW152" s="498"/>
      <c r="CX152" s="498"/>
      <c r="CY152" s="498"/>
      <c r="CZ152" s="498"/>
      <c r="DA152" s="498"/>
      <c r="DB152" s="498"/>
      <c r="DC152" s="498"/>
      <c r="DD152" s="498"/>
      <c r="DE152" s="498"/>
      <c r="DF152" s="498"/>
      <c r="DG152" s="498"/>
      <c r="DH152" s="498"/>
      <c r="DI152" s="498"/>
      <c r="DJ152" s="498"/>
      <c r="DK152" s="498"/>
      <c r="DL152" s="498"/>
      <c r="DM152" s="498"/>
      <c r="DN152" s="498"/>
      <c r="DO152" s="498"/>
      <c r="DP152" s="498"/>
      <c r="DQ152" s="498"/>
      <c r="DR152" s="498"/>
      <c r="DS152" s="498"/>
      <c r="DT152" s="498"/>
      <c r="DU152" s="498"/>
      <c r="DV152" s="498"/>
      <c r="DW152" s="498"/>
      <c r="DX152" s="498"/>
      <c r="DY152" s="498"/>
      <c r="DZ152" s="498"/>
      <c r="EA152" s="498"/>
      <c r="EB152" s="498"/>
      <c r="EC152" s="498"/>
      <c r="ED152" s="498"/>
      <c r="EE152" s="498"/>
      <c r="EF152" s="498"/>
      <c r="EG152" s="498"/>
      <c r="EH152" s="498"/>
      <c r="EI152" s="498"/>
      <c r="EJ152" s="498"/>
      <c r="EK152" s="498"/>
      <c r="EL152" s="498"/>
      <c r="EM152" s="498"/>
      <c r="EN152" s="498"/>
      <c r="EO152" s="498"/>
      <c r="EP152" s="498"/>
      <c r="EQ152" s="498"/>
      <c r="ER152" s="498"/>
      <c r="ES152" s="498"/>
      <c r="ET152" s="498"/>
      <c r="EU152" s="498"/>
      <c r="EV152" s="498"/>
      <c r="EW152" s="498"/>
      <c r="EX152" s="498"/>
      <c r="EY152" s="498"/>
      <c r="EZ152" s="498"/>
      <c r="FA152" s="498"/>
      <c r="FB152" s="498"/>
      <c r="FC152" s="498"/>
    </row>
    <row r="153" spans="3:159">
      <c r="C153" s="291" t="s">
        <v>639</v>
      </c>
      <c r="D153" s="19"/>
      <c r="E153" s="19"/>
      <c r="F153" s="19"/>
      <c r="G153" s="19"/>
      <c r="H153" s="19"/>
      <c r="I153" s="19"/>
      <c r="J153" s="287">
        <f>'Balance Sheet'!H8</f>
        <v>32</v>
      </c>
      <c r="K153" s="287">
        <f>'Balance Sheet'!I8</f>
        <v>34</v>
      </c>
      <c r="L153" s="287">
        <f>'Balance Sheet'!J8</f>
        <v>244</v>
      </c>
      <c r="M153" s="287">
        <f>'Balance Sheet'!K8</f>
        <v>238</v>
      </c>
      <c r="N153" s="287">
        <f>'Balance Sheet'!L8</f>
        <v>236</v>
      </c>
      <c r="O153" s="287">
        <f>'Balance Sheet'!M8</f>
        <v>253</v>
      </c>
      <c r="P153" s="287">
        <f>'Balance Sheet'!N8</f>
        <v>281</v>
      </c>
      <c r="Q153" s="287">
        <f>'Balance Sheet'!O8</f>
        <v>680</v>
      </c>
      <c r="R153" s="287">
        <f>'Balance Sheet'!P8</f>
        <v>771</v>
      </c>
      <c r="S153" s="287">
        <f>'Balance Sheet'!Q8</f>
        <v>765</v>
      </c>
      <c r="T153" s="287">
        <f>'Balance Sheet'!R8</f>
        <v>2175</v>
      </c>
      <c r="U153" s="287">
        <f>'Balance Sheet'!S8</f>
        <v>2127</v>
      </c>
      <c r="V153" s="287">
        <f>'Balance Sheet'!T8</f>
        <v>2253</v>
      </c>
      <c r="W153" s="287">
        <f>'Balance Sheet'!U8</f>
        <v>2211</v>
      </c>
      <c r="X153" s="287">
        <f>'Balance Sheet'!V8</f>
        <v>2126</v>
      </c>
      <c r="Y153" s="287">
        <f>'Balance Sheet'!W8</f>
        <v>1969</v>
      </c>
      <c r="Z153" s="287">
        <f>'Balance Sheet'!X8</f>
        <v>1974</v>
      </c>
      <c r="AA153" s="287">
        <f>'Balance Sheet'!Y8</f>
        <v>1928</v>
      </c>
      <c r="AB153" s="287">
        <f>'Balance Sheet'!Z8</f>
        <v>1894</v>
      </c>
      <c r="AC153" s="287">
        <f>'Balance Sheet'!AA8</f>
        <v>1894</v>
      </c>
      <c r="AD153" s="287">
        <f>'Balance Sheet'!AB8</f>
        <v>1894</v>
      </c>
      <c r="AE153" s="287">
        <f>'Balance Sheet'!AC8</f>
        <v>1894</v>
      </c>
      <c r="AF153" s="287">
        <f>'Balance Sheet'!AD8</f>
        <v>1894</v>
      </c>
      <c r="AG153" s="287">
        <f>'Balance Sheet'!AE8</f>
        <v>1894</v>
      </c>
      <c r="AH153" s="287">
        <f>'Balance Sheet'!AF8</f>
        <v>1894</v>
      </c>
      <c r="AO153" s="338"/>
      <c r="AP153" s="449"/>
      <c r="AR153" s="449"/>
      <c r="AS153" s="449"/>
      <c r="BA153" s="498"/>
      <c r="BB153" s="498"/>
      <c r="BC153" s="498"/>
      <c r="BD153" s="498"/>
      <c r="BE153" s="498"/>
      <c r="BF153" s="498"/>
      <c r="BG153" s="498"/>
      <c r="BH153" s="498"/>
      <c r="BI153" s="498"/>
      <c r="BJ153" s="498"/>
      <c r="BK153" s="498"/>
      <c r="BL153" s="498"/>
      <c r="BM153" s="498"/>
      <c r="BN153" s="498"/>
      <c r="BO153" s="498"/>
      <c r="BP153" s="498"/>
      <c r="BQ153" s="498"/>
      <c r="BR153" s="498"/>
      <c r="BS153" s="498"/>
      <c r="BT153" s="498"/>
      <c r="BU153" s="498"/>
      <c r="BV153" s="498"/>
      <c r="BW153" s="498"/>
      <c r="BX153" s="498"/>
      <c r="BY153" s="498"/>
      <c r="BZ153" s="498"/>
      <c r="CA153" s="498"/>
      <c r="CB153" s="498"/>
      <c r="CC153" s="498"/>
      <c r="CD153" s="498"/>
      <c r="CE153" s="498"/>
      <c r="CF153" s="498"/>
      <c r="CG153" s="287"/>
      <c r="CH153" s="287"/>
      <c r="CI153" s="287"/>
      <c r="CJ153" s="287"/>
      <c r="CK153" s="287"/>
      <c r="CL153" s="287"/>
      <c r="CM153" s="287"/>
      <c r="CN153" s="287"/>
      <c r="CO153" s="27"/>
      <c r="CR153" s="498"/>
      <c r="CS153" s="498"/>
      <c r="CT153" s="498"/>
      <c r="CU153" s="498"/>
      <c r="CV153" s="498"/>
      <c r="CW153" s="498"/>
      <c r="CX153" s="498"/>
      <c r="CY153" s="498"/>
      <c r="CZ153" s="498"/>
      <c r="DA153" s="498"/>
      <c r="DB153" s="498"/>
      <c r="DC153" s="498"/>
      <c r="DD153" s="498"/>
      <c r="DE153" s="498"/>
      <c r="DF153" s="498"/>
      <c r="DG153" s="498"/>
      <c r="DH153" s="498"/>
      <c r="DI153" s="498"/>
      <c r="DJ153" s="498"/>
      <c r="DK153" s="498"/>
      <c r="DL153" s="498"/>
      <c r="DM153" s="498"/>
      <c r="DN153" s="498"/>
      <c r="DO153" s="498"/>
      <c r="DP153" s="498"/>
      <c r="DQ153" s="498"/>
      <c r="DR153" s="498"/>
      <c r="DS153" s="498"/>
      <c r="DT153" s="498"/>
      <c r="DU153" s="498"/>
      <c r="DV153" s="498"/>
      <c r="DW153" s="498"/>
      <c r="DX153" s="498"/>
      <c r="DY153" s="498"/>
      <c r="DZ153" s="498"/>
      <c r="EA153" s="498"/>
      <c r="EB153" s="498"/>
      <c r="EC153" s="498"/>
      <c r="ED153" s="498"/>
      <c r="EE153" s="498"/>
      <c r="EF153" s="498"/>
      <c r="EG153" s="498"/>
      <c r="EH153" s="498"/>
      <c r="EI153" s="498"/>
      <c r="EJ153" s="498"/>
      <c r="EK153" s="498"/>
      <c r="EL153" s="498"/>
      <c r="EM153" s="498"/>
      <c r="EN153" s="498"/>
      <c r="EO153" s="498"/>
      <c r="EP153" s="498"/>
      <c r="EQ153" s="498"/>
      <c r="ER153" s="498"/>
      <c r="ES153" s="498"/>
      <c r="ET153" s="498"/>
      <c r="EU153" s="498"/>
      <c r="EV153" s="498"/>
      <c r="EW153" s="498"/>
      <c r="EX153" s="498"/>
      <c r="EY153" s="498"/>
      <c r="EZ153" s="498"/>
      <c r="FA153" s="498"/>
      <c r="FB153" s="498"/>
      <c r="FC153" s="498"/>
    </row>
    <row r="154" spans="3:159">
      <c r="C154" s="291" t="s">
        <v>638</v>
      </c>
      <c r="D154" s="19"/>
      <c r="E154" s="19"/>
      <c r="F154" s="19"/>
      <c r="G154" s="19"/>
      <c r="H154" s="19"/>
      <c r="I154" s="19"/>
      <c r="J154" s="287"/>
      <c r="K154" s="287"/>
      <c r="L154" s="287"/>
      <c r="M154" s="287"/>
      <c r="N154" s="287"/>
      <c r="O154" s="287"/>
      <c r="P154" s="287"/>
      <c r="Q154" s="287"/>
      <c r="R154" s="287"/>
      <c r="S154" s="287"/>
      <c r="T154" s="287"/>
      <c r="U154" s="287"/>
      <c r="V154" s="287"/>
      <c r="W154" s="287"/>
      <c r="X154" s="287"/>
      <c r="Y154" s="287"/>
      <c r="Z154" s="287"/>
      <c r="AA154" s="287"/>
      <c r="AB154" s="287"/>
      <c r="AC154" s="287"/>
      <c r="AD154" s="287"/>
      <c r="AE154" s="287"/>
      <c r="AF154" s="287"/>
      <c r="AG154" s="287"/>
      <c r="AH154" s="287"/>
      <c r="AO154" s="338"/>
      <c r="AP154" s="449"/>
      <c r="AR154" s="449"/>
      <c r="AS154" s="449"/>
      <c r="BA154" s="498"/>
      <c r="BB154" s="498"/>
      <c r="BC154" s="498"/>
      <c r="BD154" s="498"/>
      <c r="BE154" s="498"/>
      <c r="BF154" s="498"/>
      <c r="BG154" s="498"/>
      <c r="BH154" s="498"/>
      <c r="BI154" s="498"/>
      <c r="BJ154" s="498"/>
      <c r="BK154" s="498"/>
      <c r="BL154" s="498"/>
      <c r="BM154" s="498"/>
      <c r="BN154" s="498"/>
      <c r="BO154" s="498"/>
      <c r="BP154" s="498"/>
      <c r="BQ154" s="498"/>
      <c r="BR154" s="498"/>
      <c r="BS154" s="498"/>
      <c r="BT154" s="498"/>
      <c r="BU154" s="498"/>
      <c r="BV154" s="498"/>
      <c r="BW154" s="498"/>
      <c r="BX154" s="498"/>
      <c r="BY154" s="498"/>
      <c r="BZ154" s="498"/>
      <c r="CA154" s="498"/>
      <c r="CB154" s="498"/>
      <c r="CC154" s="498"/>
      <c r="CD154" s="498"/>
      <c r="CE154" s="498"/>
      <c r="CF154" s="498"/>
      <c r="CG154" s="287"/>
      <c r="CH154" s="287"/>
      <c r="CI154" s="287"/>
      <c r="CJ154" s="287"/>
      <c r="CK154" s="287"/>
      <c r="CL154" s="287"/>
      <c r="CM154" s="287"/>
      <c r="CN154" s="287"/>
      <c r="CO154" s="27"/>
      <c r="CR154" s="498"/>
      <c r="CS154" s="498"/>
      <c r="CT154" s="498"/>
      <c r="CU154" s="498"/>
      <c r="CV154" s="498"/>
      <c r="CW154" s="498"/>
      <c r="CX154" s="498"/>
      <c r="CY154" s="498"/>
      <c r="CZ154" s="498"/>
      <c r="DA154" s="498"/>
      <c r="DB154" s="498"/>
      <c r="DC154" s="498"/>
      <c r="DD154" s="498"/>
      <c r="DE154" s="498"/>
      <c r="DF154" s="498"/>
      <c r="DG154" s="498"/>
      <c r="DH154" s="498"/>
      <c r="DI154" s="498"/>
      <c r="DJ154" s="498"/>
      <c r="DK154" s="498"/>
      <c r="DL154" s="498"/>
      <c r="DM154" s="498"/>
      <c r="DN154" s="498"/>
      <c r="DO154" s="498"/>
      <c r="DP154" s="498"/>
      <c r="DQ154" s="498"/>
      <c r="DR154" s="498"/>
      <c r="DS154" s="498"/>
      <c r="DT154" s="498"/>
      <c r="DU154" s="498"/>
      <c r="DV154" s="498"/>
      <c r="DW154" s="498"/>
      <c r="DX154" s="498"/>
      <c r="DY154" s="498"/>
      <c r="DZ154" s="498"/>
      <c r="EA154" s="498"/>
      <c r="EB154" s="498"/>
      <c r="EC154" s="498"/>
      <c r="ED154" s="498"/>
      <c r="EE154" s="498"/>
      <c r="EF154" s="498"/>
      <c r="EG154" s="498"/>
      <c r="EH154" s="498"/>
      <c r="EI154" s="498"/>
      <c r="EJ154" s="498"/>
      <c r="EK154" s="498"/>
      <c r="EL154" s="498"/>
      <c r="EM154" s="498"/>
      <c r="EN154" s="498"/>
      <c r="EO154" s="498"/>
      <c r="EP154" s="498"/>
      <c r="EQ154" s="498"/>
      <c r="ER154" s="498"/>
      <c r="ES154" s="498"/>
      <c r="ET154" s="498"/>
      <c r="EU154" s="498"/>
      <c r="EV154" s="498"/>
      <c r="EW154" s="498"/>
      <c r="EX154" s="498"/>
      <c r="EY154" s="498"/>
      <c r="EZ154" s="498"/>
      <c r="FA154" s="498"/>
      <c r="FB154" s="498"/>
      <c r="FC154" s="498"/>
    </row>
    <row r="155" spans="3:159">
      <c r="C155" s="291" t="s">
        <v>619</v>
      </c>
      <c r="D155" s="292"/>
      <c r="E155" s="292"/>
      <c r="F155" s="292"/>
      <c r="G155" s="292"/>
      <c r="H155" s="292"/>
      <c r="I155" s="292"/>
      <c r="J155" s="292">
        <v>0</v>
      </c>
      <c r="K155" s="292">
        <v>0</v>
      </c>
      <c r="L155" s="292">
        <v>0</v>
      </c>
      <c r="M155" s="292">
        <v>0</v>
      </c>
      <c r="N155" s="292">
        <v>0</v>
      </c>
      <c r="O155" s="292">
        <v>0</v>
      </c>
      <c r="P155" s="292">
        <v>0</v>
      </c>
      <c r="Q155" s="292">
        <v>0</v>
      </c>
      <c r="R155" s="292">
        <v>0</v>
      </c>
      <c r="S155" s="292">
        <v>0</v>
      </c>
      <c r="T155" s="292">
        <v>0</v>
      </c>
      <c r="U155" s="292">
        <v>0</v>
      </c>
      <c r="V155" s="292">
        <v>0</v>
      </c>
      <c r="W155" s="292">
        <v>0</v>
      </c>
      <c r="X155" s="292">
        <v>0</v>
      </c>
      <c r="Y155" s="292">
        <v>0</v>
      </c>
      <c r="Z155" s="292">
        <v>0</v>
      </c>
      <c r="AA155" s="292">
        <v>0</v>
      </c>
      <c r="AB155" s="292">
        <v>0</v>
      </c>
      <c r="AC155" s="292">
        <v>0</v>
      </c>
      <c r="AD155" s="292">
        <v>0</v>
      </c>
      <c r="AE155" s="292">
        <v>0</v>
      </c>
      <c r="AF155" s="292">
        <v>0</v>
      </c>
      <c r="AG155" s="292">
        <v>0</v>
      </c>
      <c r="AH155" s="292">
        <v>1</v>
      </c>
      <c r="AO155" s="338"/>
      <c r="AP155" s="449"/>
      <c r="AR155" s="449"/>
      <c r="AS155" s="449"/>
      <c r="BA155" s="498"/>
      <c r="BB155" s="498"/>
      <c r="BC155" s="498"/>
      <c r="BD155" s="498"/>
      <c r="BE155" s="498"/>
      <c r="BF155" s="498"/>
      <c r="BG155" s="498"/>
      <c r="BH155" s="498"/>
      <c r="BI155" s="498"/>
      <c r="BJ155" s="498"/>
      <c r="BK155" s="498"/>
      <c r="BL155" s="498"/>
      <c r="BM155" s="498"/>
      <c r="BN155" s="498"/>
      <c r="BO155" s="498"/>
      <c r="BP155" s="498"/>
      <c r="BQ155" s="498"/>
      <c r="BR155" s="498"/>
      <c r="BS155" s="498"/>
      <c r="BT155" s="498"/>
      <c r="BU155" s="498"/>
      <c r="BV155" s="498"/>
      <c r="BW155" s="498"/>
      <c r="BX155" s="498"/>
      <c r="BY155" s="498"/>
      <c r="BZ155" s="498"/>
      <c r="CA155" s="498"/>
      <c r="CB155" s="498"/>
      <c r="CC155" s="498"/>
      <c r="CD155" s="498"/>
      <c r="CE155" s="498"/>
      <c r="CF155" s="498"/>
      <c r="CG155" s="292"/>
      <c r="CH155" s="292"/>
      <c r="CI155" s="292"/>
      <c r="CJ155" s="292"/>
      <c r="CK155" s="292"/>
      <c r="CL155" s="292"/>
      <c r="CM155" s="292"/>
      <c r="CN155" s="292"/>
      <c r="CO155" s="363"/>
      <c r="CR155" s="498"/>
      <c r="CS155" s="498"/>
      <c r="CT155" s="498"/>
      <c r="CU155" s="498"/>
      <c r="CV155" s="498"/>
      <c r="CW155" s="498"/>
      <c r="CX155" s="498"/>
      <c r="CY155" s="498"/>
      <c r="CZ155" s="498"/>
      <c r="DA155" s="498"/>
      <c r="DB155" s="498"/>
      <c r="DC155" s="498"/>
      <c r="DD155" s="498"/>
      <c r="DE155" s="498"/>
      <c r="DF155" s="498"/>
      <c r="DG155" s="498"/>
      <c r="DH155" s="498"/>
      <c r="DI155" s="498"/>
      <c r="DJ155" s="498"/>
      <c r="DK155" s="498"/>
      <c r="DL155" s="498"/>
      <c r="DM155" s="498"/>
      <c r="DN155" s="498"/>
      <c r="DO155" s="498"/>
      <c r="DP155" s="498"/>
      <c r="DQ155" s="498"/>
      <c r="DR155" s="498"/>
      <c r="DS155" s="498"/>
      <c r="DT155" s="498"/>
      <c r="DU155" s="498"/>
      <c r="DV155" s="498"/>
      <c r="DW155" s="498"/>
      <c r="DX155" s="498"/>
      <c r="DY155" s="498"/>
      <c r="DZ155" s="498"/>
      <c r="EA155" s="498"/>
      <c r="EB155" s="498"/>
      <c r="EC155" s="498"/>
      <c r="ED155" s="498"/>
      <c r="EE155" s="498"/>
      <c r="EF155" s="498"/>
      <c r="EG155" s="498"/>
      <c r="EH155" s="498"/>
      <c r="EI155" s="498"/>
      <c r="EJ155" s="498"/>
      <c r="EK155" s="498"/>
      <c r="EL155" s="498"/>
      <c r="EM155" s="498"/>
      <c r="EN155" s="498"/>
      <c r="EO155" s="498"/>
      <c r="EP155" s="498"/>
      <c r="EQ155" s="498"/>
      <c r="ER155" s="498"/>
      <c r="ES155" s="498"/>
      <c r="ET155" s="498"/>
      <c r="EU155" s="498"/>
      <c r="EV155" s="498"/>
      <c r="EW155" s="498"/>
      <c r="EX155" s="498"/>
      <c r="EY155" s="498"/>
      <c r="EZ155" s="498"/>
      <c r="FA155" s="498"/>
      <c r="FB155" s="498"/>
      <c r="FC155" s="498"/>
    </row>
    <row r="156" spans="3:159">
      <c r="C156" s="19" t="s">
        <v>799</v>
      </c>
      <c r="D156" s="284"/>
      <c r="E156" s="284"/>
      <c r="F156" s="284"/>
      <c r="G156" s="284"/>
      <c r="H156" s="284"/>
      <c r="I156" s="284"/>
      <c r="J156" s="287">
        <f t="shared" ref="J156:AH156" si="32">(J143+J144)+(J146+J147+J148)-(J150-J151)+(J153+J154+J155)-J157</f>
        <v>10197</v>
      </c>
      <c r="K156" s="287">
        <f t="shared" si="32"/>
        <v>9960</v>
      </c>
      <c r="L156" s="287">
        <f t="shared" si="32"/>
        <v>10504</v>
      </c>
      <c r="M156" s="287">
        <f t="shared" si="32"/>
        <v>11277</v>
      </c>
      <c r="N156" s="287">
        <f t="shared" si="32"/>
        <v>11595</v>
      </c>
      <c r="O156" s="287">
        <f t="shared" si="32"/>
        <v>13784</v>
      </c>
      <c r="P156" s="287">
        <f t="shared" si="32"/>
        <v>14800</v>
      </c>
      <c r="Q156" s="287">
        <f t="shared" si="32"/>
        <v>15601</v>
      </c>
      <c r="R156" s="287">
        <f t="shared" si="32"/>
        <v>16787</v>
      </c>
      <c r="S156" s="287">
        <f t="shared" si="32"/>
        <v>17378</v>
      </c>
      <c r="T156" s="287">
        <f t="shared" si="32"/>
        <v>17669</v>
      </c>
      <c r="U156" s="287">
        <f t="shared" si="32"/>
        <v>13888</v>
      </c>
      <c r="V156" s="287">
        <f t="shared" si="32"/>
        <v>22746</v>
      </c>
      <c r="W156" s="287">
        <f t="shared" si="32"/>
        <v>23869</v>
      </c>
      <c r="X156" s="287">
        <f t="shared" si="32"/>
        <v>23650</v>
      </c>
      <c r="Y156" s="287">
        <f t="shared" si="32"/>
        <v>23870</v>
      </c>
      <c r="Z156" s="287">
        <f t="shared" si="32"/>
        <v>22821</v>
      </c>
      <c r="AA156" s="287">
        <f t="shared" si="32"/>
        <v>23029</v>
      </c>
      <c r="AB156" s="287">
        <f t="shared" si="32"/>
        <v>23523</v>
      </c>
      <c r="AC156" s="287">
        <f t="shared" si="32"/>
        <v>25460.379690148016</v>
      </c>
      <c r="AD156" s="287">
        <f t="shared" si="32"/>
        <v>27265.302685170202</v>
      </c>
      <c r="AE156" s="287">
        <f t="shared" si="32"/>
        <v>29282.392634531941</v>
      </c>
      <c r="AF156" s="287">
        <f t="shared" si="32"/>
        <v>31630.234936202738</v>
      </c>
      <c r="AG156" s="287">
        <f t="shared" si="32"/>
        <v>33750.622222610313</v>
      </c>
      <c r="AH156" s="287">
        <f t="shared" si="32"/>
        <v>35836.73521085683</v>
      </c>
      <c r="AO156" s="338"/>
      <c r="AP156" s="449"/>
      <c r="AR156" s="449"/>
      <c r="AS156" s="449"/>
      <c r="BA156" s="498"/>
      <c r="BB156" s="498"/>
      <c r="BC156" s="498"/>
      <c r="BD156" s="498"/>
      <c r="BE156" s="498"/>
      <c r="BF156" s="498"/>
      <c r="BG156" s="498"/>
      <c r="BH156" s="498"/>
      <c r="BI156" s="498"/>
      <c r="BJ156" s="498"/>
      <c r="BK156" s="498"/>
      <c r="BL156" s="498"/>
      <c r="BM156" s="498"/>
      <c r="BN156" s="498"/>
      <c r="BO156" s="498"/>
      <c r="BP156" s="498"/>
      <c r="BQ156" s="498"/>
      <c r="BR156" s="498"/>
      <c r="BS156" s="498"/>
      <c r="BT156" s="498"/>
      <c r="BU156" s="498"/>
      <c r="BV156" s="498"/>
      <c r="BW156" s="498"/>
      <c r="BX156" s="498"/>
      <c r="BY156" s="498"/>
      <c r="BZ156" s="498"/>
      <c r="CA156" s="498"/>
      <c r="CB156" s="498"/>
      <c r="CC156" s="498"/>
      <c r="CD156" s="498"/>
      <c r="CE156" s="498"/>
      <c r="CF156" s="498"/>
      <c r="CG156" s="287"/>
      <c r="CH156" s="287"/>
      <c r="CI156" s="287"/>
      <c r="CJ156" s="287"/>
      <c r="CK156" s="287"/>
      <c r="CL156" s="287"/>
      <c r="CM156" s="287"/>
      <c r="CN156" s="287"/>
      <c r="CO156" s="27"/>
      <c r="CR156" s="498"/>
      <c r="CS156" s="498"/>
      <c r="CT156" s="498"/>
      <c r="CU156" s="498"/>
      <c r="CV156" s="498"/>
      <c r="CW156" s="498"/>
      <c r="CX156" s="498"/>
      <c r="CY156" s="498"/>
      <c r="CZ156" s="498"/>
      <c r="DA156" s="498"/>
      <c r="DB156" s="498"/>
      <c r="DC156" s="498"/>
      <c r="DD156" s="498"/>
      <c r="DE156" s="498"/>
      <c r="DF156" s="498"/>
      <c r="DG156" s="498"/>
      <c r="DH156" s="498"/>
      <c r="DI156" s="498"/>
      <c r="DJ156" s="498"/>
      <c r="DK156" s="498"/>
      <c r="DL156" s="498"/>
      <c r="DM156" s="498"/>
      <c r="DN156" s="498"/>
      <c r="DO156" s="498"/>
      <c r="DP156" s="498"/>
      <c r="DQ156" s="498"/>
      <c r="DR156" s="498"/>
      <c r="DS156" s="498"/>
      <c r="DT156" s="498"/>
      <c r="DU156" s="498"/>
      <c r="DV156" s="498"/>
      <c r="DW156" s="498"/>
      <c r="DX156" s="498"/>
      <c r="DY156" s="498"/>
      <c r="DZ156" s="498"/>
      <c r="EA156" s="498"/>
      <c r="EB156" s="498"/>
      <c r="EC156" s="498"/>
      <c r="ED156" s="498"/>
      <c r="EE156" s="498"/>
      <c r="EF156" s="498"/>
      <c r="EG156" s="498"/>
      <c r="EH156" s="498"/>
      <c r="EI156" s="498"/>
      <c r="EJ156" s="498"/>
      <c r="EK156" s="498"/>
      <c r="EL156" s="498"/>
      <c r="EM156" s="498"/>
      <c r="EN156" s="498"/>
      <c r="EO156" s="498"/>
      <c r="EP156" s="498"/>
      <c r="EQ156" s="498"/>
      <c r="ER156" s="498"/>
      <c r="ES156" s="498"/>
      <c r="ET156" s="498"/>
      <c r="EU156" s="498"/>
      <c r="EV156" s="498"/>
      <c r="EW156" s="498"/>
      <c r="EX156" s="498"/>
      <c r="EY156" s="498"/>
      <c r="EZ156" s="498"/>
      <c r="FA156" s="498"/>
      <c r="FB156" s="498"/>
      <c r="FC156" s="498"/>
    </row>
    <row r="157" spans="3:159">
      <c r="C157" s="291" t="s">
        <v>1557</v>
      </c>
      <c r="D157" s="284"/>
      <c r="E157" s="284"/>
      <c r="F157" s="284"/>
      <c r="G157" s="284"/>
      <c r="H157" s="284"/>
      <c r="I157" s="284"/>
      <c r="J157" s="287">
        <f>-(-346-'Income Statement'!H166-'Balance Sheet'!H43)</f>
        <v>628</v>
      </c>
      <c r="K157" s="287">
        <f>J157-(-'Income Statement'!I166-'Balance Sheet'!I43+'Balance Sheet'!H43)</f>
        <v>826</v>
      </c>
      <c r="L157" s="287">
        <f>K157-(-'Income Statement'!J166-'Balance Sheet'!J43+'Balance Sheet'!I43)</f>
        <v>481</v>
      </c>
      <c r="M157" s="287">
        <f>L157-(-'Income Statement'!K166-'Balance Sheet'!K43+'Balance Sheet'!J43)</f>
        <v>1227</v>
      </c>
      <c r="N157" s="287">
        <f>M157-(-'Income Statement'!L166-'Balance Sheet'!L43+'Balance Sheet'!K43)</f>
        <v>968</v>
      </c>
      <c r="O157" s="287">
        <f>N157-(-'Income Statement'!M166-'Balance Sheet'!M43+'Balance Sheet'!L43)</f>
        <v>1048</v>
      </c>
      <c r="P157" s="287">
        <f>O157-(-'Income Statement'!N166-'Balance Sheet'!N43+'Balance Sheet'!M43)</f>
        <v>1992</v>
      </c>
      <c r="Q157" s="287">
        <f>P157-(-'Income Statement'!O166-'Balance Sheet'!O43+'Balance Sheet'!N43)</f>
        <v>2749</v>
      </c>
      <c r="R157" s="287">
        <f>Q157-(-'Income Statement'!P166-'Balance Sheet'!P43+'Balance Sheet'!O43)</f>
        <v>1907</v>
      </c>
      <c r="S157" s="287">
        <f>R157-(-'Income Statement'!Q166-'Balance Sheet'!Q43+'Balance Sheet'!P43)</f>
        <v>-70</v>
      </c>
      <c r="T157" s="287">
        <f>S157-(-'Income Statement'!R166-'Balance Sheet'!R43+'Balance Sheet'!Q43)</f>
        <v>-4</v>
      </c>
      <c r="U157" s="287">
        <f>T157-(-'Income Statement'!S166-'Balance Sheet'!S43+'Balance Sheet'!R43)</f>
        <v>3921</v>
      </c>
      <c r="V157" s="287">
        <f>U157-(-'Income Statement'!T166-'Balance Sheet'!T43+'Balance Sheet'!S43)</f>
        <v>3791</v>
      </c>
      <c r="W157" s="287">
        <f>V157-(-'Income Statement'!U166-'Balance Sheet'!U43+'Balance Sheet'!T43)</f>
        <v>4338</v>
      </c>
      <c r="X157" s="287">
        <f>W157-(-'Income Statement'!V166-'Balance Sheet'!V43+'Balance Sheet'!U43)</f>
        <v>4406</v>
      </c>
      <c r="Y157" s="287">
        <f>X157-(-'Income Statement'!W166-'Balance Sheet'!W43+'Balance Sheet'!V43)</f>
        <v>4173</v>
      </c>
      <c r="Z157" s="287">
        <f>Y157-(-'Income Statement'!X166-'Balance Sheet'!X43+'Balance Sheet'!W43)</f>
        <v>396</v>
      </c>
      <c r="AA157" s="287">
        <f>Z157-(-'Income Statement'!Y166-'Balance Sheet'!Y43+'Balance Sheet'!X43)</f>
        <v>1832</v>
      </c>
      <c r="AB157" s="287">
        <f>AA157-(-'Income Statement'!Z166-'Balance Sheet'!Z43+'Balance Sheet'!Y43)</f>
        <v>-1908</v>
      </c>
      <c r="AC157" s="287">
        <f>AB157-(-'Income Statement'!AA166-'Balance Sheet'!AA43+'Balance Sheet'!Z43)</f>
        <v>-1535.8260002727857</v>
      </c>
      <c r="AD157" s="287">
        <f>AC157-(-'Income Statement'!AB166-'Balance Sheet'!AB43+'Balance Sheet'!AA43)</f>
        <v>-1121.3298333365619</v>
      </c>
      <c r="AE157" s="287">
        <f>AD157-(-'Income Statement'!AC166-'Balance Sheet'!AC43+'Balance Sheet'!AB43)</f>
        <v>-663.00886889405956</v>
      </c>
      <c r="AF157" s="287">
        <f>AE157-(-'Income Statement'!AD166-'Balance Sheet'!AD43+'Balance Sheet'!AC43)</f>
        <v>-165.90679442260625</v>
      </c>
      <c r="AG157" s="287">
        <f>AF157-(-'Income Statement'!AE166-'Balance Sheet'!AE43+'Balance Sheet'!AD43)</f>
        <v>355.60614409389018</v>
      </c>
      <c r="AH157" s="287">
        <f>AG157-(-'Income Statement'!AF166-'Balance Sheet'!AF43+'Balance Sheet'!AE43)</f>
        <v>902.36347343067064</v>
      </c>
      <c r="AO157" s="338"/>
      <c r="AP157" s="449"/>
      <c r="AR157" s="449"/>
      <c r="AS157" s="449"/>
      <c r="BA157" s="498"/>
      <c r="BB157" s="498"/>
      <c r="BC157" s="498"/>
      <c r="BD157" s="498"/>
      <c r="BE157" s="498"/>
      <c r="BF157" s="498"/>
      <c r="BG157" s="498"/>
      <c r="BH157" s="498"/>
      <c r="BI157" s="498"/>
      <c r="BJ157" s="498"/>
      <c r="BK157" s="498"/>
      <c r="BL157" s="498"/>
      <c r="BM157" s="498"/>
      <c r="BN157" s="498"/>
      <c r="BO157" s="498"/>
      <c r="BP157" s="498"/>
      <c r="BQ157" s="498"/>
      <c r="BR157" s="498"/>
      <c r="BS157" s="498"/>
      <c r="BT157" s="498"/>
      <c r="BU157" s="498"/>
      <c r="BV157" s="498"/>
      <c r="BW157" s="498"/>
      <c r="BX157" s="498"/>
      <c r="BY157" s="498"/>
      <c r="BZ157" s="498"/>
      <c r="CA157" s="498"/>
      <c r="CB157" s="498"/>
      <c r="CC157" s="498"/>
      <c r="CD157" s="498"/>
      <c r="CE157" s="498"/>
      <c r="CF157" s="498"/>
      <c r="CG157" s="287"/>
      <c r="CH157" s="287"/>
      <c r="CI157" s="287"/>
      <c r="CJ157" s="287"/>
      <c r="CK157" s="287"/>
      <c r="CL157" s="287"/>
      <c r="CM157" s="287"/>
      <c r="CN157" s="287"/>
      <c r="CO157" s="27"/>
      <c r="CR157" s="498"/>
      <c r="CS157" s="498"/>
      <c r="CT157" s="498"/>
      <c r="CU157" s="498"/>
      <c r="CV157" s="498"/>
      <c r="CW157" s="498"/>
      <c r="CX157" s="498"/>
      <c r="CY157" s="498"/>
      <c r="CZ157" s="498"/>
      <c r="DA157" s="498"/>
      <c r="DB157" s="498"/>
      <c r="DC157" s="498"/>
      <c r="DD157" s="498"/>
      <c r="DE157" s="498"/>
      <c r="DF157" s="498"/>
      <c r="DG157" s="498"/>
      <c r="DH157" s="498"/>
      <c r="DI157" s="498"/>
      <c r="DJ157" s="498"/>
      <c r="DK157" s="498"/>
      <c r="DL157" s="498"/>
      <c r="DM157" s="498"/>
      <c r="DN157" s="498"/>
      <c r="DO157" s="498"/>
      <c r="DP157" s="498"/>
      <c r="DQ157" s="498"/>
      <c r="DR157" s="498"/>
      <c r="DS157" s="498"/>
      <c r="DT157" s="498"/>
      <c r="DU157" s="498"/>
      <c r="DV157" s="498"/>
      <c r="DW157" s="498"/>
      <c r="DX157" s="498"/>
      <c r="DY157" s="498"/>
      <c r="DZ157" s="498"/>
      <c r="EA157" s="498"/>
      <c r="EB157" s="498"/>
      <c r="EC157" s="498"/>
      <c r="ED157" s="498"/>
      <c r="EE157" s="498"/>
      <c r="EF157" s="498"/>
      <c r="EG157" s="498"/>
      <c r="EH157" s="498"/>
      <c r="EI157" s="498"/>
      <c r="EJ157" s="498"/>
      <c r="EK157" s="498"/>
      <c r="EL157" s="498"/>
      <c r="EM157" s="498"/>
      <c r="EN157" s="498"/>
      <c r="EO157" s="498"/>
      <c r="EP157" s="498"/>
      <c r="EQ157" s="498"/>
      <c r="ER157" s="498"/>
      <c r="ES157" s="498"/>
      <c r="ET157" s="498"/>
      <c r="EU157" s="498"/>
      <c r="EV157" s="498"/>
      <c r="EW157" s="498"/>
      <c r="EX157" s="498"/>
      <c r="EY157" s="498"/>
      <c r="EZ157" s="498"/>
      <c r="FA157" s="498"/>
      <c r="FB157" s="498"/>
      <c r="FC157" s="498"/>
    </row>
    <row r="158" spans="3:159">
      <c r="C158" s="295" t="s">
        <v>798</v>
      </c>
      <c r="D158" s="295"/>
      <c r="E158" s="295"/>
      <c r="F158" s="295"/>
      <c r="G158" s="295"/>
      <c r="H158" s="295"/>
      <c r="I158" s="295"/>
      <c r="J158" s="295"/>
      <c r="K158" s="297" t="e">
        <f t="shared" ref="K158:AH158" si="33">(K140-J140)/(K156-J156)</f>
        <v>#REF!</v>
      </c>
      <c r="L158" s="297" t="e">
        <f t="shared" si="33"/>
        <v>#REF!</v>
      </c>
      <c r="M158" s="297" t="e">
        <f t="shared" si="33"/>
        <v>#REF!</v>
      </c>
      <c r="N158" s="297" t="e">
        <f t="shared" si="33"/>
        <v>#REF!</v>
      </c>
      <c r="O158" s="297" t="e">
        <f t="shared" si="33"/>
        <v>#REF!</v>
      </c>
      <c r="P158" s="297" t="e">
        <f t="shared" si="33"/>
        <v>#REF!</v>
      </c>
      <c r="Q158" s="297" t="e">
        <f t="shared" si="33"/>
        <v>#REF!</v>
      </c>
      <c r="R158" s="297">
        <f t="shared" si="33"/>
        <v>0.44091321831625391</v>
      </c>
      <c r="S158" s="297">
        <f t="shared" si="33"/>
        <v>0.43393341764430476</v>
      </c>
      <c r="T158" s="297">
        <f t="shared" si="33"/>
        <v>1.337672681852329</v>
      </c>
      <c r="U158" s="297" t="e">
        <f t="shared" si="33"/>
        <v>#REF!</v>
      </c>
      <c r="V158" s="297" t="e">
        <f t="shared" si="33"/>
        <v>#REF!</v>
      </c>
      <c r="W158" s="297" t="e">
        <f t="shared" si="33"/>
        <v>#REF!</v>
      </c>
      <c r="X158" s="297" t="e">
        <f t="shared" si="33"/>
        <v>#REF!</v>
      </c>
      <c r="Y158" s="297" t="e">
        <f t="shared" si="33"/>
        <v>#REF!</v>
      </c>
      <c r="Z158" s="297" t="e">
        <f t="shared" si="33"/>
        <v>#REF!</v>
      </c>
      <c r="AA158" s="297" t="e">
        <f t="shared" si="33"/>
        <v>#REF!</v>
      </c>
      <c r="AB158" s="297" t="e">
        <f t="shared" si="33"/>
        <v>#REF!</v>
      </c>
      <c r="AC158" s="297" t="e">
        <f t="shared" si="33"/>
        <v>#REF!</v>
      </c>
      <c r="AD158" s="297" t="e">
        <f t="shared" si="33"/>
        <v>#REF!</v>
      </c>
      <c r="AE158" s="297" t="e">
        <f t="shared" si="33"/>
        <v>#REF!</v>
      </c>
      <c r="AF158" s="297" t="e">
        <f t="shared" si="33"/>
        <v>#REF!</v>
      </c>
      <c r="AG158" s="297" t="e">
        <f t="shared" si="33"/>
        <v>#REF!</v>
      </c>
      <c r="AH158" s="297" t="e">
        <f t="shared" si="33"/>
        <v>#REF!</v>
      </c>
      <c r="AO158" s="338"/>
      <c r="AP158" s="449"/>
      <c r="AR158" s="449"/>
      <c r="AS158" s="449"/>
      <c r="BA158" s="498"/>
      <c r="BB158" s="498"/>
      <c r="BC158" s="498"/>
      <c r="BD158" s="498"/>
      <c r="BE158" s="498"/>
      <c r="BF158" s="498"/>
      <c r="BG158" s="498"/>
      <c r="BH158" s="498"/>
      <c r="BI158" s="498"/>
      <c r="BJ158" s="498"/>
      <c r="BK158" s="498"/>
      <c r="BL158" s="498"/>
      <c r="BM158" s="498"/>
      <c r="BN158" s="498"/>
      <c r="BO158" s="498"/>
      <c r="BP158" s="498"/>
      <c r="BQ158" s="498"/>
      <c r="BR158" s="498"/>
      <c r="BS158" s="498"/>
      <c r="BT158" s="498"/>
      <c r="BU158" s="498"/>
      <c r="BV158" s="498"/>
      <c r="BW158" s="498"/>
      <c r="BX158" s="498"/>
      <c r="BY158" s="498"/>
      <c r="BZ158" s="498"/>
      <c r="CA158" s="498"/>
      <c r="CB158" s="498"/>
      <c r="CC158" s="498"/>
      <c r="CD158" s="498"/>
      <c r="CE158" s="498"/>
      <c r="CF158" s="498"/>
      <c r="CG158" s="297"/>
      <c r="CH158" s="297"/>
      <c r="CI158" s="297"/>
      <c r="CJ158" s="297"/>
      <c r="CK158" s="297"/>
      <c r="CL158" s="297"/>
      <c r="CM158" s="297"/>
      <c r="CN158" s="297"/>
      <c r="CO158" s="297"/>
      <c r="CR158" s="498"/>
      <c r="CS158" s="498"/>
      <c r="CT158" s="498"/>
      <c r="CU158" s="498"/>
      <c r="CV158" s="498"/>
      <c r="CW158" s="498"/>
      <c r="CX158" s="498"/>
      <c r="CY158" s="498"/>
      <c r="CZ158" s="498"/>
      <c r="DA158" s="498"/>
      <c r="DB158" s="498"/>
      <c r="DC158" s="498"/>
      <c r="DD158" s="498"/>
      <c r="DE158" s="498"/>
      <c r="DF158" s="498"/>
      <c r="DG158" s="498"/>
      <c r="DH158" s="498"/>
      <c r="DI158" s="498"/>
      <c r="DJ158" s="498"/>
      <c r="DK158" s="498"/>
      <c r="DL158" s="498"/>
      <c r="DM158" s="498"/>
      <c r="DN158" s="498"/>
      <c r="DO158" s="498"/>
      <c r="DP158" s="498"/>
      <c r="DQ158" s="498"/>
      <c r="DR158" s="498"/>
      <c r="DS158" s="498"/>
      <c r="DT158" s="498"/>
      <c r="DU158" s="498"/>
      <c r="DV158" s="498"/>
      <c r="DW158" s="498"/>
      <c r="DX158" s="498"/>
      <c r="DY158" s="498"/>
      <c r="DZ158" s="498"/>
      <c r="EA158" s="498"/>
      <c r="EB158" s="498"/>
      <c r="EC158" s="498"/>
      <c r="ED158" s="498"/>
      <c r="EE158" s="498"/>
      <c r="EF158" s="498"/>
      <c r="EG158" s="498"/>
      <c r="EH158" s="498"/>
      <c r="EI158" s="498"/>
      <c r="EJ158" s="498"/>
      <c r="EK158" s="498"/>
      <c r="EL158" s="498"/>
      <c r="EM158" s="498"/>
      <c r="EN158" s="498"/>
      <c r="EO158" s="498"/>
      <c r="EP158" s="498"/>
      <c r="EQ158" s="498"/>
      <c r="ER158" s="498"/>
      <c r="ES158" s="498"/>
      <c r="ET158" s="498"/>
      <c r="EU158" s="498"/>
      <c r="EV158" s="498"/>
      <c r="EW158" s="498"/>
      <c r="EX158" s="498"/>
      <c r="EY158" s="498"/>
      <c r="EZ158" s="498"/>
      <c r="FA158" s="498"/>
      <c r="FB158" s="498"/>
      <c r="FC158" s="498"/>
    </row>
    <row r="159" spans="3:159">
      <c r="C159" s="19"/>
      <c r="D159" s="368"/>
      <c r="E159" s="368"/>
      <c r="F159" s="368"/>
      <c r="G159" s="368"/>
      <c r="H159" s="368"/>
      <c r="I159" s="368"/>
      <c r="J159" s="368"/>
      <c r="K159" s="352"/>
      <c r="L159" s="352"/>
      <c r="M159" s="352"/>
      <c r="N159" s="352"/>
      <c r="O159" s="352"/>
      <c r="P159" s="352"/>
      <c r="Q159" s="352"/>
      <c r="R159" s="352"/>
      <c r="S159" s="352"/>
      <c r="T159" s="352"/>
      <c r="U159" s="352"/>
      <c r="V159" s="352"/>
      <c r="W159" s="352"/>
      <c r="X159" s="352"/>
      <c r="Y159" s="352"/>
      <c r="Z159" s="352"/>
      <c r="AA159" s="352"/>
      <c r="AB159" s="352"/>
      <c r="AC159" s="352"/>
      <c r="AD159" s="352"/>
      <c r="AE159" s="352"/>
      <c r="AF159" s="352"/>
      <c r="AG159" s="352"/>
      <c r="AH159" s="352"/>
      <c r="AO159" s="338"/>
      <c r="AP159" s="449"/>
      <c r="AR159" s="449"/>
      <c r="AS159" s="449"/>
      <c r="BA159" s="498"/>
      <c r="BB159" s="498"/>
      <c r="BC159" s="498"/>
      <c r="BD159" s="498"/>
      <c r="BE159" s="498"/>
      <c r="BF159" s="498"/>
      <c r="BG159" s="498"/>
      <c r="BH159" s="498"/>
      <c r="BI159" s="498"/>
      <c r="BJ159" s="498"/>
      <c r="BK159" s="498"/>
      <c r="BL159" s="498"/>
      <c r="BM159" s="498"/>
      <c r="BN159" s="498"/>
      <c r="BO159" s="498"/>
      <c r="BP159" s="498"/>
      <c r="BQ159" s="498"/>
      <c r="BR159" s="498"/>
      <c r="BS159" s="498"/>
      <c r="BT159" s="498"/>
      <c r="BU159" s="498"/>
      <c r="BV159" s="498"/>
      <c r="BW159" s="498"/>
      <c r="BX159" s="498"/>
      <c r="BY159" s="498"/>
      <c r="BZ159" s="498"/>
      <c r="CA159" s="498"/>
      <c r="CB159" s="498"/>
      <c r="CC159" s="498"/>
      <c r="CD159" s="498"/>
      <c r="CE159" s="498"/>
      <c r="CF159" s="498"/>
      <c r="CG159" s="352"/>
      <c r="CH159" s="352"/>
      <c r="CI159" s="352"/>
      <c r="CJ159" s="352"/>
      <c r="CK159" s="352"/>
      <c r="CL159" s="352"/>
      <c r="CM159" s="352"/>
      <c r="CN159" s="352"/>
      <c r="CO159" s="365"/>
      <c r="CR159" s="498"/>
      <c r="CS159" s="498"/>
      <c r="CT159" s="498"/>
      <c r="CU159" s="498"/>
      <c r="CV159" s="498"/>
      <c r="CW159" s="498"/>
      <c r="CX159" s="498"/>
      <c r="CY159" s="498"/>
      <c r="CZ159" s="498"/>
      <c r="DA159" s="498"/>
      <c r="DB159" s="498"/>
      <c r="DC159" s="498"/>
      <c r="DD159" s="498"/>
      <c r="DE159" s="498"/>
      <c r="DF159" s="498"/>
      <c r="DG159" s="498"/>
      <c r="DH159" s="498"/>
      <c r="DI159" s="498"/>
      <c r="DJ159" s="498"/>
      <c r="DK159" s="498"/>
      <c r="DL159" s="498"/>
      <c r="DM159" s="498"/>
      <c r="DN159" s="498"/>
      <c r="DO159" s="498"/>
      <c r="DP159" s="498"/>
      <c r="DQ159" s="498"/>
      <c r="DR159" s="498"/>
      <c r="DS159" s="498"/>
      <c r="DT159" s="498"/>
      <c r="DU159" s="498"/>
      <c r="DV159" s="498"/>
      <c r="DW159" s="498"/>
      <c r="DX159" s="498"/>
      <c r="DY159" s="498"/>
      <c r="DZ159" s="498"/>
      <c r="EA159" s="498"/>
      <c r="EB159" s="498"/>
      <c r="EC159" s="498"/>
      <c r="ED159" s="498"/>
      <c r="EE159" s="498"/>
      <c r="EF159" s="498"/>
      <c r="EG159" s="498"/>
      <c r="EH159" s="498"/>
      <c r="EI159" s="498"/>
      <c r="EJ159" s="498"/>
      <c r="EK159" s="498"/>
      <c r="EL159" s="498"/>
      <c r="EM159" s="498"/>
      <c r="EN159" s="498"/>
      <c r="EO159" s="498"/>
      <c r="EP159" s="498"/>
      <c r="EQ159" s="498"/>
      <c r="ER159" s="498"/>
      <c r="ES159" s="498"/>
      <c r="ET159" s="498"/>
      <c r="EU159" s="498"/>
      <c r="EV159" s="498"/>
      <c r="EW159" s="498"/>
      <c r="EX159" s="498"/>
      <c r="EY159" s="498"/>
      <c r="EZ159" s="498"/>
      <c r="FA159" s="498"/>
      <c r="FB159" s="498"/>
      <c r="FC159" s="498"/>
    </row>
    <row r="160" spans="3:159">
      <c r="C160" s="19" t="s">
        <v>797</v>
      </c>
      <c r="D160" s="30"/>
      <c r="E160" s="30"/>
      <c r="F160" s="30"/>
      <c r="G160" s="30"/>
      <c r="H160" s="30"/>
      <c r="I160" s="30"/>
      <c r="J160" s="30">
        <f>'Income Statement'!H41/AVERAGE(I156:J156)</f>
        <v>1.0631558301461215</v>
      </c>
      <c r="K160" s="30">
        <f>'Income Statement'!I41/AVERAGE(J156:K156)</f>
        <v>0.96383390385474033</v>
      </c>
      <c r="L160" s="30">
        <f>'Income Statement'!J41/AVERAGE(K156:L156)</f>
        <v>1.0047888975762314</v>
      </c>
      <c r="M160" s="30">
        <f>'Income Statement'!K41/AVERAGE(L156:M156)</f>
        <v>0.96956062623387351</v>
      </c>
      <c r="N160" s="30">
        <f>'Income Statement'!L41/AVERAGE(M156:N156)</f>
        <v>0.96432318992654775</v>
      </c>
      <c r="O160" s="30">
        <f>'Income Statement'!M41/AVERAGE(N156:O156)</f>
        <v>0.91871232121044955</v>
      </c>
      <c r="P160" s="30">
        <f>'Income Statement'!N41/AVERAGE(O156:P156)</f>
        <v>0.95263084242933105</v>
      </c>
      <c r="Q160" s="30">
        <f>'Income Statement'!O41/AVERAGE(P156:Q156)</f>
        <v>0.95325811650932535</v>
      </c>
      <c r="R160" s="30">
        <f>'Income Statement'!P41/AVERAGE(Q156:R156)</f>
        <v>0.9289860442139064</v>
      </c>
      <c r="S160" s="30">
        <f>'Income Statement'!Q41/AVERAGE(R156:S156)</f>
        <v>0.9496268110639543</v>
      </c>
      <c r="T160" s="30">
        <f>'Income Statement'!R41/AVERAGE(S156:T156)</f>
        <v>0.94056552629326329</v>
      </c>
      <c r="U160" s="30">
        <f>'Income Statement'!S41/AVERAGE(T156:U156)</f>
        <v>1.0378679849161834</v>
      </c>
      <c r="V160" s="30">
        <f>'Income Statement'!T41/AVERAGE(U156:V156)</f>
        <v>1.1478408036250478</v>
      </c>
      <c r="W160" s="30">
        <f>'Income Statement'!U41/AVERAGE(V156:W156)</f>
        <v>1.076820765847903</v>
      </c>
      <c r="X160" s="30">
        <f>'Income Statement'!V41/AVERAGE(W156:X156)</f>
        <v>0.69997264252193858</v>
      </c>
      <c r="Y160" s="30">
        <f>'Income Statement'!W41/AVERAGE(X156:Y156)</f>
        <v>0.63691077441077437</v>
      </c>
      <c r="Z160" s="30">
        <f>'Income Statement'!X41/AVERAGE(Y156:Z156)</f>
        <v>0.83626394808421323</v>
      </c>
      <c r="AA160" s="30">
        <f>'Income Statement'!Y41/AVERAGE(Z156:AA156)</f>
        <v>1.0316684841875681</v>
      </c>
      <c r="AB160" s="30">
        <f>'Income Statement'!Z41/AVERAGE(AA156:AB156)</f>
        <v>1.1907544251589621</v>
      </c>
      <c r="AC160" s="30">
        <f>'Income Statement'!AA41/AVERAGE(AB156:AC156)</f>
        <v>1.265570775984556</v>
      </c>
      <c r="AD160" s="30">
        <f>'Income Statement'!AB41/AVERAGE(AC156:AD156)</f>
        <v>1.3094456108807648</v>
      </c>
      <c r="AE160" s="30">
        <f>'Income Statement'!AC41/AVERAGE(AD156:AE156)</f>
        <v>1.3500317066569478</v>
      </c>
      <c r="AF160" s="30">
        <f>'Income Statement'!AD41/AVERAGE(AE156:AF156)</f>
        <v>1.3593378075121907</v>
      </c>
      <c r="AG160" s="30">
        <f>'Income Statement'!AE41/AVERAGE(AF156:AG156)</f>
        <v>1.3286287082219954</v>
      </c>
      <c r="AH160" s="30">
        <f>'Income Statement'!AF41/AVERAGE(AG156:AH156)</f>
        <v>1.3087401424798679</v>
      </c>
      <c r="AO160" s="338"/>
      <c r="AP160" s="449"/>
      <c r="AR160" s="449"/>
      <c r="AS160" s="449"/>
      <c r="BA160" s="498"/>
      <c r="BB160" s="498"/>
      <c r="BC160" s="498"/>
      <c r="BD160" s="498"/>
      <c r="BE160" s="498"/>
      <c r="BF160" s="498"/>
      <c r="BG160" s="498"/>
      <c r="BH160" s="498"/>
      <c r="BI160" s="498"/>
      <c r="BJ160" s="498"/>
      <c r="BK160" s="498"/>
      <c r="BL160" s="498"/>
      <c r="BM160" s="498"/>
      <c r="BN160" s="498"/>
      <c r="BO160" s="498"/>
      <c r="BP160" s="498"/>
      <c r="BQ160" s="498"/>
      <c r="BR160" s="498"/>
      <c r="BS160" s="498"/>
      <c r="BT160" s="498"/>
      <c r="BU160" s="498"/>
      <c r="BV160" s="498"/>
      <c r="BW160" s="498"/>
      <c r="BX160" s="498"/>
      <c r="BY160" s="498"/>
      <c r="BZ160" s="498"/>
      <c r="CA160" s="498"/>
      <c r="CB160" s="498"/>
      <c r="CC160" s="498"/>
      <c r="CD160" s="498"/>
      <c r="CE160" s="498"/>
      <c r="CF160" s="498"/>
      <c r="CG160" s="30"/>
      <c r="CH160" s="30"/>
      <c r="CI160" s="30"/>
      <c r="CJ160" s="30"/>
      <c r="CK160" s="30"/>
      <c r="CL160" s="30"/>
      <c r="CM160" s="30"/>
      <c r="CN160" s="30"/>
      <c r="CO160" s="355"/>
      <c r="CR160" s="498"/>
      <c r="CS160" s="498"/>
      <c r="CT160" s="498"/>
      <c r="CU160" s="498"/>
      <c r="CV160" s="498"/>
      <c r="CW160" s="498"/>
      <c r="CX160" s="498"/>
      <c r="CY160" s="498"/>
      <c r="CZ160" s="498"/>
      <c r="DA160" s="498"/>
      <c r="DB160" s="498"/>
      <c r="DC160" s="498"/>
      <c r="DD160" s="498"/>
      <c r="DE160" s="498"/>
      <c r="DF160" s="498"/>
      <c r="DG160" s="498"/>
      <c r="DH160" s="498"/>
      <c r="DI160" s="498"/>
      <c r="DJ160" s="498"/>
      <c r="DK160" s="498"/>
      <c r="DL160" s="498"/>
      <c r="DM160" s="498"/>
      <c r="DN160" s="498"/>
      <c r="DO160" s="498"/>
      <c r="DP160" s="498"/>
      <c r="DQ160" s="498"/>
      <c r="DR160" s="498"/>
      <c r="DS160" s="498"/>
      <c r="DT160" s="498"/>
      <c r="DU160" s="498"/>
      <c r="DV160" s="498"/>
      <c r="DW160" s="498"/>
      <c r="DX160" s="498"/>
      <c r="DY160" s="498"/>
      <c r="DZ160" s="498"/>
      <c r="EA160" s="498"/>
      <c r="EB160" s="498"/>
      <c r="EC160" s="498"/>
      <c r="ED160" s="498"/>
      <c r="EE160" s="498"/>
      <c r="EF160" s="498"/>
      <c r="EG160" s="498"/>
      <c r="EH160" s="498"/>
      <c r="EI160" s="498"/>
      <c r="EJ160" s="498"/>
      <c r="EK160" s="498"/>
      <c r="EL160" s="498"/>
      <c r="EM160" s="498"/>
      <c r="EN160" s="498"/>
      <c r="EO160" s="498"/>
      <c r="EP160" s="498"/>
      <c r="EQ160" s="498"/>
      <c r="ER160" s="498"/>
      <c r="ES160" s="498"/>
      <c r="ET160" s="498"/>
      <c r="EU160" s="498"/>
      <c r="EV160" s="498"/>
      <c r="EW160" s="498"/>
      <c r="EX160" s="498"/>
      <c r="EY160" s="498"/>
      <c r="EZ160" s="498"/>
      <c r="FA160" s="498"/>
      <c r="FB160" s="498"/>
      <c r="FC160" s="498"/>
    </row>
    <row r="161" spans="3:159">
      <c r="C161" s="19" t="s">
        <v>796</v>
      </c>
      <c r="D161" s="30"/>
      <c r="E161" s="30"/>
      <c r="F161" s="30"/>
      <c r="G161" s="30"/>
      <c r="H161" s="30"/>
      <c r="I161" s="30"/>
      <c r="J161" s="30" t="e">
        <f t="shared" ref="J161:AH161" si="34">J236</f>
        <v>#REF!</v>
      </c>
      <c r="K161" s="30" t="e">
        <f t="shared" si="34"/>
        <v>#REF!</v>
      </c>
      <c r="L161" s="30" t="e">
        <f t="shared" si="34"/>
        <v>#REF!</v>
      </c>
      <c r="M161" s="30" t="e">
        <f t="shared" si="34"/>
        <v>#REF!</v>
      </c>
      <c r="N161" s="30" t="e">
        <f t="shared" si="34"/>
        <v>#REF!</v>
      </c>
      <c r="O161" s="30" t="e">
        <f t="shared" si="34"/>
        <v>#REF!</v>
      </c>
      <c r="P161" s="30" t="e">
        <f t="shared" si="34"/>
        <v>#REF!</v>
      </c>
      <c r="Q161" s="30">
        <f t="shared" si="34"/>
        <v>2.2766831441899324E-2</v>
      </c>
      <c r="R161" s="30">
        <f t="shared" si="34"/>
        <v>2.1947248453272551E-2</v>
      </c>
      <c r="S161" s="30">
        <f t="shared" si="34"/>
        <v>2.394625014356265E-2</v>
      </c>
      <c r="T161" s="30">
        <f t="shared" si="34"/>
        <v>3.6436220771814208E-2</v>
      </c>
      <c r="U161" s="30">
        <f t="shared" si="34"/>
        <v>0.17864978373973547</v>
      </c>
      <c r="V161" s="30">
        <f t="shared" si="34"/>
        <v>0.16617577197149644</v>
      </c>
      <c r="W161" s="30">
        <f t="shared" si="34"/>
        <v>0.19630681818181819</v>
      </c>
      <c r="X161" s="30">
        <f t="shared" si="34"/>
        <v>0.16432294823614985</v>
      </c>
      <c r="Y161" s="30">
        <f t="shared" si="34"/>
        <v>0.18286688077603722</v>
      </c>
      <c r="Z161" s="30">
        <f t="shared" si="34"/>
        <v>0.17814552140793274</v>
      </c>
      <c r="AA161" s="30">
        <f t="shared" si="34"/>
        <v>0.18030949609896979</v>
      </c>
      <c r="AB161" s="30">
        <f t="shared" si="34"/>
        <v>0.19028443826188821</v>
      </c>
      <c r="AC161" s="30">
        <f t="shared" si="34"/>
        <v>0.20726730850538513</v>
      </c>
      <c r="AD161" s="30">
        <f t="shared" si="34"/>
        <v>0.21746588318006482</v>
      </c>
      <c r="AE161" s="30">
        <f t="shared" si="34"/>
        <v>0.22145701058610148</v>
      </c>
      <c r="AF161" s="30">
        <f t="shared" si="34"/>
        <v>0.22647346390712361</v>
      </c>
      <c r="AG161" s="30">
        <f t="shared" si="34"/>
        <v>0.22852127674718256</v>
      </c>
      <c r="AH161" s="30">
        <f t="shared" si="34"/>
        <v>0.22997635105227837</v>
      </c>
      <c r="AO161" s="338"/>
      <c r="AP161" s="449"/>
      <c r="AR161" s="449"/>
      <c r="AS161" s="449"/>
      <c r="BA161" s="498"/>
      <c r="BB161" s="498"/>
      <c r="BC161" s="498"/>
      <c r="BD161" s="498"/>
      <c r="BE161" s="498"/>
      <c r="BF161" s="498"/>
      <c r="BG161" s="498"/>
      <c r="BH161" s="498"/>
      <c r="BI161" s="498"/>
      <c r="BJ161" s="498"/>
      <c r="BK161" s="498"/>
      <c r="BL161" s="498"/>
      <c r="BM161" s="498"/>
      <c r="BN161" s="498"/>
      <c r="BO161" s="498"/>
      <c r="BP161" s="498"/>
      <c r="BQ161" s="498"/>
      <c r="BR161" s="498"/>
      <c r="BS161" s="498"/>
      <c r="BT161" s="498"/>
      <c r="BU161" s="498"/>
      <c r="BV161" s="498"/>
      <c r="BW161" s="498"/>
      <c r="BX161" s="498"/>
      <c r="BY161" s="498"/>
      <c r="BZ161" s="498"/>
      <c r="CA161" s="498"/>
      <c r="CB161" s="498"/>
      <c r="CC161" s="498"/>
      <c r="CD161" s="498"/>
      <c r="CE161" s="498"/>
      <c r="CF161" s="498"/>
      <c r="CG161" s="30"/>
      <c r="CH161" s="30"/>
      <c r="CI161" s="30"/>
      <c r="CJ161" s="30"/>
      <c r="CK161" s="30"/>
      <c r="CL161" s="30"/>
      <c r="CM161" s="30"/>
      <c r="CN161" s="30"/>
      <c r="CO161" s="355"/>
      <c r="CR161" s="498"/>
      <c r="CS161" s="498"/>
      <c r="CT161" s="498"/>
      <c r="CU161" s="498"/>
      <c r="CV161" s="498"/>
      <c r="CW161" s="498"/>
      <c r="CX161" s="498"/>
      <c r="CY161" s="498"/>
      <c r="CZ161" s="498"/>
      <c r="DA161" s="498"/>
      <c r="DB161" s="498"/>
      <c r="DC161" s="498"/>
      <c r="DD161" s="498"/>
      <c r="DE161" s="498"/>
      <c r="DF161" s="498"/>
      <c r="DG161" s="498"/>
      <c r="DH161" s="498"/>
      <c r="DI161" s="498"/>
      <c r="DJ161" s="498"/>
      <c r="DK161" s="498"/>
      <c r="DL161" s="498"/>
      <c r="DM161" s="498"/>
      <c r="DN161" s="498"/>
      <c r="DO161" s="498"/>
      <c r="DP161" s="498"/>
      <c r="DQ161" s="498"/>
      <c r="DR161" s="498"/>
      <c r="DS161" s="498"/>
      <c r="DT161" s="498"/>
      <c r="DU161" s="498"/>
      <c r="DV161" s="498"/>
      <c r="DW161" s="498"/>
      <c r="DX161" s="498"/>
      <c r="DY161" s="498"/>
      <c r="DZ161" s="498"/>
      <c r="EA161" s="498"/>
      <c r="EB161" s="498"/>
      <c r="EC161" s="498"/>
      <c r="ED161" s="498"/>
      <c r="EE161" s="498"/>
      <c r="EF161" s="498"/>
      <c r="EG161" s="498"/>
      <c r="EH161" s="498"/>
      <c r="EI161" s="498"/>
      <c r="EJ161" s="498"/>
      <c r="EK161" s="498"/>
      <c r="EL161" s="498"/>
      <c r="EM161" s="498"/>
      <c r="EN161" s="498"/>
      <c r="EO161" s="498"/>
      <c r="EP161" s="498"/>
      <c r="EQ161" s="498"/>
      <c r="ER161" s="498"/>
      <c r="ES161" s="498"/>
      <c r="ET161" s="498"/>
      <c r="EU161" s="498"/>
      <c r="EV161" s="498"/>
      <c r="EW161" s="498"/>
      <c r="EX161" s="498"/>
      <c r="EY161" s="498"/>
      <c r="EZ161" s="498"/>
      <c r="FA161" s="498"/>
      <c r="FB161" s="498"/>
      <c r="FC161" s="498"/>
    </row>
    <row r="162" spans="3:159">
      <c r="C162" s="19" t="s">
        <v>745</v>
      </c>
      <c r="D162" s="30"/>
      <c r="E162" s="30"/>
      <c r="F162" s="30"/>
      <c r="G162" s="30"/>
      <c r="H162" s="30"/>
      <c r="I162" s="30"/>
      <c r="J162" s="30" t="e">
        <f t="shared" ref="J162:AH162" si="35">J140/J235</f>
        <v>#REF!</v>
      </c>
      <c r="K162" s="30" t="e">
        <f t="shared" si="35"/>
        <v>#REF!</v>
      </c>
      <c r="L162" s="30" t="e">
        <f t="shared" si="35"/>
        <v>#REF!</v>
      </c>
      <c r="M162" s="30" t="e">
        <f t="shared" si="35"/>
        <v>#REF!</v>
      </c>
      <c r="N162" s="30" t="e">
        <f t="shared" si="35"/>
        <v>#REF!</v>
      </c>
      <c r="O162" s="30" t="e">
        <f t="shared" si="35"/>
        <v>#REF!</v>
      </c>
      <c r="P162" s="30" t="e">
        <f t="shared" si="35"/>
        <v>#REF!</v>
      </c>
      <c r="Q162" s="30">
        <f t="shared" si="35"/>
        <v>5.0973888496824271</v>
      </c>
      <c r="R162" s="30">
        <f t="shared" si="35"/>
        <v>6.4978315453092907</v>
      </c>
      <c r="S162" s="30">
        <f t="shared" si="35"/>
        <v>5.8662443179784534</v>
      </c>
      <c r="T162" s="30">
        <f t="shared" si="35"/>
        <v>4.9312810974192045</v>
      </c>
      <c r="U162" s="30" t="e">
        <f t="shared" si="35"/>
        <v>#REF!</v>
      </c>
      <c r="V162" s="30" t="e">
        <f t="shared" si="35"/>
        <v>#REF!</v>
      </c>
      <c r="W162" s="30" t="e">
        <f t="shared" si="35"/>
        <v>#REF!</v>
      </c>
      <c r="X162" s="30" t="e">
        <f t="shared" si="35"/>
        <v>#REF!</v>
      </c>
      <c r="Y162" s="30" t="e">
        <f t="shared" si="35"/>
        <v>#REF!</v>
      </c>
      <c r="Z162" s="30" t="e">
        <f t="shared" si="35"/>
        <v>#REF!</v>
      </c>
      <c r="AA162" s="30" t="e">
        <f t="shared" si="35"/>
        <v>#REF!</v>
      </c>
      <c r="AB162" s="30" t="e">
        <f t="shared" si="35"/>
        <v>#REF!</v>
      </c>
      <c r="AC162" s="30" t="e">
        <f t="shared" si="35"/>
        <v>#REF!</v>
      </c>
      <c r="AD162" s="30" t="e">
        <f t="shared" si="35"/>
        <v>#REF!</v>
      </c>
      <c r="AE162" s="30" t="e">
        <f t="shared" si="35"/>
        <v>#REF!</v>
      </c>
      <c r="AF162" s="30" t="e">
        <f t="shared" si="35"/>
        <v>#REF!</v>
      </c>
      <c r="AG162" s="30" t="e">
        <f t="shared" si="35"/>
        <v>#REF!</v>
      </c>
      <c r="AH162" s="30" t="e">
        <f t="shared" si="35"/>
        <v>#REF!</v>
      </c>
      <c r="AO162" s="338"/>
      <c r="AP162" s="449"/>
      <c r="AR162" s="449"/>
      <c r="AS162" s="449"/>
      <c r="BA162" s="498"/>
      <c r="BB162" s="498"/>
      <c r="BC162" s="498"/>
      <c r="BD162" s="498"/>
      <c r="BE162" s="498"/>
      <c r="BF162" s="498"/>
      <c r="BG162" s="498"/>
      <c r="BH162" s="498"/>
      <c r="BI162" s="498"/>
      <c r="BJ162" s="498"/>
      <c r="BK162" s="498"/>
      <c r="BL162" s="498"/>
      <c r="BM162" s="498"/>
      <c r="BN162" s="498"/>
      <c r="BO162" s="498"/>
      <c r="BP162" s="498"/>
      <c r="BQ162" s="498"/>
      <c r="BR162" s="498"/>
      <c r="BS162" s="498"/>
      <c r="BT162" s="498"/>
      <c r="BU162" s="498"/>
      <c r="BV162" s="498"/>
      <c r="BW162" s="498"/>
      <c r="BX162" s="498"/>
      <c r="BY162" s="498"/>
      <c r="BZ162" s="498"/>
      <c r="CA162" s="498"/>
      <c r="CB162" s="498"/>
      <c r="CC162" s="498"/>
      <c r="CD162" s="498"/>
      <c r="CE162" s="498"/>
      <c r="CF162" s="498"/>
      <c r="CG162" s="30"/>
      <c r="CH162" s="30"/>
      <c r="CI162" s="30"/>
      <c r="CJ162" s="30"/>
      <c r="CK162" s="30"/>
      <c r="CL162" s="30"/>
      <c r="CM162" s="30"/>
      <c r="CN162" s="30"/>
      <c r="CO162" s="355"/>
      <c r="CR162" s="498"/>
      <c r="CS162" s="498"/>
      <c r="CT162" s="498"/>
      <c r="CU162" s="498"/>
      <c r="CV162" s="498"/>
      <c r="CW162" s="498"/>
      <c r="CX162" s="498"/>
      <c r="CY162" s="498"/>
      <c r="CZ162" s="498"/>
      <c r="DA162" s="498"/>
      <c r="DB162" s="498"/>
      <c r="DC162" s="498"/>
      <c r="DD162" s="498"/>
      <c r="DE162" s="498"/>
      <c r="DF162" s="498"/>
      <c r="DG162" s="498"/>
      <c r="DH162" s="498"/>
      <c r="DI162" s="498"/>
      <c r="DJ162" s="498"/>
      <c r="DK162" s="498"/>
      <c r="DL162" s="498"/>
      <c r="DM162" s="498"/>
      <c r="DN162" s="498"/>
      <c r="DO162" s="498"/>
      <c r="DP162" s="498"/>
      <c r="DQ162" s="498"/>
      <c r="DR162" s="498"/>
      <c r="DS162" s="498"/>
      <c r="DT162" s="498"/>
      <c r="DU162" s="498"/>
      <c r="DV162" s="498"/>
      <c r="DW162" s="498"/>
      <c r="DX162" s="498"/>
      <c r="DY162" s="498"/>
      <c r="DZ162" s="498"/>
      <c r="EA162" s="498"/>
      <c r="EB162" s="498"/>
      <c r="EC162" s="498"/>
      <c r="ED162" s="498"/>
      <c r="EE162" s="498"/>
      <c r="EF162" s="498"/>
      <c r="EG162" s="498"/>
      <c r="EH162" s="498"/>
      <c r="EI162" s="498"/>
      <c r="EJ162" s="498"/>
      <c r="EK162" s="498"/>
      <c r="EL162" s="498"/>
      <c r="EM162" s="498"/>
      <c r="EN162" s="498"/>
      <c r="EO162" s="498"/>
      <c r="EP162" s="498"/>
      <c r="EQ162" s="498"/>
      <c r="ER162" s="498"/>
      <c r="ES162" s="498"/>
      <c r="ET162" s="498"/>
      <c r="EU162" s="498"/>
      <c r="EV162" s="498"/>
      <c r="EW162" s="498"/>
      <c r="EX162" s="498"/>
      <c r="EY162" s="498"/>
      <c r="EZ162" s="498"/>
      <c r="FA162" s="498"/>
      <c r="FB162" s="498"/>
      <c r="FC162" s="498"/>
    </row>
    <row r="163" spans="3:159">
      <c r="C163" s="295" t="s">
        <v>1374</v>
      </c>
      <c r="D163" s="647"/>
      <c r="E163" s="647"/>
      <c r="F163" s="647"/>
      <c r="G163" s="647"/>
      <c r="H163" s="647"/>
      <c r="I163" s="647"/>
      <c r="J163" s="647" t="e">
        <f>(J255+J225)/AVERAGE('Balance Sheet'!G135:H135)</f>
        <v>#REF!</v>
      </c>
      <c r="K163" s="647" t="e">
        <f>(K255+K225)/AVERAGE('Balance Sheet'!H135:I135)</f>
        <v>#REF!</v>
      </c>
      <c r="L163" s="647" t="e">
        <f>(L255+L225)/AVERAGE('Balance Sheet'!I135:J135)</f>
        <v>#REF!</v>
      </c>
      <c r="M163" s="647" t="e">
        <f>(M255+M225)/AVERAGE('Balance Sheet'!J135:K135)</f>
        <v>#REF!</v>
      </c>
      <c r="N163" s="647" t="e">
        <f>(N255+N225)/AVERAGE('Balance Sheet'!K135:L135)</f>
        <v>#REF!</v>
      </c>
      <c r="O163" s="647" t="e">
        <f>(O255+O225)/AVERAGE('Balance Sheet'!L135:M135)</f>
        <v>#REF!</v>
      </c>
      <c r="P163" s="647" t="e">
        <f>(P255+P225)/AVERAGE('Balance Sheet'!M135:N135)</f>
        <v>#REF!</v>
      </c>
      <c r="Q163" s="647">
        <f>(Q255+Q225)/AVERAGE('Balance Sheet'!N135:O135)</f>
        <v>-6.836434867776689E-2</v>
      </c>
      <c r="R163" s="647">
        <f>(R255+R225)/AVERAGE('Balance Sheet'!O135:P135)</f>
        <v>-6.7336489228093904E-2</v>
      </c>
      <c r="S163" s="647">
        <f>(S255+S225)/AVERAGE('Balance Sheet'!P135:Q135)</f>
        <v>-5.5007372122036977E-2</v>
      </c>
      <c r="T163" s="647">
        <f>(T255+T225)/AVERAGE('Balance Sheet'!Q135:R135)</f>
        <v>-6.8067937788768143E-2</v>
      </c>
      <c r="U163" s="647">
        <f>(U255+U225)/AVERAGE('Balance Sheet'!R135:S135)</f>
        <v>0.19754564501646213</v>
      </c>
      <c r="V163" s="647">
        <f>(V255+V225)/AVERAGE('Balance Sheet'!S135:T135)</f>
        <v>0.18803957898056531</v>
      </c>
      <c r="W163" s="647">
        <f>(W255+W225)/AVERAGE('Balance Sheet'!T135:U135)</f>
        <v>0.16752677266354443</v>
      </c>
      <c r="X163" s="647">
        <f>(X255+X225)/AVERAGE('Balance Sheet'!U135:V135)</f>
        <v>8.2200942392460855E-2</v>
      </c>
      <c r="Y163" s="647">
        <f>(Y255+Y225)/AVERAGE('Balance Sheet'!V135:W135)</f>
        <v>9.1856247939333988E-2</v>
      </c>
      <c r="Z163" s="647">
        <f>(Z255+Z225)/AVERAGE('Balance Sheet'!W135:X135)</f>
        <v>0.15612348178137653</v>
      </c>
      <c r="AA163" s="647">
        <f>(AA255+AA225)/AVERAGE('Balance Sheet'!X135:Y135)</f>
        <v>0.25592119052609513</v>
      </c>
      <c r="AB163" s="647">
        <f>(AB255+AB225)/AVERAGE('Balance Sheet'!Y135:Z135)</f>
        <v>0.39011023229744035</v>
      </c>
      <c r="AC163" s="647">
        <f>(AC255+AC225)/AVERAGE('Balance Sheet'!Z135:AA135)</f>
        <v>0.52455067830356339</v>
      </c>
      <c r="AD163" s="647">
        <f>(AD255+AD225)/AVERAGE('Balance Sheet'!AA135:AB135)</f>
        <v>0.59567016760787428</v>
      </c>
      <c r="AE163" s="647">
        <f>(AE255+AE225)/AVERAGE('Balance Sheet'!AB135:AC135)</f>
        <v>0.67337151064416578</v>
      </c>
      <c r="AF163" s="647">
        <f>(AF255+AF225)/AVERAGE('Balance Sheet'!AC135:AD135)</f>
        <v>0.68844121896020261</v>
      </c>
      <c r="AG163" s="647">
        <f>(AG255+AG225)/AVERAGE('Balance Sheet'!AD135:AE135)</f>
        <v>0.678677301994563</v>
      </c>
      <c r="AH163" s="647">
        <f>(AH255+AH225)/AVERAGE('Balance Sheet'!AE135:AF135)</f>
        <v>0.68468069356448225</v>
      </c>
      <c r="AO163" s="338"/>
      <c r="AP163" s="449"/>
      <c r="AR163" s="449"/>
      <c r="AS163" s="449"/>
      <c r="BA163" s="498"/>
      <c r="BB163" s="498"/>
      <c r="BC163" s="498"/>
      <c r="BD163" s="498"/>
      <c r="BE163" s="498"/>
      <c r="BF163" s="498"/>
      <c r="BG163" s="498"/>
      <c r="BH163" s="498"/>
      <c r="BI163" s="498"/>
      <c r="BJ163" s="498"/>
      <c r="BK163" s="498"/>
      <c r="BL163" s="498"/>
      <c r="BM163" s="498"/>
      <c r="BN163" s="498"/>
      <c r="BO163" s="498"/>
      <c r="BP163" s="498"/>
      <c r="BQ163" s="498"/>
      <c r="BR163" s="498"/>
      <c r="BS163" s="498"/>
      <c r="BT163" s="498"/>
      <c r="BU163" s="498"/>
      <c r="BV163" s="498"/>
      <c r="BW163" s="498"/>
      <c r="BX163" s="498"/>
      <c r="BY163" s="498"/>
      <c r="BZ163" s="498"/>
      <c r="CA163" s="498"/>
      <c r="CB163" s="498"/>
      <c r="CC163" s="498"/>
      <c r="CD163" s="498"/>
      <c r="CE163" s="498"/>
      <c r="CF163" s="498"/>
      <c r="CG163" s="369"/>
      <c r="CH163" s="369"/>
      <c r="CI163" s="369"/>
      <c r="CJ163" s="369"/>
      <c r="CK163" s="369"/>
      <c r="CL163" s="369"/>
      <c r="CM163" s="369"/>
      <c r="CN163" s="369"/>
      <c r="CO163" s="369"/>
      <c r="CR163" s="498"/>
      <c r="CS163" s="498"/>
      <c r="CT163" s="498"/>
      <c r="CU163" s="498"/>
      <c r="CV163" s="498"/>
      <c r="CW163" s="498"/>
      <c r="CX163" s="498"/>
      <c r="CY163" s="498"/>
      <c r="CZ163" s="498"/>
      <c r="DA163" s="498"/>
      <c r="DB163" s="498"/>
      <c r="DC163" s="498"/>
      <c r="DD163" s="498"/>
      <c r="DE163" s="498"/>
      <c r="DF163" s="498"/>
      <c r="DG163" s="498"/>
      <c r="DH163" s="498"/>
      <c r="DI163" s="498"/>
      <c r="DJ163" s="498"/>
      <c r="DK163" s="498"/>
      <c r="DL163" s="498"/>
      <c r="DM163" s="498"/>
      <c r="DN163" s="498"/>
      <c r="DO163" s="498"/>
      <c r="DP163" s="498"/>
      <c r="DQ163" s="498"/>
      <c r="DR163" s="498"/>
      <c r="DS163" s="498"/>
      <c r="DT163" s="498"/>
      <c r="DU163" s="498"/>
      <c r="DV163" s="498"/>
      <c r="DW163" s="498"/>
      <c r="DX163" s="498"/>
      <c r="DY163" s="498"/>
      <c r="DZ163" s="498"/>
      <c r="EA163" s="498"/>
      <c r="EB163" s="498"/>
      <c r="EC163" s="498"/>
      <c r="ED163" s="498"/>
      <c r="EE163" s="498"/>
      <c r="EF163" s="498"/>
      <c r="EG163" s="498"/>
      <c r="EH163" s="498"/>
      <c r="EI163" s="498"/>
      <c r="EJ163" s="498"/>
      <c r="EK163" s="498"/>
      <c r="EL163" s="498"/>
      <c r="EM163" s="498"/>
      <c r="EN163" s="498"/>
      <c r="EO163" s="498"/>
      <c r="EP163" s="498"/>
      <c r="EQ163" s="498"/>
      <c r="ER163" s="498"/>
      <c r="ES163" s="498"/>
      <c r="ET163" s="498"/>
      <c r="EU163" s="498"/>
      <c r="EV163" s="498"/>
      <c r="EW163" s="498"/>
      <c r="EX163" s="498"/>
      <c r="EY163" s="498"/>
      <c r="EZ163" s="498"/>
      <c r="FA163" s="498"/>
      <c r="FB163" s="498"/>
      <c r="FC163" s="498"/>
    </row>
    <row r="164" spans="3:159">
      <c r="C164" s="19"/>
      <c r="AO164" s="338"/>
      <c r="AP164" s="449"/>
      <c r="AR164" s="449"/>
      <c r="AS164" s="449"/>
    </row>
    <row r="165" spans="3:159">
      <c r="C165" s="282" t="s">
        <v>1561</v>
      </c>
      <c r="D165" s="282"/>
      <c r="E165" s="282"/>
      <c r="F165" s="282"/>
      <c r="G165" s="282"/>
      <c r="H165" s="282"/>
      <c r="I165" s="282"/>
      <c r="J165" s="282"/>
      <c r="K165" s="282"/>
      <c r="L165" s="282"/>
      <c r="M165" s="282"/>
      <c r="N165" s="282"/>
      <c r="O165" s="282"/>
      <c r="P165" s="282"/>
      <c r="Q165" s="282"/>
      <c r="R165" s="282"/>
      <c r="S165" s="282"/>
      <c r="T165" s="282"/>
      <c r="U165" s="282"/>
      <c r="V165" s="282"/>
      <c r="W165" s="282"/>
      <c r="X165" s="282"/>
      <c r="Y165" s="282"/>
      <c r="Z165" s="282"/>
      <c r="AA165" s="282"/>
      <c r="AB165" s="282"/>
      <c r="AC165" s="195"/>
      <c r="AD165" s="195"/>
      <c r="AE165" s="195"/>
      <c r="AF165" s="195"/>
      <c r="AG165" s="195"/>
      <c r="AH165" s="195"/>
      <c r="AO165" s="527"/>
      <c r="AP165" s="449"/>
      <c r="AR165" s="449"/>
      <c r="AS165" s="449"/>
      <c r="BA165" s="282"/>
      <c r="BB165" s="282"/>
      <c r="BC165" s="282"/>
      <c r="BD165" s="282"/>
      <c r="BE165" s="282"/>
      <c r="BF165" s="282"/>
      <c r="BG165" s="282"/>
      <c r="BH165" s="282"/>
      <c r="BI165" s="282"/>
      <c r="BJ165" s="282"/>
      <c r="BK165" s="282"/>
      <c r="BL165" s="282"/>
      <c r="BM165" s="282"/>
      <c r="BN165" s="282"/>
      <c r="BO165" s="282"/>
      <c r="BP165" s="282"/>
      <c r="BQ165" s="282"/>
      <c r="BR165" s="282"/>
      <c r="BS165" s="282"/>
      <c r="BT165" s="282"/>
      <c r="BU165" s="282"/>
      <c r="BV165" s="282"/>
      <c r="BW165" s="282"/>
      <c r="BX165" s="282"/>
      <c r="BY165" s="282"/>
      <c r="BZ165" s="282"/>
      <c r="CA165" s="282"/>
      <c r="CB165" s="282"/>
      <c r="CC165" s="337"/>
      <c r="CD165" s="337"/>
      <c r="CE165" s="337"/>
      <c r="CF165" s="337"/>
      <c r="CG165" s="337"/>
      <c r="CH165" s="337"/>
      <c r="CI165" s="337"/>
      <c r="CJ165" s="337"/>
      <c r="CK165" s="337"/>
      <c r="CL165" s="337"/>
      <c r="CM165" s="337"/>
      <c r="CN165" s="337"/>
      <c r="CO165" s="483"/>
      <c r="CR165" s="282"/>
      <c r="CS165" s="282"/>
      <c r="CT165" s="282"/>
      <c r="CU165" s="282"/>
      <c r="CV165" s="282"/>
      <c r="CW165" s="282"/>
      <c r="CX165" s="282"/>
      <c r="CY165" s="282"/>
      <c r="CZ165" s="282"/>
      <c r="DA165" s="282"/>
      <c r="DB165" s="282"/>
      <c r="DC165" s="282"/>
      <c r="DD165" s="282"/>
      <c r="DE165" s="282"/>
      <c r="DF165" s="282"/>
      <c r="DG165" s="282"/>
      <c r="DH165" s="282"/>
      <c r="DI165" s="282"/>
      <c r="DJ165" s="282"/>
      <c r="DK165" s="282"/>
      <c r="DL165" s="282"/>
      <c r="DM165" s="282"/>
      <c r="DN165" s="282"/>
      <c r="DO165" s="282"/>
      <c r="DP165" s="282"/>
      <c r="DQ165" s="282"/>
      <c r="DR165" s="282"/>
      <c r="DS165" s="282"/>
      <c r="DT165" s="282"/>
      <c r="DU165" s="282"/>
      <c r="DV165" s="282"/>
      <c r="DW165" s="282"/>
      <c r="DX165" s="282"/>
      <c r="DY165" s="282"/>
      <c r="DZ165" s="282"/>
      <c r="EA165" s="282"/>
      <c r="EB165" s="282"/>
      <c r="EC165" s="282"/>
      <c r="ED165" s="282"/>
      <c r="EE165" s="282"/>
      <c r="EF165" s="282"/>
      <c r="EG165" s="282"/>
      <c r="EH165" s="282"/>
      <c r="EI165" s="282"/>
      <c r="EJ165" s="282"/>
      <c r="EK165" s="282"/>
      <c r="EL165" s="282"/>
      <c r="EM165" s="282"/>
      <c r="EN165" s="282"/>
      <c r="EO165" s="282"/>
      <c r="EP165" s="282"/>
      <c r="EQ165" s="282"/>
      <c r="ER165" s="282"/>
      <c r="ES165" s="282"/>
      <c r="ET165" s="282"/>
      <c r="EU165" s="282"/>
      <c r="EV165" s="282"/>
      <c r="EW165" s="337"/>
      <c r="EX165" s="337"/>
      <c r="EY165" s="337"/>
      <c r="EZ165" s="337"/>
      <c r="FA165" s="337"/>
      <c r="FB165" s="337"/>
      <c r="FC165" s="337"/>
    </row>
    <row r="166" spans="3:159">
      <c r="C166" s="306" t="s">
        <v>1059</v>
      </c>
      <c r="D166" s="307"/>
      <c r="E166" s="307"/>
      <c r="F166" s="307"/>
      <c r="G166" s="307"/>
      <c r="H166" s="307"/>
      <c r="I166" s="307"/>
      <c r="J166" s="307"/>
      <c r="K166" s="307"/>
      <c r="L166" s="307"/>
      <c r="M166" s="307"/>
      <c r="N166" s="307"/>
      <c r="O166" s="307"/>
      <c r="P166" s="307"/>
      <c r="Q166" s="307"/>
      <c r="R166" s="307"/>
      <c r="S166" s="307"/>
      <c r="T166" s="307"/>
      <c r="U166" s="307"/>
      <c r="V166" s="307"/>
      <c r="W166" s="307"/>
      <c r="X166" s="307"/>
      <c r="Y166" s="307"/>
      <c r="Z166" s="307"/>
      <c r="AA166" s="307"/>
      <c r="AB166" s="307"/>
      <c r="AC166" s="307"/>
      <c r="AD166" s="307"/>
      <c r="AE166" s="307"/>
      <c r="AF166" s="307"/>
      <c r="AG166" s="307"/>
      <c r="AH166" s="307"/>
      <c r="AO166" s="338"/>
      <c r="AP166" s="449"/>
      <c r="AR166" s="449"/>
      <c r="AS166" s="449"/>
      <c r="BA166" s="308"/>
      <c r="BB166" s="308"/>
      <c r="BC166" s="308"/>
      <c r="BD166" s="308"/>
      <c r="BE166" s="308"/>
      <c r="BF166" s="308"/>
      <c r="BG166" s="308"/>
      <c r="BH166" s="308"/>
      <c r="BI166" s="308"/>
      <c r="BJ166" s="308"/>
      <c r="BK166" s="308"/>
      <c r="BL166" s="308"/>
      <c r="BM166" s="308"/>
      <c r="BN166" s="308"/>
      <c r="BO166" s="308"/>
      <c r="BP166" s="308"/>
      <c r="BQ166" s="308"/>
      <c r="BR166" s="308"/>
      <c r="BS166" s="308"/>
      <c r="BT166" s="308"/>
      <c r="BU166" s="308"/>
      <c r="BV166" s="308"/>
      <c r="BW166" s="308"/>
      <c r="BX166" s="308"/>
      <c r="BY166" s="308"/>
      <c r="BZ166" s="308"/>
      <c r="CA166" s="308"/>
      <c r="CB166" s="308"/>
      <c r="CC166" s="308"/>
      <c r="CD166" s="308"/>
      <c r="CE166" s="308"/>
      <c r="CF166" s="308"/>
      <c r="CG166" s="308"/>
      <c r="CH166" s="308"/>
      <c r="CI166" s="308"/>
      <c r="CJ166" s="308"/>
      <c r="CK166" s="308"/>
      <c r="CL166" s="308"/>
      <c r="CM166" s="308"/>
      <c r="CN166" s="308"/>
      <c r="CO166" s="339"/>
      <c r="CR166" s="308"/>
      <c r="CS166" s="308"/>
      <c r="CT166" s="308"/>
      <c r="CU166" s="308"/>
      <c r="CV166" s="308"/>
      <c r="CW166" s="308"/>
      <c r="CX166" s="308"/>
      <c r="CY166" s="308"/>
      <c r="CZ166" s="308"/>
      <c r="DA166" s="308"/>
      <c r="DB166" s="308"/>
      <c r="DC166" s="308"/>
      <c r="DD166" s="308"/>
      <c r="DE166" s="308"/>
      <c r="DF166" s="308"/>
      <c r="DG166" s="308"/>
      <c r="DH166" s="308"/>
      <c r="DI166" s="308"/>
      <c r="DJ166" s="308"/>
      <c r="DK166" s="308"/>
      <c r="DL166" s="308"/>
      <c r="DM166" s="308"/>
      <c r="DN166" s="308"/>
      <c r="DO166" s="308"/>
      <c r="DP166" s="308"/>
      <c r="DQ166" s="308"/>
      <c r="DR166" s="308"/>
      <c r="DS166" s="308"/>
      <c r="DT166" s="308"/>
      <c r="DU166" s="308"/>
      <c r="DV166" s="308"/>
      <c r="DW166" s="308"/>
      <c r="DX166" s="308"/>
      <c r="DY166" s="308"/>
      <c r="DZ166" s="308"/>
      <c r="EA166" s="308"/>
      <c r="EB166" s="308"/>
      <c r="EC166" s="308"/>
      <c r="ED166" s="308"/>
      <c r="EE166" s="308"/>
      <c r="EF166" s="308"/>
      <c r="EG166" s="308"/>
      <c r="EH166" s="308"/>
      <c r="EI166" s="308"/>
      <c r="EJ166" s="308"/>
      <c r="EK166" s="308"/>
      <c r="EL166" s="308"/>
      <c r="EM166" s="308"/>
      <c r="EN166" s="308"/>
      <c r="EO166" s="308"/>
      <c r="EP166" s="308"/>
      <c r="EQ166" s="308"/>
      <c r="ER166" s="308"/>
      <c r="ES166" s="308"/>
      <c r="ET166" s="308"/>
      <c r="EU166" s="308"/>
      <c r="EV166" s="308"/>
      <c r="EW166" s="308"/>
      <c r="EX166" s="308"/>
      <c r="EY166" s="308"/>
      <c r="EZ166" s="308"/>
      <c r="FA166" s="308"/>
      <c r="FB166" s="308"/>
      <c r="FC166" s="308"/>
    </row>
    <row r="167" spans="3:159">
      <c r="AO167" s="527"/>
      <c r="AP167" s="449"/>
      <c r="AR167" s="449"/>
      <c r="AS167" s="449"/>
      <c r="BA167" s="498"/>
      <c r="BB167" s="498"/>
      <c r="BC167" s="498"/>
      <c r="BD167" s="498"/>
      <c r="BE167" s="498"/>
      <c r="BF167" s="498"/>
      <c r="BG167" s="498"/>
      <c r="BH167" s="498"/>
      <c r="BI167" s="498"/>
      <c r="BJ167" s="498"/>
      <c r="BK167" s="498"/>
      <c r="BL167" s="498"/>
      <c r="BM167" s="498"/>
      <c r="BN167" s="498"/>
      <c r="BO167" s="498"/>
      <c r="BP167" s="498"/>
      <c r="BQ167" s="498"/>
      <c r="BR167" s="498"/>
      <c r="BS167" s="498"/>
      <c r="BT167" s="498"/>
      <c r="BU167" s="498"/>
      <c r="BV167" s="498"/>
      <c r="BW167" s="498"/>
      <c r="BX167" s="498"/>
      <c r="BY167" s="498"/>
      <c r="BZ167" s="498"/>
      <c r="CA167" s="498"/>
      <c r="CB167" s="498"/>
      <c r="CC167" s="498"/>
      <c r="CD167" s="498"/>
      <c r="CE167" s="498"/>
      <c r="CF167" s="498"/>
      <c r="CG167" s="325"/>
      <c r="CH167" s="325"/>
      <c r="CI167" s="325"/>
      <c r="CJ167" s="325"/>
      <c r="CK167" s="325"/>
      <c r="CL167" s="325"/>
      <c r="CM167" s="325"/>
      <c r="CN167" s="325"/>
      <c r="CO167" s="325"/>
      <c r="CR167" s="498"/>
      <c r="CS167" s="498"/>
      <c r="CT167" s="498"/>
      <c r="CU167" s="498"/>
      <c r="CV167" s="498"/>
      <c r="CW167" s="498"/>
      <c r="CX167" s="498"/>
      <c r="CY167" s="498"/>
      <c r="CZ167" s="498"/>
      <c r="DA167" s="498"/>
      <c r="DB167" s="498"/>
      <c r="DC167" s="498"/>
      <c r="DD167" s="498"/>
      <c r="DE167" s="498"/>
      <c r="DF167" s="498"/>
      <c r="DG167" s="498"/>
      <c r="DH167" s="498"/>
      <c r="DI167" s="498"/>
      <c r="DJ167" s="498"/>
      <c r="DK167" s="498"/>
      <c r="DL167" s="498"/>
      <c r="DM167" s="498"/>
      <c r="DN167" s="498"/>
      <c r="DO167" s="498"/>
      <c r="DP167" s="498"/>
      <c r="DQ167" s="498"/>
      <c r="DR167" s="498"/>
      <c r="DS167" s="498"/>
      <c r="DT167" s="498"/>
      <c r="DU167" s="498"/>
      <c r="DV167" s="498"/>
      <c r="DW167" s="498"/>
      <c r="DX167" s="498"/>
      <c r="DY167" s="498"/>
      <c r="DZ167" s="498"/>
      <c r="EA167" s="498"/>
      <c r="EB167" s="498"/>
      <c r="EC167" s="498"/>
      <c r="ED167" s="498"/>
      <c r="EE167" s="498"/>
      <c r="EF167" s="498"/>
      <c r="EG167" s="498"/>
      <c r="EH167" s="498"/>
      <c r="EI167" s="498"/>
      <c r="EJ167" s="498"/>
      <c r="EK167" s="498"/>
      <c r="EL167" s="498"/>
      <c r="EM167" s="498"/>
      <c r="EN167" s="498"/>
      <c r="EO167" s="498"/>
      <c r="EP167" s="498"/>
      <c r="EQ167" s="498"/>
      <c r="ER167" s="498"/>
      <c r="ES167" s="498"/>
      <c r="ET167" s="498"/>
      <c r="EU167" s="498"/>
      <c r="EV167" s="498"/>
      <c r="EW167" s="498"/>
      <c r="EX167" s="498"/>
      <c r="EY167" s="498"/>
      <c r="EZ167" s="498"/>
      <c r="FA167" s="498"/>
      <c r="FB167" s="498"/>
      <c r="FC167" s="498"/>
    </row>
    <row r="168" spans="3:159">
      <c r="AO168" s="338"/>
      <c r="AP168" s="449" t="s">
        <v>1563</v>
      </c>
      <c r="AR168" s="449"/>
      <c r="AS168" s="449"/>
      <c r="BA168" s="498"/>
      <c r="BB168" s="498"/>
      <c r="BC168" s="498"/>
      <c r="BD168" s="498"/>
      <c r="BE168" s="498"/>
      <c r="BF168" s="498"/>
      <c r="BG168" s="498"/>
      <c r="BH168" s="498"/>
      <c r="BI168" s="498"/>
      <c r="BJ168" s="498"/>
      <c r="BK168" s="498"/>
      <c r="BL168" s="498"/>
      <c r="BM168" s="498"/>
      <c r="BN168" s="498"/>
      <c r="BO168" s="498"/>
      <c r="BP168" s="498"/>
      <c r="BQ168" s="498"/>
      <c r="BR168" s="498"/>
      <c r="BS168" s="498"/>
      <c r="BT168" s="498"/>
      <c r="BU168" s="498"/>
      <c r="BV168" s="498"/>
      <c r="BW168" s="498"/>
      <c r="BX168" s="498"/>
      <c r="BY168" s="498"/>
      <c r="BZ168" s="498"/>
      <c r="CA168" s="498"/>
      <c r="CB168" s="498"/>
      <c r="CC168" s="498"/>
      <c r="CD168" s="498"/>
      <c r="CE168" s="498"/>
      <c r="CF168" s="498"/>
      <c r="CG168" s="319"/>
      <c r="CH168" s="319"/>
      <c r="CI168" s="319"/>
      <c r="CJ168" s="319"/>
      <c r="CK168" s="319"/>
      <c r="CL168" s="319"/>
      <c r="CM168" s="319"/>
      <c r="CN168" s="319"/>
      <c r="CO168" s="259"/>
      <c r="CR168" s="498"/>
      <c r="CS168" s="498"/>
      <c r="CT168" s="498"/>
      <c r="CU168" s="498"/>
      <c r="CV168" s="498"/>
      <c r="CW168" s="498"/>
      <c r="CX168" s="498"/>
      <c r="CY168" s="498"/>
      <c r="CZ168" s="498"/>
      <c r="DA168" s="498"/>
      <c r="DB168" s="498"/>
      <c r="DC168" s="498"/>
      <c r="DD168" s="498"/>
      <c r="DE168" s="498"/>
      <c r="DF168" s="498"/>
      <c r="DG168" s="498"/>
      <c r="DH168" s="498"/>
      <c r="DI168" s="498"/>
      <c r="DJ168" s="498"/>
      <c r="DK168" s="498"/>
      <c r="DL168" s="498"/>
      <c r="DM168" s="498"/>
      <c r="DN168" s="498"/>
      <c r="DO168" s="498"/>
      <c r="DP168" s="498"/>
      <c r="DQ168" s="498"/>
      <c r="DR168" s="498"/>
      <c r="DS168" s="498"/>
      <c r="DT168" s="498"/>
      <c r="DU168" s="498"/>
      <c r="DV168" s="498"/>
      <c r="DW168" s="498"/>
      <c r="DX168" s="498"/>
      <c r="DY168" s="498"/>
      <c r="DZ168" s="498"/>
      <c r="EA168" s="498"/>
      <c r="EB168" s="498"/>
      <c r="EC168" s="498"/>
      <c r="ED168" s="498"/>
      <c r="EE168" s="498"/>
      <c r="EF168" s="498"/>
      <c r="EG168" s="498"/>
      <c r="EH168" s="498"/>
      <c r="EI168" s="498"/>
      <c r="EJ168" s="498"/>
      <c r="EK168" s="498"/>
      <c r="EL168" s="498"/>
      <c r="EM168" s="498"/>
      <c r="EN168" s="498"/>
      <c r="EO168" s="498"/>
      <c r="EP168" s="498"/>
      <c r="EQ168" s="498"/>
      <c r="ER168" s="498"/>
      <c r="ES168" s="498"/>
      <c r="ET168" s="498"/>
      <c r="EU168" s="498"/>
      <c r="EV168" s="498"/>
      <c r="EW168" s="498"/>
      <c r="EX168" s="498"/>
      <c r="EY168" s="498"/>
      <c r="EZ168" s="498"/>
      <c r="FA168" s="498"/>
      <c r="FB168" s="498"/>
      <c r="FC168" s="498"/>
    </row>
    <row r="169" spans="3:159">
      <c r="AO169" s="338"/>
      <c r="AP169" s="449"/>
      <c r="AR169" s="449"/>
      <c r="AS169" s="449"/>
      <c r="BA169" s="498"/>
      <c r="BB169" s="498"/>
      <c r="BC169" s="498"/>
      <c r="BD169" s="498"/>
      <c r="BE169" s="498"/>
      <c r="BF169" s="498"/>
      <c r="BG169" s="498"/>
      <c r="BH169" s="498"/>
      <c r="BI169" s="498"/>
      <c r="BJ169" s="498"/>
      <c r="BK169" s="498"/>
      <c r="BL169" s="498"/>
      <c r="BM169" s="498"/>
      <c r="BN169" s="498"/>
      <c r="BO169" s="498"/>
      <c r="BP169" s="498"/>
      <c r="BQ169" s="498"/>
      <c r="BR169" s="498"/>
      <c r="BS169" s="498"/>
      <c r="BT169" s="498"/>
      <c r="BU169" s="498"/>
      <c r="BV169" s="498"/>
      <c r="BW169" s="498"/>
      <c r="BX169" s="498"/>
      <c r="BY169" s="498"/>
      <c r="BZ169" s="498"/>
      <c r="CA169" s="498"/>
      <c r="CB169" s="498"/>
      <c r="CC169" s="498"/>
      <c r="CD169" s="498"/>
      <c r="CE169" s="498"/>
      <c r="CF169" s="498"/>
      <c r="CG169" s="319"/>
      <c r="CH169" s="319"/>
      <c r="CI169" s="319"/>
      <c r="CJ169" s="319"/>
      <c r="CK169" s="319"/>
      <c r="CL169" s="319"/>
      <c r="CM169" s="319"/>
      <c r="CN169" s="319"/>
      <c r="CO169" s="259"/>
      <c r="CR169" s="498"/>
      <c r="CS169" s="498"/>
      <c r="CT169" s="498"/>
      <c r="CU169" s="498"/>
      <c r="CV169" s="498"/>
      <c r="CW169" s="498"/>
      <c r="CX169" s="498"/>
      <c r="CY169" s="498"/>
      <c r="CZ169" s="498"/>
      <c r="DA169" s="498"/>
      <c r="DB169" s="498"/>
      <c r="DC169" s="498"/>
      <c r="DD169" s="498"/>
      <c r="DE169" s="498"/>
      <c r="DF169" s="498"/>
      <c r="DG169" s="498"/>
      <c r="DH169" s="498"/>
      <c r="DI169" s="498"/>
      <c r="DJ169" s="498"/>
      <c r="DK169" s="498"/>
      <c r="DL169" s="498"/>
      <c r="DM169" s="498"/>
      <c r="DN169" s="498"/>
      <c r="DO169" s="498"/>
      <c r="DP169" s="498"/>
      <c r="DQ169" s="498"/>
      <c r="DR169" s="498"/>
      <c r="DS169" s="498"/>
      <c r="DT169" s="498"/>
      <c r="DU169" s="498"/>
      <c r="DV169" s="498"/>
      <c r="DW169" s="498"/>
      <c r="DX169" s="498"/>
      <c r="DY169" s="498"/>
      <c r="DZ169" s="498"/>
      <c r="EA169" s="498"/>
      <c r="EB169" s="498"/>
      <c r="EC169" s="498"/>
      <c r="ED169" s="498"/>
      <c r="EE169" s="498"/>
      <c r="EF169" s="498"/>
      <c r="EG169" s="498"/>
      <c r="EH169" s="498"/>
      <c r="EI169" s="498"/>
      <c r="EJ169" s="498"/>
      <c r="EK169" s="498"/>
      <c r="EL169" s="498"/>
      <c r="EM169" s="498"/>
      <c r="EN169" s="498"/>
      <c r="EO169" s="498"/>
      <c r="EP169" s="498"/>
      <c r="EQ169" s="498"/>
      <c r="ER169" s="498"/>
      <c r="ES169" s="498"/>
      <c r="ET169" s="498"/>
      <c r="EU169" s="498"/>
      <c r="EV169" s="498"/>
      <c r="EW169" s="498"/>
      <c r="EX169" s="498"/>
      <c r="EY169" s="498"/>
      <c r="EZ169" s="498"/>
      <c r="FA169" s="498"/>
      <c r="FB169" s="498"/>
      <c r="FC169" s="498"/>
    </row>
    <row r="170" spans="3:159">
      <c r="AO170" s="338"/>
      <c r="AP170" s="449"/>
      <c r="AR170" s="449"/>
      <c r="AS170" s="449"/>
      <c r="BA170" s="498"/>
      <c r="BB170" s="498"/>
      <c r="BC170" s="498"/>
      <c r="BD170" s="498"/>
      <c r="BE170" s="498"/>
      <c r="BF170" s="498"/>
      <c r="BG170" s="498"/>
      <c r="BH170" s="498"/>
      <c r="BI170" s="498"/>
      <c r="BJ170" s="498"/>
      <c r="BK170" s="498"/>
      <c r="BL170" s="498"/>
      <c r="BM170" s="498"/>
      <c r="BN170" s="498"/>
      <c r="BO170" s="498"/>
      <c r="BP170" s="498"/>
      <c r="BQ170" s="498"/>
      <c r="BR170" s="498"/>
      <c r="BS170" s="498"/>
      <c r="BT170" s="498"/>
      <c r="BU170" s="498"/>
      <c r="BV170" s="498"/>
      <c r="BW170" s="498"/>
      <c r="BX170" s="498"/>
      <c r="BY170" s="498"/>
      <c r="BZ170" s="498"/>
      <c r="CA170" s="498"/>
      <c r="CB170" s="498"/>
      <c r="CC170" s="498"/>
      <c r="CD170" s="498"/>
      <c r="CE170" s="498"/>
      <c r="CF170" s="498"/>
      <c r="CG170" s="319"/>
      <c r="CH170" s="319"/>
      <c r="CI170" s="319"/>
      <c r="CJ170" s="319"/>
      <c r="CK170" s="319"/>
      <c r="CL170" s="319"/>
      <c r="CM170" s="319"/>
      <c r="CN170" s="319"/>
      <c r="CO170" s="259"/>
      <c r="CR170" s="498"/>
      <c r="CS170" s="498"/>
      <c r="CT170" s="498"/>
      <c r="CU170" s="498"/>
      <c r="CV170" s="498"/>
      <c r="CW170" s="498"/>
      <c r="CX170" s="498"/>
      <c r="CY170" s="498"/>
      <c r="CZ170" s="498"/>
      <c r="DA170" s="498"/>
      <c r="DB170" s="498"/>
      <c r="DC170" s="498"/>
      <c r="DD170" s="498"/>
      <c r="DE170" s="498"/>
      <c r="DF170" s="498"/>
      <c r="DG170" s="498"/>
      <c r="DH170" s="498"/>
      <c r="DI170" s="498"/>
      <c r="DJ170" s="498"/>
      <c r="DK170" s="498"/>
      <c r="DL170" s="498"/>
      <c r="DM170" s="498"/>
      <c r="DN170" s="498"/>
      <c r="DO170" s="498"/>
      <c r="DP170" s="498"/>
      <c r="DQ170" s="498"/>
      <c r="DR170" s="498"/>
      <c r="DS170" s="498"/>
      <c r="DT170" s="498"/>
      <c r="DU170" s="498"/>
      <c r="DV170" s="498"/>
      <c r="DW170" s="498"/>
      <c r="DX170" s="498"/>
      <c r="DY170" s="498"/>
      <c r="DZ170" s="498"/>
      <c r="EA170" s="498"/>
      <c r="EB170" s="498"/>
      <c r="EC170" s="498"/>
      <c r="ED170" s="498"/>
      <c r="EE170" s="498"/>
      <c r="EF170" s="498"/>
      <c r="EG170" s="498"/>
      <c r="EH170" s="498"/>
      <c r="EI170" s="498"/>
      <c r="EJ170" s="498"/>
      <c r="EK170" s="498"/>
      <c r="EL170" s="498"/>
      <c r="EM170" s="498"/>
      <c r="EN170" s="498"/>
      <c r="EO170" s="498"/>
      <c r="EP170" s="498"/>
      <c r="EQ170" s="498"/>
      <c r="ER170" s="498"/>
      <c r="ES170" s="498"/>
      <c r="ET170" s="498"/>
      <c r="EU170" s="498"/>
      <c r="EV170" s="498"/>
      <c r="EW170" s="498"/>
      <c r="EX170" s="498"/>
      <c r="EY170" s="498"/>
      <c r="EZ170" s="498"/>
      <c r="FA170" s="498"/>
      <c r="FB170" s="498"/>
      <c r="FC170" s="498"/>
    </row>
    <row r="171" spans="3:159">
      <c r="AO171" s="338"/>
      <c r="AP171" s="449"/>
      <c r="AR171" s="449"/>
      <c r="AS171" s="449"/>
      <c r="BA171" s="498"/>
      <c r="BB171" s="498"/>
      <c r="BC171" s="498"/>
      <c r="BD171" s="498"/>
      <c r="BE171" s="498"/>
      <c r="BF171" s="498"/>
      <c r="BG171" s="498"/>
      <c r="BH171" s="498"/>
      <c r="BI171" s="498"/>
      <c r="BJ171" s="498"/>
      <c r="BK171" s="498"/>
      <c r="BL171" s="498"/>
      <c r="BM171" s="498"/>
      <c r="BN171" s="498"/>
      <c r="BO171" s="498"/>
      <c r="BP171" s="498"/>
      <c r="BQ171" s="498"/>
      <c r="BR171" s="498"/>
      <c r="BS171" s="498"/>
      <c r="BT171" s="498"/>
      <c r="BU171" s="498"/>
      <c r="BV171" s="498"/>
      <c r="BW171" s="498"/>
      <c r="BX171" s="498"/>
      <c r="BY171" s="498"/>
      <c r="BZ171" s="498"/>
      <c r="CA171" s="498"/>
      <c r="CB171" s="498"/>
      <c r="CC171" s="498"/>
      <c r="CD171" s="498"/>
      <c r="CE171" s="498"/>
      <c r="CF171" s="498"/>
      <c r="CG171" s="323"/>
      <c r="CH171" s="323"/>
      <c r="CI171" s="323"/>
      <c r="CJ171" s="323"/>
      <c r="CK171" s="323"/>
      <c r="CL171" s="323"/>
      <c r="CM171" s="323"/>
      <c r="CN171" s="323"/>
      <c r="CO171" s="476"/>
      <c r="CR171" s="498"/>
      <c r="CS171" s="498"/>
      <c r="CT171" s="498"/>
      <c r="CU171" s="498"/>
      <c r="CV171" s="498"/>
      <c r="CW171" s="498"/>
      <c r="CX171" s="498"/>
      <c r="CY171" s="498"/>
      <c r="CZ171" s="498"/>
      <c r="DA171" s="498"/>
      <c r="DB171" s="498"/>
      <c r="DC171" s="498"/>
      <c r="DD171" s="498"/>
      <c r="DE171" s="498"/>
      <c r="DF171" s="498"/>
      <c r="DG171" s="498"/>
      <c r="DH171" s="498"/>
      <c r="DI171" s="498"/>
      <c r="DJ171" s="498"/>
      <c r="DK171" s="498"/>
      <c r="DL171" s="498"/>
      <c r="DM171" s="498"/>
      <c r="DN171" s="498"/>
      <c r="DO171" s="498"/>
      <c r="DP171" s="498"/>
      <c r="DQ171" s="498"/>
      <c r="DR171" s="498"/>
      <c r="DS171" s="498"/>
      <c r="DT171" s="498"/>
      <c r="DU171" s="498"/>
      <c r="DV171" s="498"/>
      <c r="DW171" s="498"/>
      <c r="DX171" s="498"/>
      <c r="DY171" s="498"/>
      <c r="DZ171" s="498"/>
      <c r="EA171" s="498"/>
      <c r="EB171" s="498"/>
      <c r="EC171" s="498"/>
      <c r="ED171" s="498"/>
      <c r="EE171" s="498"/>
      <c r="EF171" s="498"/>
      <c r="EG171" s="498"/>
      <c r="EH171" s="498"/>
      <c r="EI171" s="498"/>
      <c r="EJ171" s="498"/>
      <c r="EK171" s="498"/>
      <c r="EL171" s="498"/>
      <c r="EM171" s="498"/>
      <c r="EN171" s="498"/>
      <c r="EO171" s="498"/>
      <c r="EP171" s="498"/>
      <c r="EQ171" s="498"/>
      <c r="ER171" s="498"/>
      <c r="ES171" s="498"/>
      <c r="ET171" s="498"/>
      <c r="EU171" s="498"/>
      <c r="EV171" s="498"/>
      <c r="EW171" s="498"/>
      <c r="EX171" s="498"/>
      <c r="EY171" s="498"/>
      <c r="EZ171" s="498"/>
      <c r="FA171" s="498"/>
      <c r="FB171" s="498"/>
      <c r="FC171" s="498"/>
    </row>
    <row r="172" spans="3:159">
      <c r="AO172" s="338"/>
      <c r="AP172" s="449"/>
      <c r="AR172" s="449"/>
      <c r="AS172" s="449"/>
      <c r="BA172" s="498"/>
      <c r="BB172" s="498"/>
      <c r="BC172" s="498"/>
      <c r="BD172" s="498"/>
      <c r="BE172" s="498"/>
      <c r="BF172" s="498"/>
      <c r="BG172" s="498"/>
      <c r="BH172" s="498"/>
      <c r="BI172" s="498"/>
      <c r="BJ172" s="498"/>
      <c r="BK172" s="498"/>
      <c r="BL172" s="498"/>
      <c r="BM172" s="498"/>
      <c r="BN172" s="498"/>
      <c r="BO172" s="498"/>
      <c r="BP172" s="498"/>
      <c r="BQ172" s="498"/>
      <c r="BR172" s="498"/>
      <c r="BS172" s="498"/>
      <c r="BT172" s="498"/>
      <c r="BU172" s="498"/>
      <c r="BV172" s="498"/>
      <c r="BW172" s="498"/>
      <c r="BX172" s="498"/>
      <c r="BY172" s="498"/>
      <c r="BZ172" s="498"/>
      <c r="CA172" s="498"/>
      <c r="CB172" s="498"/>
      <c r="CC172" s="498"/>
      <c r="CD172" s="498"/>
      <c r="CE172" s="498"/>
      <c r="CF172" s="498"/>
      <c r="CG172" s="319"/>
      <c r="CH172" s="319"/>
      <c r="CI172" s="319"/>
      <c r="CJ172" s="319"/>
      <c r="CK172" s="319"/>
      <c r="CL172" s="319"/>
      <c r="CM172" s="319"/>
      <c r="CN172" s="319"/>
      <c r="CO172" s="259"/>
      <c r="CR172" s="498"/>
      <c r="CS172" s="498"/>
      <c r="CT172" s="498"/>
      <c r="CU172" s="498"/>
      <c r="CV172" s="498"/>
      <c r="CW172" s="498"/>
      <c r="CX172" s="498"/>
      <c r="CY172" s="498"/>
      <c r="CZ172" s="498"/>
      <c r="DA172" s="498"/>
      <c r="DB172" s="498"/>
      <c r="DC172" s="498"/>
      <c r="DD172" s="498"/>
      <c r="DE172" s="498"/>
      <c r="DF172" s="498"/>
      <c r="DG172" s="498"/>
      <c r="DH172" s="498"/>
      <c r="DI172" s="498"/>
      <c r="DJ172" s="498"/>
      <c r="DK172" s="498"/>
      <c r="DL172" s="498"/>
      <c r="DM172" s="498"/>
      <c r="DN172" s="498"/>
      <c r="DO172" s="498"/>
      <c r="DP172" s="498"/>
      <c r="DQ172" s="498"/>
      <c r="DR172" s="498"/>
      <c r="DS172" s="498"/>
      <c r="DT172" s="498"/>
      <c r="DU172" s="498"/>
      <c r="DV172" s="498"/>
      <c r="DW172" s="498"/>
      <c r="DX172" s="498"/>
      <c r="DY172" s="498"/>
      <c r="DZ172" s="498"/>
      <c r="EA172" s="498"/>
      <c r="EB172" s="498"/>
      <c r="EC172" s="498"/>
      <c r="ED172" s="498"/>
      <c r="EE172" s="498"/>
      <c r="EF172" s="498"/>
      <c r="EG172" s="498"/>
      <c r="EH172" s="498"/>
      <c r="EI172" s="498"/>
      <c r="EJ172" s="498"/>
      <c r="EK172" s="498"/>
      <c r="EL172" s="498"/>
      <c r="EM172" s="498"/>
      <c r="EN172" s="498"/>
      <c r="EO172" s="498"/>
      <c r="EP172" s="498"/>
      <c r="EQ172" s="498"/>
      <c r="ER172" s="498"/>
      <c r="ES172" s="498"/>
      <c r="ET172" s="498"/>
      <c r="EU172" s="498"/>
      <c r="EV172" s="498"/>
      <c r="EW172" s="498"/>
      <c r="EX172" s="498"/>
      <c r="EY172" s="498"/>
      <c r="EZ172" s="498"/>
      <c r="FA172" s="498"/>
      <c r="FB172" s="498"/>
      <c r="FC172" s="498"/>
    </row>
    <row r="173" spans="3:159">
      <c r="AO173" s="338"/>
      <c r="AP173" s="449"/>
      <c r="AR173" s="449"/>
      <c r="AS173" s="449"/>
      <c r="BA173" s="498"/>
      <c r="BB173" s="498"/>
      <c r="BC173" s="498"/>
      <c r="BD173" s="498"/>
      <c r="BE173" s="498"/>
      <c r="BF173" s="498"/>
      <c r="BG173" s="498"/>
      <c r="BH173" s="498"/>
      <c r="BI173" s="498"/>
      <c r="BJ173" s="498"/>
      <c r="BK173" s="498"/>
      <c r="BL173" s="498"/>
      <c r="BM173" s="498"/>
      <c r="BN173" s="498"/>
      <c r="BO173" s="498"/>
      <c r="BP173" s="498"/>
      <c r="BQ173" s="498"/>
      <c r="BR173" s="498"/>
      <c r="BS173" s="498"/>
      <c r="BT173" s="498"/>
      <c r="BU173" s="498"/>
      <c r="BV173" s="498"/>
      <c r="BW173" s="498"/>
      <c r="BX173" s="498"/>
      <c r="BY173" s="498"/>
      <c r="BZ173" s="498"/>
      <c r="CA173" s="498"/>
      <c r="CB173" s="498"/>
      <c r="CC173" s="498"/>
      <c r="CD173" s="498"/>
      <c r="CE173" s="498"/>
      <c r="CF173" s="498"/>
      <c r="CG173" s="325"/>
      <c r="CH173" s="325"/>
      <c r="CI173" s="325"/>
      <c r="CJ173" s="325"/>
      <c r="CK173" s="325"/>
      <c r="CL173" s="325"/>
      <c r="CM173" s="325"/>
      <c r="CN173" s="325"/>
      <c r="CO173" s="325"/>
      <c r="CR173" s="498"/>
      <c r="CS173" s="498"/>
      <c r="CT173" s="498"/>
      <c r="CU173" s="498"/>
      <c r="CV173" s="498"/>
      <c r="CW173" s="498"/>
      <c r="CX173" s="498"/>
      <c r="CY173" s="498"/>
      <c r="CZ173" s="498"/>
      <c r="DA173" s="498"/>
      <c r="DB173" s="498"/>
      <c r="DC173" s="498"/>
      <c r="DD173" s="498"/>
      <c r="DE173" s="498"/>
      <c r="DF173" s="498"/>
      <c r="DG173" s="498"/>
      <c r="DH173" s="498"/>
      <c r="DI173" s="498"/>
      <c r="DJ173" s="498"/>
      <c r="DK173" s="498"/>
      <c r="DL173" s="498"/>
      <c r="DM173" s="498"/>
      <c r="DN173" s="498"/>
      <c r="DO173" s="498"/>
      <c r="DP173" s="498"/>
      <c r="DQ173" s="498"/>
      <c r="DR173" s="498"/>
      <c r="DS173" s="498"/>
      <c r="DT173" s="498"/>
      <c r="DU173" s="498"/>
      <c r="DV173" s="498"/>
      <c r="DW173" s="498"/>
      <c r="DX173" s="498"/>
      <c r="DY173" s="498"/>
      <c r="DZ173" s="498"/>
      <c r="EA173" s="498"/>
      <c r="EB173" s="498"/>
      <c r="EC173" s="498"/>
      <c r="ED173" s="498"/>
      <c r="EE173" s="498"/>
      <c r="EF173" s="498"/>
      <c r="EG173" s="498"/>
      <c r="EH173" s="498"/>
      <c r="EI173" s="498"/>
      <c r="EJ173" s="498"/>
      <c r="EK173" s="498"/>
      <c r="EL173" s="498"/>
      <c r="EM173" s="498"/>
      <c r="EN173" s="498"/>
      <c r="EO173" s="498"/>
      <c r="EP173" s="498"/>
      <c r="EQ173" s="498"/>
      <c r="ER173" s="498"/>
      <c r="ES173" s="498"/>
      <c r="ET173" s="498"/>
      <c r="EU173" s="498"/>
      <c r="EV173" s="498"/>
      <c r="EW173" s="498"/>
      <c r="EX173" s="498"/>
      <c r="EY173" s="498"/>
      <c r="EZ173" s="498"/>
      <c r="FA173" s="498"/>
      <c r="FB173" s="498"/>
      <c r="FC173" s="498"/>
    </row>
    <row r="174" spans="3:159">
      <c r="C174" s="261" t="s">
        <v>1064</v>
      </c>
      <c r="J174" s="260">
        <v>0</v>
      </c>
      <c r="K174" s="260">
        <v>0</v>
      </c>
      <c r="L174" s="260">
        <v>0</v>
      </c>
      <c r="M174" s="260">
        <v>0</v>
      </c>
      <c r="N174" s="260">
        <v>0</v>
      </c>
      <c r="O174" s="260">
        <v>0</v>
      </c>
      <c r="P174" s="260">
        <v>0</v>
      </c>
      <c r="Q174" s="260">
        <v>353</v>
      </c>
      <c r="R174" s="259"/>
      <c r="S174" s="259"/>
      <c r="T174" s="259"/>
      <c r="U174" s="260">
        <v>0</v>
      </c>
      <c r="V174" s="260">
        <v>0</v>
      </c>
      <c r="W174" s="260">
        <v>0</v>
      </c>
      <c r="X174" s="260">
        <v>0</v>
      </c>
      <c r="Y174" s="260">
        <v>0</v>
      </c>
      <c r="Z174" s="260">
        <v>0</v>
      </c>
      <c r="AA174" s="260">
        <v>0</v>
      </c>
      <c r="AB174" s="260">
        <v>0</v>
      </c>
      <c r="AC174" s="260">
        <v>0</v>
      </c>
      <c r="AD174" s="260">
        <v>0</v>
      </c>
      <c r="AE174" s="260">
        <v>0</v>
      </c>
      <c r="AF174" s="260">
        <v>0</v>
      </c>
      <c r="AG174" s="260">
        <v>0</v>
      </c>
      <c r="AH174" s="260">
        <v>1</v>
      </c>
      <c r="AO174" s="338"/>
      <c r="AP174" s="449"/>
      <c r="AR174" s="449"/>
      <c r="AS174" s="449"/>
      <c r="BA174" s="498"/>
      <c r="BB174" s="498"/>
      <c r="BC174" s="498"/>
      <c r="BD174" s="498"/>
      <c r="BE174" s="498"/>
      <c r="BF174" s="498"/>
      <c r="BG174" s="498"/>
      <c r="BH174" s="498"/>
      <c r="BI174" s="498"/>
      <c r="BJ174" s="498"/>
      <c r="BK174" s="498"/>
      <c r="BL174" s="498"/>
      <c r="BM174" s="498"/>
      <c r="BN174" s="498"/>
      <c r="BO174" s="498"/>
      <c r="BP174" s="498"/>
      <c r="BQ174" s="498"/>
      <c r="BR174" s="498"/>
      <c r="BS174" s="498"/>
      <c r="BT174" s="498"/>
      <c r="BU174" s="498"/>
      <c r="BV174" s="498"/>
      <c r="BW174" s="498"/>
      <c r="BX174" s="498"/>
      <c r="BY174" s="498"/>
      <c r="BZ174" s="498"/>
      <c r="CA174" s="498"/>
      <c r="CB174" s="498"/>
      <c r="CC174" s="498"/>
      <c r="CD174" s="498"/>
      <c r="CE174" s="498"/>
      <c r="CF174" s="498"/>
      <c r="CG174" s="260"/>
      <c r="CH174" s="260"/>
      <c r="CI174" s="260"/>
      <c r="CJ174" s="260"/>
      <c r="CK174" s="260"/>
      <c r="CL174" s="260"/>
      <c r="CM174" s="260"/>
      <c r="CN174" s="260"/>
      <c r="CO174" s="260"/>
      <c r="CR174" s="498"/>
      <c r="CS174" s="498"/>
      <c r="CT174" s="498"/>
      <c r="CU174" s="498"/>
      <c r="CV174" s="498"/>
      <c r="CW174" s="498"/>
      <c r="CX174" s="498"/>
      <c r="CY174" s="498"/>
      <c r="CZ174" s="498"/>
      <c r="DA174" s="498"/>
      <c r="DB174" s="498"/>
      <c r="DC174" s="498"/>
      <c r="DD174" s="498"/>
      <c r="DE174" s="498"/>
      <c r="DF174" s="498"/>
      <c r="DG174" s="498"/>
      <c r="DH174" s="498"/>
      <c r="DI174" s="498"/>
      <c r="DJ174" s="498"/>
      <c r="DK174" s="498"/>
      <c r="DL174" s="498"/>
      <c r="DM174" s="498"/>
      <c r="DN174" s="498"/>
      <c r="DO174" s="498"/>
      <c r="DP174" s="498"/>
      <c r="DQ174" s="498"/>
      <c r="DR174" s="498"/>
      <c r="DS174" s="498"/>
      <c r="DT174" s="498"/>
      <c r="DU174" s="498"/>
      <c r="DV174" s="498"/>
      <c r="DW174" s="498"/>
      <c r="DX174" s="498"/>
      <c r="DY174" s="498"/>
      <c r="DZ174" s="498"/>
      <c r="EA174" s="498"/>
      <c r="EB174" s="498"/>
      <c r="EC174" s="498"/>
      <c r="ED174" s="498"/>
      <c r="EE174" s="498"/>
      <c r="EF174" s="498"/>
      <c r="EG174" s="498"/>
      <c r="EH174" s="498"/>
      <c r="EI174" s="498"/>
      <c r="EJ174" s="498"/>
      <c r="EK174" s="498"/>
      <c r="EL174" s="498"/>
      <c r="EM174" s="498"/>
      <c r="EN174" s="498"/>
      <c r="EO174" s="498"/>
      <c r="EP174" s="498"/>
      <c r="EQ174" s="498"/>
      <c r="ER174" s="498"/>
      <c r="ES174" s="498"/>
      <c r="ET174" s="498"/>
      <c r="EU174" s="498"/>
      <c r="EV174" s="498"/>
      <c r="EW174" s="498"/>
      <c r="EX174" s="498"/>
      <c r="EY174" s="498"/>
      <c r="EZ174" s="498"/>
      <c r="FA174" s="498"/>
      <c r="FB174" s="498"/>
      <c r="FC174" s="498"/>
    </row>
    <row r="175" spans="3:159">
      <c r="C175" s="279" t="s">
        <v>1065</v>
      </c>
      <c r="D175" s="57"/>
      <c r="E175" s="57"/>
      <c r="F175" s="57"/>
      <c r="G175" s="57"/>
      <c r="H175" s="57"/>
      <c r="I175" s="57"/>
      <c r="J175" s="325">
        <f>'Income Statement'!H186+J174-J184</f>
        <v>1168</v>
      </c>
      <c r="K175" s="325">
        <f>'Income Statement'!I186+K174-K184</f>
        <v>1400</v>
      </c>
      <c r="L175" s="325">
        <f>'Income Statement'!J186+L174-L184</f>
        <v>376</v>
      </c>
      <c r="M175" s="325">
        <f>'Income Statement'!K186+M174-M184</f>
        <v>2428</v>
      </c>
      <c r="N175" s="325">
        <f>'Income Statement'!L186+N174-N184</f>
        <v>1172</v>
      </c>
      <c r="O175" s="325">
        <f>'Income Statement'!M186+O174-O184</f>
        <v>1535</v>
      </c>
      <c r="P175" s="325">
        <f>'Income Statement'!N186+P174-P184</f>
        <v>2637</v>
      </c>
      <c r="Q175" s="325">
        <f>'Income Statement'!O186+Q174-Q184</f>
        <v>2714</v>
      </c>
      <c r="R175" s="325">
        <f>'Income Statement'!P186+R174-R184</f>
        <v>1448</v>
      </c>
      <c r="S175" s="325">
        <f>'Income Statement'!Q186+S174-S184</f>
        <v>744</v>
      </c>
      <c r="T175" s="325">
        <f>'Income Statement'!R186+T174-T184</f>
        <v>2515</v>
      </c>
      <c r="U175" s="325">
        <f>'Income Statement'!S186+U174-U184</f>
        <v>5174</v>
      </c>
      <c r="V175" s="325">
        <f>'Income Statement'!T186+V174-V184</f>
        <v>3315</v>
      </c>
      <c r="W175" s="325">
        <f>'Income Statement'!U186+W174-W184</f>
        <v>5243</v>
      </c>
      <c r="X175" s="325">
        <f>'Income Statement'!V186+X174-X184</f>
        <v>2104</v>
      </c>
      <c r="Y175" s="325">
        <f>'Income Statement'!W186+Y174-Y184</f>
        <v>2138</v>
      </c>
      <c r="Z175" s="325">
        <f>'Income Statement'!X186+Z174-Z184</f>
        <v>-1018</v>
      </c>
      <c r="AA175" s="325">
        <f>'Income Statement'!Y186+AA174-AA184</f>
        <v>5024</v>
      </c>
      <c r="AB175" s="325">
        <f>'Income Statement'!Z186+AB174-AB184</f>
        <v>1326</v>
      </c>
      <c r="AC175" s="325">
        <f>'Income Statement'!AA186+AC174-AC184</f>
        <v>6669.6829512703389</v>
      </c>
      <c r="AD175" s="325">
        <f>'Income Statement'!AB186+AD174-AD184</f>
        <v>7392.831539102749</v>
      </c>
      <c r="AE175" s="325">
        <f>'Income Statement'!AC186+AE174-AE184</f>
        <v>8441.0239666271646</v>
      </c>
      <c r="AF175" s="325">
        <f>'Income Statement'!AD186+AF174-AF184</f>
        <v>9461.8342697402713</v>
      </c>
      <c r="AG175" s="325">
        <f>'Income Statement'!AE186+AG174-AG184</f>
        <v>9892.289815512413</v>
      </c>
      <c r="AH175" s="325">
        <f>'Income Statement'!AF186+AH174-AH184</f>
        <v>10428.619263588731</v>
      </c>
      <c r="AO175" s="338"/>
      <c r="AP175" s="449"/>
      <c r="AR175" s="449"/>
      <c r="AS175" s="449"/>
      <c r="BA175" s="498"/>
      <c r="BB175" s="498"/>
      <c r="BC175" s="498"/>
      <c r="BD175" s="498"/>
      <c r="BE175" s="498"/>
      <c r="BF175" s="498"/>
      <c r="BG175" s="498"/>
      <c r="BH175" s="498"/>
      <c r="BI175" s="498"/>
      <c r="BJ175" s="498"/>
      <c r="BK175" s="498"/>
      <c r="BL175" s="498"/>
      <c r="BM175" s="498"/>
      <c r="BN175" s="498"/>
      <c r="BO175" s="498"/>
      <c r="BP175" s="498"/>
      <c r="BQ175" s="498"/>
      <c r="BR175" s="498"/>
      <c r="BS175" s="498"/>
      <c r="BT175" s="498"/>
      <c r="BU175" s="498"/>
      <c r="BV175" s="498"/>
      <c r="BW175" s="498"/>
      <c r="BX175" s="498"/>
      <c r="BY175" s="498"/>
      <c r="BZ175" s="498"/>
      <c r="CA175" s="498"/>
      <c r="CB175" s="498"/>
      <c r="CC175" s="498"/>
      <c r="CD175" s="498"/>
      <c r="CE175" s="498"/>
      <c r="CF175" s="498"/>
      <c r="CG175" s="325"/>
      <c r="CH175" s="325"/>
      <c r="CI175" s="325"/>
      <c r="CJ175" s="325"/>
      <c r="CK175" s="325"/>
      <c r="CL175" s="325"/>
      <c r="CM175" s="325"/>
      <c r="CN175" s="325"/>
      <c r="CO175" s="325"/>
      <c r="CR175" s="498"/>
      <c r="CS175" s="498"/>
      <c r="CT175" s="498"/>
      <c r="CU175" s="498"/>
      <c r="CV175" s="498"/>
      <c r="CW175" s="498"/>
      <c r="CX175" s="498"/>
      <c r="CY175" s="498"/>
      <c r="CZ175" s="498"/>
      <c r="DA175" s="498"/>
      <c r="DB175" s="498"/>
      <c r="DC175" s="498"/>
      <c r="DD175" s="498"/>
      <c r="DE175" s="498"/>
      <c r="DF175" s="498"/>
      <c r="DG175" s="498"/>
      <c r="DH175" s="498"/>
      <c r="DI175" s="498"/>
      <c r="DJ175" s="498"/>
      <c r="DK175" s="498"/>
      <c r="DL175" s="498"/>
      <c r="DM175" s="498"/>
      <c r="DN175" s="498"/>
      <c r="DO175" s="498"/>
      <c r="DP175" s="498"/>
      <c r="DQ175" s="498"/>
      <c r="DR175" s="498"/>
      <c r="DS175" s="498"/>
      <c r="DT175" s="498"/>
      <c r="DU175" s="498"/>
      <c r="DV175" s="498"/>
      <c r="DW175" s="498"/>
      <c r="DX175" s="498"/>
      <c r="DY175" s="498"/>
      <c r="DZ175" s="498"/>
      <c r="EA175" s="498"/>
      <c r="EB175" s="498"/>
      <c r="EC175" s="498"/>
      <c r="ED175" s="498"/>
      <c r="EE175" s="498"/>
      <c r="EF175" s="498"/>
      <c r="EG175" s="498"/>
      <c r="EH175" s="498"/>
      <c r="EI175" s="498"/>
      <c r="EJ175" s="498"/>
      <c r="EK175" s="498"/>
      <c r="EL175" s="498"/>
      <c r="EM175" s="498"/>
      <c r="EN175" s="498"/>
      <c r="EO175" s="498"/>
      <c r="EP175" s="498"/>
      <c r="EQ175" s="498"/>
      <c r="ER175" s="498"/>
      <c r="ES175" s="498"/>
      <c r="ET175" s="498"/>
      <c r="EU175" s="498"/>
      <c r="EV175" s="498"/>
      <c r="EW175" s="498"/>
      <c r="EX175" s="498"/>
      <c r="EY175" s="498"/>
      <c r="EZ175" s="498"/>
      <c r="FA175" s="498"/>
      <c r="FB175" s="498"/>
      <c r="FC175" s="498"/>
    </row>
    <row r="176" spans="3:159">
      <c r="C176" s="261" t="s">
        <v>1066</v>
      </c>
      <c r="J176" s="259">
        <f>'Cashflow Statement'!H30</f>
        <v>-39</v>
      </c>
      <c r="K176" s="259">
        <f>'Cashflow Statement'!I30</f>
        <v>-68</v>
      </c>
      <c r="L176" s="259">
        <f>'Cashflow Statement'!J30</f>
        <v>-221</v>
      </c>
      <c r="M176" s="259">
        <f>'Cashflow Statement'!K30</f>
        <v>-560</v>
      </c>
      <c r="N176" s="259">
        <f>'Cashflow Statement'!L30</f>
        <v>-122</v>
      </c>
      <c r="O176" s="259">
        <f>'Cashflow Statement'!M30</f>
        <v>-1176</v>
      </c>
      <c r="P176" s="259">
        <f>'Cashflow Statement'!N30</f>
        <v>-193</v>
      </c>
      <c r="Q176" s="259">
        <f>'Cashflow Statement'!O30</f>
        <v>-380</v>
      </c>
      <c r="R176" s="259">
        <f>'Cashflow Statement'!P30</f>
        <v>-267</v>
      </c>
      <c r="S176" s="259">
        <f>'Cashflow Statement'!Q30</f>
        <v>583</v>
      </c>
      <c r="T176" s="259">
        <f>'Cashflow Statement'!R30</f>
        <v>-810</v>
      </c>
      <c r="U176" s="259">
        <f>'Cashflow Statement'!S30</f>
        <v>-54</v>
      </c>
      <c r="V176" s="259">
        <f>'Cashflow Statement'!T30</f>
        <v>-4172</v>
      </c>
      <c r="W176" s="259">
        <f>'Cashflow Statement'!U30</f>
        <v>-29</v>
      </c>
      <c r="X176" s="259">
        <f>'Cashflow Statement'!V30</f>
        <v>-21</v>
      </c>
      <c r="Y176" s="259">
        <f>'Cashflow Statement'!W30</f>
        <v>-33</v>
      </c>
      <c r="Z176" s="259">
        <f>'Cashflow Statement'!X30</f>
        <v>-490</v>
      </c>
      <c r="AA176" s="259">
        <f>'Cashflow Statement'!Y30</f>
        <v>-328</v>
      </c>
      <c r="AB176" s="259">
        <f>'Cashflow Statement'!Z30</f>
        <v>-344</v>
      </c>
      <c r="AC176" s="320">
        <f t="shared" ref="AC176:AH176" si="36">AB176</f>
        <v>-344</v>
      </c>
      <c r="AD176" s="320">
        <f t="shared" si="36"/>
        <v>-344</v>
      </c>
      <c r="AE176" s="320">
        <f t="shared" si="36"/>
        <v>-344</v>
      </c>
      <c r="AF176" s="320">
        <f t="shared" si="36"/>
        <v>-344</v>
      </c>
      <c r="AG176" s="320">
        <f t="shared" si="36"/>
        <v>-344</v>
      </c>
      <c r="AH176" s="320">
        <f t="shared" si="36"/>
        <v>-344</v>
      </c>
      <c r="AO176" s="338"/>
      <c r="AP176" s="449"/>
      <c r="AR176" s="449"/>
      <c r="AS176" s="449"/>
      <c r="BA176" s="498"/>
      <c r="BB176" s="498"/>
      <c r="BC176" s="498"/>
      <c r="BD176" s="498"/>
      <c r="BE176" s="498"/>
      <c r="BF176" s="498"/>
      <c r="BG176" s="498"/>
      <c r="BH176" s="498"/>
      <c r="BI176" s="498"/>
      <c r="BJ176" s="498"/>
      <c r="BK176" s="498"/>
      <c r="BL176" s="498"/>
      <c r="BM176" s="498"/>
      <c r="BN176" s="498"/>
      <c r="BO176" s="498"/>
      <c r="BP176" s="498"/>
      <c r="BQ176" s="498"/>
      <c r="BR176" s="498"/>
      <c r="BS176" s="498"/>
      <c r="BT176" s="498"/>
      <c r="BU176" s="498"/>
      <c r="BV176" s="498"/>
      <c r="BW176" s="498"/>
      <c r="BX176" s="498"/>
      <c r="BY176" s="498"/>
      <c r="BZ176" s="498"/>
      <c r="CA176" s="498"/>
      <c r="CB176" s="498"/>
      <c r="CC176" s="498"/>
      <c r="CD176" s="498"/>
      <c r="CE176" s="498"/>
      <c r="CF176" s="498"/>
      <c r="CG176" s="259"/>
      <c r="CH176" s="259"/>
      <c r="CI176" s="259"/>
      <c r="CJ176" s="259"/>
      <c r="CK176" s="259"/>
      <c r="CL176" s="259"/>
      <c r="CM176" s="259"/>
      <c r="CN176" s="259"/>
      <c r="CO176" s="259"/>
      <c r="CR176" s="498"/>
      <c r="CS176" s="498"/>
      <c r="CT176" s="498"/>
      <c r="CU176" s="498"/>
      <c r="CV176" s="498"/>
      <c r="CW176" s="498"/>
      <c r="CX176" s="498"/>
      <c r="CY176" s="498"/>
      <c r="CZ176" s="498"/>
      <c r="DA176" s="498"/>
      <c r="DB176" s="498"/>
      <c r="DC176" s="498"/>
      <c r="DD176" s="498"/>
      <c r="DE176" s="498"/>
      <c r="DF176" s="498"/>
      <c r="DG176" s="498"/>
      <c r="DH176" s="498"/>
      <c r="DI176" s="498"/>
      <c r="DJ176" s="498"/>
      <c r="DK176" s="498"/>
      <c r="DL176" s="498"/>
      <c r="DM176" s="498"/>
      <c r="DN176" s="498"/>
      <c r="DO176" s="498"/>
      <c r="DP176" s="498"/>
      <c r="DQ176" s="498"/>
      <c r="DR176" s="498"/>
      <c r="DS176" s="498"/>
      <c r="DT176" s="498"/>
      <c r="DU176" s="498"/>
      <c r="DV176" s="498"/>
      <c r="DW176" s="498"/>
      <c r="DX176" s="498"/>
      <c r="DY176" s="498"/>
      <c r="DZ176" s="498"/>
      <c r="EA176" s="498"/>
      <c r="EB176" s="498"/>
      <c r="EC176" s="498"/>
      <c r="ED176" s="498"/>
      <c r="EE176" s="498"/>
      <c r="EF176" s="498"/>
      <c r="EG176" s="498"/>
      <c r="EH176" s="498"/>
      <c r="EI176" s="498"/>
      <c r="EJ176" s="498"/>
      <c r="EK176" s="498"/>
      <c r="EL176" s="498"/>
      <c r="EM176" s="498"/>
      <c r="EN176" s="498"/>
      <c r="EO176" s="498"/>
      <c r="EP176" s="498"/>
      <c r="EQ176" s="498"/>
      <c r="ER176" s="498"/>
      <c r="ES176" s="498"/>
      <c r="ET176" s="498"/>
      <c r="EU176" s="498"/>
      <c r="EV176" s="498"/>
      <c r="EW176" s="498"/>
      <c r="EX176" s="498"/>
      <c r="EY176" s="498"/>
      <c r="EZ176" s="498"/>
      <c r="FA176" s="498"/>
      <c r="FB176" s="498"/>
      <c r="FC176" s="498"/>
    </row>
    <row r="177" spans="3:159">
      <c r="C177" s="261" t="s">
        <v>793</v>
      </c>
      <c r="J177" s="259">
        <f>'Cashflow Statement'!H43</f>
        <v>-148</v>
      </c>
      <c r="K177" s="259">
        <f>'Cashflow Statement'!I43</f>
        <v>-90</v>
      </c>
      <c r="L177" s="259">
        <f>'Cashflow Statement'!J43</f>
        <v>-197</v>
      </c>
      <c r="M177" s="259">
        <f>'Cashflow Statement'!K43</f>
        <v>-68</v>
      </c>
      <c r="N177" s="259">
        <f>'Cashflow Statement'!L43</f>
        <v>-152</v>
      </c>
      <c r="O177" s="259">
        <f>'Cashflow Statement'!M43</f>
        <v>-304</v>
      </c>
      <c r="P177" s="259">
        <f>'Cashflow Statement'!N43</f>
        <v>-283</v>
      </c>
      <c r="Q177" s="259">
        <f>'Cashflow Statement'!O43</f>
        <v>-471</v>
      </c>
      <c r="R177" s="259">
        <f>'Cashflow Statement'!P43</f>
        <v>-500</v>
      </c>
      <c r="S177" s="259">
        <f>'Cashflow Statement'!Q43</f>
        <v>-517</v>
      </c>
      <c r="T177" s="259">
        <f>'Cashflow Statement'!R43</f>
        <v>-612</v>
      </c>
      <c r="U177" s="259">
        <f>'Cashflow Statement'!S43</f>
        <v>-340</v>
      </c>
      <c r="V177" s="259">
        <f>'Cashflow Statement'!T43</f>
        <v>-695</v>
      </c>
      <c r="W177" s="259">
        <f>'Cashflow Statement'!U43</f>
        <v>-785</v>
      </c>
      <c r="X177" s="259">
        <f>'Cashflow Statement'!V43</f>
        <v>0</v>
      </c>
      <c r="Y177" s="259">
        <f>'Cashflow Statement'!W43</f>
        <v>-183</v>
      </c>
      <c r="Z177" s="259">
        <f>'Cashflow Statement'!X43</f>
        <v>-213</v>
      </c>
      <c r="AA177" s="259">
        <f>'Cashflow Statement'!Y43</f>
        <v>-564</v>
      </c>
      <c r="AB177" s="259">
        <f>'Cashflow Statement'!Z43</f>
        <v>-911</v>
      </c>
      <c r="AC177" s="259">
        <f>'Cashflow Statement'!AA43</f>
        <v>-1206.8336370000002</v>
      </c>
      <c r="AD177" s="259">
        <f>'Cashflow Statement'!AB43</f>
        <v>-1398.5537395733497</v>
      </c>
      <c r="AE177" s="259">
        <f>'Cashflow Statement'!AC43</f>
        <v>-1796.7173534383026</v>
      </c>
      <c r="AF177" s="259">
        <f>'Cashflow Statement'!AD43</f>
        <v>-2045.9687600249188</v>
      </c>
      <c r="AG177" s="259">
        <f>'Cashflow Statement'!AE43</f>
        <v>-2276.7834805811317</v>
      </c>
      <c r="AH177" s="259">
        <f>'Cashflow Statement'!AF43</f>
        <v>-2416.1772413240215</v>
      </c>
      <c r="AO177" s="527"/>
      <c r="AP177" s="449"/>
      <c r="AR177" s="449"/>
      <c r="AS177" s="449"/>
      <c r="BA177" s="498"/>
      <c r="BB177" s="498"/>
      <c r="BC177" s="498"/>
      <c r="BD177" s="498"/>
      <c r="BE177" s="498"/>
      <c r="BF177" s="498"/>
      <c r="BG177" s="498"/>
      <c r="BH177" s="498"/>
      <c r="BI177" s="498"/>
      <c r="BJ177" s="498"/>
      <c r="BK177" s="498"/>
      <c r="BL177" s="498"/>
      <c r="BM177" s="498"/>
      <c r="BN177" s="498"/>
      <c r="BO177" s="498"/>
      <c r="BP177" s="498"/>
      <c r="BQ177" s="498"/>
      <c r="BR177" s="498"/>
      <c r="BS177" s="498"/>
      <c r="BT177" s="498"/>
      <c r="BU177" s="498"/>
      <c r="BV177" s="498"/>
      <c r="BW177" s="498"/>
      <c r="BX177" s="498"/>
      <c r="BY177" s="498"/>
      <c r="BZ177" s="498"/>
      <c r="CA177" s="498"/>
      <c r="CB177" s="498"/>
      <c r="CC177" s="498"/>
      <c r="CD177" s="498"/>
      <c r="CE177" s="498"/>
      <c r="CF177" s="498"/>
      <c r="CG177" s="259"/>
      <c r="CH177" s="259"/>
      <c r="CI177" s="259"/>
      <c r="CJ177" s="259"/>
      <c r="CK177" s="259"/>
      <c r="CL177" s="259"/>
      <c r="CM177" s="259"/>
      <c r="CN177" s="259"/>
      <c r="CO177" s="259"/>
      <c r="CR177" s="498"/>
      <c r="CS177" s="498"/>
      <c r="CT177" s="498"/>
      <c r="CU177" s="498"/>
      <c r="CV177" s="498"/>
      <c r="CW177" s="498"/>
      <c r="CX177" s="498"/>
      <c r="CY177" s="498"/>
      <c r="CZ177" s="498"/>
      <c r="DA177" s="498"/>
      <c r="DB177" s="498"/>
      <c r="DC177" s="498"/>
      <c r="DD177" s="498"/>
      <c r="DE177" s="498"/>
      <c r="DF177" s="498"/>
      <c r="DG177" s="498"/>
      <c r="DH177" s="498"/>
      <c r="DI177" s="498"/>
      <c r="DJ177" s="498"/>
      <c r="DK177" s="498"/>
      <c r="DL177" s="498"/>
      <c r="DM177" s="498"/>
      <c r="DN177" s="498"/>
      <c r="DO177" s="498"/>
      <c r="DP177" s="498"/>
      <c r="DQ177" s="498"/>
      <c r="DR177" s="498"/>
      <c r="DS177" s="498"/>
      <c r="DT177" s="498"/>
      <c r="DU177" s="498"/>
      <c r="DV177" s="498"/>
      <c r="DW177" s="498"/>
      <c r="DX177" s="498"/>
      <c r="DY177" s="498"/>
      <c r="DZ177" s="498"/>
      <c r="EA177" s="498"/>
      <c r="EB177" s="498"/>
      <c r="EC177" s="498"/>
      <c r="ED177" s="498"/>
      <c r="EE177" s="498"/>
      <c r="EF177" s="498"/>
      <c r="EG177" s="498"/>
      <c r="EH177" s="498"/>
      <c r="EI177" s="498"/>
      <c r="EJ177" s="498"/>
      <c r="EK177" s="498"/>
      <c r="EL177" s="498"/>
      <c r="EM177" s="498"/>
      <c r="EN177" s="498"/>
      <c r="EO177" s="498"/>
      <c r="EP177" s="498"/>
      <c r="EQ177" s="498"/>
      <c r="ER177" s="498"/>
      <c r="ES177" s="498"/>
      <c r="ET177" s="498"/>
      <c r="EU177" s="498"/>
      <c r="EV177" s="498"/>
      <c r="EW177" s="498"/>
      <c r="EX177" s="498"/>
      <c r="EY177" s="498"/>
      <c r="EZ177" s="498"/>
      <c r="FA177" s="498"/>
      <c r="FB177" s="498"/>
      <c r="FC177" s="498"/>
    </row>
    <row r="178" spans="3:159">
      <c r="C178" s="261" t="s">
        <v>1067</v>
      </c>
      <c r="J178" s="259">
        <f>'Cashflow Statement'!H47</f>
        <v>0</v>
      </c>
      <c r="K178" s="259">
        <f>'Cashflow Statement'!I47</f>
        <v>0</v>
      </c>
      <c r="L178" s="259">
        <f>'Cashflow Statement'!J47</f>
        <v>0</v>
      </c>
      <c r="M178" s="259">
        <f>'Cashflow Statement'!K47</f>
        <v>0</v>
      </c>
      <c r="N178" s="259">
        <f>'Cashflow Statement'!L47</f>
        <v>0</v>
      </c>
      <c r="O178" s="259">
        <f>'Cashflow Statement'!M47</f>
        <v>0</v>
      </c>
      <c r="P178" s="259">
        <f>'Cashflow Statement'!N47</f>
        <v>0</v>
      </c>
      <c r="Q178" s="259">
        <f>'Cashflow Statement'!O47</f>
        <v>0</v>
      </c>
      <c r="R178" s="259">
        <f>'Cashflow Statement'!P47</f>
        <v>0</v>
      </c>
      <c r="S178" s="259">
        <f>'Cashflow Statement'!Q47</f>
        <v>0</v>
      </c>
      <c r="T178" s="259">
        <f>'Cashflow Statement'!R47</f>
        <v>0</v>
      </c>
      <c r="U178" s="259">
        <f>'Cashflow Statement'!S47</f>
        <v>0</v>
      </c>
      <c r="V178" s="259">
        <f>'Cashflow Statement'!T47</f>
        <v>0</v>
      </c>
      <c r="W178" s="259">
        <f>'Cashflow Statement'!U47</f>
        <v>0</v>
      </c>
      <c r="X178" s="259">
        <f>'Cashflow Statement'!V47</f>
        <v>0</v>
      </c>
      <c r="Y178" s="259">
        <f>'Cashflow Statement'!W47</f>
        <v>0</v>
      </c>
      <c r="Z178" s="259">
        <f>'Cashflow Statement'!X47</f>
        <v>0</v>
      </c>
      <c r="AA178" s="259">
        <f>'Cashflow Statement'!Y47</f>
        <v>0</v>
      </c>
      <c r="AB178" s="259">
        <f>'Cashflow Statement'!Z47</f>
        <v>0</v>
      </c>
      <c r="AC178" s="321">
        <v>-1250</v>
      </c>
      <c r="AD178" s="321">
        <v>-1250</v>
      </c>
      <c r="AE178" s="321">
        <v>-1250</v>
      </c>
      <c r="AF178" s="321">
        <v>-1250</v>
      </c>
      <c r="AG178" s="321">
        <v>-1250</v>
      </c>
      <c r="AH178" s="321">
        <v>-1249</v>
      </c>
      <c r="AO178" s="338"/>
      <c r="AP178" s="449"/>
      <c r="AR178" s="449"/>
      <c r="AS178" s="449"/>
      <c r="BA178" s="498"/>
      <c r="BB178" s="498"/>
      <c r="BC178" s="498"/>
      <c r="BD178" s="498"/>
      <c r="BE178" s="498"/>
      <c r="BF178" s="498"/>
      <c r="BG178" s="498"/>
      <c r="BH178" s="498"/>
      <c r="BI178" s="498"/>
      <c r="BJ178" s="498"/>
      <c r="BK178" s="498"/>
      <c r="BL178" s="498"/>
      <c r="BM178" s="498"/>
      <c r="BN178" s="498"/>
      <c r="BO178" s="498"/>
      <c r="BP178" s="498"/>
      <c r="BQ178" s="498"/>
      <c r="BR178" s="498"/>
      <c r="BS178" s="498"/>
      <c r="BT178" s="498"/>
      <c r="BU178" s="498"/>
      <c r="BV178" s="498"/>
      <c r="BW178" s="498"/>
      <c r="BX178" s="498"/>
      <c r="BY178" s="498"/>
      <c r="BZ178" s="498"/>
      <c r="CA178" s="498"/>
      <c r="CB178" s="498"/>
      <c r="CC178" s="498"/>
      <c r="CD178" s="498"/>
      <c r="CE178" s="498"/>
      <c r="CF178" s="498"/>
      <c r="CG178" s="259"/>
      <c r="CH178" s="259"/>
      <c r="CI178" s="259"/>
      <c r="CJ178" s="259"/>
      <c r="CK178" s="259"/>
      <c r="CL178" s="259"/>
      <c r="CM178" s="259"/>
      <c r="CN178" s="259"/>
      <c r="CO178" s="259"/>
      <c r="CR178" s="498"/>
      <c r="CS178" s="498"/>
      <c r="CT178" s="498"/>
      <c r="CU178" s="498"/>
      <c r="CV178" s="498"/>
      <c r="CW178" s="498"/>
      <c r="CX178" s="498"/>
      <c r="CY178" s="498"/>
      <c r="CZ178" s="498"/>
      <c r="DA178" s="498"/>
      <c r="DB178" s="498"/>
      <c r="DC178" s="498"/>
      <c r="DD178" s="498"/>
      <c r="DE178" s="498"/>
      <c r="DF178" s="498"/>
      <c r="DG178" s="498"/>
      <c r="DH178" s="498"/>
      <c r="DI178" s="498"/>
      <c r="DJ178" s="498"/>
      <c r="DK178" s="498"/>
      <c r="DL178" s="498"/>
      <c r="DM178" s="498"/>
      <c r="DN178" s="498"/>
      <c r="DO178" s="498"/>
      <c r="DP178" s="498"/>
      <c r="DQ178" s="498"/>
      <c r="DR178" s="498"/>
      <c r="DS178" s="498"/>
      <c r="DT178" s="498"/>
      <c r="DU178" s="498"/>
      <c r="DV178" s="498"/>
      <c r="DW178" s="498"/>
      <c r="DX178" s="498"/>
      <c r="DY178" s="498"/>
      <c r="DZ178" s="498"/>
      <c r="EA178" s="498"/>
      <c r="EB178" s="498"/>
      <c r="EC178" s="498"/>
      <c r="ED178" s="498"/>
      <c r="EE178" s="498"/>
      <c r="EF178" s="498"/>
      <c r="EG178" s="498"/>
      <c r="EH178" s="498"/>
      <c r="EI178" s="498"/>
      <c r="EJ178" s="498"/>
      <c r="EK178" s="498"/>
      <c r="EL178" s="498"/>
      <c r="EM178" s="498"/>
      <c r="EN178" s="498"/>
      <c r="EO178" s="498"/>
      <c r="EP178" s="498"/>
      <c r="EQ178" s="498"/>
      <c r="ER178" s="498"/>
      <c r="ES178" s="498"/>
      <c r="ET178" s="498"/>
      <c r="EU178" s="498"/>
      <c r="EV178" s="498"/>
      <c r="EW178" s="498"/>
      <c r="EX178" s="498"/>
      <c r="EY178" s="498"/>
      <c r="EZ178" s="498"/>
      <c r="FA178" s="498"/>
      <c r="FB178" s="498"/>
      <c r="FC178" s="498"/>
    </row>
    <row r="179" spans="3:159">
      <c r="C179" s="261" t="s">
        <v>1068</v>
      </c>
      <c r="J179" s="259">
        <f>'Cashflow Statement'!H37</f>
        <v>8</v>
      </c>
      <c r="K179" s="259">
        <f>'Cashflow Statement'!I37</f>
        <v>19</v>
      </c>
      <c r="L179" s="259">
        <f>'Cashflow Statement'!J37</f>
        <v>0</v>
      </c>
      <c r="M179" s="259">
        <f>'Cashflow Statement'!K37</f>
        <v>1</v>
      </c>
      <c r="N179" s="259">
        <f>'Cashflow Statement'!L37</f>
        <v>6</v>
      </c>
      <c r="O179" s="259">
        <f>'Cashflow Statement'!M37</f>
        <v>1</v>
      </c>
      <c r="P179" s="259">
        <f>'Cashflow Statement'!N37</f>
        <v>0</v>
      </c>
      <c r="Q179" s="259">
        <f>'Cashflow Statement'!O37</f>
        <v>0</v>
      </c>
      <c r="R179" s="259">
        <f>'Cashflow Statement'!P37</f>
        <v>0</v>
      </c>
      <c r="S179" s="259">
        <f>'Cashflow Statement'!Q37</f>
        <v>-5</v>
      </c>
      <c r="T179" s="259">
        <f>'Cashflow Statement'!R37</f>
        <v>-9</v>
      </c>
      <c r="U179" s="259">
        <f>'Cashflow Statement'!S37</f>
        <v>-4</v>
      </c>
      <c r="V179" s="259">
        <f>'Cashflow Statement'!T37</f>
        <v>-1</v>
      </c>
      <c r="W179" s="259">
        <f>'Cashflow Statement'!U37</f>
        <v>-7</v>
      </c>
      <c r="X179" s="259">
        <f>'Cashflow Statement'!V37</f>
        <v>0</v>
      </c>
      <c r="Y179" s="259">
        <f>'Cashflow Statement'!W37</f>
        <v>1</v>
      </c>
      <c r="Z179" s="259">
        <f>'Cashflow Statement'!X37</f>
        <v>0</v>
      </c>
      <c r="AA179" s="259">
        <f>'Cashflow Statement'!Y37</f>
        <v>2</v>
      </c>
      <c r="AB179" s="259">
        <f>'Cashflow Statement'!Z37</f>
        <v>0</v>
      </c>
      <c r="AC179" s="259">
        <f>'Cashflow Statement'!AA37</f>
        <v>0</v>
      </c>
      <c r="AD179" s="259">
        <f>'Cashflow Statement'!AB37</f>
        <v>0</v>
      </c>
      <c r="AE179" s="259">
        <f>'Cashflow Statement'!AC37</f>
        <v>0</v>
      </c>
      <c r="AF179" s="259">
        <f>'Cashflow Statement'!AD37</f>
        <v>0</v>
      </c>
      <c r="AG179" s="259">
        <f>'Cashflow Statement'!AE37</f>
        <v>0</v>
      </c>
      <c r="AH179" s="259">
        <f>'Cashflow Statement'!AF37</f>
        <v>0</v>
      </c>
      <c r="AO179" s="338"/>
      <c r="AP179" s="449"/>
      <c r="AR179" s="449"/>
      <c r="AS179" s="449"/>
      <c r="BA179" s="498"/>
      <c r="BB179" s="498"/>
      <c r="BC179" s="498"/>
      <c r="BD179" s="498"/>
      <c r="BE179" s="498"/>
      <c r="BF179" s="498"/>
      <c r="BG179" s="498"/>
      <c r="BH179" s="498"/>
      <c r="BI179" s="498"/>
      <c r="BJ179" s="498"/>
      <c r="BK179" s="498"/>
      <c r="BL179" s="498"/>
      <c r="BM179" s="498"/>
      <c r="BN179" s="498"/>
      <c r="BO179" s="498"/>
      <c r="BP179" s="498"/>
      <c r="BQ179" s="498"/>
      <c r="BR179" s="498"/>
      <c r="BS179" s="498"/>
      <c r="BT179" s="498"/>
      <c r="BU179" s="498"/>
      <c r="BV179" s="498"/>
      <c r="BW179" s="498"/>
      <c r="BX179" s="498"/>
      <c r="BY179" s="498"/>
      <c r="BZ179" s="498"/>
      <c r="CA179" s="498"/>
      <c r="CB179" s="498"/>
      <c r="CC179" s="498"/>
      <c r="CD179" s="498"/>
      <c r="CE179" s="498"/>
      <c r="CF179" s="498"/>
      <c r="CG179" s="259"/>
      <c r="CH179" s="259"/>
      <c r="CI179" s="259"/>
      <c r="CJ179" s="259"/>
      <c r="CK179" s="259"/>
      <c r="CL179" s="259"/>
      <c r="CM179" s="259"/>
      <c r="CN179" s="259"/>
      <c r="CO179" s="259"/>
      <c r="CR179" s="498"/>
      <c r="CS179" s="498"/>
      <c r="CT179" s="498"/>
      <c r="CU179" s="498"/>
      <c r="CV179" s="498"/>
      <c r="CW179" s="498"/>
      <c r="CX179" s="498"/>
      <c r="CY179" s="498"/>
      <c r="CZ179" s="498"/>
      <c r="DA179" s="498"/>
      <c r="DB179" s="498"/>
      <c r="DC179" s="498"/>
      <c r="DD179" s="498"/>
      <c r="DE179" s="498"/>
      <c r="DF179" s="498"/>
      <c r="DG179" s="498"/>
      <c r="DH179" s="498"/>
      <c r="DI179" s="498"/>
      <c r="DJ179" s="498"/>
      <c r="DK179" s="498"/>
      <c r="DL179" s="498"/>
      <c r="DM179" s="498"/>
      <c r="DN179" s="498"/>
      <c r="DO179" s="498"/>
      <c r="DP179" s="498"/>
      <c r="DQ179" s="498"/>
      <c r="DR179" s="498"/>
      <c r="DS179" s="498"/>
      <c r="DT179" s="498"/>
      <c r="DU179" s="498"/>
      <c r="DV179" s="498"/>
      <c r="DW179" s="498"/>
      <c r="DX179" s="498"/>
      <c r="DY179" s="498"/>
      <c r="DZ179" s="498"/>
      <c r="EA179" s="498"/>
      <c r="EB179" s="498"/>
      <c r="EC179" s="498"/>
      <c r="ED179" s="498"/>
      <c r="EE179" s="498"/>
      <c r="EF179" s="498"/>
      <c r="EG179" s="498"/>
      <c r="EH179" s="498"/>
      <c r="EI179" s="498"/>
      <c r="EJ179" s="498"/>
      <c r="EK179" s="498"/>
      <c r="EL179" s="498"/>
      <c r="EM179" s="498"/>
      <c r="EN179" s="498"/>
      <c r="EO179" s="498"/>
      <c r="EP179" s="498"/>
      <c r="EQ179" s="498"/>
      <c r="ER179" s="498"/>
      <c r="ES179" s="498"/>
      <c r="ET179" s="498"/>
      <c r="EU179" s="498"/>
      <c r="EV179" s="498"/>
      <c r="EW179" s="498"/>
      <c r="EX179" s="498"/>
      <c r="EY179" s="498"/>
      <c r="EZ179" s="498"/>
      <c r="FA179" s="498"/>
      <c r="FB179" s="498"/>
      <c r="FC179" s="498"/>
    </row>
    <row r="180" spans="3:159">
      <c r="C180" s="261" t="s">
        <v>1069</v>
      </c>
      <c r="J180" s="259">
        <f>'Cashflow Statement'!H28</f>
        <v>-346</v>
      </c>
      <c r="K180" s="259">
        <f>'Cashflow Statement'!I28</f>
        <v>-387</v>
      </c>
      <c r="L180" s="259">
        <f>'Cashflow Statement'!J28</f>
        <v>-441</v>
      </c>
      <c r="M180" s="259">
        <f>'Cashflow Statement'!K28</f>
        <v>-293</v>
      </c>
      <c r="N180" s="259">
        <f>'Cashflow Statement'!L28</f>
        <v>-271</v>
      </c>
      <c r="O180" s="259">
        <f>'Cashflow Statement'!M28</f>
        <v>-352</v>
      </c>
      <c r="P180" s="259">
        <f>'Cashflow Statement'!N28</f>
        <v>-419</v>
      </c>
      <c r="Q180" s="259">
        <f>'Cashflow Statement'!O28</f>
        <v>-492</v>
      </c>
      <c r="R180" s="259">
        <f>'Cashflow Statement'!P28</f>
        <v>-674</v>
      </c>
      <c r="S180" s="259">
        <f>'Cashflow Statement'!Q28</f>
        <v>-705</v>
      </c>
      <c r="T180" s="259">
        <f>'Cashflow Statement'!R28</f>
        <v>-704</v>
      </c>
      <c r="U180" s="259">
        <f>'Cashflow Statement'!S28</f>
        <v>-740</v>
      </c>
      <c r="V180" s="259">
        <f>'Cashflow Statement'!T28</f>
        <v>-780</v>
      </c>
      <c r="W180" s="259">
        <f>'Cashflow Statement'!U28</f>
        <v>-695</v>
      </c>
      <c r="X180" s="259">
        <f>'Cashflow Statement'!V28</f>
        <v>-449</v>
      </c>
      <c r="Y180" s="259">
        <f>'Cashflow Statement'!W28</f>
        <v>-387</v>
      </c>
      <c r="Z180" s="259">
        <f>'Cashflow Statement'!X28</f>
        <v>-498</v>
      </c>
      <c r="AA180" s="259">
        <f>'Cashflow Statement'!Y28</f>
        <v>-823</v>
      </c>
      <c r="AB180" s="259">
        <f>'Cashflow Statement'!Z28</f>
        <v>-1044</v>
      </c>
      <c r="AC180" s="259">
        <f>'Cashflow Statement'!AA28</f>
        <v>-1549.7983461201693</v>
      </c>
      <c r="AD180" s="259">
        <f>'Cashflow Statement'!AB28</f>
        <v>-1553.4318007587094</v>
      </c>
      <c r="AE180" s="259">
        <f>'Cashflow Statement'!AC28</f>
        <v>-1526.823632399492</v>
      </c>
      <c r="AF180" s="259">
        <f>'Cashflow Statement'!AD28</f>
        <v>-1449.0146582066595</v>
      </c>
      <c r="AG180" s="259">
        <f>'Cashflow Statement'!AE28</f>
        <v>-1303.0032568404092</v>
      </c>
      <c r="AH180" s="259">
        <f>'Cashflow Statement'!AF28</f>
        <v>-1138.3971010284163</v>
      </c>
      <c r="AO180" s="338"/>
      <c r="AP180" s="449"/>
      <c r="AR180" s="449"/>
      <c r="AS180" s="449"/>
      <c r="BA180" s="498"/>
      <c r="BB180" s="498"/>
      <c r="BC180" s="498"/>
      <c r="BD180" s="498"/>
      <c r="BE180" s="498"/>
      <c r="BF180" s="498"/>
      <c r="BG180" s="498"/>
      <c r="BH180" s="498"/>
      <c r="BI180" s="498"/>
      <c r="BJ180" s="498"/>
      <c r="BK180" s="498"/>
      <c r="BL180" s="498"/>
      <c r="BM180" s="498"/>
      <c r="BN180" s="498"/>
      <c r="BO180" s="498"/>
      <c r="BP180" s="498"/>
      <c r="BQ180" s="498"/>
      <c r="BR180" s="498"/>
      <c r="BS180" s="498"/>
      <c r="BT180" s="498"/>
      <c r="BU180" s="498"/>
      <c r="BV180" s="498"/>
      <c r="BW180" s="498"/>
      <c r="BX180" s="498"/>
      <c r="BY180" s="498"/>
      <c r="BZ180" s="498"/>
      <c r="CA180" s="498"/>
      <c r="CB180" s="498"/>
      <c r="CC180" s="498"/>
      <c r="CD180" s="498"/>
      <c r="CE180" s="498"/>
      <c r="CF180" s="498"/>
      <c r="CG180" s="259"/>
      <c r="CH180" s="259"/>
      <c r="CI180" s="259"/>
      <c r="CJ180" s="259"/>
      <c r="CK180" s="259"/>
      <c r="CL180" s="259"/>
      <c r="CM180" s="259"/>
      <c r="CN180" s="259"/>
      <c r="CO180" s="259"/>
      <c r="CR180" s="498"/>
      <c r="CS180" s="498"/>
      <c r="CT180" s="498"/>
      <c r="CU180" s="498"/>
      <c r="CV180" s="498"/>
      <c r="CW180" s="498"/>
      <c r="CX180" s="498"/>
      <c r="CY180" s="498"/>
      <c r="CZ180" s="498"/>
      <c r="DA180" s="498"/>
      <c r="DB180" s="498"/>
      <c r="DC180" s="498"/>
      <c r="DD180" s="498"/>
      <c r="DE180" s="498"/>
      <c r="DF180" s="498"/>
      <c r="DG180" s="498"/>
      <c r="DH180" s="498"/>
      <c r="DI180" s="498"/>
      <c r="DJ180" s="498"/>
      <c r="DK180" s="498"/>
      <c r="DL180" s="498"/>
      <c r="DM180" s="498"/>
      <c r="DN180" s="498"/>
      <c r="DO180" s="498"/>
      <c r="DP180" s="498"/>
      <c r="DQ180" s="498"/>
      <c r="DR180" s="498"/>
      <c r="DS180" s="498"/>
      <c r="DT180" s="498"/>
      <c r="DU180" s="498"/>
      <c r="DV180" s="498"/>
      <c r="DW180" s="498"/>
      <c r="DX180" s="498"/>
      <c r="DY180" s="498"/>
      <c r="DZ180" s="498"/>
      <c r="EA180" s="498"/>
      <c r="EB180" s="498"/>
      <c r="EC180" s="498"/>
      <c r="ED180" s="498"/>
      <c r="EE180" s="498"/>
      <c r="EF180" s="498"/>
      <c r="EG180" s="498"/>
      <c r="EH180" s="498"/>
      <c r="EI180" s="498"/>
      <c r="EJ180" s="498"/>
      <c r="EK180" s="498"/>
      <c r="EL180" s="498"/>
      <c r="EM180" s="498"/>
      <c r="EN180" s="498"/>
      <c r="EO180" s="498"/>
      <c r="EP180" s="498"/>
      <c r="EQ180" s="498"/>
      <c r="ER180" s="498"/>
      <c r="ES180" s="498"/>
      <c r="ET180" s="498"/>
      <c r="EU180" s="498"/>
      <c r="EV180" s="498"/>
      <c r="EW180" s="498"/>
      <c r="EX180" s="498"/>
      <c r="EY180" s="498"/>
      <c r="EZ180" s="498"/>
      <c r="FA180" s="498"/>
      <c r="FB180" s="498"/>
      <c r="FC180" s="498"/>
    </row>
    <row r="181" spans="3:159">
      <c r="C181" s="261" t="s">
        <v>1070</v>
      </c>
      <c r="J181" s="259">
        <f>'Cashflow Statement'!H26+'Income Statement'!H183</f>
        <v>-59</v>
      </c>
      <c r="K181" s="259">
        <f>'Cashflow Statement'!I26+'Income Statement'!I183</f>
        <v>-52</v>
      </c>
      <c r="L181" s="259">
        <f>'Cashflow Statement'!J26+'Income Statement'!J183</f>
        <v>-2</v>
      </c>
      <c r="M181" s="259">
        <f>'Cashflow Statement'!K26+'Income Statement'!K183</f>
        <v>-110</v>
      </c>
      <c r="N181" s="259">
        <f>'Cashflow Statement'!L26+'Income Statement'!L183</f>
        <v>-75</v>
      </c>
      <c r="O181" s="259">
        <f>'Cashflow Statement'!M26+'Income Statement'!M183</f>
        <v>-81</v>
      </c>
      <c r="P181" s="259">
        <f>'Cashflow Statement'!N26+'Income Statement'!N183</f>
        <v>-130</v>
      </c>
      <c r="Q181" s="259">
        <f>'Cashflow Statement'!O26+'Income Statement'!O183</f>
        <v>-241</v>
      </c>
      <c r="R181" s="259">
        <f>'Cashflow Statement'!P26+'Income Statement'!P183</f>
        <v>-299</v>
      </c>
      <c r="S181" s="259">
        <f>'Cashflow Statement'!Q26+'Income Statement'!Q183</f>
        <v>-502</v>
      </c>
      <c r="T181" s="259">
        <f>'Cashflow Statement'!R26+'Income Statement'!R183</f>
        <v>19</v>
      </c>
      <c r="U181" s="259">
        <f>'Cashflow Statement'!S26+'Income Statement'!S183</f>
        <v>-229</v>
      </c>
      <c r="V181" s="259">
        <f>'Cashflow Statement'!T26+'Income Statement'!T183</f>
        <v>-190</v>
      </c>
      <c r="W181" s="259">
        <f>'Cashflow Statement'!U26+'Income Statement'!U183</f>
        <v>-142</v>
      </c>
      <c r="X181" s="259">
        <f>'Cashflow Statement'!V26+'Income Statement'!V183</f>
        <v>-65</v>
      </c>
      <c r="Y181" s="259">
        <f>'Cashflow Statement'!W26+'Income Statement'!W183</f>
        <v>-58</v>
      </c>
      <c r="Z181" s="259">
        <f>'Cashflow Statement'!X26+'Income Statement'!X183</f>
        <v>-98</v>
      </c>
      <c r="AA181" s="259">
        <f>'Cashflow Statement'!Y26+'Income Statement'!Y183</f>
        <v>-179</v>
      </c>
      <c r="AB181" s="259">
        <f>'Cashflow Statement'!Z26+'Income Statement'!Z183</f>
        <v>-172</v>
      </c>
      <c r="AC181" s="259">
        <f>'Cashflow Statement'!AA26+'Income Statement'!AA183</f>
        <v>-177.82600027278579</v>
      </c>
      <c r="AD181" s="259">
        <f>'Cashflow Statement'!AB26+'Income Statement'!AB183</f>
        <v>-135.5038330637766</v>
      </c>
      <c r="AE181" s="259">
        <f>'Cashflow Statement'!AC26+'Income Statement'!AC183</f>
        <v>-91.679035557497855</v>
      </c>
      <c r="AF181" s="259">
        <f>'Cashflow Statement'!AD26+'Income Statement'!AD183</f>
        <v>-52.89792552854658</v>
      </c>
      <c r="AG181" s="259">
        <f>'Cashflow Statement'!AE26+'Income Statement'!AE183</f>
        <v>-28.487061483503453</v>
      </c>
      <c r="AH181" s="259">
        <f>'Cashflow Statement'!AF26+'Income Statement'!AF183</f>
        <v>-3.2426706632199966</v>
      </c>
      <c r="AO181" s="338"/>
      <c r="AP181" s="449"/>
      <c r="AR181" s="449"/>
      <c r="AS181" s="449"/>
      <c r="BA181" s="498"/>
      <c r="BB181" s="498"/>
      <c r="BC181" s="498"/>
      <c r="BD181" s="498"/>
      <c r="BE181" s="498"/>
      <c r="BF181" s="498"/>
      <c r="BG181" s="498"/>
      <c r="BH181" s="498"/>
      <c r="BI181" s="498"/>
      <c r="BJ181" s="498"/>
      <c r="BK181" s="498"/>
      <c r="BL181" s="498"/>
      <c r="BM181" s="498"/>
      <c r="BN181" s="498"/>
      <c r="BO181" s="498"/>
      <c r="BP181" s="498"/>
      <c r="BQ181" s="498"/>
      <c r="BR181" s="498"/>
      <c r="BS181" s="498"/>
      <c r="BT181" s="498"/>
      <c r="BU181" s="498"/>
      <c r="BV181" s="498"/>
      <c r="BW181" s="498"/>
      <c r="BX181" s="498"/>
      <c r="BY181" s="498"/>
      <c r="BZ181" s="498"/>
      <c r="CA181" s="498"/>
      <c r="CB181" s="498"/>
      <c r="CC181" s="498"/>
      <c r="CD181" s="498"/>
      <c r="CE181" s="498"/>
      <c r="CF181" s="498"/>
      <c r="CG181" s="259"/>
      <c r="CH181" s="259"/>
      <c r="CI181" s="259"/>
      <c r="CJ181" s="259"/>
      <c r="CK181" s="259"/>
      <c r="CL181" s="259"/>
      <c r="CM181" s="259"/>
      <c r="CN181" s="259"/>
      <c r="CO181" s="259"/>
      <c r="CR181" s="498"/>
      <c r="CS181" s="498"/>
      <c r="CT181" s="498"/>
      <c r="CU181" s="498"/>
      <c r="CV181" s="498"/>
      <c r="CW181" s="498"/>
      <c r="CX181" s="498"/>
      <c r="CY181" s="498"/>
      <c r="CZ181" s="498"/>
      <c r="DA181" s="498"/>
      <c r="DB181" s="498"/>
      <c r="DC181" s="498"/>
      <c r="DD181" s="498"/>
      <c r="DE181" s="498"/>
      <c r="DF181" s="498"/>
      <c r="DG181" s="498"/>
      <c r="DH181" s="498"/>
      <c r="DI181" s="498"/>
      <c r="DJ181" s="498"/>
      <c r="DK181" s="498"/>
      <c r="DL181" s="498"/>
      <c r="DM181" s="498"/>
      <c r="DN181" s="498"/>
      <c r="DO181" s="498"/>
      <c r="DP181" s="498"/>
      <c r="DQ181" s="498"/>
      <c r="DR181" s="498"/>
      <c r="DS181" s="498"/>
      <c r="DT181" s="498"/>
      <c r="DU181" s="498"/>
      <c r="DV181" s="498"/>
      <c r="DW181" s="498"/>
      <c r="DX181" s="498"/>
      <c r="DY181" s="498"/>
      <c r="DZ181" s="498"/>
      <c r="EA181" s="498"/>
      <c r="EB181" s="498"/>
      <c r="EC181" s="498"/>
      <c r="ED181" s="498"/>
      <c r="EE181" s="498"/>
      <c r="EF181" s="498"/>
      <c r="EG181" s="498"/>
      <c r="EH181" s="498"/>
      <c r="EI181" s="498"/>
      <c r="EJ181" s="498"/>
      <c r="EK181" s="498"/>
      <c r="EL181" s="498"/>
      <c r="EM181" s="498"/>
      <c r="EN181" s="498"/>
      <c r="EO181" s="498"/>
      <c r="EP181" s="498"/>
      <c r="EQ181" s="498"/>
      <c r="ER181" s="498"/>
      <c r="ES181" s="498"/>
      <c r="ET181" s="498"/>
      <c r="EU181" s="498"/>
      <c r="EV181" s="498"/>
      <c r="EW181" s="498"/>
      <c r="EX181" s="498"/>
      <c r="EY181" s="498"/>
      <c r="EZ181" s="498"/>
      <c r="FA181" s="498"/>
      <c r="FB181" s="498"/>
      <c r="FC181" s="498"/>
    </row>
    <row r="182" spans="3:159">
      <c r="C182" s="370" t="s">
        <v>1562</v>
      </c>
      <c r="J182" s="323">
        <f>(J181+J180)/'Income Statement'!H9</f>
        <v>-3.5748962838732454E-2</v>
      </c>
      <c r="K182" s="323">
        <f>(K181+K180)/'Income Statement'!I9</f>
        <v>-4.2946585795343377E-2</v>
      </c>
      <c r="L182" s="323">
        <f>(L181+L180)/'Income Statement'!J9</f>
        <v>-4.2888953432084424E-2</v>
      </c>
      <c r="M182" s="323">
        <f>(M181+M180)/'Income Statement'!K9</f>
        <v>-3.8571975497702908E-2</v>
      </c>
      <c r="N182" s="323">
        <f>(N181+N180)/'Income Statement'!L9</f>
        <v>-3.2156133828996285E-2</v>
      </c>
      <c r="O182" s="323">
        <f>(O181+O180)/'Income Statement'!M9</f>
        <v>-3.6895023858214041E-2</v>
      </c>
      <c r="P182" s="323">
        <f>(P181+P180)/'Income Statement'!N9</f>
        <v>-4.0486725663716812E-2</v>
      </c>
      <c r="Q182" s="323">
        <f>(Q181+Q180)/'Income Statement'!O9</f>
        <v>-5.1033906565480749E-2</v>
      </c>
      <c r="R182" s="323">
        <f>(R181+R180)/'Income Statement'!P9</f>
        <v>-6.3366981439270595E-2</v>
      </c>
      <c r="S182" s="323">
        <f>(S181+S180)/'Income Statement'!Q9</f>
        <v>-6.9312047777650168E-2</v>
      </c>
      <c r="T182" s="323">
        <f>(T181+T180)/'Income Statement'!R9</f>
        <v>-4.340662822381345E-2</v>
      </c>
      <c r="U182" s="323">
        <f>(U181+U180)/'Income Statement'!S9</f>
        <v>-6.0740926471510061E-2</v>
      </c>
      <c r="V182" s="323">
        <f>(V181+V180)/'Income Statement'!T9</f>
        <v>-4.6080760095011879E-2</v>
      </c>
      <c r="W182" s="323">
        <f>(W181+W180)/'Income Statement'!U9</f>
        <v>-3.3969155844155843E-2</v>
      </c>
      <c r="X182" s="323">
        <f>(X181+X180)/'Income Statement'!V9</f>
        <v>-3.1155291550490967E-2</v>
      </c>
      <c r="Y182" s="323">
        <f>(Y181+Y180)/'Income Statement'!W9</f>
        <v>-2.916693976535361E-2</v>
      </c>
      <c r="Z182" s="323">
        <f>(Z181+Z180)/'Income Statement'!X9</f>
        <v>-3.1310743367480957E-2</v>
      </c>
      <c r="AA182" s="323">
        <f>(AA181+AA180)/'Income Statement'!Y9</f>
        <v>-4.31915168757274E-2</v>
      </c>
      <c r="AB182" s="323">
        <f>(AB181+AB180)/'Income Statement'!Z9</f>
        <v>-4.4514404949298973E-2</v>
      </c>
      <c r="AC182" s="323">
        <f>(AC181+AC180)/'Income Statement'!AA9</f>
        <v>-5.5737068977972613E-2</v>
      </c>
      <c r="AD182" s="323">
        <f>(AD181+AD180)/'Income Statement'!AB9</f>
        <v>-4.8925291399913279E-2</v>
      </c>
      <c r="AE182" s="323">
        <f>(AE181+AE180)/'Income Statement'!AC9</f>
        <v>-4.2401823854754446E-2</v>
      </c>
      <c r="AF182" s="323">
        <f>(AF181+AF180)/'Income Statement'!AD9</f>
        <v>-3.6277714744301151E-2</v>
      </c>
      <c r="AG182" s="323">
        <f>(AG181+AG180)/'Income Statement'!AE9</f>
        <v>-3.0655878517585153E-2</v>
      </c>
      <c r="AH182" s="323">
        <f>(AH181+AH180)/'Income Statement'!AF9</f>
        <v>-2.5071211325562295E-2</v>
      </c>
      <c r="AO182" s="338"/>
      <c r="AP182" s="449" t="s">
        <v>1599</v>
      </c>
      <c r="AR182" s="449"/>
      <c r="AS182" s="449"/>
      <c r="BA182" s="498"/>
      <c r="BB182" s="498"/>
      <c r="BC182" s="498"/>
      <c r="BD182" s="498"/>
      <c r="BE182" s="498"/>
      <c r="BF182" s="498"/>
      <c r="BG182" s="498"/>
      <c r="BH182" s="498"/>
      <c r="BI182" s="498"/>
      <c r="BJ182" s="498"/>
      <c r="BK182" s="498"/>
      <c r="BL182" s="498"/>
      <c r="BM182" s="498"/>
      <c r="BN182" s="498"/>
      <c r="BO182" s="498"/>
      <c r="BP182" s="498"/>
      <c r="BQ182" s="498"/>
      <c r="BR182" s="498"/>
      <c r="BS182" s="498"/>
      <c r="BT182" s="498"/>
      <c r="BU182" s="498"/>
      <c r="BV182" s="498"/>
      <c r="BW182" s="498"/>
      <c r="BX182" s="498"/>
      <c r="BY182" s="498"/>
      <c r="BZ182" s="498"/>
      <c r="CA182" s="498"/>
      <c r="CB182" s="498"/>
      <c r="CC182" s="498"/>
      <c r="CD182" s="498"/>
      <c r="CE182" s="498"/>
      <c r="CF182" s="498"/>
      <c r="CG182" s="323"/>
      <c r="CH182" s="323"/>
      <c r="CI182" s="323"/>
      <c r="CJ182" s="323"/>
      <c r="CK182" s="323"/>
      <c r="CL182" s="323"/>
      <c r="CM182" s="323"/>
      <c r="CN182" s="323"/>
      <c r="CO182" s="476"/>
      <c r="CR182" s="498"/>
      <c r="CS182" s="498"/>
      <c r="CT182" s="498"/>
      <c r="CU182" s="498"/>
      <c r="CV182" s="498"/>
      <c r="CW182" s="498"/>
      <c r="CX182" s="498"/>
      <c r="CY182" s="498"/>
      <c r="CZ182" s="498"/>
      <c r="DA182" s="498"/>
      <c r="DB182" s="498"/>
      <c r="DC182" s="498"/>
      <c r="DD182" s="498"/>
      <c r="DE182" s="498"/>
      <c r="DF182" s="498"/>
      <c r="DG182" s="498"/>
      <c r="DH182" s="498"/>
      <c r="DI182" s="498"/>
      <c r="DJ182" s="498"/>
      <c r="DK182" s="498"/>
      <c r="DL182" s="498"/>
      <c r="DM182" s="498"/>
      <c r="DN182" s="498"/>
      <c r="DO182" s="498"/>
      <c r="DP182" s="498"/>
      <c r="DQ182" s="498"/>
      <c r="DR182" s="498"/>
      <c r="DS182" s="498"/>
      <c r="DT182" s="498"/>
      <c r="DU182" s="498"/>
      <c r="DV182" s="498"/>
      <c r="DW182" s="498"/>
      <c r="DX182" s="498"/>
      <c r="DY182" s="498"/>
      <c r="DZ182" s="498"/>
      <c r="EA182" s="498"/>
      <c r="EB182" s="498"/>
      <c r="EC182" s="498"/>
      <c r="ED182" s="498"/>
      <c r="EE182" s="498"/>
      <c r="EF182" s="498"/>
      <c r="EG182" s="498"/>
      <c r="EH182" s="498"/>
      <c r="EI182" s="498"/>
      <c r="EJ182" s="498"/>
      <c r="EK182" s="498"/>
      <c r="EL182" s="498"/>
      <c r="EM182" s="498"/>
      <c r="EN182" s="498"/>
      <c r="EO182" s="498"/>
      <c r="EP182" s="498"/>
      <c r="EQ182" s="498"/>
      <c r="ER182" s="498"/>
      <c r="ES182" s="498"/>
      <c r="ET182" s="498"/>
      <c r="EU182" s="498"/>
      <c r="EV182" s="498"/>
      <c r="EW182" s="498"/>
      <c r="EX182" s="498"/>
      <c r="EY182" s="498"/>
      <c r="EZ182" s="498"/>
      <c r="FA182" s="498"/>
      <c r="FB182" s="498"/>
      <c r="FC182" s="498"/>
    </row>
    <row r="183" spans="3:159">
      <c r="C183" s="261" t="s">
        <v>794</v>
      </c>
      <c r="J183" s="259">
        <f>-'Income Statement'!H185</f>
        <v>-700</v>
      </c>
      <c r="K183" s="259">
        <f>-'Income Statement'!I185</f>
        <v>-785</v>
      </c>
      <c r="L183" s="259">
        <f>-'Income Statement'!J185</f>
        <v>-650</v>
      </c>
      <c r="M183" s="259">
        <f>-'Income Statement'!K185</f>
        <v>-606</v>
      </c>
      <c r="N183" s="259">
        <f>-'Income Statement'!L185</f>
        <v>-565</v>
      </c>
      <c r="O183" s="259">
        <f>-'Income Statement'!M185</f>
        <v>-718</v>
      </c>
      <c r="P183" s="259">
        <f>-'Income Statement'!N185</f>
        <v>-1035</v>
      </c>
      <c r="Q183" s="259">
        <f>-'Income Statement'!O185</f>
        <v>-1223</v>
      </c>
      <c r="R183" s="259">
        <f>-'Income Statement'!P185</f>
        <v>-1313</v>
      </c>
      <c r="S183" s="259">
        <f>-'Income Statement'!Q185</f>
        <v>-1191</v>
      </c>
      <c r="T183" s="259">
        <f>-'Income Statement'!R185</f>
        <v>-967</v>
      </c>
      <c r="U183" s="259">
        <f>-'Income Statement'!S185</f>
        <v>-983</v>
      </c>
      <c r="V183" s="259">
        <f>-'Income Statement'!T185</f>
        <v>-1075</v>
      </c>
      <c r="W183" s="259">
        <f>-'Income Statement'!U185</f>
        <v>-1171</v>
      </c>
      <c r="X183" s="259">
        <f>-'Income Statement'!V185</f>
        <v>-715</v>
      </c>
      <c r="Y183" s="259">
        <f>-'Income Statement'!W185</f>
        <v>-764</v>
      </c>
      <c r="Z183" s="259">
        <f>-'Income Statement'!X185</f>
        <v>-873</v>
      </c>
      <c r="AA183" s="259">
        <f>-'Income Statement'!Y185</f>
        <v>-1061</v>
      </c>
      <c r="AB183" s="259">
        <f>-'Income Statement'!Z185</f>
        <v>-1173</v>
      </c>
      <c r="AC183" s="259">
        <f>-'Income Statement'!AA185</f>
        <v>-1261.4918913922616</v>
      </c>
      <c r="AD183" s="259">
        <f>-'Income Statement'!AB185</f>
        <v>-1407.3166908235639</v>
      </c>
      <c r="AE183" s="259">
        <f>-'Income Statement'!AC185</f>
        <v>-1562.8291951417871</v>
      </c>
      <c r="AF183" s="259">
        <f>-'Income Statement'!AD185</f>
        <v>-1716.6893602570112</v>
      </c>
      <c r="AG183" s="259">
        <f>-'Income Statement'!AE185</f>
        <v>-1826.0718267175744</v>
      </c>
      <c r="AH183" s="259">
        <f>-'Income Statement'!AF185</f>
        <v>-1913.6726815069778</v>
      </c>
      <c r="AO183" s="338"/>
      <c r="AP183" s="449"/>
      <c r="AR183" s="449"/>
      <c r="AS183" s="449"/>
      <c r="BA183" s="498"/>
      <c r="BB183" s="498"/>
      <c r="BC183" s="498"/>
      <c r="BD183" s="498"/>
      <c r="BE183" s="498"/>
      <c r="BF183" s="498"/>
      <c r="BG183" s="498"/>
      <c r="BH183" s="498"/>
      <c r="BI183" s="498"/>
      <c r="BJ183" s="498"/>
      <c r="BK183" s="498"/>
      <c r="BL183" s="498"/>
      <c r="BM183" s="498"/>
      <c r="BN183" s="498"/>
      <c r="BO183" s="498"/>
      <c r="BP183" s="498"/>
      <c r="BQ183" s="498"/>
      <c r="BR183" s="498"/>
      <c r="BS183" s="498"/>
      <c r="BT183" s="498"/>
      <c r="BU183" s="498"/>
      <c r="BV183" s="498"/>
      <c r="BW183" s="498"/>
      <c r="BX183" s="498"/>
      <c r="BY183" s="498"/>
      <c r="BZ183" s="498"/>
      <c r="CA183" s="498"/>
      <c r="CB183" s="498"/>
      <c r="CC183" s="498"/>
      <c r="CD183" s="498"/>
      <c r="CE183" s="498"/>
      <c r="CF183" s="498"/>
      <c r="CG183" s="259"/>
      <c r="CH183" s="259"/>
      <c r="CI183" s="259"/>
      <c r="CJ183" s="259"/>
      <c r="CK183" s="259"/>
      <c r="CL183" s="259"/>
      <c r="CM183" s="259"/>
      <c r="CN183" s="259"/>
      <c r="CO183" s="259"/>
      <c r="CR183" s="498"/>
      <c r="CS183" s="498"/>
      <c r="CT183" s="498"/>
      <c r="CU183" s="498"/>
      <c r="CV183" s="498"/>
      <c r="CW183" s="498"/>
      <c r="CX183" s="498"/>
      <c r="CY183" s="498"/>
      <c r="CZ183" s="498"/>
      <c r="DA183" s="498"/>
      <c r="DB183" s="498"/>
      <c r="DC183" s="498"/>
      <c r="DD183" s="498"/>
      <c r="DE183" s="498"/>
      <c r="DF183" s="498"/>
      <c r="DG183" s="498"/>
      <c r="DH183" s="498"/>
      <c r="DI183" s="498"/>
      <c r="DJ183" s="498"/>
      <c r="DK183" s="498"/>
      <c r="DL183" s="498"/>
      <c r="DM183" s="498"/>
      <c r="DN183" s="498"/>
      <c r="DO183" s="498"/>
      <c r="DP183" s="498"/>
      <c r="DQ183" s="498"/>
      <c r="DR183" s="498"/>
      <c r="DS183" s="498"/>
      <c r="DT183" s="498"/>
      <c r="DU183" s="498"/>
      <c r="DV183" s="498"/>
      <c r="DW183" s="498"/>
      <c r="DX183" s="498"/>
      <c r="DY183" s="498"/>
      <c r="DZ183" s="498"/>
      <c r="EA183" s="498"/>
      <c r="EB183" s="498"/>
      <c r="EC183" s="498"/>
      <c r="ED183" s="498"/>
      <c r="EE183" s="498"/>
      <c r="EF183" s="498"/>
      <c r="EG183" s="498"/>
      <c r="EH183" s="498"/>
      <c r="EI183" s="498"/>
      <c r="EJ183" s="498"/>
      <c r="EK183" s="498"/>
      <c r="EL183" s="498"/>
      <c r="EM183" s="498"/>
      <c r="EN183" s="498"/>
      <c r="EO183" s="498"/>
      <c r="EP183" s="498"/>
      <c r="EQ183" s="498"/>
      <c r="ER183" s="498"/>
      <c r="ES183" s="498"/>
      <c r="ET183" s="498"/>
      <c r="EU183" s="498"/>
      <c r="EV183" s="498"/>
      <c r="EW183" s="498"/>
      <c r="EX183" s="498"/>
      <c r="EY183" s="498"/>
      <c r="EZ183" s="498"/>
      <c r="FA183" s="498"/>
      <c r="FB183" s="498"/>
      <c r="FC183" s="498"/>
    </row>
    <row r="184" spans="3:159">
      <c r="C184" s="261" t="s">
        <v>1071</v>
      </c>
      <c r="J184" s="259">
        <f>-'Balance Sheet'!H74</f>
        <v>102</v>
      </c>
      <c r="K184" s="259">
        <f>-'Balance Sheet'!I74</f>
        <v>293</v>
      </c>
      <c r="L184" s="259">
        <f>-'Balance Sheet'!J74</f>
        <v>672</v>
      </c>
      <c r="M184" s="259">
        <f>-'Balance Sheet'!K74</f>
        <v>-596</v>
      </c>
      <c r="N184" s="259">
        <f>-'Balance Sheet'!L74</f>
        <v>644</v>
      </c>
      <c r="O184" s="259">
        <f>-'Balance Sheet'!M74</f>
        <v>138</v>
      </c>
      <c r="P184" s="259">
        <f>-'Balance Sheet'!N74</f>
        <v>-489</v>
      </c>
      <c r="Q184" s="259">
        <f>-'Balance Sheet'!O74</f>
        <v>307</v>
      </c>
      <c r="R184" s="259">
        <f>-'Balance Sheet'!P74</f>
        <v>1578</v>
      </c>
      <c r="S184" s="259">
        <f>-'Balance Sheet'!Q74</f>
        <v>2583</v>
      </c>
      <c r="T184" s="259">
        <f>-'Balance Sheet'!R74</f>
        <v>592</v>
      </c>
      <c r="U184" s="259">
        <f>-'Balance Sheet'!S74</f>
        <v>-1784</v>
      </c>
      <c r="V184" s="259">
        <f>-'Balance Sheet'!T74</f>
        <v>511</v>
      </c>
      <c r="W184" s="259">
        <f>-'Balance Sheet'!U74</f>
        <v>-1252</v>
      </c>
      <c r="X184" s="259">
        <f>-'Balance Sheet'!V74</f>
        <v>198</v>
      </c>
      <c r="Y184" s="259">
        <f>-'Balance Sheet'!W74</f>
        <v>751</v>
      </c>
      <c r="Z184" s="259">
        <f>-'Balance Sheet'!X74</f>
        <v>5153</v>
      </c>
      <c r="AA184" s="259">
        <f>-'Balance Sheet'!Y74</f>
        <v>-16</v>
      </c>
      <c r="AB184" s="259">
        <f>-'Balance Sheet'!Z74</f>
        <v>4252</v>
      </c>
      <c r="AC184" s="259">
        <f>-'Balance Sheet'!AA74</f>
        <v>-161.96537430693934</v>
      </c>
      <c r="AD184" s="259">
        <f>-'Balance Sheet'!AB74</f>
        <v>-90.30254456280818</v>
      </c>
      <c r="AE184" s="259">
        <f>-'Balance Sheet'!AC74</f>
        <v>-384.2041080944</v>
      </c>
      <c r="AF184" s="259">
        <f>-'Balance Sheet'!AD74</f>
        <v>-793.61175985293812</v>
      </c>
      <c r="AG184" s="259">
        <f>-'Balance Sheet'!AE74</f>
        <v>-628.49693890216804</v>
      </c>
      <c r="AH184" s="259">
        <f>-'Balance Sheet'!AF74</f>
        <v>-789.34234242370076</v>
      </c>
      <c r="AO184" s="338"/>
      <c r="AP184" s="449"/>
      <c r="AR184" s="449"/>
      <c r="AS184" s="449"/>
      <c r="BA184" s="498"/>
      <c r="BB184" s="498"/>
      <c r="BC184" s="498"/>
      <c r="BD184" s="498"/>
      <c r="BE184" s="498"/>
      <c r="BF184" s="498"/>
      <c r="BG184" s="498"/>
      <c r="BH184" s="498"/>
      <c r="BI184" s="498"/>
      <c r="BJ184" s="498"/>
      <c r="BK184" s="498"/>
      <c r="BL184" s="498"/>
      <c r="BM184" s="498"/>
      <c r="BN184" s="498"/>
      <c r="BO184" s="498"/>
      <c r="BP184" s="498"/>
      <c r="BQ184" s="498"/>
      <c r="BR184" s="498"/>
      <c r="BS184" s="498"/>
      <c r="BT184" s="498"/>
      <c r="BU184" s="498"/>
      <c r="BV184" s="498"/>
      <c r="BW184" s="498"/>
      <c r="BX184" s="498"/>
      <c r="BY184" s="498"/>
      <c r="BZ184" s="498"/>
      <c r="CA184" s="498"/>
      <c r="CB184" s="498"/>
      <c r="CC184" s="498"/>
      <c r="CD184" s="498"/>
      <c r="CE184" s="498"/>
      <c r="CF184" s="498"/>
      <c r="CG184" s="259"/>
      <c r="CH184" s="259"/>
      <c r="CI184" s="259"/>
      <c r="CJ184" s="259"/>
      <c r="CK184" s="259"/>
      <c r="CL184" s="259"/>
      <c r="CM184" s="259"/>
      <c r="CN184" s="259"/>
      <c r="CO184" s="259"/>
      <c r="CR184" s="498"/>
      <c r="CS184" s="498"/>
      <c r="CT184" s="498"/>
      <c r="CU184" s="498"/>
      <c r="CV184" s="498"/>
      <c r="CW184" s="498"/>
      <c r="CX184" s="498"/>
      <c r="CY184" s="498"/>
      <c r="CZ184" s="498"/>
      <c r="DA184" s="498"/>
      <c r="DB184" s="498"/>
      <c r="DC184" s="498"/>
      <c r="DD184" s="498"/>
      <c r="DE184" s="498"/>
      <c r="DF184" s="498"/>
      <c r="DG184" s="498"/>
      <c r="DH184" s="498"/>
      <c r="DI184" s="498"/>
      <c r="DJ184" s="498"/>
      <c r="DK184" s="498"/>
      <c r="DL184" s="498"/>
      <c r="DM184" s="498"/>
      <c r="DN184" s="498"/>
      <c r="DO184" s="498"/>
      <c r="DP184" s="498"/>
      <c r="DQ184" s="498"/>
      <c r="DR184" s="498"/>
      <c r="DS184" s="498"/>
      <c r="DT184" s="498"/>
      <c r="DU184" s="498"/>
      <c r="DV184" s="498"/>
      <c r="DW184" s="498"/>
      <c r="DX184" s="498"/>
      <c r="DY184" s="498"/>
      <c r="DZ184" s="498"/>
      <c r="EA184" s="498"/>
      <c r="EB184" s="498"/>
      <c r="EC184" s="498"/>
      <c r="ED184" s="498"/>
      <c r="EE184" s="498"/>
      <c r="EF184" s="498"/>
      <c r="EG184" s="498"/>
      <c r="EH184" s="498"/>
      <c r="EI184" s="498"/>
      <c r="EJ184" s="498"/>
      <c r="EK184" s="498"/>
      <c r="EL184" s="498"/>
      <c r="EM184" s="498"/>
      <c r="EN184" s="498"/>
      <c r="EO184" s="498"/>
      <c r="EP184" s="498"/>
      <c r="EQ184" s="498"/>
      <c r="ER184" s="498"/>
      <c r="ES184" s="498"/>
      <c r="ET184" s="498"/>
      <c r="EU184" s="498"/>
      <c r="EV184" s="498"/>
      <c r="EW184" s="498"/>
      <c r="EX184" s="498"/>
      <c r="EY184" s="498"/>
      <c r="EZ184" s="498"/>
      <c r="FA184" s="498"/>
      <c r="FB184" s="498"/>
      <c r="FC184" s="498"/>
    </row>
    <row r="185" spans="3:159">
      <c r="C185" s="261" t="s">
        <v>1072</v>
      </c>
      <c r="J185" s="259">
        <f>MIN(0,'Cashflow Statement'!H40+'Cashflow Statement'!H39)</f>
        <v>-62</v>
      </c>
      <c r="K185" s="259">
        <f>MIN(0,'Cashflow Statement'!I40+'Cashflow Statement'!I39)</f>
        <v>-62</v>
      </c>
      <c r="L185" s="259">
        <f>MIN(0,'Cashflow Statement'!J40+'Cashflow Statement'!J39)</f>
        <v>0</v>
      </c>
      <c r="M185" s="259">
        <f>MIN(0,'Cashflow Statement'!K40+'Cashflow Statement'!K39)</f>
        <v>0</v>
      </c>
      <c r="N185" s="259">
        <f>MIN(0,'Cashflow Statement'!L40+'Cashflow Statement'!L39)</f>
        <v>0</v>
      </c>
      <c r="O185" s="259">
        <f>MIN(0,'Cashflow Statement'!M40+'Cashflow Statement'!M39)</f>
        <v>-222</v>
      </c>
      <c r="P185" s="259">
        <f>MIN(0,'Cashflow Statement'!N40+'Cashflow Statement'!N39)</f>
        <v>0</v>
      </c>
      <c r="Q185" s="259">
        <f>MIN(0,'Cashflow Statement'!O40+'Cashflow Statement'!O39)</f>
        <v>-102</v>
      </c>
      <c r="R185" s="259">
        <f>MIN(0,'Cashflow Statement'!P40+'Cashflow Statement'!P39)</f>
        <v>-641</v>
      </c>
      <c r="S185" s="259">
        <f>MIN(0,'Cashflow Statement'!Q40+'Cashflow Statement'!Q39)</f>
        <v>-67</v>
      </c>
      <c r="T185" s="259">
        <f>MIN(0,'Cashflow Statement'!R40+'Cashflow Statement'!R39)</f>
        <v>0</v>
      </c>
      <c r="U185" s="259">
        <f>MIN(0,'Cashflow Statement'!S40+'Cashflow Statement'!S39)</f>
        <v>0</v>
      </c>
      <c r="V185" s="259">
        <f>MIN(0,'Cashflow Statement'!T40+'Cashflow Statement'!T39)</f>
        <v>-415</v>
      </c>
      <c r="W185" s="259">
        <f>MIN(0,'Cashflow Statement'!U40+'Cashflow Statement'!U39)</f>
        <v>-851</v>
      </c>
      <c r="X185" s="259">
        <f>MIN(0,'Cashflow Statement'!V40+'Cashflow Statement'!V39)</f>
        <v>0</v>
      </c>
      <c r="Y185" s="259">
        <f>MIN(0,'Cashflow Statement'!W40+'Cashflow Statement'!W39)</f>
        <v>0</v>
      </c>
      <c r="Z185" s="259">
        <f>MIN(0,'Cashflow Statement'!X40+'Cashflow Statement'!X39)</f>
        <v>-144</v>
      </c>
      <c r="AA185" s="259">
        <f>MIN(0,'Cashflow Statement'!Y40+'Cashflow Statement'!Y39)</f>
        <v>-294</v>
      </c>
      <c r="AB185" s="259">
        <f>MIN(0,'Cashflow Statement'!Z40+'Cashflow Statement'!Z39)</f>
        <v>-807</v>
      </c>
      <c r="AC185" s="321">
        <v>0</v>
      </c>
      <c r="AD185" s="321">
        <v>0</v>
      </c>
      <c r="AE185" s="321">
        <v>0</v>
      </c>
      <c r="AF185" s="321">
        <v>0</v>
      </c>
      <c r="AG185" s="321">
        <v>0</v>
      </c>
      <c r="AH185" s="321">
        <v>1</v>
      </c>
      <c r="AO185" s="338"/>
      <c r="AP185" s="449"/>
      <c r="AR185" s="449"/>
      <c r="AS185" s="449"/>
      <c r="BA185" s="498"/>
      <c r="BB185" s="498"/>
      <c r="BC185" s="498"/>
      <c r="BD185" s="498"/>
      <c r="BE185" s="498"/>
      <c r="BF185" s="498"/>
      <c r="BG185" s="498"/>
      <c r="BH185" s="498"/>
      <c r="BI185" s="498"/>
      <c r="BJ185" s="498"/>
      <c r="BK185" s="498"/>
      <c r="BL185" s="498"/>
      <c r="BM185" s="498"/>
      <c r="BN185" s="498"/>
      <c r="BO185" s="498"/>
      <c r="BP185" s="498"/>
      <c r="BQ185" s="498"/>
      <c r="BR185" s="498"/>
      <c r="BS185" s="498"/>
      <c r="BT185" s="498"/>
      <c r="BU185" s="498"/>
      <c r="BV185" s="498"/>
      <c r="BW185" s="498"/>
      <c r="BX185" s="498"/>
      <c r="BY185" s="498"/>
      <c r="BZ185" s="498"/>
      <c r="CA185" s="498"/>
      <c r="CB185" s="498"/>
      <c r="CC185" s="498"/>
      <c r="CD185" s="498"/>
      <c r="CE185" s="498"/>
      <c r="CF185" s="498"/>
      <c r="CG185" s="259"/>
      <c r="CH185" s="259"/>
      <c r="CI185" s="259"/>
      <c r="CJ185" s="259"/>
      <c r="CK185" s="259"/>
      <c r="CL185" s="259"/>
      <c r="CM185" s="259"/>
      <c r="CN185" s="259"/>
      <c r="CO185" s="259"/>
      <c r="CR185" s="498"/>
      <c r="CS185" s="498"/>
      <c r="CT185" s="498"/>
      <c r="CU185" s="498"/>
      <c r="CV185" s="498"/>
      <c r="CW185" s="498"/>
      <c r="CX185" s="498"/>
      <c r="CY185" s="498"/>
      <c r="CZ185" s="498"/>
      <c r="DA185" s="498"/>
      <c r="DB185" s="498"/>
      <c r="DC185" s="498"/>
      <c r="DD185" s="498"/>
      <c r="DE185" s="498"/>
      <c r="DF185" s="498"/>
      <c r="DG185" s="498"/>
      <c r="DH185" s="498"/>
      <c r="DI185" s="498"/>
      <c r="DJ185" s="498"/>
      <c r="DK185" s="498"/>
      <c r="DL185" s="498"/>
      <c r="DM185" s="498"/>
      <c r="DN185" s="498"/>
      <c r="DO185" s="498"/>
      <c r="DP185" s="498"/>
      <c r="DQ185" s="498"/>
      <c r="DR185" s="498"/>
      <c r="DS185" s="498"/>
      <c r="DT185" s="498"/>
      <c r="DU185" s="498"/>
      <c r="DV185" s="498"/>
      <c r="DW185" s="498"/>
      <c r="DX185" s="498"/>
      <c r="DY185" s="498"/>
      <c r="DZ185" s="498"/>
      <c r="EA185" s="498"/>
      <c r="EB185" s="498"/>
      <c r="EC185" s="498"/>
      <c r="ED185" s="498"/>
      <c r="EE185" s="498"/>
      <c r="EF185" s="498"/>
      <c r="EG185" s="498"/>
      <c r="EH185" s="498"/>
      <c r="EI185" s="498"/>
      <c r="EJ185" s="498"/>
      <c r="EK185" s="498"/>
      <c r="EL185" s="498"/>
      <c r="EM185" s="498"/>
      <c r="EN185" s="498"/>
      <c r="EO185" s="498"/>
      <c r="EP185" s="498"/>
      <c r="EQ185" s="498"/>
      <c r="ER185" s="498"/>
      <c r="ES185" s="498"/>
      <c r="ET185" s="498"/>
      <c r="EU185" s="498"/>
      <c r="EV185" s="498"/>
      <c r="EW185" s="498"/>
      <c r="EX185" s="498"/>
      <c r="EY185" s="498"/>
      <c r="EZ185" s="498"/>
      <c r="FA185" s="498"/>
      <c r="FB185" s="498"/>
      <c r="FC185" s="498"/>
    </row>
    <row r="186" spans="3:159">
      <c r="C186" s="261" t="s">
        <v>1073</v>
      </c>
      <c r="J186" s="259">
        <f>'Cashflow Statement'!H35-J174-J176-SUM(J180:J181)</f>
        <v>-262</v>
      </c>
      <c r="K186" s="259">
        <f>'Cashflow Statement'!I35-K174-K176-SUM(K180:K181)</f>
        <v>-260</v>
      </c>
      <c r="L186" s="259">
        <f>'Cashflow Statement'!J35-L174-L176-SUM(L180:L181)</f>
        <v>-131</v>
      </c>
      <c r="M186" s="259">
        <f>'Cashflow Statement'!K35-M174-M176-SUM(M180:M181)</f>
        <v>-191</v>
      </c>
      <c r="N186" s="259">
        <f>'Cashflow Statement'!L35-N174-N176-SUM(N180:N181)</f>
        <v>-231</v>
      </c>
      <c r="O186" s="259">
        <f>'Cashflow Statement'!M35-O174-O176-SUM(O180:O181)</f>
        <v>-290</v>
      </c>
      <c r="P186" s="259">
        <f>'Cashflow Statement'!N35-P174-P176-SUM(P180:P181)</f>
        <v>-590</v>
      </c>
      <c r="Q186" s="259">
        <f>'Cashflow Statement'!O35-Q174-Q176-SUM(Q180:Q181)</f>
        <v>-1082</v>
      </c>
      <c r="R186" s="259">
        <f>'Cashflow Statement'!P35-R174-R176-SUM(R180:R181)</f>
        <v>-714</v>
      </c>
      <c r="S186" s="259">
        <f>'Cashflow Statement'!Q35-S174-S176-SUM(S180:S181)</f>
        <v>-556</v>
      </c>
      <c r="T186" s="259">
        <f>'Cashflow Statement'!R35-T174-T176-SUM(T180:T181)</f>
        <v>-700</v>
      </c>
      <c r="U186" s="259">
        <f>'Cashflow Statement'!S35-U174-U176-SUM(U180:U181)</f>
        <v>741</v>
      </c>
      <c r="V186" s="259">
        <f>'Cashflow Statement'!T35-V174-V176-SUM(V180:V181)</f>
        <v>1648</v>
      </c>
      <c r="W186" s="259">
        <f>'Cashflow Statement'!U35-W174-W176-SUM(W180:W181)</f>
        <v>-239</v>
      </c>
      <c r="X186" s="259">
        <f>'Cashflow Statement'!V35-X174-X176-SUM(X180:X181)</f>
        <v>-264</v>
      </c>
      <c r="Y186" s="259">
        <f>'Cashflow Statement'!W35-Y174-Y176-SUM(Y180:Y181)</f>
        <v>-260</v>
      </c>
      <c r="Z186" s="259">
        <f>'Cashflow Statement'!X35-Z174-Z176-SUM(Z180:Z181)</f>
        <v>-202</v>
      </c>
      <c r="AA186" s="259">
        <f>'Cashflow Statement'!Y35-AA174-AA176-SUM(AA180:AA181)</f>
        <v>-374</v>
      </c>
      <c r="AB186" s="259">
        <f>'Cashflow Statement'!Z35-AB174-AB176-SUM(AB180:AB181)</f>
        <v>-288</v>
      </c>
      <c r="AC186" s="259">
        <f>'Cashflow Statement'!AA35-AC174-AC176-SUM(AC180:AC181)</f>
        <v>-372.17399972721432</v>
      </c>
      <c r="AD186" s="259">
        <f>'Cashflow Statement'!AB35-AD174-AD176-SUM(AD180:AD181)</f>
        <v>-414.49616693622329</v>
      </c>
      <c r="AE186" s="259">
        <f>'Cashflow Statement'!AC35-AE174-AE176-SUM(AE180:AE181)</f>
        <v>-458.32096444250215</v>
      </c>
      <c r="AF186" s="259">
        <f>'Cashflow Statement'!AD35-AF174-AF176-SUM(AF180:AF181)</f>
        <v>-497.10207447145331</v>
      </c>
      <c r="AG186" s="259">
        <f>'Cashflow Statement'!AE35-AG174-AG176-SUM(AG180:AG181)</f>
        <v>-521.51293851649689</v>
      </c>
      <c r="AH186" s="259">
        <f>'Cashflow Statement'!AF35-AH174-AH176-SUM(AH180:AH181)</f>
        <v>-547.75732933678</v>
      </c>
      <c r="AO186" s="338"/>
      <c r="AP186" s="449"/>
      <c r="AR186" s="449"/>
      <c r="AS186" s="449"/>
      <c r="BA186" s="498"/>
      <c r="BB186" s="498"/>
      <c r="BC186" s="498"/>
      <c r="BD186" s="498"/>
      <c r="BE186" s="498"/>
      <c r="BF186" s="498"/>
      <c r="BG186" s="498"/>
      <c r="BH186" s="498"/>
      <c r="BI186" s="498"/>
      <c r="BJ186" s="498"/>
      <c r="BK186" s="498"/>
      <c r="BL186" s="498"/>
      <c r="BM186" s="498"/>
      <c r="BN186" s="498"/>
      <c r="BO186" s="498"/>
      <c r="BP186" s="498"/>
      <c r="BQ186" s="498"/>
      <c r="BR186" s="498"/>
      <c r="BS186" s="498"/>
      <c r="BT186" s="498"/>
      <c r="BU186" s="498"/>
      <c r="BV186" s="498"/>
      <c r="BW186" s="498"/>
      <c r="BX186" s="498"/>
      <c r="BY186" s="498"/>
      <c r="BZ186" s="498"/>
      <c r="CA186" s="498"/>
      <c r="CB186" s="498"/>
      <c r="CC186" s="498"/>
      <c r="CD186" s="498"/>
      <c r="CE186" s="498"/>
      <c r="CF186" s="498"/>
      <c r="CG186" s="259"/>
      <c r="CH186" s="259"/>
      <c r="CI186" s="259"/>
      <c r="CJ186" s="259"/>
      <c r="CK186" s="259"/>
      <c r="CL186" s="259"/>
      <c r="CM186" s="259"/>
      <c r="CN186" s="259"/>
      <c r="CO186" s="259"/>
      <c r="CR186" s="498"/>
      <c r="CS186" s="498"/>
      <c r="CT186" s="498"/>
      <c r="CU186" s="498"/>
      <c r="CV186" s="498"/>
      <c r="CW186" s="498"/>
      <c r="CX186" s="498"/>
      <c r="CY186" s="498"/>
      <c r="CZ186" s="498"/>
      <c r="DA186" s="498"/>
      <c r="DB186" s="498"/>
      <c r="DC186" s="498"/>
      <c r="DD186" s="498"/>
      <c r="DE186" s="498"/>
      <c r="DF186" s="498"/>
      <c r="DG186" s="498"/>
      <c r="DH186" s="498"/>
      <c r="DI186" s="498"/>
      <c r="DJ186" s="498"/>
      <c r="DK186" s="498"/>
      <c r="DL186" s="498"/>
      <c r="DM186" s="498"/>
      <c r="DN186" s="498"/>
      <c r="DO186" s="498"/>
      <c r="DP186" s="498"/>
      <c r="DQ186" s="498"/>
      <c r="DR186" s="498"/>
      <c r="DS186" s="498"/>
      <c r="DT186" s="498"/>
      <c r="DU186" s="498"/>
      <c r="DV186" s="498"/>
      <c r="DW186" s="498"/>
      <c r="DX186" s="498"/>
      <c r="DY186" s="498"/>
      <c r="DZ186" s="498"/>
      <c r="EA186" s="498"/>
      <c r="EB186" s="498"/>
      <c r="EC186" s="498"/>
      <c r="ED186" s="498"/>
      <c r="EE186" s="498"/>
      <c r="EF186" s="498"/>
      <c r="EG186" s="498"/>
      <c r="EH186" s="498"/>
      <c r="EI186" s="498"/>
      <c r="EJ186" s="498"/>
      <c r="EK186" s="498"/>
      <c r="EL186" s="498"/>
      <c r="EM186" s="498"/>
      <c r="EN186" s="498"/>
      <c r="EO186" s="498"/>
      <c r="EP186" s="498"/>
      <c r="EQ186" s="498"/>
      <c r="ER186" s="498"/>
      <c r="ES186" s="498"/>
      <c r="ET186" s="498"/>
      <c r="EU186" s="498"/>
      <c r="EV186" s="498"/>
      <c r="EW186" s="498"/>
      <c r="EX186" s="498"/>
      <c r="EY186" s="498"/>
      <c r="EZ186" s="498"/>
      <c r="FA186" s="498"/>
      <c r="FB186" s="498"/>
      <c r="FC186" s="498"/>
    </row>
    <row r="187" spans="3:159">
      <c r="C187" s="261" t="s">
        <v>1074</v>
      </c>
      <c r="J187" s="260">
        <v>0</v>
      </c>
      <c r="K187" s="260">
        <v>0</v>
      </c>
      <c r="L187" s="260">
        <v>0</v>
      </c>
      <c r="M187" s="260">
        <v>0</v>
      </c>
      <c r="N187" s="260">
        <v>0</v>
      </c>
      <c r="O187" s="260">
        <v>0</v>
      </c>
      <c r="P187" s="260">
        <v>0</v>
      </c>
      <c r="Q187" s="260">
        <v>0</v>
      </c>
      <c r="R187" s="260">
        <v>0</v>
      </c>
      <c r="S187" s="260">
        <v>0</v>
      </c>
      <c r="T187" s="260">
        <v>0</v>
      </c>
      <c r="U187" s="260">
        <v>0</v>
      </c>
      <c r="V187" s="260">
        <v>0</v>
      </c>
      <c r="W187" s="260">
        <v>0</v>
      </c>
      <c r="X187" s="260">
        <v>0</v>
      </c>
      <c r="Y187" s="260">
        <v>0</v>
      </c>
      <c r="Z187" s="260">
        <v>0</v>
      </c>
      <c r="AA187" s="260">
        <v>0</v>
      </c>
      <c r="AB187" s="260">
        <v>0</v>
      </c>
      <c r="AC187" s="260">
        <v>0</v>
      </c>
      <c r="AD187" s="260">
        <v>0</v>
      </c>
      <c r="AE187" s="260">
        <v>0</v>
      </c>
      <c r="AF187" s="260">
        <v>0</v>
      </c>
      <c r="AG187" s="260">
        <v>0</v>
      </c>
      <c r="AH187" s="260">
        <v>1</v>
      </c>
      <c r="AO187" s="338"/>
      <c r="AP187" s="449"/>
      <c r="AR187" s="449"/>
      <c r="AS187" s="449"/>
      <c r="BA187" s="498"/>
      <c r="BB187" s="498"/>
      <c r="BC187" s="498"/>
      <c r="BD187" s="498"/>
      <c r="BE187" s="498"/>
      <c r="BF187" s="498"/>
      <c r="BG187" s="498"/>
      <c r="BH187" s="498"/>
      <c r="BI187" s="498"/>
      <c r="BJ187" s="498"/>
      <c r="BK187" s="498"/>
      <c r="BL187" s="498"/>
      <c r="BM187" s="498"/>
      <c r="BN187" s="498"/>
      <c r="BO187" s="498"/>
      <c r="BP187" s="498"/>
      <c r="BQ187" s="498"/>
      <c r="BR187" s="498"/>
      <c r="BS187" s="498"/>
      <c r="BT187" s="498"/>
      <c r="BU187" s="498"/>
      <c r="BV187" s="498"/>
      <c r="BW187" s="498"/>
      <c r="BX187" s="498"/>
      <c r="BY187" s="498"/>
      <c r="BZ187" s="498"/>
      <c r="CA187" s="498"/>
      <c r="CB187" s="498"/>
      <c r="CC187" s="498"/>
      <c r="CD187" s="498"/>
      <c r="CE187" s="498"/>
      <c r="CF187" s="498"/>
      <c r="CG187" s="260"/>
      <c r="CH187" s="260"/>
      <c r="CI187" s="260"/>
      <c r="CJ187" s="260"/>
      <c r="CK187" s="260"/>
      <c r="CL187" s="260"/>
      <c r="CM187" s="260"/>
      <c r="CN187" s="260"/>
      <c r="CO187" s="260"/>
      <c r="CR187" s="498"/>
      <c r="CS187" s="498"/>
      <c r="CT187" s="498"/>
      <c r="CU187" s="498"/>
      <c r="CV187" s="498"/>
      <c r="CW187" s="498"/>
      <c r="CX187" s="498"/>
      <c r="CY187" s="498"/>
      <c r="CZ187" s="498"/>
      <c r="DA187" s="498"/>
      <c r="DB187" s="498"/>
      <c r="DC187" s="498"/>
      <c r="DD187" s="498"/>
      <c r="DE187" s="498"/>
      <c r="DF187" s="498"/>
      <c r="DG187" s="498"/>
      <c r="DH187" s="498"/>
      <c r="DI187" s="498"/>
      <c r="DJ187" s="498"/>
      <c r="DK187" s="498"/>
      <c r="DL187" s="498"/>
      <c r="DM187" s="498"/>
      <c r="DN187" s="498"/>
      <c r="DO187" s="498"/>
      <c r="DP187" s="498"/>
      <c r="DQ187" s="498"/>
      <c r="DR187" s="498"/>
      <c r="DS187" s="498"/>
      <c r="DT187" s="498"/>
      <c r="DU187" s="498"/>
      <c r="DV187" s="498"/>
      <c r="DW187" s="498"/>
      <c r="DX187" s="498"/>
      <c r="DY187" s="498"/>
      <c r="DZ187" s="498"/>
      <c r="EA187" s="498"/>
      <c r="EB187" s="498"/>
      <c r="EC187" s="498"/>
      <c r="ED187" s="498"/>
      <c r="EE187" s="498"/>
      <c r="EF187" s="498"/>
      <c r="EG187" s="498"/>
      <c r="EH187" s="498"/>
      <c r="EI187" s="498"/>
      <c r="EJ187" s="498"/>
      <c r="EK187" s="498"/>
      <c r="EL187" s="498"/>
      <c r="EM187" s="498"/>
      <c r="EN187" s="498"/>
      <c r="EO187" s="498"/>
      <c r="EP187" s="498"/>
      <c r="EQ187" s="498"/>
      <c r="ER187" s="498"/>
      <c r="ES187" s="498"/>
      <c r="ET187" s="498"/>
      <c r="EU187" s="498"/>
      <c r="EV187" s="498"/>
      <c r="EW187" s="498"/>
      <c r="EX187" s="498"/>
      <c r="EY187" s="498"/>
      <c r="EZ187" s="498"/>
      <c r="FA187" s="498"/>
      <c r="FB187" s="498"/>
      <c r="FC187" s="498"/>
    </row>
    <row r="188" spans="3:159">
      <c r="C188" s="261" t="s">
        <v>1075</v>
      </c>
      <c r="J188" s="259"/>
      <c r="K188" s="259"/>
      <c r="L188" s="259"/>
      <c r="M188" s="259"/>
      <c r="N188" s="259"/>
      <c r="O188" s="259"/>
      <c r="P188" s="259"/>
      <c r="Q188" s="259"/>
      <c r="R188" s="259"/>
      <c r="S188" s="259"/>
      <c r="T188" s="259"/>
      <c r="U188" s="259"/>
      <c r="V188" s="259"/>
      <c r="W188" s="259"/>
      <c r="X188" s="259"/>
      <c r="Y188" s="259"/>
      <c r="Z188" s="259"/>
      <c r="AA188" s="259"/>
      <c r="AB188" s="259"/>
      <c r="AC188" s="457"/>
      <c r="AD188" s="457"/>
      <c r="AE188" s="457"/>
      <c r="AF188" s="457"/>
      <c r="AG188" s="457"/>
      <c r="AH188" s="457"/>
      <c r="AO188" s="338"/>
      <c r="AP188" s="449"/>
      <c r="AR188" s="449"/>
      <c r="AS188" s="449"/>
      <c r="BA188" s="498"/>
      <c r="BB188" s="498"/>
      <c r="BC188" s="498"/>
      <c r="BD188" s="498"/>
      <c r="BE188" s="498"/>
      <c r="BF188" s="498"/>
      <c r="BG188" s="498"/>
      <c r="BH188" s="498"/>
      <c r="BI188" s="498"/>
      <c r="BJ188" s="498"/>
      <c r="BK188" s="498"/>
      <c r="BL188" s="498"/>
      <c r="BM188" s="498"/>
      <c r="BN188" s="498"/>
      <c r="BO188" s="498"/>
      <c r="BP188" s="498"/>
      <c r="BQ188" s="498"/>
      <c r="BR188" s="498"/>
      <c r="BS188" s="498"/>
      <c r="BT188" s="498"/>
      <c r="BU188" s="498"/>
      <c r="BV188" s="498"/>
      <c r="BW188" s="498"/>
      <c r="BX188" s="498"/>
      <c r="BY188" s="498"/>
      <c r="BZ188" s="498"/>
      <c r="CA188" s="498"/>
      <c r="CB188" s="498"/>
      <c r="CC188" s="498"/>
      <c r="CD188" s="498"/>
      <c r="CE188" s="498"/>
      <c r="CF188" s="498"/>
      <c r="CG188" s="259"/>
      <c r="CH188" s="259"/>
      <c r="CI188" s="259"/>
      <c r="CJ188" s="259"/>
      <c r="CK188" s="259"/>
      <c r="CL188" s="259"/>
      <c r="CM188" s="259"/>
      <c r="CN188" s="259"/>
      <c r="CO188" s="259"/>
      <c r="CR188" s="498"/>
      <c r="CS188" s="498"/>
      <c r="CT188" s="498"/>
      <c r="CU188" s="498"/>
      <c r="CV188" s="498"/>
      <c r="CW188" s="498"/>
      <c r="CX188" s="498"/>
      <c r="CY188" s="498"/>
      <c r="CZ188" s="498"/>
      <c r="DA188" s="498"/>
      <c r="DB188" s="498"/>
      <c r="DC188" s="498"/>
      <c r="DD188" s="498"/>
      <c r="DE188" s="498"/>
      <c r="DF188" s="498"/>
      <c r="DG188" s="498"/>
      <c r="DH188" s="498"/>
      <c r="DI188" s="498"/>
      <c r="DJ188" s="498"/>
      <c r="DK188" s="498"/>
      <c r="DL188" s="498"/>
      <c r="DM188" s="498"/>
      <c r="DN188" s="498"/>
      <c r="DO188" s="498"/>
      <c r="DP188" s="498"/>
      <c r="DQ188" s="498"/>
      <c r="DR188" s="498"/>
      <c r="DS188" s="498"/>
      <c r="DT188" s="498"/>
      <c r="DU188" s="498"/>
      <c r="DV188" s="498"/>
      <c r="DW188" s="498"/>
      <c r="DX188" s="498"/>
      <c r="DY188" s="498"/>
      <c r="DZ188" s="498"/>
      <c r="EA188" s="498"/>
      <c r="EB188" s="498"/>
      <c r="EC188" s="498"/>
      <c r="ED188" s="498"/>
      <c r="EE188" s="498"/>
      <c r="EF188" s="498"/>
      <c r="EG188" s="498"/>
      <c r="EH188" s="498"/>
      <c r="EI188" s="498"/>
      <c r="EJ188" s="498"/>
      <c r="EK188" s="498"/>
      <c r="EL188" s="498"/>
      <c r="EM188" s="498"/>
      <c r="EN188" s="498"/>
      <c r="EO188" s="498"/>
      <c r="EP188" s="498"/>
      <c r="EQ188" s="498"/>
      <c r="ER188" s="498"/>
      <c r="ES188" s="498"/>
      <c r="ET188" s="498"/>
      <c r="EU188" s="498"/>
      <c r="EV188" s="498"/>
      <c r="EW188" s="498"/>
      <c r="EX188" s="498"/>
      <c r="EY188" s="498"/>
      <c r="EZ188" s="498"/>
      <c r="FA188" s="498"/>
      <c r="FB188" s="498"/>
      <c r="FC188" s="498"/>
    </row>
    <row r="189" spans="3:159">
      <c r="C189" s="291" t="s">
        <v>776</v>
      </c>
      <c r="J189" s="259">
        <f t="shared" ref="J189:AH189" si="37">J190-SUM(J175:J188)</f>
        <v>151.03574896283874</v>
      </c>
      <c r="K189" s="259">
        <f t="shared" si="37"/>
        <v>18.042946585795335</v>
      </c>
      <c r="L189" s="259">
        <f t="shared" si="37"/>
        <v>796.04288895343211</v>
      </c>
      <c r="M189" s="259">
        <f t="shared" si="37"/>
        <v>1141.0385719754977</v>
      </c>
      <c r="N189" s="259">
        <f t="shared" si="37"/>
        <v>-435.96784386617105</v>
      </c>
      <c r="O189" s="259">
        <f t="shared" si="37"/>
        <v>835.03689502385828</v>
      </c>
      <c r="P189" s="259">
        <f t="shared" si="37"/>
        <v>1272.0404867256636</v>
      </c>
      <c r="Q189" s="259">
        <f t="shared" si="37"/>
        <v>468.05103390656541</v>
      </c>
      <c r="R189" s="259">
        <f t="shared" si="37"/>
        <v>1444.0633669814392</v>
      </c>
      <c r="S189" s="259">
        <f t="shared" si="37"/>
        <v>-160.93068795222234</v>
      </c>
      <c r="T189" s="259">
        <f t="shared" si="37"/>
        <v>922.04340662822381</v>
      </c>
      <c r="U189" s="259">
        <f t="shared" si="37"/>
        <v>1044.0607409264717</v>
      </c>
      <c r="V189" s="259">
        <f t="shared" si="37"/>
        <v>-726.95391923990519</v>
      </c>
      <c r="W189" s="259">
        <f t="shared" si="37"/>
        <v>228.03396915584426</v>
      </c>
      <c r="X189" s="259">
        <f t="shared" si="37"/>
        <v>347.03115529155048</v>
      </c>
      <c r="Y189" s="259">
        <f t="shared" si="37"/>
        <v>225.02916693976545</v>
      </c>
      <c r="Z189" s="259">
        <f t="shared" si="37"/>
        <v>-174.96868925663239</v>
      </c>
      <c r="AA189" s="259">
        <f t="shared" si="37"/>
        <v>-1396.9568084831244</v>
      </c>
      <c r="AB189" s="259">
        <f t="shared" si="37"/>
        <v>-1026.955485595051</v>
      </c>
      <c r="AC189" s="259">
        <f t="shared" si="37"/>
        <v>372.22973679619236</v>
      </c>
      <c r="AD189" s="259">
        <f t="shared" si="37"/>
        <v>414.54509222762317</v>
      </c>
      <c r="AE189" s="259">
        <f t="shared" si="37"/>
        <v>458.36336626635784</v>
      </c>
      <c r="AF189" s="259">
        <f t="shared" si="37"/>
        <v>497.1383521861967</v>
      </c>
      <c r="AG189" s="259">
        <f t="shared" si="37"/>
        <v>1771.5435943950147</v>
      </c>
      <c r="AH189" s="259">
        <f t="shared" si="37"/>
        <v>1793.7824005481057</v>
      </c>
      <c r="AO189" s="338"/>
      <c r="AP189" s="449"/>
      <c r="AR189" s="449"/>
      <c r="AS189" s="449"/>
      <c r="BA189" s="498"/>
      <c r="BB189" s="498"/>
      <c r="BC189" s="498"/>
      <c r="BD189" s="498"/>
      <c r="BE189" s="498"/>
      <c r="BF189" s="498"/>
      <c r="BG189" s="498"/>
      <c r="BH189" s="498"/>
      <c r="BI189" s="498"/>
      <c r="BJ189" s="498"/>
      <c r="BK189" s="498"/>
      <c r="BL189" s="498"/>
      <c r="BM189" s="498"/>
      <c r="BN189" s="498"/>
      <c r="BO189" s="498"/>
      <c r="BP189" s="498"/>
      <c r="BQ189" s="498"/>
      <c r="BR189" s="498"/>
      <c r="BS189" s="498"/>
      <c r="BT189" s="498"/>
      <c r="BU189" s="498"/>
      <c r="BV189" s="498"/>
      <c r="BW189" s="498"/>
      <c r="BX189" s="498"/>
      <c r="BY189" s="498"/>
      <c r="BZ189" s="498"/>
      <c r="CA189" s="498"/>
      <c r="CB189" s="498"/>
      <c r="CC189" s="498"/>
      <c r="CD189" s="498"/>
      <c r="CE189" s="498"/>
      <c r="CF189" s="498"/>
      <c r="CG189" s="259"/>
      <c r="CH189" s="259"/>
      <c r="CI189" s="259"/>
      <c r="CJ189" s="259"/>
      <c r="CK189" s="259"/>
      <c r="CL189" s="259"/>
      <c r="CM189" s="259"/>
      <c r="CN189" s="259"/>
      <c r="CO189" s="259"/>
      <c r="CR189" s="498"/>
      <c r="CS189" s="498"/>
      <c r="CT189" s="498"/>
      <c r="CU189" s="498"/>
      <c r="CV189" s="498"/>
      <c r="CW189" s="498"/>
      <c r="CX189" s="498"/>
      <c r="CY189" s="498"/>
      <c r="CZ189" s="498"/>
      <c r="DA189" s="498"/>
      <c r="DB189" s="498"/>
      <c r="DC189" s="498"/>
      <c r="DD189" s="498"/>
      <c r="DE189" s="498"/>
      <c r="DF189" s="498"/>
      <c r="DG189" s="498"/>
      <c r="DH189" s="498"/>
      <c r="DI189" s="498"/>
      <c r="DJ189" s="498"/>
      <c r="DK189" s="498"/>
      <c r="DL189" s="498"/>
      <c r="DM189" s="498"/>
      <c r="DN189" s="498"/>
      <c r="DO189" s="498"/>
      <c r="DP189" s="498"/>
      <c r="DQ189" s="498"/>
      <c r="DR189" s="498"/>
      <c r="DS189" s="498"/>
      <c r="DT189" s="498"/>
      <c r="DU189" s="498"/>
      <c r="DV189" s="498"/>
      <c r="DW189" s="498"/>
      <c r="DX189" s="498"/>
      <c r="DY189" s="498"/>
      <c r="DZ189" s="498"/>
      <c r="EA189" s="498"/>
      <c r="EB189" s="498"/>
      <c r="EC189" s="498"/>
      <c r="ED189" s="498"/>
      <c r="EE189" s="498"/>
      <c r="EF189" s="498"/>
      <c r="EG189" s="498"/>
      <c r="EH189" s="498"/>
      <c r="EI189" s="498"/>
      <c r="EJ189" s="498"/>
      <c r="EK189" s="498"/>
      <c r="EL189" s="498"/>
      <c r="EM189" s="498"/>
      <c r="EN189" s="498"/>
      <c r="EO189" s="498"/>
      <c r="EP189" s="498"/>
      <c r="EQ189" s="498"/>
      <c r="ER189" s="498"/>
      <c r="ES189" s="498"/>
      <c r="ET189" s="498"/>
      <c r="EU189" s="498"/>
      <c r="EV189" s="498"/>
      <c r="EW189" s="498"/>
      <c r="EX189" s="498"/>
      <c r="EY189" s="498"/>
      <c r="EZ189" s="498"/>
      <c r="FA189" s="498"/>
      <c r="FB189" s="498"/>
      <c r="FC189" s="498"/>
    </row>
    <row r="190" spans="3:159">
      <c r="C190" s="279" t="s">
        <v>792</v>
      </c>
      <c r="D190" s="57"/>
      <c r="E190" s="57"/>
      <c r="F190" s="57"/>
      <c r="G190" s="57"/>
      <c r="H190" s="57"/>
      <c r="I190" s="57"/>
      <c r="J190" s="326">
        <f>'Cashflow Statement'!H51</f>
        <v>-187</v>
      </c>
      <c r="K190" s="326">
        <f>'Cashflow Statement'!I51</f>
        <v>26</v>
      </c>
      <c r="L190" s="326">
        <f>'Cashflow Statement'!J51</f>
        <v>202</v>
      </c>
      <c r="M190" s="326">
        <f>'Cashflow Statement'!K51</f>
        <v>1146</v>
      </c>
      <c r="N190" s="326">
        <f>'Cashflow Statement'!L51</f>
        <v>-30</v>
      </c>
      <c r="O190" s="326">
        <f>'Cashflow Statement'!M51</f>
        <v>-634</v>
      </c>
      <c r="P190" s="326">
        <f>'Cashflow Statement'!N51</f>
        <v>770</v>
      </c>
      <c r="Q190" s="326">
        <f>'Cashflow Statement'!O51</f>
        <v>-502</v>
      </c>
      <c r="R190" s="326">
        <f>'Cashflow Statement'!P51</f>
        <v>62</v>
      </c>
      <c r="S190" s="326">
        <f>'Cashflow Statement'!Q51</f>
        <v>206</v>
      </c>
      <c r="T190" s="326">
        <f>'Cashflow Statement'!R51</f>
        <v>246</v>
      </c>
      <c r="U190" s="326">
        <f>'Cashflow Statement'!S51</f>
        <v>2825</v>
      </c>
      <c r="V190" s="326">
        <f>'Cashflow Statement'!T51</f>
        <v>-2581</v>
      </c>
      <c r="W190" s="326">
        <f>'Cashflow Statement'!U51</f>
        <v>300</v>
      </c>
      <c r="X190" s="326">
        <f>'Cashflow Statement'!V51</f>
        <v>1135</v>
      </c>
      <c r="Y190" s="326">
        <f>'Cashflow Statement'!W51</f>
        <v>1430</v>
      </c>
      <c r="Z190" s="326">
        <f>'Cashflow Statement'!X51</f>
        <v>1442</v>
      </c>
      <c r="AA190" s="326">
        <f>'Cashflow Statement'!Y51</f>
        <v>-10</v>
      </c>
      <c r="AB190" s="326">
        <f>'Cashflow Statement'!Z51</f>
        <v>-188</v>
      </c>
      <c r="AC190" s="326">
        <f>'Cashflow Statement'!AA51</f>
        <v>717.7677021781833</v>
      </c>
      <c r="AD190" s="326">
        <f>'Cashflow Statement'!AB51</f>
        <v>1213.7229303205409</v>
      </c>
      <c r="AE190" s="326">
        <f>'Cashflow Statement'!AC51</f>
        <v>1484.7706419956858</v>
      </c>
      <c r="AF190" s="326">
        <f>'Cashflow Statement'!AD51</f>
        <v>1809.6518058701959</v>
      </c>
      <c r="AG190" s="326">
        <f>'Cashflow Statement'!AE51</f>
        <v>3485.4472509876259</v>
      </c>
      <c r="AH190" s="326">
        <f>'Cashflow Statement'!AF51</f>
        <v>3822.7872266423947</v>
      </c>
      <c r="AO190" s="338"/>
      <c r="AP190" s="449"/>
      <c r="AR190" s="449"/>
      <c r="AS190" s="449"/>
      <c r="BA190" s="498"/>
      <c r="BB190" s="498"/>
      <c r="BC190" s="498"/>
      <c r="BD190" s="498"/>
      <c r="BE190" s="498"/>
      <c r="BF190" s="498"/>
      <c r="BG190" s="498"/>
      <c r="BH190" s="498"/>
      <c r="BI190" s="498"/>
      <c r="BJ190" s="498"/>
      <c r="BK190" s="498"/>
      <c r="BL190" s="498"/>
      <c r="BM190" s="498"/>
      <c r="BN190" s="498"/>
      <c r="BO190" s="498"/>
      <c r="BP190" s="498"/>
      <c r="BQ190" s="498"/>
      <c r="BR190" s="498"/>
      <c r="BS190" s="498"/>
      <c r="BT190" s="498"/>
      <c r="BU190" s="498"/>
      <c r="BV190" s="498"/>
      <c r="BW190" s="498"/>
      <c r="BX190" s="498"/>
      <c r="BY190" s="498"/>
      <c r="BZ190" s="498"/>
      <c r="CA190" s="498"/>
      <c r="CB190" s="498"/>
      <c r="CC190" s="498"/>
      <c r="CD190" s="498"/>
      <c r="CE190" s="498"/>
      <c r="CF190" s="498"/>
      <c r="CG190" s="326"/>
      <c r="CH190" s="326"/>
      <c r="CI190" s="326"/>
      <c r="CJ190" s="326"/>
      <c r="CK190" s="326"/>
      <c r="CL190" s="326"/>
      <c r="CM190" s="326"/>
      <c r="CN190" s="326"/>
      <c r="CO190" s="326"/>
      <c r="CR190" s="498"/>
      <c r="CS190" s="498"/>
      <c r="CT190" s="498"/>
      <c r="CU190" s="498"/>
      <c r="CV190" s="498"/>
      <c r="CW190" s="498"/>
      <c r="CX190" s="498"/>
      <c r="CY190" s="498"/>
      <c r="CZ190" s="498"/>
      <c r="DA190" s="498"/>
      <c r="DB190" s="498"/>
      <c r="DC190" s="498"/>
      <c r="DD190" s="498"/>
      <c r="DE190" s="498"/>
      <c r="DF190" s="498"/>
      <c r="DG190" s="498"/>
      <c r="DH190" s="498"/>
      <c r="DI190" s="498"/>
      <c r="DJ190" s="498"/>
      <c r="DK190" s="498"/>
      <c r="DL190" s="498"/>
      <c r="DM190" s="498"/>
      <c r="DN190" s="498"/>
      <c r="DO190" s="498"/>
      <c r="DP190" s="498"/>
      <c r="DQ190" s="498"/>
      <c r="DR190" s="498"/>
      <c r="DS190" s="498"/>
      <c r="DT190" s="498"/>
      <c r="DU190" s="498"/>
      <c r="DV190" s="498"/>
      <c r="DW190" s="498"/>
      <c r="DX190" s="498"/>
      <c r="DY190" s="498"/>
      <c r="DZ190" s="498"/>
      <c r="EA190" s="498"/>
      <c r="EB190" s="498"/>
      <c r="EC190" s="498"/>
      <c r="ED190" s="498"/>
      <c r="EE190" s="498"/>
      <c r="EF190" s="498"/>
      <c r="EG190" s="498"/>
      <c r="EH190" s="498"/>
      <c r="EI190" s="498"/>
      <c r="EJ190" s="498"/>
      <c r="EK190" s="498"/>
      <c r="EL190" s="498"/>
      <c r="EM190" s="498"/>
      <c r="EN190" s="498"/>
      <c r="EO190" s="498"/>
      <c r="EP190" s="498"/>
      <c r="EQ190" s="498"/>
      <c r="ER190" s="498"/>
      <c r="ES190" s="498"/>
      <c r="ET190" s="498"/>
      <c r="EU190" s="498"/>
      <c r="EV190" s="498"/>
      <c r="EW190" s="498"/>
      <c r="EX190" s="498"/>
      <c r="EY190" s="498"/>
      <c r="EZ190" s="498"/>
      <c r="FA190" s="498"/>
      <c r="FB190" s="498"/>
      <c r="FC190" s="498"/>
    </row>
    <row r="191" spans="3:159">
      <c r="C191" s="19" t="s">
        <v>1076</v>
      </c>
      <c r="J191" s="319">
        <f>'Balance Sheet'!H93</f>
        <v>0</v>
      </c>
      <c r="K191" s="319">
        <f>'Balance Sheet'!I93</f>
        <v>-759</v>
      </c>
      <c r="L191" s="319">
        <f>'Balance Sheet'!J93</f>
        <v>-1333</v>
      </c>
      <c r="M191" s="319">
        <f>'Balance Sheet'!K93</f>
        <v>-1191</v>
      </c>
      <c r="N191" s="319">
        <f>'Balance Sheet'!L93</f>
        <v>-690</v>
      </c>
      <c r="O191" s="319">
        <f>'Balance Sheet'!M93</f>
        <v>-1696</v>
      </c>
      <c r="P191" s="319">
        <f>'Balance Sheet'!N93</f>
        <v>-1652</v>
      </c>
      <c r="Q191" s="319">
        <f>'Balance Sheet'!O93</f>
        <v>-1859</v>
      </c>
      <c r="R191" s="319">
        <f>'Balance Sheet'!P93</f>
        <v>-2245</v>
      </c>
      <c r="S191" s="319">
        <f>'Balance Sheet'!Q93</f>
        <v>-1491</v>
      </c>
      <c r="T191" s="319">
        <f>'Balance Sheet'!R93</f>
        <v>-2110</v>
      </c>
      <c r="U191" s="319">
        <f>'Balance Sheet'!S93</f>
        <v>-291</v>
      </c>
      <c r="V191" s="319">
        <f>'Balance Sheet'!T93</f>
        <v>-3860</v>
      </c>
      <c r="W191" s="319">
        <f>'Balance Sheet'!U93</f>
        <v>-4652</v>
      </c>
      <c r="X191" s="319">
        <f>'Balance Sheet'!V93</f>
        <v>-3270</v>
      </c>
      <c r="Y191" s="319">
        <f>'Balance Sheet'!W93</f>
        <v>-1894</v>
      </c>
      <c r="Z191" s="319">
        <f>'Balance Sheet'!X93</f>
        <v>-270</v>
      </c>
      <c r="AA191" s="319">
        <f>'Balance Sheet'!Y93</f>
        <v>85</v>
      </c>
      <c r="AB191" s="319">
        <f>'Balance Sheet'!Z93</f>
        <v>1451</v>
      </c>
      <c r="AC191" s="319">
        <f>'Balance Sheet'!AA93</f>
        <v>2168.7677021781838</v>
      </c>
      <c r="AD191" s="319">
        <f>'Balance Sheet'!AB93</f>
        <v>3382.4906324987242</v>
      </c>
      <c r="AE191" s="319">
        <f>'Balance Sheet'!AC93</f>
        <v>4867.261274494409</v>
      </c>
      <c r="AF191" s="319">
        <f>'Balance Sheet'!AD93</f>
        <v>6676.913080364604</v>
      </c>
      <c r="AG191" s="319">
        <f>'Balance Sheet'!AE93</f>
        <v>10162.360331352229</v>
      </c>
      <c r="AH191" s="319">
        <f>'Balance Sheet'!AF93</f>
        <v>13985.147557994624</v>
      </c>
      <c r="AO191" s="338"/>
      <c r="AP191" s="449"/>
      <c r="AR191" s="449"/>
      <c r="AS191" s="449"/>
      <c r="BA191" s="498"/>
      <c r="BB191" s="498"/>
      <c r="BC191" s="498"/>
      <c r="BD191" s="498"/>
      <c r="BE191" s="498"/>
      <c r="BF191" s="498"/>
      <c r="BG191" s="498"/>
      <c r="BH191" s="498"/>
      <c r="BI191" s="498"/>
      <c r="BJ191" s="498"/>
      <c r="BK191" s="498"/>
      <c r="BL191" s="498"/>
      <c r="BM191" s="498"/>
      <c r="BN191" s="498"/>
      <c r="BO191" s="498"/>
      <c r="BP191" s="498"/>
      <c r="BQ191" s="498"/>
      <c r="BR191" s="498"/>
      <c r="BS191" s="498"/>
      <c r="BT191" s="498"/>
      <c r="BU191" s="498"/>
      <c r="BV191" s="498"/>
      <c r="BW191" s="498"/>
      <c r="BX191" s="498"/>
      <c r="BY191" s="498"/>
      <c r="BZ191" s="498"/>
      <c r="CA191" s="498"/>
      <c r="CB191" s="498"/>
      <c r="CC191" s="498"/>
      <c r="CD191" s="498"/>
      <c r="CE191" s="498"/>
      <c r="CF191" s="498"/>
      <c r="CG191" s="319"/>
      <c r="CH191" s="319"/>
      <c r="CI191" s="319"/>
      <c r="CJ191" s="319"/>
      <c r="CK191" s="319"/>
      <c r="CL191" s="319"/>
      <c r="CM191" s="319"/>
      <c r="CN191" s="319"/>
      <c r="CO191" s="259"/>
      <c r="CR191" s="498"/>
      <c r="CS191" s="498"/>
      <c r="CT191" s="498"/>
      <c r="CU191" s="498"/>
      <c r="CV191" s="498"/>
      <c r="CW191" s="498"/>
      <c r="CX191" s="498"/>
      <c r="CY191" s="498"/>
      <c r="CZ191" s="498"/>
      <c r="DA191" s="498"/>
      <c r="DB191" s="498"/>
      <c r="DC191" s="498"/>
      <c r="DD191" s="498"/>
      <c r="DE191" s="498"/>
      <c r="DF191" s="498"/>
      <c r="DG191" s="498"/>
      <c r="DH191" s="498"/>
      <c r="DI191" s="498"/>
      <c r="DJ191" s="498"/>
      <c r="DK191" s="498"/>
      <c r="DL191" s="498"/>
      <c r="DM191" s="498"/>
      <c r="DN191" s="498"/>
      <c r="DO191" s="498"/>
      <c r="DP191" s="498"/>
      <c r="DQ191" s="498"/>
      <c r="DR191" s="498"/>
      <c r="DS191" s="498"/>
      <c r="DT191" s="498"/>
      <c r="DU191" s="498"/>
      <c r="DV191" s="498"/>
      <c r="DW191" s="498"/>
      <c r="DX191" s="498"/>
      <c r="DY191" s="498"/>
      <c r="DZ191" s="498"/>
      <c r="EA191" s="498"/>
      <c r="EB191" s="498"/>
      <c r="EC191" s="498"/>
      <c r="ED191" s="498"/>
      <c r="EE191" s="498"/>
      <c r="EF191" s="498"/>
      <c r="EG191" s="498"/>
      <c r="EH191" s="498"/>
      <c r="EI191" s="498"/>
      <c r="EJ191" s="498"/>
      <c r="EK191" s="498"/>
      <c r="EL191" s="498"/>
      <c r="EM191" s="498"/>
      <c r="EN191" s="498"/>
      <c r="EO191" s="498"/>
      <c r="EP191" s="498"/>
      <c r="EQ191" s="498"/>
      <c r="ER191" s="498"/>
      <c r="ES191" s="498"/>
      <c r="ET191" s="498"/>
      <c r="EU191" s="498"/>
      <c r="EV191" s="498"/>
      <c r="EW191" s="498"/>
      <c r="EX191" s="498"/>
      <c r="EY191" s="498"/>
      <c r="EZ191" s="498"/>
      <c r="FA191" s="498"/>
      <c r="FB191" s="498"/>
      <c r="FC191" s="498"/>
    </row>
    <row r="192" spans="3:159">
      <c r="C192" s="263" t="s">
        <v>1166</v>
      </c>
      <c r="J192" s="263"/>
      <c r="K192" s="263"/>
      <c r="L192" s="263"/>
      <c r="M192" s="263"/>
      <c r="N192" s="263"/>
      <c r="O192" s="263"/>
      <c r="P192" s="263"/>
      <c r="Q192" s="263"/>
      <c r="R192" s="263"/>
      <c r="S192" s="263"/>
      <c r="T192" s="263"/>
      <c r="U192" s="319">
        <f>'Balance Sheet'!S23</f>
        <v>4914</v>
      </c>
      <c r="V192" s="319">
        <f>'Balance Sheet'!T23</f>
        <v>2330</v>
      </c>
      <c r="W192" s="319">
        <f>'Balance Sheet'!U23</f>
        <v>2632</v>
      </c>
      <c r="X192" s="319">
        <f>'Balance Sheet'!V23</f>
        <v>3747</v>
      </c>
      <c r="Y192" s="319">
        <f>'Balance Sheet'!W23</f>
        <v>5247</v>
      </c>
      <c r="Z192" s="319">
        <f>'Balance Sheet'!X23</f>
        <v>6687</v>
      </c>
      <c r="AA192" s="319">
        <f>'Balance Sheet'!Y23</f>
        <v>6676</v>
      </c>
      <c r="AB192" s="319">
        <f>'Balance Sheet'!Z23</f>
        <v>6514</v>
      </c>
      <c r="AC192" s="319">
        <f>'Balance Sheet'!AA23</f>
        <v>7231.7677021781838</v>
      </c>
      <c r="AD192" s="319">
        <f>'Balance Sheet'!AB23</f>
        <v>8445.4906324987242</v>
      </c>
      <c r="AE192" s="319">
        <f>'Balance Sheet'!AC23</f>
        <v>9930.261274494409</v>
      </c>
      <c r="AF192" s="319">
        <f>'Balance Sheet'!AD23</f>
        <v>11739.913080364604</v>
      </c>
      <c r="AG192" s="319">
        <f>'Balance Sheet'!AE23</f>
        <v>15225.360331352229</v>
      </c>
      <c r="AH192" s="319">
        <f>'Balance Sheet'!AF23</f>
        <v>19048.147557994624</v>
      </c>
      <c r="AO192" s="338"/>
      <c r="AP192" s="449"/>
      <c r="AR192" s="449"/>
      <c r="AS192" s="449"/>
      <c r="BA192" s="498"/>
      <c r="BB192" s="498"/>
      <c r="BC192" s="498"/>
      <c r="BD192" s="498"/>
      <c r="BE192" s="498"/>
      <c r="BF192" s="498"/>
      <c r="BG192" s="498"/>
      <c r="BH192" s="498"/>
      <c r="BI192" s="498"/>
      <c r="BJ192" s="498"/>
      <c r="BK192" s="498"/>
      <c r="BL192" s="498"/>
      <c r="BM192" s="498"/>
      <c r="BN192" s="498"/>
      <c r="BO192" s="498"/>
      <c r="BP192" s="498"/>
      <c r="BQ192" s="498"/>
      <c r="BR192" s="498"/>
      <c r="BS192" s="498"/>
      <c r="BT192" s="498"/>
      <c r="BU192" s="498"/>
      <c r="BV192" s="498"/>
      <c r="BW192" s="498"/>
      <c r="BX192" s="498"/>
      <c r="BY192" s="498"/>
      <c r="BZ192" s="498"/>
      <c r="CA192" s="498"/>
      <c r="CB192" s="498"/>
      <c r="CC192" s="498"/>
      <c r="CD192" s="498"/>
      <c r="CE192" s="498"/>
      <c r="CF192" s="498"/>
      <c r="CG192" s="319"/>
      <c r="CH192" s="319"/>
      <c r="CI192" s="319"/>
      <c r="CJ192" s="319"/>
      <c r="CK192" s="319"/>
      <c r="CL192" s="319"/>
      <c r="CM192" s="319"/>
      <c r="CN192" s="319"/>
      <c r="CO192" s="259"/>
      <c r="CR192" s="498"/>
      <c r="CS192" s="498"/>
      <c r="CT192" s="498"/>
      <c r="CU192" s="498"/>
      <c r="CV192" s="498"/>
      <c r="CW192" s="498"/>
      <c r="CX192" s="498"/>
      <c r="CY192" s="498"/>
      <c r="CZ192" s="498"/>
      <c r="DA192" s="498"/>
      <c r="DB192" s="498"/>
      <c r="DC192" s="498"/>
      <c r="DD192" s="498"/>
      <c r="DE192" s="498"/>
      <c r="DF192" s="498"/>
      <c r="DG192" s="498"/>
      <c r="DH192" s="498"/>
      <c r="DI192" s="498"/>
      <c r="DJ192" s="498"/>
      <c r="DK192" s="498"/>
      <c r="DL192" s="498"/>
      <c r="DM192" s="498"/>
      <c r="DN192" s="498"/>
      <c r="DO192" s="498"/>
      <c r="DP192" s="498"/>
      <c r="DQ192" s="498"/>
      <c r="DR192" s="498"/>
      <c r="DS192" s="498"/>
      <c r="DT192" s="498"/>
      <c r="DU192" s="498"/>
      <c r="DV192" s="498"/>
      <c r="DW192" s="498"/>
      <c r="DX192" s="498"/>
      <c r="DY192" s="498"/>
      <c r="DZ192" s="498"/>
      <c r="EA192" s="498"/>
      <c r="EB192" s="498"/>
      <c r="EC192" s="498"/>
      <c r="ED192" s="498"/>
      <c r="EE192" s="498"/>
      <c r="EF192" s="498"/>
      <c r="EG192" s="498"/>
      <c r="EH192" s="498"/>
      <c r="EI192" s="498"/>
      <c r="EJ192" s="498"/>
      <c r="EK192" s="498"/>
      <c r="EL192" s="498"/>
      <c r="EM192" s="498"/>
      <c r="EN192" s="498"/>
      <c r="EO192" s="498"/>
      <c r="EP192" s="498"/>
      <c r="EQ192" s="498"/>
      <c r="ER192" s="498"/>
      <c r="ES192" s="498"/>
      <c r="ET192" s="498"/>
      <c r="EU192" s="498"/>
      <c r="EV192" s="498"/>
      <c r="EW192" s="498"/>
      <c r="EX192" s="498"/>
      <c r="EY192" s="498"/>
      <c r="EZ192" s="498"/>
      <c r="FA192" s="498"/>
      <c r="FB192" s="498"/>
      <c r="FC192" s="498"/>
    </row>
    <row r="193" spans="3:159">
      <c r="C193" s="263"/>
      <c r="J193" s="263"/>
      <c r="K193" s="263"/>
      <c r="L193" s="263"/>
      <c r="M193" s="263"/>
      <c r="N193" s="263"/>
      <c r="O193" s="263"/>
      <c r="P193" s="263"/>
      <c r="Q193" s="263"/>
      <c r="R193" s="263"/>
      <c r="S193" s="263"/>
      <c r="T193" s="263"/>
      <c r="U193" s="319"/>
      <c r="V193" s="319"/>
      <c r="W193" s="319"/>
      <c r="X193" s="319"/>
      <c r="Y193" s="319"/>
      <c r="Z193" s="319"/>
      <c r="AA193" s="319"/>
      <c r="AB193" s="319"/>
      <c r="AC193" s="319"/>
      <c r="AD193" s="319"/>
      <c r="AE193" s="319"/>
      <c r="AF193" s="319"/>
      <c r="AG193" s="319"/>
      <c r="AH193" s="319"/>
      <c r="AO193" s="338"/>
      <c r="AP193" s="449"/>
      <c r="AR193" s="449"/>
      <c r="AS193" s="449"/>
      <c r="BA193" s="319"/>
      <c r="BB193" s="319"/>
      <c r="BC193" s="319"/>
      <c r="BD193" s="319"/>
      <c r="BE193" s="319"/>
      <c r="BF193" s="319"/>
      <c r="BG193" s="319"/>
      <c r="BH193" s="319"/>
      <c r="BI193" s="319"/>
      <c r="BJ193" s="319"/>
      <c r="BK193" s="319"/>
      <c r="BL193" s="319"/>
      <c r="BM193" s="319"/>
      <c r="BN193" s="319"/>
      <c r="BO193" s="319"/>
      <c r="BP193" s="319"/>
      <c r="BQ193" s="319"/>
      <c r="BR193" s="319"/>
      <c r="BS193" s="319"/>
      <c r="BT193" s="319"/>
      <c r="BU193" s="319"/>
      <c r="BV193" s="319"/>
      <c r="BW193" s="319"/>
      <c r="BX193" s="319"/>
      <c r="BY193" s="319"/>
      <c r="BZ193" s="319"/>
      <c r="CA193" s="319"/>
      <c r="CB193" s="319"/>
      <c r="CC193" s="319"/>
      <c r="CD193" s="319"/>
      <c r="CE193" s="319"/>
      <c r="CF193" s="319"/>
      <c r="CG193" s="319"/>
      <c r="CH193" s="319"/>
      <c r="CI193" s="319"/>
      <c r="CJ193" s="319"/>
      <c r="CK193" s="319"/>
      <c r="CL193" s="319"/>
      <c r="CM193" s="319"/>
      <c r="CN193" s="319"/>
      <c r="CO193" s="259"/>
      <c r="CR193" s="319"/>
      <c r="CS193" s="319"/>
      <c r="CT193" s="319"/>
      <c r="CU193" s="319"/>
      <c r="CV193" s="319"/>
      <c r="CW193" s="319"/>
      <c r="CX193" s="319"/>
      <c r="CY193" s="319"/>
      <c r="CZ193" s="319"/>
      <c r="DA193" s="319"/>
      <c r="DB193" s="319"/>
      <c r="DC193" s="319"/>
      <c r="DD193" s="319"/>
      <c r="DE193" s="319"/>
      <c r="DF193" s="319"/>
      <c r="DG193" s="319"/>
      <c r="DH193" s="319"/>
      <c r="DI193" s="319"/>
      <c r="DJ193" s="319"/>
      <c r="DK193" s="319"/>
      <c r="DL193" s="319"/>
      <c r="DM193" s="319"/>
      <c r="DN193" s="319"/>
      <c r="DO193" s="319"/>
      <c r="DP193" s="319"/>
      <c r="DQ193" s="319"/>
      <c r="DR193" s="319"/>
      <c r="DS193" s="319"/>
      <c r="DT193" s="319"/>
      <c r="DU193" s="319"/>
      <c r="DV193" s="319"/>
      <c r="DW193" s="319"/>
      <c r="DX193" s="319"/>
      <c r="DY193" s="319"/>
      <c r="DZ193" s="319"/>
      <c r="EA193" s="319"/>
      <c r="EB193" s="319"/>
      <c r="EC193" s="319"/>
      <c r="ED193" s="319"/>
      <c r="EE193" s="319"/>
      <c r="EF193" s="319"/>
      <c r="EG193" s="319"/>
      <c r="EH193" s="319"/>
      <c r="EI193" s="319"/>
      <c r="EJ193" s="319"/>
      <c r="EK193" s="319"/>
      <c r="EL193" s="319"/>
      <c r="EM193" s="319"/>
      <c r="EN193" s="319"/>
      <c r="EO193" s="319"/>
      <c r="EP193" s="319"/>
      <c r="EQ193" s="319"/>
      <c r="ER193" s="319"/>
      <c r="ES193" s="319"/>
      <c r="ET193" s="319"/>
      <c r="EU193" s="319"/>
      <c r="EV193" s="319"/>
      <c r="EW193" s="319"/>
      <c r="EX193" s="319"/>
      <c r="EY193" s="319"/>
      <c r="EZ193" s="319"/>
      <c r="FA193" s="319"/>
      <c r="FB193" s="319"/>
      <c r="FC193" s="319"/>
    </row>
    <row r="194" spans="3:159">
      <c r="C194" s="306" t="s">
        <v>1567</v>
      </c>
      <c r="D194" s="307"/>
      <c r="E194" s="307"/>
      <c r="F194" s="307"/>
      <c r="G194" s="307"/>
      <c r="H194" s="307"/>
      <c r="I194" s="307"/>
      <c r="J194" s="307"/>
      <c r="K194" s="307"/>
      <c r="L194" s="307"/>
      <c r="M194" s="307"/>
      <c r="N194" s="307"/>
      <c r="O194" s="308"/>
      <c r="P194" s="308"/>
      <c r="Q194" s="308"/>
      <c r="R194" s="308"/>
      <c r="S194" s="308"/>
      <c r="T194" s="308"/>
      <c r="U194" s="308"/>
      <c r="V194" s="308"/>
      <c r="W194" s="308"/>
      <c r="X194" s="308"/>
      <c r="Y194" s="308"/>
      <c r="Z194" s="308"/>
      <c r="AA194" s="308"/>
      <c r="AB194" s="308"/>
      <c r="AC194" s="308"/>
      <c r="AD194" s="308"/>
      <c r="AE194" s="308"/>
      <c r="AF194" s="308"/>
      <c r="AG194" s="308"/>
      <c r="AH194" s="308"/>
      <c r="AO194" s="338"/>
      <c r="AP194" s="449"/>
      <c r="AR194" s="449"/>
      <c r="AS194" s="449"/>
      <c r="BA194" s="308"/>
      <c r="BB194" s="308"/>
      <c r="BC194" s="308"/>
      <c r="BD194" s="308"/>
      <c r="BE194" s="308"/>
      <c r="BF194" s="308"/>
      <c r="BG194" s="308"/>
      <c r="BH194" s="308"/>
      <c r="BI194" s="308"/>
      <c r="BJ194" s="308"/>
      <c r="BK194" s="308"/>
      <c r="BL194" s="308"/>
      <c r="BM194" s="308"/>
      <c r="BN194" s="308"/>
      <c r="BO194" s="308"/>
      <c r="BP194" s="308"/>
      <c r="BQ194" s="308"/>
      <c r="BR194" s="308"/>
      <c r="BS194" s="308"/>
      <c r="BT194" s="308"/>
      <c r="BU194" s="308"/>
      <c r="BV194" s="308"/>
      <c r="BW194" s="308"/>
      <c r="BX194" s="308"/>
      <c r="BY194" s="308"/>
      <c r="BZ194" s="308"/>
      <c r="CA194" s="308"/>
      <c r="CB194" s="308"/>
      <c r="CC194" s="308"/>
      <c r="CD194" s="308"/>
      <c r="CE194" s="308"/>
      <c r="CF194" s="308"/>
      <c r="CG194" s="308"/>
      <c r="CH194" s="308"/>
      <c r="CI194" s="308"/>
      <c r="CJ194" s="308"/>
      <c r="CK194" s="308"/>
      <c r="CL194" s="308"/>
      <c r="CM194" s="308"/>
      <c r="CN194" s="308"/>
      <c r="CO194" s="339"/>
      <c r="CR194" s="308"/>
      <c r="CS194" s="308"/>
      <c r="CT194" s="308"/>
      <c r="CU194" s="308"/>
      <c r="CV194" s="308"/>
      <c r="CW194" s="308"/>
      <c r="CX194" s="308"/>
      <c r="CY194" s="308"/>
      <c r="CZ194" s="308"/>
      <c r="DA194" s="308"/>
      <c r="DB194" s="308"/>
      <c r="DC194" s="308"/>
      <c r="DD194" s="308"/>
      <c r="DE194" s="308"/>
      <c r="DF194" s="308"/>
      <c r="DG194" s="308"/>
      <c r="DH194" s="308"/>
      <c r="DI194" s="308"/>
      <c r="DJ194" s="308"/>
      <c r="DK194" s="308"/>
      <c r="DL194" s="308"/>
      <c r="DM194" s="308"/>
      <c r="DN194" s="308"/>
      <c r="DO194" s="308"/>
      <c r="DP194" s="308"/>
      <c r="DQ194" s="308"/>
      <c r="DR194" s="308"/>
      <c r="DS194" s="308"/>
      <c r="DT194" s="308"/>
      <c r="DU194" s="308"/>
      <c r="DV194" s="308"/>
      <c r="DW194" s="308"/>
      <c r="DX194" s="308"/>
      <c r="DY194" s="308"/>
      <c r="DZ194" s="308"/>
      <c r="EA194" s="308"/>
      <c r="EB194" s="308"/>
      <c r="EC194" s="308"/>
      <c r="ED194" s="308"/>
      <c r="EE194" s="308"/>
      <c r="EF194" s="308"/>
      <c r="EG194" s="308"/>
      <c r="EH194" s="308"/>
      <c r="EI194" s="308"/>
      <c r="EJ194" s="308"/>
      <c r="EK194" s="308"/>
      <c r="EL194" s="308"/>
      <c r="EM194" s="308"/>
      <c r="EN194" s="308"/>
      <c r="EO194" s="308"/>
      <c r="EP194" s="308"/>
      <c r="EQ194" s="308"/>
      <c r="ER194" s="308"/>
      <c r="ES194" s="308"/>
      <c r="ET194" s="308"/>
      <c r="EU194" s="308"/>
      <c r="EV194" s="308"/>
      <c r="EW194" s="308"/>
      <c r="EX194" s="308"/>
      <c r="EY194" s="308"/>
      <c r="EZ194" s="308"/>
      <c r="FA194" s="308"/>
      <c r="FB194" s="308"/>
      <c r="FC194" s="308"/>
    </row>
    <row r="195" spans="3:159">
      <c r="C195" s="331" t="s">
        <v>1079</v>
      </c>
      <c r="J195" s="273">
        <f t="shared" ref="J195:AH195" si="38">J176+J177+J178+J180+J181+J183+J185</f>
        <v>-1354</v>
      </c>
      <c r="K195" s="273">
        <f t="shared" si="38"/>
        <v>-1444</v>
      </c>
      <c r="L195" s="273">
        <f t="shared" si="38"/>
        <v>-1511</v>
      </c>
      <c r="M195" s="273">
        <f t="shared" si="38"/>
        <v>-1637</v>
      </c>
      <c r="N195" s="273">
        <f t="shared" si="38"/>
        <v>-1185</v>
      </c>
      <c r="O195" s="273">
        <f t="shared" si="38"/>
        <v>-2853</v>
      </c>
      <c r="P195" s="273">
        <f t="shared" si="38"/>
        <v>-2060</v>
      </c>
      <c r="Q195" s="273">
        <f t="shared" si="38"/>
        <v>-2909</v>
      </c>
      <c r="R195" s="273">
        <f t="shared" si="38"/>
        <v>-3694</v>
      </c>
      <c r="S195" s="273">
        <f t="shared" si="38"/>
        <v>-2399</v>
      </c>
      <c r="T195" s="273">
        <f t="shared" si="38"/>
        <v>-3074</v>
      </c>
      <c r="U195" s="273">
        <f t="shared" si="38"/>
        <v>-2346</v>
      </c>
      <c r="V195" s="273">
        <f t="shared" si="38"/>
        <v>-7327</v>
      </c>
      <c r="W195" s="273">
        <f t="shared" si="38"/>
        <v>-3673</v>
      </c>
      <c r="X195" s="273">
        <f t="shared" si="38"/>
        <v>-1250</v>
      </c>
      <c r="Y195" s="273">
        <f t="shared" si="38"/>
        <v>-1425</v>
      </c>
      <c r="Z195" s="273">
        <f t="shared" si="38"/>
        <v>-2316</v>
      </c>
      <c r="AA195" s="273">
        <f t="shared" si="38"/>
        <v>-3249</v>
      </c>
      <c r="AB195" s="273">
        <f t="shared" si="38"/>
        <v>-4451</v>
      </c>
      <c r="AC195" s="273">
        <f t="shared" si="38"/>
        <v>-5789.9498747852158</v>
      </c>
      <c r="AD195" s="273">
        <f t="shared" si="38"/>
        <v>-6088.8060642193996</v>
      </c>
      <c r="AE195" s="273">
        <f t="shared" si="38"/>
        <v>-6572.0492165370797</v>
      </c>
      <c r="AF195" s="273">
        <f t="shared" si="38"/>
        <v>-6858.5707040171364</v>
      </c>
      <c r="AG195" s="273">
        <f t="shared" si="38"/>
        <v>-7028.3456256226191</v>
      </c>
      <c r="AH195" s="273">
        <f t="shared" si="38"/>
        <v>-7063.4896945226355</v>
      </c>
      <c r="AO195" s="338"/>
      <c r="AP195" s="449"/>
      <c r="AR195" s="449"/>
      <c r="AS195" s="449"/>
      <c r="BA195" s="498"/>
      <c r="BB195" s="498"/>
      <c r="BC195" s="498"/>
      <c r="BD195" s="498"/>
      <c r="BE195" s="498"/>
      <c r="BF195" s="498"/>
      <c r="BG195" s="498"/>
      <c r="BH195" s="498"/>
      <c r="BI195" s="498"/>
      <c r="BJ195" s="498"/>
      <c r="BK195" s="498"/>
      <c r="BL195" s="498"/>
      <c r="BM195" s="498"/>
      <c r="BN195" s="498"/>
      <c r="BO195" s="498"/>
      <c r="BP195" s="498"/>
      <c r="BQ195" s="498"/>
      <c r="BR195" s="498"/>
      <c r="BS195" s="498"/>
      <c r="BT195" s="498"/>
      <c r="BU195" s="498"/>
      <c r="BV195" s="498"/>
      <c r="BW195" s="498"/>
      <c r="BX195" s="498"/>
      <c r="BY195" s="498"/>
      <c r="BZ195" s="498"/>
      <c r="CA195" s="498"/>
      <c r="CB195" s="498"/>
      <c r="CC195" s="498"/>
      <c r="CD195" s="498"/>
      <c r="CE195" s="498"/>
      <c r="CF195" s="498"/>
      <c r="CG195" s="273"/>
      <c r="CH195" s="273"/>
      <c r="CI195" s="273"/>
      <c r="CJ195" s="273"/>
      <c r="CK195" s="273"/>
      <c r="CL195" s="273"/>
      <c r="CM195" s="273"/>
      <c r="CN195" s="273"/>
      <c r="CO195" s="273"/>
      <c r="CR195" s="498"/>
      <c r="CS195" s="498"/>
      <c r="CT195" s="498"/>
      <c r="CU195" s="498"/>
      <c r="CV195" s="498"/>
      <c r="CW195" s="498"/>
      <c r="CX195" s="498"/>
      <c r="CY195" s="498"/>
      <c r="CZ195" s="498"/>
      <c r="DA195" s="498"/>
      <c r="DB195" s="498"/>
      <c r="DC195" s="498"/>
      <c r="DD195" s="498"/>
      <c r="DE195" s="498"/>
      <c r="DF195" s="498"/>
      <c r="DG195" s="498"/>
      <c r="DH195" s="498"/>
      <c r="DI195" s="498"/>
      <c r="DJ195" s="498"/>
      <c r="DK195" s="498"/>
      <c r="DL195" s="498"/>
      <c r="DM195" s="498"/>
      <c r="DN195" s="498"/>
      <c r="DO195" s="498"/>
      <c r="DP195" s="498"/>
      <c r="DQ195" s="498"/>
      <c r="DR195" s="498"/>
      <c r="DS195" s="498"/>
      <c r="DT195" s="498"/>
      <c r="DU195" s="498"/>
      <c r="DV195" s="498"/>
      <c r="DW195" s="498"/>
      <c r="DX195" s="498"/>
      <c r="DY195" s="498"/>
      <c r="DZ195" s="498"/>
      <c r="EA195" s="498"/>
      <c r="EB195" s="498"/>
      <c r="EC195" s="498"/>
      <c r="ED195" s="498"/>
      <c r="EE195" s="498"/>
      <c r="EF195" s="498"/>
      <c r="EG195" s="498"/>
      <c r="EH195" s="498"/>
      <c r="EI195" s="498"/>
      <c r="EJ195" s="498"/>
      <c r="EK195" s="498"/>
      <c r="EL195" s="498"/>
      <c r="EM195" s="498"/>
      <c r="EN195" s="498"/>
      <c r="EO195" s="498"/>
      <c r="EP195" s="498"/>
      <c r="EQ195" s="498"/>
      <c r="ER195" s="498"/>
      <c r="ES195" s="498"/>
      <c r="ET195" s="498"/>
      <c r="EU195" s="498"/>
      <c r="EV195" s="498"/>
      <c r="EW195" s="498"/>
      <c r="EX195" s="498"/>
      <c r="EY195" s="498"/>
      <c r="EZ195" s="498"/>
      <c r="FA195" s="498"/>
      <c r="FB195" s="498"/>
      <c r="FC195" s="498"/>
    </row>
    <row r="196" spans="3:159">
      <c r="C196" s="267" t="s">
        <v>1110</v>
      </c>
      <c r="J196" s="322">
        <f t="shared" ref="J196:AH196" si="39">J176/J$195</f>
        <v>2.8803545051698669E-2</v>
      </c>
      <c r="K196" s="322">
        <f t="shared" si="39"/>
        <v>4.7091412742382273E-2</v>
      </c>
      <c r="L196" s="322">
        <f t="shared" si="39"/>
        <v>0.14626075446724024</v>
      </c>
      <c r="M196" s="322">
        <f t="shared" si="39"/>
        <v>0.34208918753817957</v>
      </c>
      <c r="N196" s="322">
        <f t="shared" si="39"/>
        <v>0.1029535864978903</v>
      </c>
      <c r="O196" s="322">
        <f t="shared" si="39"/>
        <v>0.41219768664563616</v>
      </c>
      <c r="P196" s="322">
        <f t="shared" si="39"/>
        <v>9.3689320388349512E-2</v>
      </c>
      <c r="Q196" s="322">
        <f t="shared" si="39"/>
        <v>0.13062908215881747</v>
      </c>
      <c r="R196" s="322">
        <f t="shared" si="39"/>
        <v>7.2279371954520846E-2</v>
      </c>
      <c r="S196" s="322">
        <f t="shared" si="39"/>
        <v>-0.24301792413505627</v>
      </c>
      <c r="T196" s="322">
        <f t="shared" si="39"/>
        <v>0.2635003253090436</v>
      </c>
      <c r="U196" s="322">
        <f t="shared" si="39"/>
        <v>2.3017902813299233E-2</v>
      </c>
      <c r="V196" s="322">
        <f t="shared" si="39"/>
        <v>0.56940084618534192</v>
      </c>
      <c r="W196" s="322">
        <f t="shared" si="39"/>
        <v>7.8954533079226789E-3</v>
      </c>
      <c r="X196" s="322">
        <f t="shared" si="39"/>
        <v>1.6799999999999999E-2</v>
      </c>
      <c r="Y196" s="322">
        <f t="shared" si="39"/>
        <v>2.3157894736842106E-2</v>
      </c>
      <c r="Z196" s="322">
        <f t="shared" si="39"/>
        <v>0.21157167530224524</v>
      </c>
      <c r="AA196" s="322">
        <f t="shared" si="39"/>
        <v>0.10095413973530316</v>
      </c>
      <c r="AB196" s="322">
        <f t="shared" si="39"/>
        <v>7.7286003145360591E-2</v>
      </c>
      <c r="AC196" s="322">
        <f t="shared" si="39"/>
        <v>5.9413295009356368E-2</v>
      </c>
      <c r="AD196" s="322">
        <f t="shared" si="39"/>
        <v>5.6497118872204002E-2</v>
      </c>
      <c r="AE196" s="322">
        <f t="shared" si="39"/>
        <v>5.234288251134845E-2</v>
      </c>
      <c r="AF196" s="322">
        <f t="shared" si="39"/>
        <v>5.0156222753308589E-2</v>
      </c>
      <c r="AG196" s="322">
        <f t="shared" si="39"/>
        <v>4.8944661848431242E-2</v>
      </c>
      <c r="AH196" s="322">
        <f t="shared" si="39"/>
        <v>4.870113992900052E-2</v>
      </c>
      <c r="AO196" s="338"/>
      <c r="AP196" s="449"/>
      <c r="AR196" s="449"/>
      <c r="AS196" s="449"/>
      <c r="BA196" s="498"/>
      <c r="BB196" s="498"/>
      <c r="BC196" s="498"/>
      <c r="BD196" s="498"/>
      <c r="BE196" s="498"/>
      <c r="BF196" s="498"/>
      <c r="BG196" s="498"/>
      <c r="BH196" s="498"/>
      <c r="BI196" s="498"/>
      <c r="BJ196" s="498"/>
      <c r="BK196" s="498"/>
      <c r="BL196" s="498"/>
      <c r="BM196" s="498"/>
      <c r="BN196" s="498"/>
      <c r="BO196" s="498"/>
      <c r="BP196" s="498"/>
      <c r="BQ196" s="498"/>
      <c r="BR196" s="498"/>
      <c r="BS196" s="498"/>
      <c r="BT196" s="498"/>
      <c r="BU196" s="498"/>
      <c r="BV196" s="498"/>
      <c r="BW196" s="498"/>
      <c r="BX196" s="498"/>
      <c r="BY196" s="498"/>
      <c r="BZ196" s="498"/>
      <c r="CA196" s="498"/>
      <c r="CB196" s="498"/>
      <c r="CC196" s="498"/>
      <c r="CD196" s="498"/>
      <c r="CE196" s="498"/>
      <c r="CF196" s="498"/>
      <c r="CG196" s="322"/>
      <c r="CH196" s="322"/>
      <c r="CI196" s="322"/>
      <c r="CJ196" s="322"/>
      <c r="CK196" s="322"/>
      <c r="CL196" s="322"/>
      <c r="CM196" s="322"/>
      <c r="CN196" s="322"/>
      <c r="CO196" s="457"/>
      <c r="CR196" s="498"/>
      <c r="CS196" s="498"/>
      <c r="CT196" s="498"/>
      <c r="CU196" s="498"/>
      <c r="CV196" s="498"/>
      <c r="CW196" s="498"/>
      <c r="CX196" s="498"/>
      <c r="CY196" s="498"/>
      <c r="CZ196" s="498"/>
      <c r="DA196" s="498"/>
      <c r="DB196" s="498"/>
      <c r="DC196" s="498"/>
      <c r="DD196" s="498"/>
      <c r="DE196" s="498"/>
      <c r="DF196" s="498"/>
      <c r="DG196" s="498"/>
      <c r="DH196" s="498"/>
      <c r="DI196" s="498"/>
      <c r="DJ196" s="498"/>
      <c r="DK196" s="498"/>
      <c r="DL196" s="498"/>
      <c r="DM196" s="498"/>
      <c r="DN196" s="498"/>
      <c r="DO196" s="498"/>
      <c r="DP196" s="498"/>
      <c r="DQ196" s="498"/>
      <c r="DR196" s="498"/>
      <c r="DS196" s="498"/>
      <c r="DT196" s="498"/>
      <c r="DU196" s="498"/>
      <c r="DV196" s="498"/>
      <c r="DW196" s="498"/>
      <c r="DX196" s="498"/>
      <c r="DY196" s="498"/>
      <c r="DZ196" s="498"/>
      <c r="EA196" s="498"/>
      <c r="EB196" s="498"/>
      <c r="EC196" s="498"/>
      <c r="ED196" s="498"/>
      <c r="EE196" s="498"/>
      <c r="EF196" s="498"/>
      <c r="EG196" s="498"/>
      <c r="EH196" s="498"/>
      <c r="EI196" s="498"/>
      <c r="EJ196" s="498"/>
      <c r="EK196" s="498"/>
      <c r="EL196" s="498"/>
      <c r="EM196" s="498"/>
      <c r="EN196" s="498"/>
      <c r="EO196" s="498"/>
      <c r="EP196" s="498"/>
      <c r="EQ196" s="498"/>
      <c r="ER196" s="498"/>
      <c r="ES196" s="498"/>
      <c r="ET196" s="498"/>
      <c r="EU196" s="498"/>
      <c r="EV196" s="498"/>
      <c r="EW196" s="498"/>
      <c r="EX196" s="498"/>
      <c r="EY196" s="498"/>
      <c r="EZ196" s="498"/>
      <c r="FA196" s="498"/>
      <c r="FB196" s="498"/>
      <c r="FC196" s="498"/>
    </row>
    <row r="197" spans="3:159">
      <c r="C197" s="267" t="s">
        <v>793</v>
      </c>
      <c r="J197" s="322">
        <f t="shared" ref="J197:AH197" si="40">J177/J$195</f>
        <v>0.10930576070901034</v>
      </c>
      <c r="K197" s="322">
        <f t="shared" si="40"/>
        <v>6.2326869806094184E-2</v>
      </c>
      <c r="L197" s="322">
        <f t="shared" si="40"/>
        <v>0.13037723362011913</v>
      </c>
      <c r="M197" s="322">
        <f t="shared" si="40"/>
        <v>4.1539401343921811E-2</v>
      </c>
      <c r="N197" s="322">
        <f t="shared" si="40"/>
        <v>0.12827004219409283</v>
      </c>
      <c r="O197" s="322">
        <f t="shared" si="40"/>
        <v>0.10655450403084472</v>
      </c>
      <c r="P197" s="322">
        <f t="shared" si="40"/>
        <v>0.13737864077669903</v>
      </c>
      <c r="Q197" s="322">
        <f t="shared" si="40"/>
        <v>0.16191130972842901</v>
      </c>
      <c r="R197" s="322">
        <f t="shared" si="40"/>
        <v>0.1353546291283162</v>
      </c>
      <c r="S197" s="322">
        <f t="shared" si="40"/>
        <v>0.21550646102542725</v>
      </c>
      <c r="T197" s="322">
        <f t="shared" si="40"/>
        <v>0.19908913467794404</v>
      </c>
      <c r="U197" s="322">
        <f t="shared" si="40"/>
        <v>0.14492753623188406</v>
      </c>
      <c r="V197" s="322">
        <f t="shared" si="40"/>
        <v>9.4854647195305036E-2</v>
      </c>
      <c r="W197" s="322">
        <f t="shared" si="40"/>
        <v>0.21372175333514837</v>
      </c>
      <c r="X197" s="322">
        <f t="shared" si="40"/>
        <v>0</v>
      </c>
      <c r="Y197" s="322">
        <f t="shared" si="40"/>
        <v>0.12842105263157894</v>
      </c>
      <c r="Z197" s="322">
        <f t="shared" si="40"/>
        <v>9.1968911917098439E-2</v>
      </c>
      <c r="AA197" s="322">
        <f t="shared" si="40"/>
        <v>0.17359187442289936</v>
      </c>
      <c r="AB197" s="322">
        <f t="shared" si="40"/>
        <v>0.20467310716692877</v>
      </c>
      <c r="AC197" s="322">
        <f t="shared" si="40"/>
        <v>0.20843593866946369</v>
      </c>
      <c r="AD197" s="322">
        <f t="shared" si="40"/>
        <v>0.2296926071913982</v>
      </c>
      <c r="AE197" s="322">
        <f t="shared" si="40"/>
        <v>0.27338768993349422</v>
      </c>
      <c r="AF197" s="322">
        <f t="shared" si="40"/>
        <v>0.29830832812244301</v>
      </c>
      <c r="AG197" s="322">
        <f t="shared" si="40"/>
        <v>0.32394301616028431</v>
      </c>
      <c r="AH197" s="322">
        <f t="shared" si="40"/>
        <v>0.34206565675287098</v>
      </c>
      <c r="AO197" s="338"/>
      <c r="AP197" s="449"/>
      <c r="AR197" s="449"/>
      <c r="AS197" s="449"/>
      <c r="BA197" s="498"/>
      <c r="BB197" s="498"/>
      <c r="BC197" s="498"/>
      <c r="BD197" s="498"/>
      <c r="BE197" s="498"/>
      <c r="BF197" s="498"/>
      <c r="BG197" s="498"/>
      <c r="BH197" s="498"/>
      <c r="BI197" s="498"/>
      <c r="BJ197" s="498"/>
      <c r="BK197" s="498"/>
      <c r="BL197" s="498"/>
      <c r="BM197" s="498"/>
      <c r="BN197" s="498"/>
      <c r="BO197" s="498"/>
      <c r="BP197" s="498"/>
      <c r="BQ197" s="498"/>
      <c r="BR197" s="498"/>
      <c r="BS197" s="498"/>
      <c r="BT197" s="498"/>
      <c r="BU197" s="498"/>
      <c r="BV197" s="498"/>
      <c r="BW197" s="498"/>
      <c r="BX197" s="498"/>
      <c r="BY197" s="498"/>
      <c r="BZ197" s="498"/>
      <c r="CA197" s="498"/>
      <c r="CB197" s="498"/>
      <c r="CC197" s="498"/>
      <c r="CD197" s="498"/>
      <c r="CE197" s="498"/>
      <c r="CF197" s="498"/>
      <c r="CG197" s="322"/>
      <c r="CH197" s="322"/>
      <c r="CI197" s="322"/>
      <c r="CJ197" s="322"/>
      <c r="CK197" s="322"/>
      <c r="CL197" s="322"/>
      <c r="CM197" s="322"/>
      <c r="CN197" s="322"/>
      <c r="CO197" s="457"/>
      <c r="CR197" s="498"/>
      <c r="CS197" s="498"/>
      <c r="CT197" s="498"/>
      <c r="CU197" s="498"/>
      <c r="CV197" s="498"/>
      <c r="CW197" s="498"/>
      <c r="CX197" s="498"/>
      <c r="CY197" s="498"/>
      <c r="CZ197" s="498"/>
      <c r="DA197" s="498"/>
      <c r="DB197" s="498"/>
      <c r="DC197" s="498"/>
      <c r="DD197" s="498"/>
      <c r="DE197" s="498"/>
      <c r="DF197" s="498"/>
      <c r="DG197" s="498"/>
      <c r="DH197" s="498"/>
      <c r="DI197" s="498"/>
      <c r="DJ197" s="498"/>
      <c r="DK197" s="498"/>
      <c r="DL197" s="498"/>
      <c r="DM197" s="498"/>
      <c r="DN197" s="498"/>
      <c r="DO197" s="498"/>
      <c r="DP197" s="498"/>
      <c r="DQ197" s="498"/>
      <c r="DR197" s="498"/>
      <c r="DS197" s="498"/>
      <c r="DT197" s="498"/>
      <c r="DU197" s="498"/>
      <c r="DV197" s="498"/>
      <c r="DW197" s="498"/>
      <c r="DX197" s="498"/>
      <c r="DY197" s="498"/>
      <c r="DZ197" s="498"/>
      <c r="EA197" s="498"/>
      <c r="EB197" s="498"/>
      <c r="EC197" s="498"/>
      <c r="ED197" s="498"/>
      <c r="EE197" s="498"/>
      <c r="EF197" s="498"/>
      <c r="EG197" s="498"/>
      <c r="EH197" s="498"/>
      <c r="EI197" s="498"/>
      <c r="EJ197" s="498"/>
      <c r="EK197" s="498"/>
      <c r="EL197" s="498"/>
      <c r="EM197" s="498"/>
      <c r="EN197" s="498"/>
      <c r="EO197" s="498"/>
      <c r="EP197" s="498"/>
      <c r="EQ197" s="498"/>
      <c r="ER197" s="498"/>
      <c r="ES197" s="498"/>
      <c r="ET197" s="498"/>
      <c r="EU197" s="498"/>
      <c r="EV197" s="498"/>
      <c r="EW197" s="498"/>
      <c r="EX197" s="498"/>
      <c r="EY197" s="498"/>
      <c r="EZ197" s="498"/>
      <c r="FA197" s="498"/>
      <c r="FB197" s="498"/>
      <c r="FC197" s="498"/>
    </row>
    <row r="198" spans="3:159">
      <c r="C198" s="267" t="s">
        <v>1077</v>
      </c>
      <c r="J198" s="322">
        <f t="shared" ref="J198:AH198" si="41">J178/J$195</f>
        <v>0</v>
      </c>
      <c r="K198" s="322">
        <f t="shared" si="41"/>
        <v>0</v>
      </c>
      <c r="L198" s="322">
        <f t="shared" si="41"/>
        <v>0</v>
      </c>
      <c r="M198" s="322">
        <f t="shared" si="41"/>
        <v>0</v>
      </c>
      <c r="N198" s="322">
        <f t="shared" si="41"/>
        <v>0</v>
      </c>
      <c r="O198" s="322">
        <f t="shared" si="41"/>
        <v>0</v>
      </c>
      <c r="P198" s="322">
        <f t="shared" si="41"/>
        <v>0</v>
      </c>
      <c r="Q198" s="322">
        <f t="shared" si="41"/>
        <v>0</v>
      </c>
      <c r="R198" s="322">
        <f t="shared" si="41"/>
        <v>0</v>
      </c>
      <c r="S198" s="322">
        <f t="shared" si="41"/>
        <v>0</v>
      </c>
      <c r="T198" s="322">
        <f t="shared" si="41"/>
        <v>0</v>
      </c>
      <c r="U198" s="322">
        <f t="shared" si="41"/>
        <v>0</v>
      </c>
      <c r="V198" s="322">
        <f t="shared" si="41"/>
        <v>0</v>
      </c>
      <c r="W198" s="322">
        <f t="shared" si="41"/>
        <v>0</v>
      </c>
      <c r="X198" s="322">
        <f t="shared" si="41"/>
        <v>0</v>
      </c>
      <c r="Y198" s="322">
        <f t="shared" si="41"/>
        <v>0</v>
      </c>
      <c r="Z198" s="322">
        <f t="shared" si="41"/>
        <v>0</v>
      </c>
      <c r="AA198" s="322">
        <f t="shared" si="41"/>
        <v>0</v>
      </c>
      <c r="AB198" s="322">
        <f t="shared" si="41"/>
        <v>0</v>
      </c>
      <c r="AC198" s="322">
        <f t="shared" si="41"/>
        <v>0.21589133360957982</v>
      </c>
      <c r="AD198" s="322">
        <f t="shared" si="41"/>
        <v>0.20529476334376454</v>
      </c>
      <c r="AE198" s="322">
        <f t="shared" si="41"/>
        <v>0.19019942773019061</v>
      </c>
      <c r="AF198" s="322">
        <f t="shared" si="41"/>
        <v>0.18225371640010388</v>
      </c>
      <c r="AG198" s="322">
        <f t="shared" si="41"/>
        <v>0.17785124218179957</v>
      </c>
      <c r="AH198" s="322">
        <f t="shared" si="41"/>
        <v>0.1768247784050048</v>
      </c>
      <c r="AO198" s="338"/>
      <c r="AP198" s="449"/>
      <c r="AR198" s="449"/>
      <c r="AS198" s="449"/>
      <c r="BA198" s="498"/>
      <c r="BB198" s="498"/>
      <c r="BC198" s="498"/>
      <c r="BD198" s="498"/>
      <c r="BE198" s="498"/>
      <c r="BF198" s="498"/>
      <c r="BG198" s="498"/>
      <c r="BH198" s="498"/>
      <c r="BI198" s="498"/>
      <c r="BJ198" s="498"/>
      <c r="BK198" s="498"/>
      <c r="BL198" s="498"/>
      <c r="BM198" s="498"/>
      <c r="BN198" s="498"/>
      <c r="BO198" s="498"/>
      <c r="BP198" s="498"/>
      <c r="BQ198" s="498"/>
      <c r="BR198" s="498"/>
      <c r="BS198" s="498"/>
      <c r="BT198" s="498"/>
      <c r="BU198" s="498"/>
      <c r="BV198" s="498"/>
      <c r="BW198" s="498"/>
      <c r="BX198" s="498"/>
      <c r="BY198" s="498"/>
      <c r="BZ198" s="498"/>
      <c r="CA198" s="498"/>
      <c r="CB198" s="498"/>
      <c r="CC198" s="498"/>
      <c r="CD198" s="498"/>
      <c r="CE198" s="498"/>
      <c r="CF198" s="498"/>
      <c r="CG198" s="322"/>
      <c r="CH198" s="322"/>
      <c r="CI198" s="322"/>
      <c r="CJ198" s="322"/>
      <c r="CK198" s="322"/>
      <c r="CL198" s="322"/>
      <c r="CM198" s="322"/>
      <c r="CN198" s="322"/>
      <c r="CO198" s="457"/>
      <c r="CR198" s="498"/>
      <c r="CS198" s="498"/>
      <c r="CT198" s="498"/>
      <c r="CU198" s="498"/>
      <c r="CV198" s="498"/>
      <c r="CW198" s="498"/>
      <c r="CX198" s="498"/>
      <c r="CY198" s="498"/>
      <c r="CZ198" s="498"/>
      <c r="DA198" s="498"/>
      <c r="DB198" s="498"/>
      <c r="DC198" s="498"/>
      <c r="DD198" s="498"/>
      <c r="DE198" s="498"/>
      <c r="DF198" s="498"/>
      <c r="DG198" s="498"/>
      <c r="DH198" s="498"/>
      <c r="DI198" s="498"/>
      <c r="DJ198" s="498"/>
      <c r="DK198" s="498"/>
      <c r="DL198" s="498"/>
      <c r="DM198" s="498"/>
      <c r="DN198" s="498"/>
      <c r="DO198" s="498"/>
      <c r="DP198" s="498"/>
      <c r="DQ198" s="498"/>
      <c r="DR198" s="498"/>
      <c r="DS198" s="498"/>
      <c r="DT198" s="498"/>
      <c r="DU198" s="498"/>
      <c r="DV198" s="498"/>
      <c r="DW198" s="498"/>
      <c r="DX198" s="498"/>
      <c r="DY198" s="498"/>
      <c r="DZ198" s="498"/>
      <c r="EA198" s="498"/>
      <c r="EB198" s="498"/>
      <c r="EC198" s="498"/>
      <c r="ED198" s="498"/>
      <c r="EE198" s="498"/>
      <c r="EF198" s="498"/>
      <c r="EG198" s="498"/>
      <c r="EH198" s="498"/>
      <c r="EI198" s="498"/>
      <c r="EJ198" s="498"/>
      <c r="EK198" s="498"/>
      <c r="EL198" s="498"/>
      <c r="EM198" s="498"/>
      <c r="EN198" s="498"/>
      <c r="EO198" s="498"/>
      <c r="EP198" s="498"/>
      <c r="EQ198" s="498"/>
      <c r="ER198" s="498"/>
      <c r="ES198" s="498"/>
      <c r="ET198" s="498"/>
      <c r="EU198" s="498"/>
      <c r="EV198" s="498"/>
      <c r="EW198" s="498"/>
      <c r="EX198" s="498"/>
      <c r="EY198" s="498"/>
      <c r="EZ198" s="498"/>
      <c r="FA198" s="498"/>
      <c r="FB198" s="498"/>
      <c r="FC198" s="498"/>
    </row>
    <row r="199" spans="3:159">
      <c r="C199" s="267" t="s">
        <v>965</v>
      </c>
      <c r="J199" s="322">
        <f t="shared" ref="J199:AH199" si="42">(J181+J180)/J$195</f>
        <v>0.29911373707533234</v>
      </c>
      <c r="K199" s="322">
        <f t="shared" si="42"/>
        <v>0.30401662049861494</v>
      </c>
      <c r="L199" s="322">
        <f t="shared" si="42"/>
        <v>0.29318332230311051</v>
      </c>
      <c r="M199" s="322">
        <f t="shared" si="42"/>
        <v>0.24618204031765425</v>
      </c>
      <c r="N199" s="322">
        <f t="shared" si="42"/>
        <v>0.29198312236286922</v>
      </c>
      <c r="O199" s="322">
        <f t="shared" si="42"/>
        <v>0.15177006659656503</v>
      </c>
      <c r="P199" s="322">
        <f t="shared" si="42"/>
        <v>0.26650485436893206</v>
      </c>
      <c r="Q199" s="322">
        <f t="shared" si="42"/>
        <v>0.2519766242695084</v>
      </c>
      <c r="R199" s="322">
        <f t="shared" si="42"/>
        <v>0.2634001082837033</v>
      </c>
      <c r="S199" s="322">
        <f t="shared" si="42"/>
        <v>0.50312630262609426</v>
      </c>
      <c r="T199" s="322">
        <f t="shared" si="42"/>
        <v>0.22283669486011712</v>
      </c>
      <c r="U199" s="322">
        <f t="shared" si="42"/>
        <v>0.41304347826086957</v>
      </c>
      <c r="V199" s="322">
        <f t="shared" si="42"/>
        <v>0.13238706155315955</v>
      </c>
      <c r="W199" s="322">
        <f t="shared" si="42"/>
        <v>0.2278791178872856</v>
      </c>
      <c r="X199" s="322">
        <f t="shared" si="42"/>
        <v>0.41120000000000001</v>
      </c>
      <c r="Y199" s="322">
        <f t="shared" si="42"/>
        <v>0.31228070175438599</v>
      </c>
      <c r="Z199" s="322">
        <f t="shared" si="42"/>
        <v>0.25734024179620035</v>
      </c>
      <c r="AA199" s="322">
        <f t="shared" si="42"/>
        <v>0.30840258541089566</v>
      </c>
      <c r="AB199" s="322">
        <f t="shared" si="42"/>
        <v>0.27319703437429793</v>
      </c>
      <c r="AC199" s="322">
        <f t="shared" si="42"/>
        <v>0.29838329929532298</v>
      </c>
      <c r="AD199" s="322">
        <f t="shared" si="42"/>
        <v>0.27738371299875059</v>
      </c>
      <c r="AE199" s="322">
        <f t="shared" si="42"/>
        <v>0.24627062498016491</v>
      </c>
      <c r="AF199" s="322">
        <f t="shared" si="42"/>
        <v>0.21898332007505883</v>
      </c>
      <c r="AG199" s="322">
        <f t="shared" si="42"/>
        <v>0.18944576565355806</v>
      </c>
      <c r="AH199" s="322">
        <f t="shared" si="42"/>
        <v>0.16162546008624007</v>
      </c>
      <c r="AO199" s="338"/>
      <c r="AP199" s="449"/>
      <c r="AR199" s="449"/>
      <c r="AS199" s="449"/>
      <c r="BA199" s="498"/>
      <c r="BB199" s="498"/>
      <c r="BC199" s="498"/>
      <c r="BD199" s="498"/>
      <c r="BE199" s="498"/>
      <c r="BF199" s="498"/>
      <c r="BG199" s="498"/>
      <c r="BH199" s="498"/>
      <c r="BI199" s="498"/>
      <c r="BJ199" s="498"/>
      <c r="BK199" s="498"/>
      <c r="BL199" s="498"/>
      <c r="BM199" s="498"/>
      <c r="BN199" s="498"/>
      <c r="BO199" s="498"/>
      <c r="BP199" s="498"/>
      <c r="BQ199" s="498"/>
      <c r="BR199" s="498"/>
      <c r="BS199" s="498"/>
      <c r="BT199" s="498"/>
      <c r="BU199" s="498"/>
      <c r="BV199" s="498"/>
      <c r="BW199" s="498"/>
      <c r="BX199" s="498"/>
      <c r="BY199" s="498"/>
      <c r="BZ199" s="498"/>
      <c r="CA199" s="498"/>
      <c r="CB199" s="498"/>
      <c r="CC199" s="498"/>
      <c r="CD199" s="498"/>
      <c r="CE199" s="498"/>
      <c r="CF199" s="498"/>
      <c r="CG199" s="322"/>
      <c r="CH199" s="322"/>
      <c r="CI199" s="322"/>
      <c r="CJ199" s="322"/>
      <c r="CK199" s="322"/>
      <c r="CL199" s="322"/>
      <c r="CM199" s="322"/>
      <c r="CN199" s="322"/>
      <c r="CO199" s="457"/>
      <c r="CR199" s="498"/>
      <c r="CS199" s="498"/>
      <c r="CT199" s="498"/>
      <c r="CU199" s="498"/>
      <c r="CV199" s="498"/>
      <c r="CW199" s="498"/>
      <c r="CX199" s="498"/>
      <c r="CY199" s="498"/>
      <c r="CZ199" s="498"/>
      <c r="DA199" s="498"/>
      <c r="DB199" s="498"/>
      <c r="DC199" s="498"/>
      <c r="DD199" s="498"/>
      <c r="DE199" s="498"/>
      <c r="DF199" s="498"/>
      <c r="DG199" s="498"/>
      <c r="DH199" s="498"/>
      <c r="DI199" s="498"/>
      <c r="DJ199" s="498"/>
      <c r="DK199" s="498"/>
      <c r="DL199" s="498"/>
      <c r="DM199" s="498"/>
      <c r="DN199" s="498"/>
      <c r="DO199" s="498"/>
      <c r="DP199" s="498"/>
      <c r="DQ199" s="498"/>
      <c r="DR199" s="498"/>
      <c r="DS199" s="498"/>
      <c r="DT199" s="498"/>
      <c r="DU199" s="498"/>
      <c r="DV199" s="498"/>
      <c r="DW199" s="498"/>
      <c r="DX199" s="498"/>
      <c r="DY199" s="498"/>
      <c r="DZ199" s="498"/>
      <c r="EA199" s="498"/>
      <c r="EB199" s="498"/>
      <c r="EC199" s="498"/>
      <c r="ED199" s="498"/>
      <c r="EE199" s="498"/>
      <c r="EF199" s="498"/>
      <c r="EG199" s="498"/>
      <c r="EH199" s="498"/>
      <c r="EI199" s="498"/>
      <c r="EJ199" s="498"/>
      <c r="EK199" s="498"/>
      <c r="EL199" s="498"/>
      <c r="EM199" s="498"/>
      <c r="EN199" s="498"/>
      <c r="EO199" s="498"/>
      <c r="EP199" s="498"/>
      <c r="EQ199" s="498"/>
      <c r="ER199" s="498"/>
      <c r="ES199" s="498"/>
      <c r="ET199" s="498"/>
      <c r="EU199" s="498"/>
      <c r="EV199" s="498"/>
      <c r="EW199" s="498"/>
      <c r="EX199" s="498"/>
      <c r="EY199" s="498"/>
      <c r="EZ199" s="498"/>
      <c r="FA199" s="498"/>
      <c r="FB199" s="498"/>
      <c r="FC199" s="498"/>
    </row>
    <row r="200" spans="3:159">
      <c r="C200" s="267" t="s">
        <v>1078</v>
      </c>
      <c r="J200" s="322">
        <f t="shared" ref="J200:AH200" si="43">J183/J$195</f>
        <v>0.51698670605612995</v>
      </c>
      <c r="K200" s="322">
        <f t="shared" si="43"/>
        <v>0.5436288088642659</v>
      </c>
      <c r="L200" s="322">
        <f t="shared" si="43"/>
        <v>0.4301786896095301</v>
      </c>
      <c r="M200" s="322">
        <f t="shared" si="43"/>
        <v>0.37018937080024433</v>
      </c>
      <c r="N200" s="322">
        <f t="shared" si="43"/>
        <v>0.47679324894514769</v>
      </c>
      <c r="O200" s="322">
        <f t="shared" si="43"/>
        <v>0.25166491412548198</v>
      </c>
      <c r="P200" s="322">
        <f t="shared" si="43"/>
        <v>0.50242718446601942</v>
      </c>
      <c r="Q200" s="322">
        <f t="shared" si="43"/>
        <v>0.42041938810587831</v>
      </c>
      <c r="R200" s="322">
        <f t="shared" si="43"/>
        <v>0.35544125609095834</v>
      </c>
      <c r="S200" s="322">
        <f t="shared" si="43"/>
        <v>0.49645685702375991</v>
      </c>
      <c r="T200" s="322">
        <f t="shared" si="43"/>
        <v>0.31457384515289527</v>
      </c>
      <c r="U200" s="322">
        <f t="shared" si="43"/>
        <v>0.41901108269394716</v>
      </c>
      <c r="V200" s="322">
        <f t="shared" si="43"/>
        <v>0.14671761976252218</v>
      </c>
      <c r="W200" s="322">
        <f t="shared" si="43"/>
        <v>0.31881295943370541</v>
      </c>
      <c r="X200" s="322">
        <f t="shared" si="43"/>
        <v>0.57199999999999995</v>
      </c>
      <c r="Y200" s="322">
        <f t="shared" si="43"/>
        <v>0.53614035087719303</v>
      </c>
      <c r="Z200" s="322">
        <f t="shared" si="43"/>
        <v>0.37694300518134716</v>
      </c>
      <c r="AA200" s="322">
        <f t="shared" si="43"/>
        <v>0.3265620190827947</v>
      </c>
      <c r="AB200" s="322">
        <f t="shared" si="43"/>
        <v>0.26353628398112783</v>
      </c>
      <c r="AC200" s="322">
        <f t="shared" si="43"/>
        <v>0.21787613341627726</v>
      </c>
      <c r="AD200" s="322">
        <f t="shared" si="43"/>
        <v>0.23113179759388272</v>
      </c>
      <c r="AE200" s="322">
        <f t="shared" si="43"/>
        <v>0.23779937484480182</v>
      </c>
      <c r="AF200" s="322">
        <f t="shared" si="43"/>
        <v>0.25029841264908564</v>
      </c>
      <c r="AG200" s="322">
        <f t="shared" si="43"/>
        <v>0.25981531415592674</v>
      </c>
      <c r="AH200" s="322">
        <f t="shared" si="43"/>
        <v>0.27092453790807258</v>
      </c>
      <c r="AO200" s="338"/>
      <c r="AP200" s="449"/>
      <c r="AR200" s="449"/>
      <c r="AS200" s="449"/>
      <c r="BA200" s="498"/>
      <c r="BB200" s="498"/>
      <c r="BC200" s="498"/>
      <c r="BD200" s="498"/>
      <c r="BE200" s="498"/>
      <c r="BF200" s="498"/>
      <c r="BG200" s="498"/>
      <c r="BH200" s="498"/>
      <c r="BI200" s="498"/>
      <c r="BJ200" s="498"/>
      <c r="BK200" s="498"/>
      <c r="BL200" s="498"/>
      <c r="BM200" s="498"/>
      <c r="BN200" s="498"/>
      <c r="BO200" s="498"/>
      <c r="BP200" s="498"/>
      <c r="BQ200" s="498"/>
      <c r="BR200" s="498"/>
      <c r="BS200" s="498"/>
      <c r="BT200" s="498"/>
      <c r="BU200" s="498"/>
      <c r="BV200" s="498"/>
      <c r="BW200" s="498"/>
      <c r="BX200" s="498"/>
      <c r="BY200" s="498"/>
      <c r="BZ200" s="498"/>
      <c r="CA200" s="498"/>
      <c r="CB200" s="498"/>
      <c r="CC200" s="498"/>
      <c r="CD200" s="498"/>
      <c r="CE200" s="498"/>
      <c r="CF200" s="498"/>
      <c r="CG200" s="322"/>
      <c r="CH200" s="322"/>
      <c r="CI200" s="322"/>
      <c r="CJ200" s="322"/>
      <c r="CK200" s="322"/>
      <c r="CL200" s="322"/>
      <c r="CM200" s="322"/>
      <c r="CN200" s="322"/>
      <c r="CO200" s="457"/>
      <c r="CR200" s="498"/>
      <c r="CS200" s="498"/>
      <c r="CT200" s="498"/>
      <c r="CU200" s="498"/>
      <c r="CV200" s="498"/>
      <c r="CW200" s="498"/>
      <c r="CX200" s="498"/>
      <c r="CY200" s="498"/>
      <c r="CZ200" s="498"/>
      <c r="DA200" s="498"/>
      <c r="DB200" s="498"/>
      <c r="DC200" s="498"/>
      <c r="DD200" s="498"/>
      <c r="DE200" s="498"/>
      <c r="DF200" s="498"/>
      <c r="DG200" s="498"/>
      <c r="DH200" s="498"/>
      <c r="DI200" s="498"/>
      <c r="DJ200" s="498"/>
      <c r="DK200" s="498"/>
      <c r="DL200" s="498"/>
      <c r="DM200" s="498"/>
      <c r="DN200" s="498"/>
      <c r="DO200" s="498"/>
      <c r="DP200" s="498"/>
      <c r="DQ200" s="498"/>
      <c r="DR200" s="498"/>
      <c r="DS200" s="498"/>
      <c r="DT200" s="498"/>
      <c r="DU200" s="498"/>
      <c r="DV200" s="498"/>
      <c r="DW200" s="498"/>
      <c r="DX200" s="498"/>
      <c r="DY200" s="498"/>
      <c r="DZ200" s="498"/>
      <c r="EA200" s="498"/>
      <c r="EB200" s="498"/>
      <c r="EC200" s="498"/>
      <c r="ED200" s="498"/>
      <c r="EE200" s="498"/>
      <c r="EF200" s="498"/>
      <c r="EG200" s="498"/>
      <c r="EH200" s="498"/>
      <c r="EI200" s="498"/>
      <c r="EJ200" s="498"/>
      <c r="EK200" s="498"/>
      <c r="EL200" s="498"/>
      <c r="EM200" s="498"/>
      <c r="EN200" s="498"/>
      <c r="EO200" s="498"/>
      <c r="EP200" s="498"/>
      <c r="EQ200" s="498"/>
      <c r="ER200" s="498"/>
      <c r="ES200" s="498"/>
      <c r="ET200" s="498"/>
      <c r="EU200" s="498"/>
      <c r="EV200" s="498"/>
      <c r="EW200" s="498"/>
      <c r="EX200" s="498"/>
      <c r="EY200" s="498"/>
      <c r="EZ200" s="498"/>
      <c r="FA200" s="498"/>
      <c r="FB200" s="498"/>
      <c r="FC200" s="498"/>
    </row>
    <row r="201" spans="3:159">
      <c r="C201" s="267" t="s">
        <v>1072</v>
      </c>
      <c r="J201" s="322">
        <f t="shared" ref="J201:AH201" si="44">J185/J$195</f>
        <v>4.5790251107828653E-2</v>
      </c>
      <c r="K201" s="322">
        <f t="shared" si="44"/>
        <v>4.2936288088642659E-2</v>
      </c>
      <c r="L201" s="322">
        <f t="shared" si="44"/>
        <v>0</v>
      </c>
      <c r="M201" s="322">
        <f t="shared" si="44"/>
        <v>0</v>
      </c>
      <c r="N201" s="322">
        <f t="shared" si="44"/>
        <v>0</v>
      </c>
      <c r="O201" s="322">
        <f t="shared" si="44"/>
        <v>7.7812828601472137E-2</v>
      </c>
      <c r="P201" s="322">
        <f t="shared" si="44"/>
        <v>0</v>
      </c>
      <c r="Q201" s="322">
        <f t="shared" si="44"/>
        <v>3.5063595737366796E-2</v>
      </c>
      <c r="R201" s="322">
        <f t="shared" si="44"/>
        <v>0.17352463454250136</v>
      </c>
      <c r="S201" s="322">
        <f t="shared" si="44"/>
        <v>2.7928303459774907E-2</v>
      </c>
      <c r="T201" s="322">
        <f t="shared" si="44"/>
        <v>0</v>
      </c>
      <c r="U201" s="322">
        <f t="shared" si="44"/>
        <v>0</v>
      </c>
      <c r="V201" s="322">
        <f t="shared" si="44"/>
        <v>5.663982530367135E-2</v>
      </c>
      <c r="W201" s="322">
        <f t="shared" si="44"/>
        <v>0.23169071603593794</v>
      </c>
      <c r="X201" s="322">
        <f t="shared" si="44"/>
        <v>0</v>
      </c>
      <c r="Y201" s="322">
        <f t="shared" si="44"/>
        <v>0</v>
      </c>
      <c r="Z201" s="322">
        <f t="shared" si="44"/>
        <v>6.2176165803108807E-2</v>
      </c>
      <c r="AA201" s="322">
        <f t="shared" si="44"/>
        <v>9.0489381348107106E-2</v>
      </c>
      <c r="AB201" s="322">
        <f t="shared" si="44"/>
        <v>0.18130757133228487</v>
      </c>
      <c r="AC201" s="322">
        <f t="shared" si="44"/>
        <v>0</v>
      </c>
      <c r="AD201" s="322">
        <f t="shared" si="44"/>
        <v>0</v>
      </c>
      <c r="AE201" s="322">
        <f t="shared" si="44"/>
        <v>0</v>
      </c>
      <c r="AF201" s="322">
        <f t="shared" si="44"/>
        <v>0</v>
      </c>
      <c r="AG201" s="322">
        <f t="shared" si="44"/>
        <v>0</v>
      </c>
      <c r="AH201" s="322">
        <f t="shared" si="44"/>
        <v>-1.4157308118895501E-4</v>
      </c>
      <c r="AO201" s="338"/>
      <c r="AP201" s="449"/>
      <c r="AR201" s="449"/>
      <c r="AS201" s="449"/>
      <c r="BA201" s="498"/>
      <c r="BB201" s="498"/>
      <c r="BC201" s="498"/>
      <c r="BD201" s="498"/>
      <c r="BE201" s="498"/>
      <c r="BF201" s="498"/>
      <c r="BG201" s="498"/>
      <c r="BH201" s="498"/>
      <c r="BI201" s="498"/>
      <c r="BJ201" s="498"/>
      <c r="BK201" s="498"/>
      <c r="BL201" s="498"/>
      <c r="BM201" s="498"/>
      <c r="BN201" s="498"/>
      <c r="BO201" s="498"/>
      <c r="BP201" s="498"/>
      <c r="BQ201" s="498"/>
      <c r="BR201" s="498"/>
      <c r="BS201" s="498"/>
      <c r="BT201" s="498"/>
      <c r="BU201" s="498"/>
      <c r="BV201" s="498"/>
      <c r="BW201" s="498"/>
      <c r="BX201" s="498"/>
      <c r="BY201" s="498"/>
      <c r="BZ201" s="498"/>
      <c r="CA201" s="498"/>
      <c r="CB201" s="498"/>
      <c r="CC201" s="498"/>
      <c r="CD201" s="498"/>
      <c r="CE201" s="498"/>
      <c r="CF201" s="498"/>
      <c r="CG201" s="322"/>
      <c r="CH201" s="322"/>
      <c r="CI201" s="322"/>
      <c r="CJ201" s="322"/>
      <c r="CK201" s="322"/>
      <c r="CL201" s="322"/>
      <c r="CM201" s="322"/>
      <c r="CN201" s="322"/>
      <c r="CO201" s="457"/>
      <c r="CR201" s="498"/>
      <c r="CS201" s="498"/>
      <c r="CT201" s="498"/>
      <c r="CU201" s="498"/>
      <c r="CV201" s="498"/>
      <c r="CW201" s="498"/>
      <c r="CX201" s="498"/>
      <c r="CY201" s="498"/>
      <c r="CZ201" s="498"/>
      <c r="DA201" s="498"/>
      <c r="DB201" s="498"/>
      <c r="DC201" s="498"/>
      <c r="DD201" s="498"/>
      <c r="DE201" s="498"/>
      <c r="DF201" s="498"/>
      <c r="DG201" s="498"/>
      <c r="DH201" s="498"/>
      <c r="DI201" s="498"/>
      <c r="DJ201" s="498"/>
      <c r="DK201" s="498"/>
      <c r="DL201" s="498"/>
      <c r="DM201" s="498"/>
      <c r="DN201" s="498"/>
      <c r="DO201" s="498"/>
      <c r="DP201" s="498"/>
      <c r="DQ201" s="498"/>
      <c r="DR201" s="498"/>
      <c r="DS201" s="498"/>
      <c r="DT201" s="498"/>
      <c r="DU201" s="498"/>
      <c r="DV201" s="498"/>
      <c r="DW201" s="498"/>
      <c r="DX201" s="498"/>
      <c r="DY201" s="498"/>
      <c r="DZ201" s="498"/>
      <c r="EA201" s="498"/>
      <c r="EB201" s="498"/>
      <c r="EC201" s="498"/>
      <c r="ED201" s="498"/>
      <c r="EE201" s="498"/>
      <c r="EF201" s="498"/>
      <c r="EG201" s="498"/>
      <c r="EH201" s="498"/>
      <c r="EI201" s="498"/>
      <c r="EJ201" s="498"/>
      <c r="EK201" s="498"/>
      <c r="EL201" s="498"/>
      <c r="EM201" s="498"/>
      <c r="EN201" s="498"/>
      <c r="EO201" s="498"/>
      <c r="EP201" s="498"/>
      <c r="EQ201" s="498"/>
      <c r="ER201" s="498"/>
      <c r="ES201" s="498"/>
      <c r="ET201" s="498"/>
      <c r="EU201" s="498"/>
      <c r="EV201" s="498"/>
      <c r="EW201" s="498"/>
      <c r="EX201" s="498"/>
      <c r="EY201" s="498"/>
      <c r="EZ201" s="498"/>
      <c r="FA201" s="498"/>
      <c r="FB201" s="498"/>
      <c r="FC201" s="498"/>
    </row>
    <row r="202" spans="3:159">
      <c r="C202" s="267"/>
      <c r="J202" s="322"/>
      <c r="K202" s="322"/>
      <c r="L202" s="322"/>
      <c r="M202" s="322"/>
      <c r="N202" s="322"/>
      <c r="O202" s="322"/>
      <c r="P202" s="322"/>
      <c r="Q202" s="322"/>
      <c r="R202" s="322"/>
      <c r="S202" s="322"/>
      <c r="T202" s="322"/>
      <c r="U202" s="322"/>
      <c r="V202" s="322"/>
      <c r="W202" s="322"/>
      <c r="X202" s="322"/>
      <c r="Y202" s="322"/>
      <c r="Z202" s="322"/>
      <c r="AA202" s="322"/>
      <c r="AB202" s="322"/>
      <c r="AC202" s="322"/>
      <c r="AD202" s="322"/>
      <c r="AE202" s="322"/>
      <c r="AF202" s="322"/>
      <c r="AG202" s="322"/>
      <c r="AH202" s="322"/>
      <c r="AO202" s="338"/>
      <c r="AP202" s="449"/>
      <c r="AR202" s="449"/>
      <c r="AS202" s="449"/>
      <c r="BA202" s="498"/>
      <c r="BB202" s="498"/>
      <c r="BC202" s="498"/>
      <c r="BD202" s="498"/>
      <c r="BE202" s="498"/>
      <c r="BF202" s="498"/>
      <c r="BG202" s="498"/>
      <c r="BH202" s="498"/>
      <c r="BI202" s="498"/>
      <c r="BJ202" s="498"/>
      <c r="BK202" s="498"/>
      <c r="BL202" s="498"/>
      <c r="BM202" s="498"/>
      <c r="BN202" s="498"/>
      <c r="BO202" s="498"/>
      <c r="BP202" s="498"/>
      <c r="BQ202" s="498"/>
      <c r="BR202" s="498"/>
      <c r="BS202" s="498"/>
      <c r="BT202" s="498"/>
      <c r="BU202" s="498"/>
      <c r="BV202" s="498"/>
      <c r="BW202" s="498"/>
      <c r="BX202" s="498"/>
      <c r="BY202" s="498"/>
      <c r="BZ202" s="498"/>
      <c r="CA202" s="498"/>
      <c r="CB202" s="498"/>
      <c r="CC202" s="498"/>
      <c r="CD202" s="498"/>
      <c r="CE202" s="498"/>
      <c r="CF202" s="498"/>
      <c r="CG202" s="322"/>
      <c r="CH202" s="322"/>
      <c r="CI202" s="322"/>
      <c r="CJ202" s="322"/>
      <c r="CK202" s="322"/>
      <c r="CL202" s="322"/>
      <c r="CM202" s="322"/>
      <c r="CN202" s="322"/>
      <c r="CO202" s="457"/>
      <c r="CR202" s="498"/>
      <c r="CS202" s="498"/>
      <c r="CT202" s="498"/>
      <c r="CU202" s="498"/>
      <c r="CV202" s="498"/>
      <c r="CW202" s="498"/>
      <c r="CX202" s="498"/>
      <c r="CY202" s="498"/>
      <c r="CZ202" s="498"/>
      <c r="DA202" s="498"/>
      <c r="DB202" s="498"/>
      <c r="DC202" s="498"/>
      <c r="DD202" s="498"/>
      <c r="DE202" s="498"/>
      <c r="DF202" s="498"/>
      <c r="DG202" s="498"/>
      <c r="DH202" s="498"/>
      <c r="DI202" s="498"/>
      <c r="DJ202" s="498"/>
      <c r="DK202" s="498"/>
      <c r="DL202" s="498"/>
      <c r="DM202" s="498"/>
      <c r="DN202" s="498"/>
      <c r="DO202" s="498"/>
      <c r="DP202" s="498"/>
      <c r="DQ202" s="498"/>
      <c r="DR202" s="498"/>
      <c r="DS202" s="498"/>
      <c r="DT202" s="498"/>
      <c r="DU202" s="498"/>
      <c r="DV202" s="498"/>
      <c r="DW202" s="498"/>
      <c r="DX202" s="498"/>
      <c r="DY202" s="498"/>
      <c r="DZ202" s="498"/>
      <c r="EA202" s="498"/>
      <c r="EB202" s="498"/>
      <c r="EC202" s="498"/>
      <c r="ED202" s="498"/>
      <c r="EE202" s="498"/>
      <c r="EF202" s="498"/>
      <c r="EG202" s="498"/>
      <c r="EH202" s="498"/>
      <c r="EI202" s="498"/>
      <c r="EJ202" s="498"/>
      <c r="EK202" s="498"/>
      <c r="EL202" s="498"/>
      <c r="EM202" s="498"/>
      <c r="EN202" s="498"/>
      <c r="EO202" s="498"/>
      <c r="EP202" s="498"/>
      <c r="EQ202" s="498"/>
      <c r="ER202" s="498"/>
      <c r="ES202" s="498"/>
      <c r="ET202" s="498"/>
      <c r="EU202" s="498"/>
      <c r="EV202" s="498"/>
      <c r="EW202" s="498"/>
      <c r="EX202" s="498"/>
      <c r="EY202" s="498"/>
      <c r="EZ202" s="498"/>
      <c r="FA202" s="498"/>
      <c r="FB202" s="498"/>
      <c r="FC202" s="498"/>
    </row>
    <row r="203" spans="3:159">
      <c r="C203" s="306" t="s">
        <v>1615</v>
      </c>
      <c r="D203" s="307"/>
      <c r="E203" s="307"/>
      <c r="F203" s="307"/>
      <c r="G203" s="307"/>
      <c r="H203" s="307"/>
      <c r="I203" s="307"/>
      <c r="J203" s="307"/>
      <c r="K203" s="307"/>
      <c r="L203" s="307"/>
      <c r="M203" s="307"/>
      <c r="N203" s="307"/>
      <c r="O203" s="308"/>
      <c r="P203" s="308"/>
      <c r="Q203" s="308"/>
      <c r="R203" s="308"/>
      <c r="S203" s="308"/>
      <c r="T203" s="308"/>
      <c r="U203" s="308"/>
      <c r="V203" s="308"/>
      <c r="W203" s="308"/>
      <c r="X203" s="308"/>
      <c r="Y203" s="308"/>
      <c r="Z203" s="308"/>
      <c r="AA203" s="650"/>
      <c r="AB203" s="650"/>
      <c r="AC203" s="650"/>
      <c r="AD203" s="308"/>
      <c r="AE203" s="308"/>
      <c r="AF203" s="308"/>
      <c r="AG203" s="308"/>
      <c r="AH203" s="308"/>
      <c r="AO203" s="338"/>
      <c r="AP203" s="449"/>
      <c r="AR203" s="449"/>
      <c r="AS203" s="449"/>
      <c r="BA203" s="308"/>
      <c r="BB203" s="308"/>
      <c r="BC203" s="308"/>
      <c r="BD203" s="308"/>
      <c r="BE203" s="308"/>
      <c r="BF203" s="308"/>
      <c r="BG203" s="308"/>
      <c r="BH203" s="308"/>
      <c r="BI203" s="308"/>
      <c r="BJ203" s="308"/>
      <c r="BK203" s="308"/>
      <c r="BL203" s="308"/>
      <c r="BM203" s="308"/>
      <c r="BN203" s="308"/>
      <c r="BO203" s="308"/>
      <c r="BP203" s="308"/>
      <c r="BQ203" s="308"/>
      <c r="BR203" s="308"/>
      <c r="BS203" s="308"/>
      <c r="BT203" s="308"/>
      <c r="BU203" s="308"/>
      <c r="BV203" s="308"/>
      <c r="BW203" s="308"/>
      <c r="BX203" s="308"/>
      <c r="BY203" s="308"/>
      <c r="BZ203" s="308"/>
      <c r="CA203" s="308"/>
      <c r="CB203" s="308"/>
      <c r="CC203" s="308"/>
      <c r="CD203" s="308"/>
      <c r="CE203" s="308"/>
      <c r="CF203" s="308"/>
      <c r="CG203" s="308"/>
      <c r="CH203" s="308"/>
      <c r="CI203" s="308"/>
      <c r="CJ203" s="308"/>
      <c r="CK203" s="308"/>
      <c r="CL203" s="308"/>
      <c r="CM203" s="308"/>
      <c r="CN203" s="308"/>
      <c r="CO203" s="339"/>
      <c r="CR203" s="308"/>
      <c r="CS203" s="308"/>
      <c r="CT203" s="308"/>
      <c r="CU203" s="308"/>
      <c r="CV203" s="308"/>
      <c r="CW203" s="308"/>
      <c r="CX203" s="308"/>
      <c r="CY203" s="308"/>
      <c r="CZ203" s="308"/>
      <c r="DA203" s="308"/>
      <c r="DB203" s="308"/>
      <c r="DC203" s="308"/>
      <c r="DD203" s="308"/>
      <c r="DE203" s="308"/>
      <c r="DF203" s="308"/>
      <c r="DG203" s="308"/>
      <c r="DH203" s="308"/>
      <c r="DI203" s="308"/>
      <c r="DJ203" s="308"/>
      <c r="DK203" s="308"/>
      <c r="DL203" s="308"/>
      <c r="DM203" s="308"/>
      <c r="DN203" s="308"/>
      <c r="DO203" s="308"/>
      <c r="DP203" s="308"/>
      <c r="DQ203" s="308"/>
      <c r="DR203" s="308"/>
      <c r="DS203" s="308"/>
      <c r="DT203" s="308"/>
      <c r="DU203" s="308"/>
      <c r="DV203" s="308"/>
      <c r="DW203" s="308"/>
      <c r="DX203" s="308"/>
      <c r="DY203" s="308"/>
      <c r="DZ203" s="308"/>
      <c r="EA203" s="308"/>
      <c r="EB203" s="308"/>
      <c r="EC203" s="308"/>
      <c r="ED203" s="308"/>
      <c r="EE203" s="308"/>
      <c r="EF203" s="308"/>
      <c r="EG203" s="308"/>
      <c r="EH203" s="308"/>
      <c r="EI203" s="308"/>
      <c r="EJ203" s="308"/>
      <c r="EK203" s="308"/>
      <c r="EL203" s="308"/>
      <c r="EM203" s="308"/>
      <c r="EN203" s="308"/>
      <c r="EO203" s="308"/>
      <c r="EP203" s="308"/>
      <c r="EQ203" s="308"/>
      <c r="ER203" s="308"/>
      <c r="ES203" s="308"/>
      <c r="ET203" s="308"/>
      <c r="EU203" s="308"/>
      <c r="EV203" s="308"/>
      <c r="EW203" s="308"/>
      <c r="EX203" s="308"/>
      <c r="EY203" s="308"/>
      <c r="EZ203" s="308"/>
      <c r="FA203" s="308"/>
      <c r="FB203" s="308"/>
      <c r="FC203" s="308"/>
    </row>
    <row r="204" spans="3:159">
      <c r="C204" s="267" t="s">
        <v>1623</v>
      </c>
      <c r="J204" s="322"/>
      <c r="K204" s="322"/>
      <c r="L204" s="322"/>
      <c r="M204" s="322"/>
      <c r="N204" s="322"/>
      <c r="O204" s="322"/>
      <c r="P204" s="322"/>
      <c r="Q204" s="322"/>
      <c r="R204" s="322"/>
      <c r="S204" s="322"/>
      <c r="T204" s="322"/>
      <c r="U204" s="322"/>
      <c r="V204" s="538">
        <f>'Income Statement'!T112</f>
        <v>110.7</v>
      </c>
      <c r="W204" s="538">
        <f>'Income Statement'!U112</f>
        <v>132.15</v>
      </c>
      <c r="X204" s="538">
        <f>'Income Statement'!V112</f>
        <v>90</v>
      </c>
      <c r="Y204" s="538">
        <f>'Income Statement'!W112</f>
        <v>107.66</v>
      </c>
      <c r="Z204" s="538">
        <f>'Income Statement'!X112</f>
        <v>105.3</v>
      </c>
      <c r="AA204" s="538">
        <f>'Income Statement'!Y112</f>
        <v>142.71392307692312</v>
      </c>
      <c r="AB204" s="538">
        <f>'Income Statement'!Z112</f>
        <v>201.14664122137407</v>
      </c>
      <c r="AC204" s="539">
        <v>250</v>
      </c>
      <c r="AD204" s="539">
        <v>300</v>
      </c>
      <c r="AE204" s="539">
        <f>AD204*1.12</f>
        <v>336.00000000000006</v>
      </c>
      <c r="AF204" s="539">
        <f>AE204*1.12</f>
        <v>376.32000000000011</v>
      </c>
      <c r="AG204" s="539">
        <f>AF204*1.12</f>
        <v>421.47840000000014</v>
      </c>
      <c r="AH204" s="539">
        <f>AG204*1.12</f>
        <v>472.05580800000018</v>
      </c>
      <c r="AO204" s="338"/>
      <c r="AP204" s="449" t="s">
        <v>1646</v>
      </c>
      <c r="AR204" s="449"/>
      <c r="AS204" s="449"/>
      <c r="BA204" s="498"/>
      <c r="BB204" s="498"/>
      <c r="BC204" s="498"/>
      <c r="BD204" s="498"/>
      <c r="BE204" s="498"/>
      <c r="BF204" s="498"/>
      <c r="BG204" s="498"/>
      <c r="BH204" s="498"/>
      <c r="BI204" s="498"/>
      <c r="BJ204" s="498"/>
      <c r="BK204" s="498"/>
      <c r="BL204" s="498"/>
      <c r="BM204" s="498"/>
      <c r="BN204" s="498"/>
      <c r="BO204" s="498"/>
      <c r="BP204" s="498"/>
      <c r="BQ204" s="498"/>
      <c r="BR204" s="498"/>
      <c r="BS204" s="498"/>
      <c r="BT204" s="498"/>
      <c r="BU204" s="498"/>
      <c r="BV204" s="498"/>
      <c r="BW204" s="498"/>
      <c r="BX204" s="498"/>
      <c r="BY204" s="498"/>
      <c r="BZ204" s="498"/>
      <c r="CA204" s="498"/>
      <c r="CB204" s="498"/>
      <c r="CC204" s="498"/>
      <c r="CD204" s="498"/>
      <c r="CE204" s="498"/>
      <c r="CF204" s="498"/>
      <c r="CG204" s="322"/>
      <c r="CH204" s="322"/>
      <c r="CI204" s="322"/>
      <c r="CJ204" s="322"/>
      <c r="CK204" s="322"/>
      <c r="CL204" s="322"/>
      <c r="CM204" s="322"/>
      <c r="CN204" s="322"/>
      <c r="CO204" s="457"/>
      <c r="CR204" s="498"/>
      <c r="CS204" s="498"/>
      <c r="CT204" s="498"/>
      <c r="CU204" s="498"/>
      <c r="CV204" s="498"/>
      <c r="CW204" s="498"/>
      <c r="CX204" s="498"/>
      <c r="CY204" s="498"/>
      <c r="CZ204" s="498"/>
      <c r="DA204" s="498"/>
      <c r="DB204" s="498"/>
      <c r="DC204" s="498"/>
      <c r="DD204" s="498"/>
      <c r="DE204" s="498"/>
      <c r="DF204" s="498"/>
      <c r="DG204" s="498"/>
      <c r="DH204" s="498"/>
      <c r="DI204" s="498"/>
      <c r="DJ204" s="498"/>
      <c r="DK204" s="498"/>
      <c r="DL204" s="498"/>
      <c r="DM204" s="498"/>
      <c r="DN204" s="498"/>
      <c r="DO204" s="498"/>
      <c r="DP204" s="498"/>
      <c r="DQ204" s="498"/>
      <c r="DR204" s="498"/>
      <c r="DS204" s="498"/>
      <c r="DT204" s="498"/>
      <c r="DU204" s="498"/>
      <c r="DV204" s="498"/>
      <c r="DW204" s="498"/>
      <c r="DX204" s="498"/>
      <c r="DY204" s="498"/>
      <c r="DZ204" s="498"/>
      <c r="EA204" s="498"/>
      <c r="EB204" s="498"/>
      <c r="EC204" s="498"/>
      <c r="ED204" s="498"/>
      <c r="EE204" s="498"/>
      <c r="EF204" s="498"/>
      <c r="EG204" s="498"/>
      <c r="EH204" s="498"/>
      <c r="EI204" s="498"/>
      <c r="EJ204" s="498"/>
      <c r="EK204" s="498"/>
      <c r="EL204" s="498"/>
      <c r="EM204" s="498"/>
      <c r="EN204" s="498"/>
      <c r="EO204" s="498"/>
      <c r="EP204" s="498"/>
      <c r="EQ204" s="498"/>
      <c r="ER204" s="498"/>
      <c r="ES204" s="498"/>
      <c r="ET204" s="498"/>
      <c r="EU204" s="498"/>
      <c r="EV204" s="498"/>
      <c r="EW204" s="498"/>
      <c r="EX204" s="498"/>
      <c r="EY204" s="498"/>
      <c r="EZ204" s="498"/>
      <c r="FA204" s="498"/>
      <c r="FB204" s="498"/>
      <c r="FC204" s="498"/>
    </row>
    <row r="205" spans="3:159">
      <c r="C205" s="267" t="s">
        <v>1616</v>
      </c>
      <c r="J205" s="322"/>
      <c r="K205" s="322"/>
      <c r="L205" s="322"/>
      <c r="M205" s="322"/>
      <c r="N205" s="322"/>
      <c r="O205" s="322"/>
      <c r="P205" s="322"/>
      <c r="Q205" s="322"/>
      <c r="R205" s="322"/>
      <c r="S205" s="322"/>
      <c r="T205" s="322"/>
      <c r="U205" s="322"/>
      <c r="V205" s="322"/>
      <c r="W205" s="322"/>
      <c r="X205" s="287">
        <f t="shared" ref="X205:AH205" si="45">-X178</f>
        <v>0</v>
      </c>
      <c r="Y205" s="287">
        <f t="shared" si="45"/>
        <v>0</v>
      </c>
      <c r="Z205" s="287">
        <f t="shared" si="45"/>
        <v>0</v>
      </c>
      <c r="AA205" s="287">
        <f t="shared" si="45"/>
        <v>0</v>
      </c>
      <c r="AB205" s="287">
        <f t="shared" si="45"/>
        <v>0</v>
      </c>
      <c r="AC205" s="287">
        <f t="shared" si="45"/>
        <v>1250</v>
      </c>
      <c r="AD205" s="287">
        <f t="shared" si="45"/>
        <v>1250</v>
      </c>
      <c r="AE205" s="287">
        <f t="shared" si="45"/>
        <v>1250</v>
      </c>
      <c r="AF205" s="287">
        <f t="shared" si="45"/>
        <v>1250</v>
      </c>
      <c r="AG205" s="287">
        <f t="shared" si="45"/>
        <v>1250</v>
      </c>
      <c r="AH205" s="287">
        <f t="shared" si="45"/>
        <v>1249</v>
      </c>
      <c r="AO205" s="639"/>
      <c r="AP205" s="449"/>
      <c r="AR205" s="449"/>
      <c r="AS205" s="449"/>
      <c r="BA205" s="498"/>
      <c r="BB205" s="498"/>
      <c r="BC205" s="498"/>
      <c r="BD205" s="498"/>
      <c r="BE205" s="498"/>
      <c r="BF205" s="498"/>
      <c r="BG205" s="498"/>
      <c r="BH205" s="498"/>
      <c r="BI205" s="498"/>
      <c r="BJ205" s="498"/>
      <c r="BK205" s="498"/>
      <c r="BL205" s="498"/>
      <c r="BM205" s="498"/>
      <c r="BN205" s="498"/>
      <c r="BO205" s="498"/>
      <c r="BP205" s="498"/>
      <c r="BQ205" s="498"/>
      <c r="BR205" s="498"/>
      <c r="BS205" s="498"/>
      <c r="BT205" s="498"/>
      <c r="BU205" s="498"/>
      <c r="BV205" s="498"/>
      <c r="BW205" s="498"/>
      <c r="BX205" s="498"/>
      <c r="BY205" s="498"/>
      <c r="BZ205" s="498"/>
      <c r="CA205" s="498"/>
      <c r="CB205" s="498"/>
      <c r="CC205" s="498"/>
      <c r="CD205" s="498"/>
      <c r="CE205" s="498"/>
      <c r="CF205" s="498"/>
      <c r="CG205" s="322"/>
      <c r="CH205" s="322"/>
      <c r="CI205" s="322"/>
      <c r="CJ205" s="322"/>
      <c r="CK205" s="322"/>
      <c r="CL205" s="322"/>
      <c r="CM205" s="322"/>
      <c r="CN205" s="322"/>
      <c r="CO205" s="457"/>
      <c r="CR205" s="498"/>
      <c r="CS205" s="498"/>
      <c r="CT205" s="498"/>
      <c r="CU205" s="498"/>
      <c r="CV205" s="498"/>
      <c r="CW205" s="498"/>
      <c r="CX205" s="498"/>
      <c r="CY205" s="498"/>
      <c r="CZ205" s="498"/>
      <c r="DA205" s="498"/>
      <c r="DB205" s="498"/>
      <c r="DC205" s="498"/>
      <c r="DD205" s="498"/>
      <c r="DE205" s="498"/>
      <c r="DF205" s="498"/>
      <c r="DG205" s="498"/>
      <c r="DH205" s="498"/>
      <c r="DI205" s="498"/>
      <c r="DJ205" s="498"/>
      <c r="DK205" s="498"/>
      <c r="DL205" s="498"/>
      <c r="DM205" s="498"/>
      <c r="DN205" s="498"/>
      <c r="DO205" s="498"/>
      <c r="DP205" s="498"/>
      <c r="DQ205" s="498"/>
      <c r="DR205" s="498"/>
      <c r="DS205" s="498"/>
      <c r="DT205" s="498"/>
      <c r="DU205" s="498"/>
      <c r="DV205" s="498"/>
      <c r="DW205" s="498"/>
      <c r="DX205" s="498"/>
      <c r="DY205" s="498"/>
      <c r="DZ205" s="498"/>
      <c r="EA205" s="498"/>
      <c r="EB205" s="498"/>
      <c r="EC205" s="498"/>
      <c r="ED205" s="498"/>
      <c r="EE205" s="498"/>
      <c r="EF205" s="498"/>
      <c r="EG205" s="498"/>
      <c r="EH205" s="498"/>
      <c r="EI205" s="498"/>
      <c r="EJ205" s="498"/>
      <c r="EK205" s="498"/>
      <c r="EL205" s="498"/>
      <c r="EM205" s="498"/>
      <c r="EN205" s="498"/>
      <c r="EO205" s="498"/>
      <c r="EP205" s="498"/>
      <c r="EQ205" s="498"/>
      <c r="ER205" s="498"/>
      <c r="ES205" s="498"/>
      <c r="ET205" s="498"/>
      <c r="EU205" s="498"/>
      <c r="EV205" s="498"/>
      <c r="EW205" s="498"/>
      <c r="EX205" s="498"/>
      <c r="EY205" s="498"/>
      <c r="EZ205" s="498"/>
      <c r="FA205" s="498"/>
      <c r="FB205" s="498"/>
      <c r="FC205" s="498"/>
    </row>
    <row r="206" spans="3:159">
      <c r="C206" s="267" t="s">
        <v>1622</v>
      </c>
      <c r="J206" s="322"/>
      <c r="K206" s="322"/>
      <c r="L206" s="322"/>
      <c r="M206" s="322"/>
      <c r="N206" s="322"/>
      <c r="O206" s="322"/>
      <c r="P206" s="322"/>
      <c r="Q206" s="322"/>
      <c r="R206" s="322"/>
      <c r="S206" s="322"/>
      <c r="T206" s="322"/>
      <c r="U206" s="322"/>
      <c r="V206" s="322"/>
      <c r="W206" s="322"/>
      <c r="X206" s="540">
        <f t="shared" ref="X206:AH206" si="46">X205/X204</f>
        <v>0</v>
      </c>
      <c r="Y206" s="540">
        <f t="shared" si="46"/>
        <v>0</v>
      </c>
      <c r="Z206" s="540">
        <f t="shared" si="46"/>
        <v>0</v>
      </c>
      <c r="AA206" s="540">
        <f t="shared" si="46"/>
        <v>0</v>
      </c>
      <c r="AB206" s="540">
        <f t="shared" si="46"/>
        <v>0</v>
      </c>
      <c r="AC206" s="540">
        <f t="shared" si="46"/>
        <v>5</v>
      </c>
      <c r="AD206" s="540">
        <f t="shared" si="46"/>
        <v>4.166666666666667</v>
      </c>
      <c r="AE206" s="540">
        <f t="shared" si="46"/>
        <v>3.7202380952380945</v>
      </c>
      <c r="AF206" s="540">
        <f t="shared" si="46"/>
        <v>3.3216411564625843</v>
      </c>
      <c r="AG206" s="540">
        <f t="shared" si="46"/>
        <v>2.9657510325558785</v>
      </c>
      <c r="AH206" s="540">
        <f t="shared" si="46"/>
        <v>2.6458735997587799</v>
      </c>
      <c r="AO206" s="338"/>
      <c r="AP206" s="449"/>
      <c r="AR206" s="449"/>
      <c r="AS206" s="449"/>
      <c r="BA206" s="498"/>
      <c r="BB206" s="498"/>
      <c r="BC206" s="498"/>
      <c r="BD206" s="498"/>
      <c r="BE206" s="498"/>
      <c r="BF206" s="498"/>
      <c r="BG206" s="498"/>
      <c r="BH206" s="498"/>
      <c r="BI206" s="498"/>
      <c r="BJ206" s="498"/>
      <c r="BK206" s="498"/>
      <c r="BL206" s="498"/>
      <c r="BM206" s="498"/>
      <c r="BN206" s="498"/>
      <c r="BO206" s="498"/>
      <c r="BP206" s="498"/>
      <c r="BQ206" s="498"/>
      <c r="BR206" s="498"/>
      <c r="BS206" s="498"/>
      <c r="BT206" s="498"/>
      <c r="BU206" s="498"/>
      <c r="BV206" s="498"/>
      <c r="BW206" s="498"/>
      <c r="BX206" s="498"/>
      <c r="BY206" s="498"/>
      <c r="BZ206" s="498"/>
      <c r="CA206" s="498"/>
      <c r="CB206" s="498"/>
      <c r="CC206" s="498"/>
      <c r="CD206" s="498"/>
      <c r="CE206" s="498"/>
      <c r="CF206" s="498"/>
      <c r="CG206" s="322"/>
      <c r="CH206" s="322"/>
      <c r="CI206" s="322"/>
      <c r="CJ206" s="322"/>
      <c r="CK206" s="322"/>
      <c r="CL206" s="322"/>
      <c r="CM206" s="322"/>
      <c r="CN206" s="322"/>
      <c r="CO206" s="457"/>
      <c r="CR206" s="498"/>
      <c r="CS206" s="498"/>
      <c r="CT206" s="498"/>
      <c r="CU206" s="498"/>
      <c r="CV206" s="498"/>
      <c r="CW206" s="498"/>
      <c r="CX206" s="498"/>
      <c r="CY206" s="498"/>
      <c r="CZ206" s="498"/>
      <c r="DA206" s="498"/>
      <c r="DB206" s="498"/>
      <c r="DC206" s="498"/>
      <c r="DD206" s="498"/>
      <c r="DE206" s="498"/>
      <c r="DF206" s="498"/>
      <c r="DG206" s="498"/>
      <c r="DH206" s="498"/>
      <c r="DI206" s="498"/>
      <c r="DJ206" s="498"/>
      <c r="DK206" s="498"/>
      <c r="DL206" s="498"/>
      <c r="DM206" s="498"/>
      <c r="DN206" s="498"/>
      <c r="DO206" s="498"/>
      <c r="DP206" s="498"/>
      <c r="DQ206" s="498"/>
      <c r="DR206" s="498"/>
      <c r="DS206" s="498"/>
      <c r="DT206" s="498"/>
      <c r="DU206" s="498"/>
      <c r="DV206" s="498"/>
      <c r="DW206" s="498"/>
      <c r="DX206" s="498"/>
      <c r="DY206" s="498"/>
      <c r="DZ206" s="498"/>
      <c r="EA206" s="498"/>
      <c r="EB206" s="498"/>
      <c r="EC206" s="498"/>
      <c r="ED206" s="498"/>
      <c r="EE206" s="498"/>
      <c r="EF206" s="498"/>
      <c r="EG206" s="498"/>
      <c r="EH206" s="498"/>
      <c r="EI206" s="498"/>
      <c r="EJ206" s="498"/>
      <c r="EK206" s="498"/>
      <c r="EL206" s="498"/>
      <c r="EM206" s="498"/>
      <c r="EN206" s="498"/>
      <c r="EO206" s="498"/>
      <c r="EP206" s="498"/>
      <c r="EQ206" s="498"/>
      <c r="ER206" s="498"/>
      <c r="ES206" s="498"/>
      <c r="ET206" s="498"/>
      <c r="EU206" s="498"/>
      <c r="EV206" s="498"/>
      <c r="EW206" s="498"/>
      <c r="EX206" s="498"/>
      <c r="EY206" s="498"/>
      <c r="EZ206" s="498"/>
      <c r="FA206" s="498"/>
      <c r="FB206" s="498"/>
      <c r="FC206" s="498"/>
    </row>
    <row r="207" spans="3:159">
      <c r="C207" s="267" t="s">
        <v>1617</v>
      </c>
      <c r="J207" s="322"/>
      <c r="K207" s="322"/>
      <c r="L207" s="322"/>
      <c r="M207" s="322"/>
      <c r="N207" s="322"/>
      <c r="O207" s="322"/>
      <c r="P207" s="322"/>
      <c r="Q207" s="322"/>
      <c r="R207" s="322"/>
      <c r="S207" s="322"/>
      <c r="T207" s="322"/>
      <c r="U207" s="322"/>
      <c r="V207" s="322"/>
      <c r="W207" s="322"/>
      <c r="X207" s="540">
        <f>'Income Statement'!U116/1000-X206</f>
        <v>429.72337199999998</v>
      </c>
      <c r="Y207" s="540">
        <f>'Income Statement'!V116/1000-Y206</f>
        <v>426.035732</v>
      </c>
      <c r="Z207" s="540">
        <f>'Income Statement'!W116/1000-Z206</f>
        <v>426.65042499999998</v>
      </c>
      <c r="AA207" s="540">
        <f>'Income Statement'!X116/1000-AA206</f>
        <v>426.680657</v>
      </c>
      <c r="AB207" s="540">
        <f>'Income Statement'!Y116/1000-AB206</f>
        <v>417.79549200000002</v>
      </c>
      <c r="AC207" s="540">
        <f>'Income Statement'!Z116/1000-AC206</f>
        <v>411.14953000000003</v>
      </c>
      <c r="AD207" s="540">
        <f>'Income Statement'!AA116/1000-AD206</f>
        <v>407.49614402249347</v>
      </c>
      <c r="AE207" s="540">
        <f>'Income Statement'!AB116/1000-AE206</f>
        <v>403.45585328308215</v>
      </c>
      <c r="AF207" s="540">
        <f>'Income Statement'!AC116/1000-AF206</f>
        <v>399.36773091101776</v>
      </c>
      <c r="AG207" s="540">
        <f>'Income Statement'!AD116/1000-AG206</f>
        <v>395.23690172408459</v>
      </c>
      <c r="AH207" s="540">
        <f>'Income Statement'!AE116/1000-AH206</f>
        <v>395.5567791568817</v>
      </c>
      <c r="AO207" s="338"/>
      <c r="AP207" s="449"/>
      <c r="AR207" s="449"/>
      <c r="AS207" s="449"/>
      <c r="BA207" s="498"/>
      <c r="BB207" s="498"/>
      <c r="BC207" s="498"/>
      <c r="BD207" s="498"/>
      <c r="BE207" s="498"/>
      <c r="BF207" s="498"/>
      <c r="BG207" s="498"/>
      <c r="BH207" s="498"/>
      <c r="BI207" s="498"/>
      <c r="BJ207" s="498"/>
      <c r="BK207" s="498"/>
      <c r="BL207" s="498"/>
      <c r="BM207" s="498"/>
      <c r="BN207" s="498"/>
      <c r="BO207" s="498"/>
      <c r="BP207" s="498"/>
      <c r="BQ207" s="498"/>
      <c r="BR207" s="498"/>
      <c r="BS207" s="498"/>
      <c r="BT207" s="498"/>
      <c r="BU207" s="498"/>
      <c r="BV207" s="498"/>
      <c r="BW207" s="498"/>
      <c r="BX207" s="498"/>
      <c r="BY207" s="498"/>
      <c r="BZ207" s="498"/>
      <c r="CA207" s="498"/>
      <c r="CB207" s="498"/>
      <c r="CC207" s="498"/>
      <c r="CD207" s="498"/>
      <c r="CE207" s="498"/>
      <c r="CF207" s="498"/>
      <c r="CG207" s="322"/>
      <c r="CH207" s="322"/>
      <c r="CI207" s="322"/>
      <c r="CJ207" s="322"/>
      <c r="CK207" s="322"/>
      <c r="CL207" s="322"/>
      <c r="CM207" s="322"/>
      <c r="CN207" s="322"/>
      <c r="CO207" s="457"/>
      <c r="CR207" s="498"/>
      <c r="CS207" s="498"/>
      <c r="CT207" s="498"/>
      <c r="CU207" s="498"/>
      <c r="CV207" s="498"/>
      <c r="CW207" s="498"/>
      <c r="CX207" s="498"/>
      <c r="CY207" s="498"/>
      <c r="CZ207" s="498"/>
      <c r="DA207" s="498"/>
      <c r="DB207" s="498"/>
      <c r="DC207" s="498"/>
      <c r="DD207" s="498"/>
      <c r="DE207" s="498"/>
      <c r="DF207" s="498"/>
      <c r="DG207" s="498"/>
      <c r="DH207" s="498"/>
      <c r="DI207" s="498"/>
      <c r="DJ207" s="498"/>
      <c r="DK207" s="498"/>
      <c r="DL207" s="498"/>
      <c r="DM207" s="498"/>
      <c r="DN207" s="498"/>
      <c r="DO207" s="498"/>
      <c r="DP207" s="498"/>
      <c r="DQ207" s="498"/>
      <c r="DR207" s="498"/>
      <c r="DS207" s="498"/>
      <c r="DT207" s="498"/>
      <c r="DU207" s="498"/>
      <c r="DV207" s="498"/>
      <c r="DW207" s="498"/>
      <c r="DX207" s="498"/>
      <c r="DY207" s="498"/>
      <c r="DZ207" s="498"/>
      <c r="EA207" s="498"/>
      <c r="EB207" s="498"/>
      <c r="EC207" s="498"/>
      <c r="ED207" s="498"/>
      <c r="EE207" s="498"/>
      <c r="EF207" s="498"/>
      <c r="EG207" s="498"/>
      <c r="EH207" s="498"/>
      <c r="EI207" s="498"/>
      <c r="EJ207" s="498"/>
      <c r="EK207" s="498"/>
      <c r="EL207" s="498"/>
      <c r="EM207" s="498"/>
      <c r="EN207" s="498"/>
      <c r="EO207" s="498"/>
      <c r="EP207" s="498"/>
      <c r="EQ207" s="498"/>
      <c r="ER207" s="498"/>
      <c r="ES207" s="498"/>
      <c r="ET207" s="498"/>
      <c r="EU207" s="498"/>
      <c r="EV207" s="498"/>
      <c r="EW207" s="498"/>
      <c r="EX207" s="498"/>
      <c r="EY207" s="498"/>
      <c r="EZ207" s="498"/>
      <c r="FA207" s="498"/>
      <c r="FB207" s="498"/>
      <c r="FC207" s="498"/>
    </row>
    <row r="208" spans="3:159">
      <c r="C208" s="267" t="s">
        <v>1618</v>
      </c>
      <c r="J208" s="322"/>
      <c r="K208" s="322"/>
      <c r="L208" s="322"/>
      <c r="M208" s="322"/>
      <c r="N208" s="322"/>
      <c r="O208" s="322"/>
      <c r="P208" s="322"/>
      <c r="Q208" s="322"/>
      <c r="R208" s="322"/>
      <c r="S208" s="322"/>
      <c r="T208" s="322"/>
      <c r="U208" s="322"/>
      <c r="V208" s="322"/>
      <c r="W208" s="322"/>
      <c r="X208" s="540">
        <f t="shared" ref="X208:AH208" si="47">X205</f>
        <v>0</v>
      </c>
      <c r="Y208" s="540">
        <f t="shared" si="47"/>
        <v>0</v>
      </c>
      <c r="Z208" s="540">
        <f t="shared" si="47"/>
        <v>0</v>
      </c>
      <c r="AA208" s="540">
        <f t="shared" si="47"/>
        <v>0</v>
      </c>
      <c r="AB208" s="540">
        <f t="shared" si="47"/>
        <v>0</v>
      </c>
      <c r="AC208" s="540">
        <f t="shared" si="47"/>
        <v>1250</v>
      </c>
      <c r="AD208" s="540">
        <f t="shared" si="47"/>
        <v>1250</v>
      </c>
      <c r="AE208" s="540">
        <f t="shared" si="47"/>
        <v>1250</v>
      </c>
      <c r="AF208" s="540">
        <f t="shared" si="47"/>
        <v>1250</v>
      </c>
      <c r="AG208" s="540">
        <f t="shared" si="47"/>
        <v>1250</v>
      </c>
      <c r="AH208" s="540">
        <f t="shared" si="47"/>
        <v>1249</v>
      </c>
      <c r="AO208" s="338"/>
      <c r="AP208" s="449"/>
      <c r="AR208" s="449"/>
      <c r="AS208" s="449"/>
      <c r="BA208" s="498"/>
      <c r="BB208" s="498"/>
      <c r="BC208" s="498"/>
      <c r="BD208" s="498"/>
      <c r="BE208" s="498"/>
      <c r="BF208" s="498"/>
      <c r="BG208" s="498"/>
      <c r="BH208" s="498"/>
      <c r="BI208" s="498"/>
      <c r="BJ208" s="498"/>
      <c r="BK208" s="498"/>
      <c r="BL208" s="498"/>
      <c r="BM208" s="498"/>
      <c r="BN208" s="498"/>
      <c r="BO208" s="498"/>
      <c r="BP208" s="498"/>
      <c r="BQ208" s="498"/>
      <c r="BR208" s="498"/>
      <c r="BS208" s="498"/>
      <c r="BT208" s="498"/>
      <c r="BU208" s="498"/>
      <c r="BV208" s="498"/>
      <c r="BW208" s="498"/>
      <c r="BX208" s="498"/>
      <c r="BY208" s="498"/>
      <c r="BZ208" s="498"/>
      <c r="CA208" s="498"/>
      <c r="CB208" s="498"/>
      <c r="CC208" s="498"/>
      <c r="CD208" s="498"/>
      <c r="CE208" s="498"/>
      <c r="CF208" s="498"/>
      <c r="CG208" s="322"/>
      <c r="CH208" s="322"/>
      <c r="CI208" s="322"/>
      <c r="CJ208" s="322"/>
      <c r="CK208" s="322"/>
      <c r="CL208" s="322"/>
      <c r="CM208" s="322"/>
      <c r="CN208" s="322"/>
      <c r="CO208" s="457"/>
      <c r="CR208" s="498"/>
      <c r="CS208" s="498"/>
      <c r="CT208" s="498"/>
      <c r="CU208" s="498"/>
      <c r="CV208" s="498"/>
      <c r="CW208" s="498"/>
      <c r="CX208" s="498"/>
      <c r="CY208" s="498"/>
      <c r="CZ208" s="498"/>
      <c r="DA208" s="498"/>
      <c r="DB208" s="498"/>
      <c r="DC208" s="498"/>
      <c r="DD208" s="498"/>
      <c r="DE208" s="498"/>
      <c r="DF208" s="498"/>
      <c r="DG208" s="498"/>
      <c r="DH208" s="498"/>
      <c r="DI208" s="498"/>
      <c r="DJ208" s="498"/>
      <c r="DK208" s="498"/>
      <c r="DL208" s="498"/>
      <c r="DM208" s="498"/>
      <c r="DN208" s="498"/>
      <c r="DO208" s="498"/>
      <c r="DP208" s="498"/>
      <c r="DQ208" s="498"/>
      <c r="DR208" s="498"/>
      <c r="DS208" s="498"/>
      <c r="DT208" s="498"/>
      <c r="DU208" s="498"/>
      <c r="DV208" s="498"/>
      <c r="DW208" s="498"/>
      <c r="DX208" s="498"/>
      <c r="DY208" s="498"/>
      <c r="DZ208" s="498"/>
      <c r="EA208" s="498"/>
      <c r="EB208" s="498"/>
      <c r="EC208" s="498"/>
      <c r="ED208" s="498"/>
      <c r="EE208" s="498"/>
      <c r="EF208" s="498"/>
      <c r="EG208" s="498"/>
      <c r="EH208" s="498"/>
      <c r="EI208" s="498"/>
      <c r="EJ208" s="498"/>
      <c r="EK208" s="498"/>
      <c r="EL208" s="498"/>
      <c r="EM208" s="498"/>
      <c r="EN208" s="498"/>
      <c r="EO208" s="498"/>
      <c r="EP208" s="498"/>
      <c r="EQ208" s="498"/>
      <c r="ER208" s="498"/>
      <c r="ES208" s="498"/>
      <c r="ET208" s="498"/>
      <c r="EU208" s="498"/>
      <c r="EV208" s="498"/>
      <c r="EW208" s="498"/>
      <c r="EX208" s="498"/>
      <c r="EY208" s="498"/>
      <c r="EZ208" s="498"/>
      <c r="FA208" s="498"/>
      <c r="FB208" s="498"/>
      <c r="FC208" s="498"/>
    </row>
    <row r="209" spans="3:159">
      <c r="C209" s="410" t="s">
        <v>1619</v>
      </c>
      <c r="J209" s="322"/>
      <c r="K209" s="322"/>
      <c r="L209" s="322"/>
      <c r="M209" s="322"/>
      <c r="N209" s="322"/>
      <c r="O209" s="322"/>
      <c r="P209" s="322"/>
      <c r="Q209" s="322"/>
      <c r="R209" s="322"/>
      <c r="S209" s="322"/>
      <c r="T209" s="322"/>
      <c r="U209" s="322"/>
      <c r="V209" s="322"/>
      <c r="W209" s="322"/>
      <c r="X209" s="322">
        <f>'Income Statement'!V145</f>
        <v>6.8976328578147046E-3</v>
      </c>
      <c r="Y209" s="322">
        <f>'Income Statement'!W145</f>
        <v>3.3355570380253501E-3</v>
      </c>
      <c r="Z209" s="322">
        <f>'Income Statement'!X145</f>
        <v>6.3683593095357803E-3</v>
      </c>
      <c r="AA209" s="322">
        <f>'Income Statement'!Y145</f>
        <v>3.4423407917383818E-2</v>
      </c>
      <c r="AB209" s="322">
        <f>'Income Statement'!Z145</f>
        <v>3.7755875663381351E-2</v>
      </c>
      <c r="AC209" s="322">
        <f>'Income Statement'!AA145</f>
        <v>3.5755875663381349E-2</v>
      </c>
      <c r="AD209" s="322">
        <f>'Income Statement'!AB145</f>
        <v>3.3755875663381348E-2</v>
      </c>
      <c r="AE209" s="322">
        <f>'Income Statement'!AC145</f>
        <v>3.1755875663381346E-2</v>
      </c>
      <c r="AF209" s="322">
        <f>'Income Statement'!AD145</f>
        <v>2.9755875663381344E-2</v>
      </c>
      <c r="AG209" s="322">
        <f>'Income Statement'!AE145</f>
        <v>2.7755875663381342E-2</v>
      </c>
      <c r="AH209" s="322">
        <f>'Income Statement'!AF145</f>
        <v>2.575587566338134E-2</v>
      </c>
      <c r="AO209" s="338"/>
      <c r="AP209" s="449"/>
      <c r="AR209" s="449"/>
      <c r="AS209" s="449"/>
      <c r="BA209" s="498"/>
      <c r="BB209" s="498"/>
      <c r="BC209" s="498"/>
      <c r="BD209" s="498"/>
      <c r="BE209" s="498"/>
      <c r="BF209" s="498"/>
      <c r="BG209" s="498"/>
      <c r="BH209" s="498"/>
      <c r="BI209" s="498"/>
      <c r="BJ209" s="498"/>
      <c r="BK209" s="498"/>
      <c r="BL209" s="498"/>
      <c r="BM209" s="498"/>
      <c r="BN209" s="498"/>
      <c r="BO209" s="498"/>
      <c r="BP209" s="498"/>
      <c r="BQ209" s="498"/>
      <c r="BR209" s="498"/>
      <c r="BS209" s="498"/>
      <c r="BT209" s="498"/>
      <c r="BU209" s="498"/>
      <c r="BV209" s="498"/>
      <c r="BW209" s="498"/>
      <c r="BX209" s="498"/>
      <c r="BY209" s="498"/>
      <c r="BZ209" s="498"/>
      <c r="CA209" s="498"/>
      <c r="CB209" s="498"/>
      <c r="CC209" s="498"/>
      <c r="CD209" s="498"/>
      <c r="CE209" s="498"/>
      <c r="CF209" s="498"/>
      <c r="CG209" s="322"/>
      <c r="CH209" s="322"/>
      <c r="CI209" s="322"/>
      <c r="CJ209" s="322"/>
      <c r="CK209" s="322"/>
      <c r="CL209" s="322"/>
      <c r="CM209" s="322"/>
      <c r="CN209" s="322"/>
      <c r="CO209" s="457"/>
      <c r="CR209" s="498"/>
      <c r="CS209" s="498"/>
      <c r="CT209" s="498"/>
      <c r="CU209" s="498"/>
      <c r="CV209" s="498"/>
      <c r="CW209" s="498"/>
      <c r="CX209" s="498"/>
      <c r="CY209" s="498"/>
      <c r="CZ209" s="498"/>
      <c r="DA209" s="498"/>
      <c r="DB209" s="498"/>
      <c r="DC209" s="498"/>
      <c r="DD209" s="498"/>
      <c r="DE209" s="498"/>
      <c r="DF209" s="498"/>
      <c r="DG209" s="498"/>
      <c r="DH209" s="498"/>
      <c r="DI209" s="498"/>
      <c r="DJ209" s="498"/>
      <c r="DK209" s="498"/>
      <c r="DL209" s="498"/>
      <c r="DM209" s="498"/>
      <c r="DN209" s="498"/>
      <c r="DO209" s="498"/>
      <c r="DP209" s="498"/>
      <c r="DQ209" s="498"/>
      <c r="DR209" s="498"/>
      <c r="DS209" s="498"/>
      <c r="DT209" s="498"/>
      <c r="DU209" s="498"/>
      <c r="DV209" s="498"/>
      <c r="DW209" s="498"/>
      <c r="DX209" s="498"/>
      <c r="DY209" s="498"/>
      <c r="DZ209" s="498"/>
      <c r="EA209" s="498"/>
      <c r="EB209" s="498"/>
      <c r="EC209" s="498"/>
      <c r="ED209" s="498"/>
      <c r="EE209" s="498"/>
      <c r="EF209" s="498"/>
      <c r="EG209" s="498"/>
      <c r="EH209" s="498"/>
      <c r="EI209" s="498"/>
      <c r="EJ209" s="498"/>
      <c r="EK209" s="498"/>
      <c r="EL209" s="498"/>
      <c r="EM209" s="498"/>
      <c r="EN209" s="498"/>
      <c r="EO209" s="498"/>
      <c r="EP209" s="498"/>
      <c r="EQ209" s="498"/>
      <c r="ER209" s="498"/>
      <c r="ES209" s="498"/>
      <c r="ET209" s="498"/>
      <c r="EU209" s="498"/>
      <c r="EV209" s="498"/>
      <c r="EW209" s="498"/>
      <c r="EX209" s="498"/>
      <c r="EY209" s="498"/>
      <c r="EZ209" s="498"/>
      <c r="FA209" s="498"/>
      <c r="FB209" s="498"/>
      <c r="FC209" s="498"/>
    </row>
    <row r="210" spans="3:159">
      <c r="C210" s="410" t="s">
        <v>1624</v>
      </c>
      <c r="J210" s="322"/>
      <c r="K210" s="322"/>
      <c r="L210" s="322"/>
      <c r="M210" s="322"/>
      <c r="N210" s="322"/>
      <c r="O210" s="322"/>
      <c r="P210" s="322"/>
      <c r="Q210" s="322"/>
      <c r="R210" s="322"/>
      <c r="S210" s="322"/>
      <c r="T210" s="322"/>
      <c r="U210" s="322"/>
      <c r="V210" s="322"/>
      <c r="W210" s="322"/>
      <c r="X210" s="540">
        <f t="shared" ref="X210:AH210" si="48">(1-X137)*X209*X208</f>
        <v>0</v>
      </c>
      <c r="Y210" s="540">
        <f t="shared" si="48"/>
        <v>0</v>
      </c>
      <c r="Z210" s="540">
        <f t="shared" si="48"/>
        <v>0</v>
      </c>
      <c r="AA210" s="540">
        <f t="shared" si="48"/>
        <v>0</v>
      </c>
      <c r="AB210" s="540">
        <f t="shared" si="48"/>
        <v>0</v>
      </c>
      <c r="AC210" s="540">
        <f t="shared" si="48"/>
        <v>15.294575815011376</v>
      </c>
      <c r="AD210" s="540">
        <f t="shared" si="48"/>
        <v>12.704867702805155</v>
      </c>
      <c r="AE210" s="540">
        <f t="shared" si="48"/>
        <v>10.320659590598938</v>
      </c>
      <c r="AF210" s="540">
        <f t="shared" si="48"/>
        <v>9.6706595905989374</v>
      </c>
      <c r="AG210" s="540">
        <f t="shared" si="48"/>
        <v>9.0206595905989371</v>
      </c>
      <c r="AH210" s="540">
        <f t="shared" si="48"/>
        <v>8.363963062926457</v>
      </c>
      <c r="AO210" s="338"/>
      <c r="AP210" s="449"/>
      <c r="AR210" s="449"/>
      <c r="AS210" s="449"/>
      <c r="BA210" s="498"/>
      <c r="BB210" s="498"/>
      <c r="BC210" s="498"/>
      <c r="BD210" s="498"/>
      <c r="BE210" s="498"/>
      <c r="BF210" s="498"/>
      <c r="BG210" s="498"/>
      <c r="BH210" s="498"/>
      <c r="BI210" s="498"/>
      <c r="BJ210" s="498"/>
      <c r="BK210" s="498"/>
      <c r="BL210" s="498"/>
      <c r="BM210" s="498"/>
      <c r="BN210" s="498"/>
      <c r="BO210" s="498"/>
      <c r="BP210" s="498"/>
      <c r="BQ210" s="498"/>
      <c r="BR210" s="498"/>
      <c r="BS210" s="498"/>
      <c r="BT210" s="498"/>
      <c r="BU210" s="498"/>
      <c r="BV210" s="498"/>
      <c r="BW210" s="498"/>
      <c r="BX210" s="498"/>
      <c r="BY210" s="498"/>
      <c r="BZ210" s="498"/>
      <c r="CA210" s="498"/>
      <c r="CB210" s="498"/>
      <c r="CC210" s="498"/>
      <c r="CD210" s="498"/>
      <c r="CE210" s="498"/>
      <c r="CF210" s="498"/>
      <c r="CG210" s="322"/>
      <c r="CH210" s="322"/>
      <c r="CI210" s="322"/>
      <c r="CJ210" s="322"/>
      <c r="CK210" s="322"/>
      <c r="CL210" s="322"/>
      <c r="CM210" s="322"/>
      <c r="CN210" s="322"/>
      <c r="CO210" s="457"/>
      <c r="CR210" s="498"/>
      <c r="CS210" s="498"/>
      <c r="CT210" s="498"/>
      <c r="CU210" s="498"/>
      <c r="CV210" s="498"/>
      <c r="CW210" s="498"/>
      <c r="CX210" s="498"/>
      <c r="CY210" s="498"/>
      <c r="CZ210" s="498"/>
      <c r="DA210" s="498"/>
      <c r="DB210" s="498"/>
      <c r="DC210" s="498"/>
      <c r="DD210" s="498"/>
      <c r="DE210" s="498"/>
      <c r="DF210" s="498"/>
      <c r="DG210" s="498"/>
      <c r="DH210" s="498"/>
      <c r="DI210" s="498"/>
      <c r="DJ210" s="498"/>
      <c r="DK210" s="498"/>
      <c r="DL210" s="498"/>
      <c r="DM210" s="498"/>
      <c r="DN210" s="498"/>
      <c r="DO210" s="498"/>
      <c r="DP210" s="498"/>
      <c r="DQ210" s="498"/>
      <c r="DR210" s="498"/>
      <c r="DS210" s="498"/>
      <c r="DT210" s="498"/>
      <c r="DU210" s="498"/>
      <c r="DV210" s="498"/>
      <c r="DW210" s="498"/>
      <c r="DX210" s="498"/>
      <c r="DY210" s="498"/>
      <c r="DZ210" s="498"/>
      <c r="EA210" s="498"/>
      <c r="EB210" s="498"/>
      <c r="EC210" s="498"/>
      <c r="ED210" s="498"/>
      <c r="EE210" s="498"/>
      <c r="EF210" s="498"/>
      <c r="EG210" s="498"/>
      <c r="EH210" s="498"/>
      <c r="EI210" s="498"/>
      <c r="EJ210" s="498"/>
      <c r="EK210" s="498"/>
      <c r="EL210" s="498"/>
      <c r="EM210" s="498"/>
      <c r="EN210" s="498"/>
      <c r="EO210" s="498"/>
      <c r="EP210" s="498"/>
      <c r="EQ210" s="498"/>
      <c r="ER210" s="498"/>
      <c r="ES210" s="498"/>
      <c r="ET210" s="498"/>
      <c r="EU210" s="498"/>
      <c r="EV210" s="498"/>
      <c r="EW210" s="498"/>
      <c r="EX210" s="498"/>
      <c r="EY210" s="498"/>
      <c r="EZ210" s="498"/>
      <c r="FA210" s="498"/>
      <c r="FB210" s="498"/>
      <c r="FC210" s="498"/>
    </row>
    <row r="211" spans="3:159">
      <c r="C211" s="267" t="s">
        <v>1620</v>
      </c>
      <c r="J211" s="322"/>
      <c r="K211" s="322"/>
      <c r="L211" s="322"/>
      <c r="M211" s="322"/>
      <c r="N211" s="322"/>
      <c r="O211" s="322"/>
      <c r="P211" s="322"/>
      <c r="Q211" s="322"/>
      <c r="R211" s="322"/>
      <c r="S211" s="322"/>
      <c r="T211" s="322"/>
      <c r="U211" s="322"/>
      <c r="V211" s="322"/>
      <c r="W211" s="322"/>
      <c r="X211" s="321">
        <v>0</v>
      </c>
      <c r="Y211" s="321">
        <v>0</v>
      </c>
      <c r="Z211" s="321">
        <v>0</v>
      </c>
      <c r="AA211" s="321">
        <v>0</v>
      </c>
      <c r="AB211" s="321">
        <v>0</v>
      </c>
      <c r="AC211" s="321">
        <v>0</v>
      </c>
      <c r="AD211" s="321">
        <v>0</v>
      </c>
      <c r="AE211" s="321">
        <v>0</v>
      </c>
      <c r="AF211" s="321">
        <v>0</v>
      </c>
      <c r="AG211" s="321">
        <v>0</v>
      </c>
      <c r="AH211" s="321">
        <v>1</v>
      </c>
      <c r="AO211" s="338"/>
      <c r="AP211" s="449"/>
      <c r="AR211" s="449"/>
      <c r="AS211" s="449"/>
      <c r="BA211" s="498"/>
      <c r="BB211" s="498"/>
      <c r="BC211" s="498"/>
      <c r="BD211" s="498"/>
      <c r="BE211" s="498"/>
      <c r="BF211" s="498"/>
      <c r="BG211" s="498"/>
      <c r="BH211" s="498"/>
      <c r="BI211" s="498"/>
      <c r="BJ211" s="498"/>
      <c r="BK211" s="498"/>
      <c r="BL211" s="498"/>
      <c r="BM211" s="498"/>
      <c r="BN211" s="498"/>
      <c r="BO211" s="498"/>
      <c r="BP211" s="498"/>
      <c r="BQ211" s="498"/>
      <c r="BR211" s="498"/>
      <c r="BS211" s="498"/>
      <c r="BT211" s="498"/>
      <c r="BU211" s="498"/>
      <c r="BV211" s="498"/>
      <c r="BW211" s="498"/>
      <c r="BX211" s="498"/>
      <c r="BY211" s="498"/>
      <c r="BZ211" s="498"/>
      <c r="CA211" s="498"/>
      <c r="CB211" s="498"/>
      <c r="CC211" s="498"/>
      <c r="CD211" s="498"/>
      <c r="CE211" s="498"/>
      <c r="CF211" s="498"/>
      <c r="CG211" s="322"/>
      <c r="CH211" s="322"/>
      <c r="CI211" s="322"/>
      <c r="CJ211" s="322"/>
      <c r="CK211" s="322"/>
      <c r="CL211" s="322"/>
      <c r="CM211" s="322"/>
      <c r="CN211" s="322"/>
      <c r="CO211" s="457"/>
      <c r="CR211" s="498"/>
      <c r="CS211" s="498"/>
      <c r="CT211" s="498"/>
      <c r="CU211" s="498"/>
      <c r="CV211" s="498"/>
      <c r="CW211" s="498"/>
      <c r="CX211" s="498"/>
      <c r="CY211" s="498"/>
      <c r="CZ211" s="498"/>
      <c r="DA211" s="498"/>
      <c r="DB211" s="498"/>
      <c r="DC211" s="498"/>
      <c r="DD211" s="498"/>
      <c r="DE211" s="498"/>
      <c r="DF211" s="498"/>
      <c r="DG211" s="498"/>
      <c r="DH211" s="498"/>
      <c r="DI211" s="498"/>
      <c r="DJ211" s="498"/>
      <c r="DK211" s="498"/>
      <c r="DL211" s="498"/>
      <c r="DM211" s="498"/>
      <c r="DN211" s="498"/>
      <c r="DO211" s="498"/>
      <c r="DP211" s="498"/>
      <c r="DQ211" s="498"/>
      <c r="DR211" s="498"/>
      <c r="DS211" s="498"/>
      <c r="DT211" s="498"/>
      <c r="DU211" s="498"/>
      <c r="DV211" s="498"/>
      <c r="DW211" s="498"/>
      <c r="DX211" s="498"/>
      <c r="DY211" s="498"/>
      <c r="DZ211" s="498"/>
      <c r="EA211" s="498"/>
      <c r="EB211" s="498"/>
      <c r="EC211" s="498"/>
      <c r="ED211" s="498"/>
      <c r="EE211" s="498"/>
      <c r="EF211" s="498"/>
      <c r="EG211" s="498"/>
      <c r="EH211" s="498"/>
      <c r="EI211" s="498"/>
      <c r="EJ211" s="498"/>
      <c r="EK211" s="498"/>
      <c r="EL211" s="498"/>
      <c r="EM211" s="498"/>
      <c r="EN211" s="498"/>
      <c r="EO211" s="498"/>
      <c r="EP211" s="498"/>
      <c r="EQ211" s="498"/>
      <c r="ER211" s="498"/>
      <c r="ES211" s="498"/>
      <c r="ET211" s="498"/>
      <c r="EU211" s="498"/>
      <c r="EV211" s="498"/>
      <c r="EW211" s="498"/>
      <c r="EX211" s="498"/>
      <c r="EY211" s="498"/>
      <c r="EZ211" s="498"/>
      <c r="FA211" s="498"/>
      <c r="FB211" s="498"/>
      <c r="FC211" s="498"/>
    </row>
    <row r="212" spans="3:159">
      <c r="C212" s="410" t="s">
        <v>1621</v>
      </c>
      <c r="J212" s="322"/>
      <c r="K212" s="322"/>
      <c r="L212" s="322"/>
      <c r="M212" s="322"/>
      <c r="N212" s="322"/>
      <c r="O212" s="322"/>
      <c r="P212" s="322"/>
      <c r="Q212" s="322"/>
      <c r="R212" s="322"/>
      <c r="S212" s="322"/>
      <c r="T212" s="322"/>
      <c r="U212" s="322"/>
      <c r="V212" s="322"/>
      <c r="W212" s="322"/>
      <c r="X212" s="322">
        <f>'Income Statement'!V144</f>
        <v>1.1967090501121914E-2</v>
      </c>
      <c r="Y212" s="322">
        <f>'Income Statement'!W144</f>
        <v>1.4919806042521447E-2</v>
      </c>
      <c r="Z212" s="322">
        <f>'Income Statement'!X144</f>
        <v>1.3957977578142402E-2</v>
      </c>
      <c r="AA212" s="322">
        <f>'Income Statement'!Y144</f>
        <v>1.8218310946425814E-2</v>
      </c>
      <c r="AB212" s="322">
        <f>'Income Statement'!Z144</f>
        <v>1.6613995485327313E-2</v>
      </c>
      <c r="AC212" s="322">
        <f>'Income Statement'!AA144</f>
        <v>2.1999999999999999E-2</v>
      </c>
      <c r="AD212" s="322">
        <f>'Income Statement'!AB144</f>
        <v>2.1999999999999999E-2</v>
      </c>
      <c r="AE212" s="322">
        <f>'Income Statement'!AC144</f>
        <v>2.1999999999999999E-2</v>
      </c>
      <c r="AF212" s="322">
        <f>'Income Statement'!AD144</f>
        <v>2.1999999999999999E-2</v>
      </c>
      <c r="AG212" s="322">
        <f>'Income Statement'!AE144</f>
        <v>2.1999999999999999E-2</v>
      </c>
      <c r="AH212" s="322">
        <f>'Income Statement'!AF144</f>
        <v>2.1999999999999999E-2</v>
      </c>
      <c r="AO212" s="338"/>
      <c r="AP212" s="449"/>
      <c r="AR212" s="449"/>
      <c r="AS212" s="449"/>
      <c r="BA212" s="498"/>
      <c r="BB212" s="498"/>
      <c r="BC212" s="498"/>
      <c r="BD212" s="498"/>
      <c r="BE212" s="498"/>
      <c r="BF212" s="498"/>
      <c r="BG212" s="498"/>
      <c r="BH212" s="498"/>
      <c r="BI212" s="498"/>
      <c r="BJ212" s="498"/>
      <c r="BK212" s="498"/>
      <c r="BL212" s="498"/>
      <c r="BM212" s="498"/>
      <c r="BN212" s="498"/>
      <c r="BO212" s="498"/>
      <c r="BP212" s="498"/>
      <c r="BQ212" s="498"/>
      <c r="BR212" s="498"/>
      <c r="BS212" s="498"/>
      <c r="BT212" s="498"/>
      <c r="BU212" s="498"/>
      <c r="BV212" s="498"/>
      <c r="BW212" s="498"/>
      <c r="BX212" s="498"/>
      <c r="BY212" s="498"/>
      <c r="BZ212" s="498"/>
      <c r="CA212" s="498"/>
      <c r="CB212" s="498"/>
      <c r="CC212" s="498"/>
      <c r="CD212" s="498"/>
      <c r="CE212" s="498"/>
      <c r="CF212" s="498"/>
      <c r="CG212" s="322"/>
      <c r="CH212" s="322"/>
      <c r="CI212" s="322"/>
      <c r="CJ212" s="322"/>
      <c r="CK212" s="322"/>
      <c r="CL212" s="322"/>
      <c r="CM212" s="322"/>
      <c r="CN212" s="322"/>
      <c r="CO212" s="457"/>
      <c r="CR212" s="498"/>
      <c r="CS212" s="498"/>
      <c r="CT212" s="498"/>
      <c r="CU212" s="498"/>
      <c r="CV212" s="498"/>
      <c r="CW212" s="498"/>
      <c r="CX212" s="498"/>
      <c r="CY212" s="498"/>
      <c r="CZ212" s="498"/>
      <c r="DA212" s="498"/>
      <c r="DB212" s="498"/>
      <c r="DC212" s="498"/>
      <c r="DD212" s="498"/>
      <c r="DE212" s="498"/>
      <c r="DF212" s="498"/>
      <c r="DG212" s="498"/>
      <c r="DH212" s="498"/>
      <c r="DI212" s="498"/>
      <c r="DJ212" s="498"/>
      <c r="DK212" s="498"/>
      <c r="DL212" s="498"/>
      <c r="DM212" s="498"/>
      <c r="DN212" s="498"/>
      <c r="DO212" s="498"/>
      <c r="DP212" s="498"/>
      <c r="DQ212" s="498"/>
      <c r="DR212" s="498"/>
      <c r="DS212" s="498"/>
      <c r="DT212" s="498"/>
      <c r="DU212" s="498"/>
      <c r="DV212" s="498"/>
      <c r="DW212" s="498"/>
      <c r="DX212" s="498"/>
      <c r="DY212" s="498"/>
      <c r="DZ212" s="498"/>
      <c r="EA212" s="498"/>
      <c r="EB212" s="498"/>
      <c r="EC212" s="498"/>
      <c r="ED212" s="498"/>
      <c r="EE212" s="498"/>
      <c r="EF212" s="498"/>
      <c r="EG212" s="498"/>
      <c r="EH212" s="498"/>
      <c r="EI212" s="498"/>
      <c r="EJ212" s="498"/>
      <c r="EK212" s="498"/>
      <c r="EL212" s="498"/>
      <c r="EM212" s="498"/>
      <c r="EN212" s="498"/>
      <c r="EO212" s="498"/>
      <c r="EP212" s="498"/>
      <c r="EQ212" s="498"/>
      <c r="ER212" s="498"/>
      <c r="ES212" s="498"/>
      <c r="ET212" s="498"/>
      <c r="EU212" s="498"/>
      <c r="EV212" s="498"/>
      <c r="EW212" s="498"/>
      <c r="EX212" s="498"/>
      <c r="EY212" s="498"/>
      <c r="EZ212" s="498"/>
      <c r="FA212" s="498"/>
      <c r="FB212" s="498"/>
      <c r="FC212" s="498"/>
    </row>
    <row r="213" spans="3:159">
      <c r="C213" s="410" t="s">
        <v>1625</v>
      </c>
      <c r="J213" s="322"/>
      <c r="K213" s="322"/>
      <c r="L213" s="322"/>
      <c r="M213" s="322"/>
      <c r="N213" s="322"/>
      <c r="O213" s="322"/>
      <c r="P213" s="322"/>
      <c r="Q213" s="322"/>
      <c r="R213" s="322"/>
      <c r="S213" s="322"/>
      <c r="T213" s="322"/>
      <c r="U213" s="322"/>
      <c r="V213" s="322"/>
      <c r="W213" s="322"/>
      <c r="X213" s="540">
        <f t="shared" ref="X213:AH213" si="49">(1-X137)*X212*X211</f>
        <v>0</v>
      </c>
      <c r="Y213" s="540">
        <f t="shared" si="49"/>
        <v>0</v>
      </c>
      <c r="Z213" s="540">
        <f t="shared" si="49"/>
        <v>0</v>
      </c>
      <c r="AA213" s="540">
        <f t="shared" si="49"/>
        <v>0</v>
      </c>
      <c r="AB213" s="540">
        <f t="shared" si="49"/>
        <v>0</v>
      </c>
      <c r="AC213" s="540">
        <f t="shared" si="49"/>
        <v>0</v>
      </c>
      <c r="AD213" s="540">
        <f t="shared" si="49"/>
        <v>0</v>
      </c>
      <c r="AE213" s="540">
        <f t="shared" si="49"/>
        <v>0</v>
      </c>
      <c r="AF213" s="540">
        <f t="shared" si="49"/>
        <v>0</v>
      </c>
      <c r="AG213" s="540">
        <f t="shared" si="49"/>
        <v>0</v>
      </c>
      <c r="AH213" s="540">
        <f t="shared" si="49"/>
        <v>5.7200000000000003E-3</v>
      </c>
      <c r="AO213" s="338"/>
      <c r="AP213" s="449"/>
      <c r="AR213" s="449"/>
      <c r="AS213" s="449"/>
      <c r="BA213" s="498"/>
      <c r="BB213" s="498"/>
      <c r="BC213" s="498"/>
      <c r="BD213" s="498"/>
      <c r="BE213" s="498"/>
      <c r="BF213" s="498"/>
      <c r="BG213" s="498"/>
      <c r="BH213" s="498"/>
      <c r="BI213" s="498"/>
      <c r="BJ213" s="498"/>
      <c r="BK213" s="498"/>
      <c r="BL213" s="498"/>
      <c r="BM213" s="498"/>
      <c r="BN213" s="498"/>
      <c r="BO213" s="498"/>
      <c r="BP213" s="498"/>
      <c r="BQ213" s="498"/>
      <c r="BR213" s="498"/>
      <c r="BS213" s="498"/>
      <c r="BT213" s="498"/>
      <c r="BU213" s="498"/>
      <c r="BV213" s="498"/>
      <c r="BW213" s="498"/>
      <c r="BX213" s="498"/>
      <c r="BY213" s="498"/>
      <c r="BZ213" s="498"/>
      <c r="CA213" s="498"/>
      <c r="CB213" s="498"/>
      <c r="CC213" s="498"/>
      <c r="CD213" s="498"/>
      <c r="CE213" s="498"/>
      <c r="CF213" s="498"/>
      <c r="CG213" s="322"/>
      <c r="CH213" s="322"/>
      <c r="CI213" s="322"/>
      <c r="CJ213" s="322"/>
      <c r="CK213" s="322"/>
      <c r="CL213" s="322"/>
      <c r="CM213" s="322"/>
      <c r="CN213" s="322"/>
      <c r="CO213" s="457"/>
      <c r="CR213" s="498"/>
      <c r="CS213" s="498"/>
      <c r="CT213" s="498"/>
      <c r="CU213" s="498"/>
      <c r="CV213" s="498"/>
      <c r="CW213" s="498"/>
      <c r="CX213" s="498"/>
      <c r="CY213" s="498"/>
      <c r="CZ213" s="498"/>
      <c r="DA213" s="498"/>
      <c r="DB213" s="498"/>
      <c r="DC213" s="498"/>
      <c r="DD213" s="498"/>
      <c r="DE213" s="498"/>
      <c r="DF213" s="498"/>
      <c r="DG213" s="498"/>
      <c r="DH213" s="498"/>
      <c r="DI213" s="498"/>
      <c r="DJ213" s="498"/>
      <c r="DK213" s="498"/>
      <c r="DL213" s="498"/>
      <c r="DM213" s="498"/>
      <c r="DN213" s="498"/>
      <c r="DO213" s="498"/>
      <c r="DP213" s="498"/>
      <c r="DQ213" s="498"/>
      <c r="DR213" s="498"/>
      <c r="DS213" s="498"/>
      <c r="DT213" s="498"/>
      <c r="DU213" s="498"/>
      <c r="DV213" s="498"/>
      <c r="DW213" s="498"/>
      <c r="DX213" s="498"/>
      <c r="DY213" s="498"/>
      <c r="DZ213" s="498"/>
      <c r="EA213" s="498"/>
      <c r="EB213" s="498"/>
      <c r="EC213" s="498"/>
      <c r="ED213" s="498"/>
      <c r="EE213" s="498"/>
      <c r="EF213" s="498"/>
      <c r="EG213" s="498"/>
      <c r="EH213" s="498"/>
      <c r="EI213" s="498"/>
      <c r="EJ213" s="498"/>
      <c r="EK213" s="498"/>
      <c r="EL213" s="498"/>
      <c r="EM213" s="498"/>
      <c r="EN213" s="498"/>
      <c r="EO213" s="498"/>
      <c r="EP213" s="498"/>
      <c r="EQ213" s="498"/>
      <c r="ER213" s="498"/>
      <c r="ES213" s="498"/>
      <c r="ET213" s="498"/>
      <c r="EU213" s="498"/>
      <c r="EV213" s="498"/>
      <c r="EW213" s="498"/>
      <c r="EX213" s="498"/>
      <c r="EY213" s="498"/>
      <c r="EZ213" s="498"/>
      <c r="FA213" s="498"/>
      <c r="FB213" s="498"/>
      <c r="FC213" s="498"/>
    </row>
    <row r="214" spans="3:159">
      <c r="C214" s="19"/>
      <c r="J214" s="362"/>
      <c r="K214" s="362"/>
      <c r="L214" s="362"/>
      <c r="M214" s="362"/>
      <c r="N214" s="362"/>
      <c r="O214" s="362"/>
      <c r="P214" s="362"/>
      <c r="Q214" s="362"/>
      <c r="R214" s="362"/>
      <c r="S214" s="362"/>
      <c r="T214" s="362"/>
      <c r="U214" s="362"/>
      <c r="V214" s="362"/>
      <c r="W214" s="362"/>
      <c r="X214" s="362"/>
      <c r="Y214" s="362"/>
      <c r="Z214" s="362"/>
      <c r="AA214" s="362"/>
      <c r="AB214" s="362"/>
      <c r="AC214" s="362"/>
      <c r="AD214" s="362"/>
      <c r="AE214" s="362"/>
      <c r="AF214" s="362"/>
      <c r="AG214" s="362"/>
      <c r="AH214" s="362"/>
      <c r="AO214" s="338"/>
      <c r="AP214" s="449"/>
      <c r="AR214" s="449"/>
      <c r="AS214" s="449"/>
      <c r="BZ214" s="19"/>
      <c r="CA214" s="19"/>
      <c r="CB214" s="19"/>
      <c r="CC214" s="19"/>
      <c r="CD214" s="19"/>
      <c r="CE214" s="19"/>
      <c r="CF214" s="19"/>
      <c r="CG214" s="19"/>
      <c r="CH214" s="19"/>
      <c r="CI214" s="19"/>
      <c r="CJ214" s="19"/>
      <c r="CK214" s="19"/>
      <c r="CL214" s="19"/>
      <c r="CM214" s="19"/>
      <c r="CN214" s="19"/>
      <c r="CO214" s="4"/>
      <c r="CR214" s="19"/>
      <c r="CS214" s="19"/>
      <c r="CT214" s="19"/>
      <c r="CU214" s="19"/>
      <c r="CV214" s="19"/>
      <c r="CW214" s="19"/>
      <c r="CX214" s="19"/>
      <c r="CY214" s="19"/>
      <c r="CZ214" s="19"/>
      <c r="DA214" s="19"/>
      <c r="DB214" s="19"/>
      <c r="DC214" s="19"/>
      <c r="DD214" s="19"/>
      <c r="DE214" s="19"/>
      <c r="DF214" s="19"/>
      <c r="DG214" s="19"/>
      <c r="DH214" s="19"/>
      <c r="DI214" s="19"/>
      <c r="DJ214" s="19"/>
      <c r="DK214" s="19"/>
      <c r="DL214" s="19"/>
      <c r="DM214" s="19"/>
      <c r="DN214" s="19"/>
      <c r="DO214" s="19"/>
      <c r="DP214" s="19"/>
      <c r="DQ214" s="19"/>
      <c r="DR214" s="19"/>
      <c r="DS214" s="19"/>
      <c r="DT214" s="19"/>
      <c r="DU214" s="19"/>
      <c r="DV214" s="19"/>
      <c r="DW214" s="19"/>
      <c r="DX214" s="19"/>
      <c r="DY214" s="19"/>
      <c r="DZ214" s="19"/>
      <c r="EA214" s="19"/>
      <c r="EB214" s="19"/>
      <c r="EC214" s="19"/>
      <c r="ED214" s="19"/>
      <c r="EE214" s="19"/>
      <c r="EF214" s="19"/>
      <c r="EG214" s="19"/>
      <c r="EH214" s="19"/>
      <c r="EI214" s="19"/>
      <c r="EJ214" s="19"/>
      <c r="EK214" s="19"/>
      <c r="EL214" s="19"/>
      <c r="EM214" s="19"/>
      <c r="EN214" s="19"/>
      <c r="EO214" s="19"/>
      <c r="EP214" s="19"/>
      <c r="EQ214" s="19"/>
      <c r="ER214" s="19"/>
      <c r="ES214" s="19"/>
      <c r="ET214" s="19"/>
      <c r="EU214" s="19"/>
      <c r="EV214" s="19"/>
      <c r="EW214" s="19"/>
      <c r="EX214" s="19"/>
      <c r="EY214" s="19"/>
      <c r="EZ214" s="19"/>
      <c r="FA214" s="19"/>
      <c r="FB214" s="19"/>
      <c r="FC214" s="19"/>
    </row>
    <row r="215" spans="3:159">
      <c r="C215" s="282" t="s">
        <v>1578</v>
      </c>
      <c r="D215" s="282"/>
      <c r="E215" s="282"/>
      <c r="F215" s="282"/>
      <c r="G215" s="282"/>
      <c r="H215" s="282"/>
      <c r="I215" s="282"/>
      <c r="J215" s="282"/>
      <c r="K215" s="282"/>
      <c r="L215" s="282"/>
      <c r="M215" s="282"/>
      <c r="N215" s="282"/>
      <c r="O215" s="282"/>
      <c r="P215" s="282"/>
      <c r="Q215" s="282"/>
      <c r="R215" s="282"/>
      <c r="S215" s="282"/>
      <c r="T215" s="282"/>
      <c r="U215" s="282"/>
      <c r="V215" s="282"/>
      <c r="W215" s="282"/>
      <c r="X215" s="282"/>
      <c r="Y215" s="282"/>
      <c r="Z215" s="282"/>
      <c r="AA215" s="282"/>
      <c r="AB215" s="282"/>
      <c r="AC215" s="195"/>
      <c r="AD215" s="195"/>
      <c r="AE215" s="195"/>
      <c r="AF215" s="195"/>
      <c r="AG215" s="195"/>
      <c r="AH215" s="195"/>
      <c r="AO215" s="338"/>
      <c r="AP215" s="449"/>
      <c r="AR215" s="449"/>
      <c r="AS215" s="449"/>
      <c r="BA215" s="305"/>
      <c r="BB215" s="305"/>
      <c r="BC215" s="305"/>
      <c r="BD215" s="305"/>
      <c r="BE215" s="305"/>
      <c r="BF215" s="305"/>
      <c r="BG215" s="305"/>
      <c r="BH215" s="305"/>
      <c r="BI215" s="305"/>
      <c r="BJ215" s="305"/>
      <c r="BK215" s="305"/>
      <c r="BL215" s="305"/>
      <c r="BM215" s="305"/>
      <c r="BN215" s="305"/>
      <c r="BO215" s="305"/>
      <c r="BP215" s="305"/>
      <c r="BQ215" s="305"/>
      <c r="BR215" s="305"/>
      <c r="BS215" s="305"/>
      <c r="BT215" s="305"/>
      <c r="BU215" s="305"/>
      <c r="BV215" s="305"/>
      <c r="BW215" s="305"/>
      <c r="BX215" s="305"/>
      <c r="BY215" s="305"/>
      <c r="BZ215" s="305"/>
      <c r="CA215" s="305"/>
      <c r="CB215" s="305"/>
      <c r="CC215" s="337"/>
      <c r="CD215" s="337"/>
      <c r="CE215" s="337"/>
      <c r="CF215" s="337"/>
      <c r="CG215" s="337"/>
      <c r="CH215" s="337"/>
      <c r="CI215" s="337"/>
      <c r="CJ215" s="337"/>
      <c r="CK215" s="337"/>
      <c r="CL215" s="337"/>
      <c r="CM215" s="337"/>
      <c r="CN215" s="337"/>
      <c r="CO215" s="483"/>
      <c r="CR215" s="282"/>
      <c r="CS215" s="282"/>
      <c r="CT215" s="282"/>
      <c r="CU215" s="282"/>
      <c r="CV215" s="282"/>
      <c r="CW215" s="282"/>
      <c r="CX215" s="282"/>
      <c r="CY215" s="282"/>
      <c r="CZ215" s="282"/>
      <c r="DA215" s="282"/>
      <c r="DB215" s="282"/>
      <c r="DC215" s="282"/>
      <c r="DD215" s="282"/>
      <c r="DE215" s="282"/>
      <c r="DF215" s="282"/>
      <c r="DG215" s="282"/>
      <c r="DH215" s="282"/>
      <c r="DI215" s="282"/>
      <c r="DJ215" s="282"/>
      <c r="DK215" s="282"/>
      <c r="DL215" s="282"/>
      <c r="DM215" s="282"/>
      <c r="DN215" s="282"/>
      <c r="DO215" s="282"/>
      <c r="DP215" s="282"/>
      <c r="DQ215" s="282"/>
      <c r="DR215" s="282"/>
      <c r="DS215" s="282"/>
      <c r="DT215" s="282"/>
      <c r="DU215" s="282"/>
      <c r="DV215" s="282"/>
      <c r="DW215" s="282"/>
      <c r="DX215" s="282"/>
      <c r="DY215" s="282"/>
      <c r="DZ215" s="282"/>
      <c r="EA215" s="282"/>
      <c r="EB215" s="282"/>
      <c r="EC215" s="282"/>
      <c r="ED215" s="282"/>
      <c r="EE215" s="282"/>
      <c r="EF215" s="282"/>
      <c r="EG215" s="282"/>
      <c r="EH215" s="282"/>
      <c r="EI215" s="282"/>
      <c r="EJ215" s="282"/>
      <c r="EK215" s="282"/>
      <c r="EL215" s="282"/>
      <c r="EM215" s="282"/>
      <c r="EN215" s="282"/>
      <c r="EO215" s="282"/>
      <c r="EP215" s="282"/>
      <c r="EQ215" s="282"/>
      <c r="ER215" s="282"/>
      <c r="ES215" s="282"/>
      <c r="ET215" s="282"/>
      <c r="EU215" s="282"/>
      <c r="EV215" s="282"/>
      <c r="EW215" s="337"/>
      <c r="EX215" s="337"/>
      <c r="EY215" s="337"/>
      <c r="EZ215" s="337"/>
      <c r="FA215" s="337"/>
      <c r="FB215" s="337"/>
      <c r="FC215" s="337"/>
    </row>
    <row r="216" spans="3:159">
      <c r="C216" s="19" t="s">
        <v>791</v>
      </c>
      <c r="D216" s="371"/>
      <c r="E216" s="371"/>
      <c r="F216" s="371"/>
      <c r="G216" s="371"/>
      <c r="H216" s="371"/>
      <c r="I216" s="371"/>
      <c r="J216" s="343">
        <f t="shared" ref="J216:R216" si="50">J218-J217</f>
        <v>10841</v>
      </c>
      <c r="K216" s="343">
        <f t="shared" si="50"/>
        <v>9714</v>
      </c>
      <c r="L216" s="343">
        <f t="shared" si="50"/>
        <v>10281</v>
      </c>
      <c r="M216" s="343">
        <f t="shared" si="50"/>
        <v>10559</v>
      </c>
      <c r="N216" s="343">
        <f t="shared" si="50"/>
        <v>11028</v>
      </c>
      <c r="O216" s="343">
        <f t="shared" si="50"/>
        <v>11658</v>
      </c>
      <c r="P216" s="343">
        <f t="shared" si="50"/>
        <v>13615</v>
      </c>
      <c r="Q216" s="343">
        <f t="shared" si="50"/>
        <v>14363</v>
      </c>
      <c r="R216" s="343">
        <f t="shared" si="50"/>
        <v>15044</v>
      </c>
      <c r="S216" s="372">
        <v>16222</v>
      </c>
      <c r="T216" s="372">
        <v>16482</v>
      </c>
      <c r="U216" s="372">
        <v>16376</v>
      </c>
      <c r="V216" s="343">
        <f t="shared" ref="V216:AH216" si="51">V218-V217</f>
        <v>21025</v>
      </c>
      <c r="W216" s="343">
        <f t="shared" si="51"/>
        <v>25098</v>
      </c>
      <c r="X216" s="343">
        <f t="shared" si="51"/>
        <v>16631</v>
      </c>
      <c r="Y216" s="343">
        <f t="shared" si="51"/>
        <v>15133</v>
      </c>
      <c r="Z216" s="343">
        <f t="shared" si="51"/>
        <v>19523</v>
      </c>
      <c r="AA216" s="343">
        <f t="shared" si="51"/>
        <v>23651</v>
      </c>
      <c r="AB216" s="343">
        <f t="shared" si="51"/>
        <v>27716</v>
      </c>
      <c r="AC216" s="343">
        <f t="shared" si="51"/>
        <v>30995.966922403386</v>
      </c>
      <c r="AD216" s="343">
        <f t="shared" si="51"/>
        <v>34520.706683526871</v>
      </c>
      <c r="AE216" s="343">
        <f t="shared" si="51"/>
        <v>38170.59080998729</v>
      </c>
      <c r="AF216" s="343">
        <f t="shared" si="51"/>
        <v>41400.418805904548</v>
      </c>
      <c r="AG216" s="343">
        <f t="shared" si="51"/>
        <v>43433.441894680291</v>
      </c>
      <c r="AH216" s="343">
        <f t="shared" si="51"/>
        <v>45535.88404113664</v>
      </c>
      <c r="AO216" s="338"/>
      <c r="AP216" s="449"/>
      <c r="AR216" s="449"/>
      <c r="AS216" s="449"/>
      <c r="BA216" s="343"/>
      <c r="BB216" s="343"/>
      <c r="BC216" s="343"/>
      <c r="BD216" s="343"/>
      <c r="BE216" s="343"/>
      <c r="BF216" s="343"/>
      <c r="BG216" s="343"/>
      <c r="BH216" s="343"/>
      <c r="BI216" s="343"/>
      <c r="BJ216" s="343"/>
      <c r="BK216" s="343"/>
      <c r="BL216" s="343"/>
      <c r="BM216" s="343"/>
      <c r="BN216" s="343"/>
      <c r="BO216" s="343"/>
      <c r="BP216" s="343"/>
      <c r="BQ216" s="343"/>
      <c r="BR216" s="343"/>
      <c r="BS216" s="343"/>
      <c r="BT216" s="343"/>
      <c r="BU216" s="343"/>
      <c r="BV216" s="343"/>
      <c r="BW216" s="343"/>
      <c r="BX216" s="343"/>
      <c r="BY216" s="343"/>
      <c r="BZ216" s="343"/>
      <c r="CA216" s="343"/>
      <c r="CB216" s="343"/>
      <c r="CC216" s="343"/>
      <c r="CD216" s="343"/>
      <c r="CE216" s="343"/>
      <c r="CF216" s="343"/>
      <c r="CG216" s="343"/>
      <c r="CH216" s="343"/>
      <c r="CI216" s="343"/>
      <c r="CJ216" s="343"/>
      <c r="CK216" s="343"/>
      <c r="CL216" s="343"/>
      <c r="CM216" s="343"/>
      <c r="CN216" s="343"/>
      <c r="CO216" s="343"/>
      <c r="CR216" s="498"/>
      <c r="CS216" s="498"/>
      <c r="CT216" s="498"/>
      <c r="CU216" s="498"/>
      <c r="CV216" s="498"/>
      <c r="CW216" s="498"/>
      <c r="CX216" s="498"/>
      <c r="CY216" s="498"/>
      <c r="CZ216" s="498"/>
      <c r="DA216" s="498"/>
      <c r="DB216" s="498"/>
      <c r="DC216" s="498"/>
      <c r="DD216" s="498"/>
      <c r="DE216" s="498"/>
      <c r="DF216" s="498"/>
      <c r="DG216" s="498"/>
      <c r="DH216" s="498"/>
      <c r="DI216" s="498"/>
      <c r="DJ216" s="498"/>
      <c r="DK216" s="498"/>
      <c r="DL216" s="498"/>
      <c r="DM216" s="498"/>
      <c r="DN216" s="498"/>
      <c r="DO216" s="498"/>
      <c r="DP216" s="498"/>
      <c r="DQ216" s="498"/>
      <c r="DR216" s="498"/>
      <c r="DS216" s="498"/>
      <c r="DT216" s="498"/>
      <c r="DU216" s="498"/>
      <c r="DV216" s="498"/>
      <c r="DW216" s="498"/>
      <c r="DX216" s="498"/>
      <c r="DY216" s="498"/>
      <c r="DZ216" s="498"/>
      <c r="EA216" s="498"/>
      <c r="EB216" s="498"/>
      <c r="EC216" s="498"/>
      <c r="ED216" s="498"/>
      <c r="EE216" s="498"/>
      <c r="EF216" s="498"/>
      <c r="EG216" s="498"/>
      <c r="EH216" s="498"/>
      <c r="EI216" s="498"/>
      <c r="EJ216" s="498"/>
      <c r="EK216" s="498"/>
      <c r="EL216" s="498"/>
      <c r="EM216" s="498"/>
      <c r="EN216" s="498"/>
      <c r="EO216" s="498"/>
      <c r="EP216" s="498"/>
      <c r="EQ216" s="498"/>
      <c r="ER216" s="498"/>
      <c r="ES216" s="498"/>
      <c r="ET216" s="498"/>
      <c r="EU216" s="498"/>
      <c r="EV216" s="498"/>
      <c r="EW216" s="498"/>
      <c r="EX216" s="498"/>
      <c r="EY216" s="498"/>
      <c r="EZ216" s="498"/>
      <c r="FA216" s="498"/>
      <c r="FB216" s="498"/>
      <c r="FC216" s="498"/>
    </row>
    <row r="217" spans="3:159">
      <c r="C217" s="291" t="s">
        <v>790</v>
      </c>
      <c r="D217" s="371"/>
      <c r="E217" s="371"/>
      <c r="F217" s="371"/>
      <c r="G217" s="371"/>
      <c r="H217" s="371"/>
      <c r="I217" s="371"/>
      <c r="J217" s="293">
        <v>488</v>
      </c>
      <c r="K217" s="293">
        <v>508</v>
      </c>
      <c r="L217" s="293">
        <v>48</v>
      </c>
      <c r="M217" s="293">
        <v>-111</v>
      </c>
      <c r="N217" s="293">
        <v>-268</v>
      </c>
      <c r="O217" s="293">
        <v>78</v>
      </c>
      <c r="P217" s="293">
        <v>-55</v>
      </c>
      <c r="Q217" s="287"/>
      <c r="R217" s="293">
        <v>311</v>
      </c>
      <c r="S217" s="293">
        <v>-686</v>
      </c>
      <c r="T217" s="287"/>
      <c r="U217" s="287"/>
      <c r="V217" s="293">
        <v>25</v>
      </c>
      <c r="W217" s="293">
        <v>-458</v>
      </c>
      <c r="X217" s="293">
        <v>-133</v>
      </c>
      <c r="Y217" s="293">
        <v>124</v>
      </c>
      <c r="Z217" s="293">
        <v>-488</v>
      </c>
      <c r="AA217" s="293">
        <v>-452</v>
      </c>
      <c r="AB217" s="293">
        <v>-399</v>
      </c>
      <c r="AO217" s="338"/>
      <c r="AP217" s="449"/>
      <c r="AR217" s="449"/>
      <c r="AS217" s="449"/>
      <c r="BA217" s="293"/>
      <c r="BB217" s="293"/>
      <c r="BC217" s="293"/>
      <c r="BD217" s="293"/>
      <c r="BE217" s="293"/>
      <c r="BF217" s="293"/>
      <c r="BG217" s="293"/>
      <c r="BH217" s="293"/>
      <c r="BI217" s="293"/>
      <c r="BJ217" s="293"/>
      <c r="BK217" s="293"/>
      <c r="BL217" s="293"/>
      <c r="BM217" s="293"/>
      <c r="BN217" s="293"/>
      <c r="BO217" s="293"/>
      <c r="BP217" s="293"/>
      <c r="BQ217" s="293"/>
      <c r="BR217" s="293"/>
      <c r="BS217" s="293"/>
      <c r="BT217" s="293"/>
      <c r="BU217" s="293"/>
      <c r="BV217" s="293"/>
      <c r="BW217" s="293"/>
      <c r="BX217" s="293"/>
      <c r="BY217" s="293"/>
      <c r="BZ217" s="293"/>
      <c r="CA217" s="293"/>
      <c r="CB217" s="293"/>
      <c r="CC217" s="293"/>
      <c r="CD217" s="293"/>
      <c r="CE217" s="293"/>
      <c r="CF217" s="293"/>
      <c r="CG217" s="293"/>
      <c r="CH217" s="293"/>
      <c r="CI217" s="293"/>
      <c r="CJ217" s="293"/>
      <c r="CK217" s="293"/>
      <c r="CL217" s="293"/>
      <c r="CM217" s="293"/>
      <c r="CN217" s="293"/>
      <c r="CO217" s="227"/>
      <c r="CR217" s="498"/>
      <c r="CS217" s="498"/>
      <c r="CT217" s="498"/>
      <c r="CU217" s="498"/>
      <c r="CV217" s="498"/>
      <c r="CW217" s="498"/>
      <c r="CX217" s="498"/>
      <c r="CY217" s="498"/>
      <c r="CZ217" s="498"/>
      <c r="DA217" s="498"/>
      <c r="DB217" s="498"/>
      <c r="DC217" s="498"/>
      <c r="DD217" s="498"/>
      <c r="DE217" s="498"/>
      <c r="DF217" s="498"/>
      <c r="DG217" s="498"/>
      <c r="DH217" s="498"/>
      <c r="DI217" s="498"/>
      <c r="DJ217" s="498"/>
      <c r="DK217" s="498"/>
      <c r="DL217" s="498"/>
      <c r="DM217" s="498"/>
      <c r="DN217" s="498"/>
      <c r="DO217" s="498"/>
      <c r="DP217" s="498"/>
      <c r="DQ217" s="498"/>
      <c r="DR217" s="498"/>
      <c r="DS217" s="498"/>
      <c r="DT217" s="498"/>
      <c r="DU217" s="498"/>
      <c r="DV217" s="498"/>
      <c r="DW217" s="498"/>
      <c r="DX217" s="498"/>
      <c r="DY217" s="498"/>
      <c r="DZ217" s="498"/>
      <c r="EA217" s="498"/>
      <c r="EB217" s="498"/>
      <c r="EC217" s="498"/>
      <c r="ED217" s="498"/>
      <c r="EE217" s="498"/>
      <c r="EF217" s="498"/>
      <c r="EG217" s="498"/>
      <c r="EH217" s="498"/>
      <c r="EI217" s="498"/>
      <c r="EJ217" s="498"/>
      <c r="EK217" s="498"/>
      <c r="EL217" s="498"/>
      <c r="EM217" s="498"/>
      <c r="EN217" s="498"/>
      <c r="EO217" s="498"/>
      <c r="EP217" s="498"/>
      <c r="EQ217" s="498"/>
      <c r="ER217" s="498"/>
      <c r="ES217" s="498"/>
      <c r="ET217" s="498"/>
      <c r="EU217" s="498"/>
      <c r="EV217" s="498"/>
      <c r="EW217" s="498"/>
      <c r="EX217" s="498"/>
      <c r="EY217" s="498"/>
      <c r="EZ217" s="498"/>
      <c r="FA217" s="498"/>
      <c r="FB217" s="498"/>
      <c r="FC217" s="498"/>
    </row>
    <row r="218" spans="3:159">
      <c r="C218" s="19" t="s">
        <v>789</v>
      </c>
      <c r="D218" s="371"/>
      <c r="E218" s="371"/>
      <c r="F218" s="371"/>
      <c r="G218" s="371"/>
      <c r="H218" s="371"/>
      <c r="I218" s="371"/>
      <c r="J218" s="343">
        <f>'Income Statement'!H9</f>
        <v>11329</v>
      </c>
      <c r="K218" s="343">
        <f>'Income Statement'!I9</f>
        <v>10222</v>
      </c>
      <c r="L218" s="343">
        <f>'Income Statement'!J9</f>
        <v>10329</v>
      </c>
      <c r="M218" s="343">
        <f>'Income Statement'!K9</f>
        <v>10448</v>
      </c>
      <c r="N218" s="343">
        <f>'Income Statement'!L9</f>
        <v>10760</v>
      </c>
      <c r="O218" s="343">
        <f>'Income Statement'!M9</f>
        <v>11736</v>
      </c>
      <c r="P218" s="343">
        <f>'Income Statement'!N9</f>
        <v>13560</v>
      </c>
      <c r="Q218" s="343">
        <f>'Income Statement'!O9</f>
        <v>14363</v>
      </c>
      <c r="R218" s="343">
        <f>'Income Statement'!P9</f>
        <v>15355</v>
      </c>
      <c r="S218" s="343">
        <f>'Income Statement'!Q9</f>
        <v>17414</v>
      </c>
      <c r="T218" s="343">
        <f>'Income Statement'!R9</f>
        <v>15781</v>
      </c>
      <c r="U218" s="343">
        <f>'Income Statement'!S9</f>
        <v>15953</v>
      </c>
      <c r="V218" s="343">
        <f>'Income Statement'!T9</f>
        <v>21050</v>
      </c>
      <c r="W218" s="343">
        <f>'Income Statement'!U9</f>
        <v>24640</v>
      </c>
      <c r="X218" s="343">
        <f>'Income Statement'!V9</f>
        <v>16498</v>
      </c>
      <c r="Y218" s="343">
        <f>'Income Statement'!W9</f>
        <v>15257</v>
      </c>
      <c r="Z218" s="343">
        <f>'Income Statement'!X9</f>
        <v>19035</v>
      </c>
      <c r="AA218" s="343">
        <f>'Income Statement'!Y9</f>
        <v>23199</v>
      </c>
      <c r="AB218" s="343">
        <f>'Income Statement'!Z9</f>
        <v>27317</v>
      </c>
      <c r="AC218" s="343">
        <f>'Income Statement'!AA9</f>
        <v>30995.966922403386</v>
      </c>
      <c r="AD218" s="343">
        <f>'Income Statement'!AB9</f>
        <v>34520.706683526871</v>
      </c>
      <c r="AE218" s="343">
        <f>'Income Statement'!AC9</f>
        <v>38170.59080998729</v>
      </c>
      <c r="AF218" s="343">
        <f>'Income Statement'!AD9</f>
        <v>41400.418805904548</v>
      </c>
      <c r="AG218" s="343">
        <f>'Income Statement'!AE9</f>
        <v>43433.441894680291</v>
      </c>
      <c r="AH218" s="343">
        <f>'Income Statement'!AF9</f>
        <v>45535.88404113664</v>
      </c>
      <c r="AO218" s="338"/>
      <c r="AP218" s="449"/>
      <c r="AR218" s="449"/>
      <c r="AS218" s="449"/>
      <c r="BA218" s="343">
        <f>Interim!D16</f>
        <v>5614</v>
      </c>
      <c r="BB218" s="343">
        <f>Interim!E16</f>
        <v>6122</v>
      </c>
      <c r="BC218" s="343">
        <f>Interim!F16</f>
        <v>6413</v>
      </c>
      <c r="BD218" s="343">
        <f>Interim!G16</f>
        <v>7147</v>
      </c>
      <c r="BE218" s="343">
        <f>Interim!H16</f>
        <v>6907</v>
      </c>
      <c r="BF218" s="343">
        <f>Interim!I16</f>
        <v>7456</v>
      </c>
      <c r="BG218" s="343">
        <f>Interim!J16</f>
        <v>7208</v>
      </c>
      <c r="BH218" s="343">
        <f>Interim!K16</f>
        <v>8147</v>
      </c>
      <c r="BI218" s="343">
        <f>Interim!L16</f>
        <v>8403</v>
      </c>
      <c r="BJ218" s="343">
        <f>Interim!M16</f>
        <v>9011</v>
      </c>
      <c r="BK218" s="343">
        <f>Interim!N16</f>
        <v>7987</v>
      </c>
      <c r="BL218" s="343">
        <f>Interim!O16</f>
        <v>7794</v>
      </c>
      <c r="BM218" s="343">
        <f>Interim!P16</f>
        <v>8038</v>
      </c>
      <c r="BN218" s="343">
        <f>Interim!Q16</f>
        <v>7915</v>
      </c>
      <c r="BO218" s="343">
        <f>Interim!R16</f>
        <v>9507</v>
      </c>
      <c r="BP218" s="343">
        <f>Interim!S16</f>
        <v>11543</v>
      </c>
      <c r="BQ218" s="343">
        <f>Interim!T16</f>
        <v>12102</v>
      </c>
      <c r="BR218" s="343">
        <f>Interim!U16</f>
        <v>12538</v>
      </c>
      <c r="BS218" s="343">
        <f>Interim!V16</f>
        <v>8767</v>
      </c>
      <c r="BT218" s="343">
        <f>Interim!W16</f>
        <v>7731</v>
      </c>
      <c r="BU218" s="343">
        <f>Interim!X16</f>
        <v>6876</v>
      </c>
      <c r="BV218" s="343">
        <f>Interim!Y16</f>
        <v>8381</v>
      </c>
      <c r="BW218" s="343">
        <f>Interim!Z16</f>
        <v>8560</v>
      </c>
      <c r="BX218" s="343">
        <f>Interim!AA16</f>
        <v>10475</v>
      </c>
      <c r="BY218" s="343">
        <f>Interim!AB16</f>
        <v>10945</v>
      </c>
      <c r="BZ218" s="343">
        <f>Interim!AC16</f>
        <v>12254</v>
      </c>
      <c r="CA218" s="343">
        <f>Interim!AD16</f>
        <v>13047</v>
      </c>
      <c r="CB218" s="343">
        <f>Interim!AE16</f>
        <v>14270</v>
      </c>
      <c r="CC218" s="465" t="e">
        <f>Interim!AF16</f>
        <v>#REF!</v>
      </c>
      <c r="CD218" s="465" t="e">
        <f>Interim!AG16</f>
        <v>#REF!</v>
      </c>
      <c r="CE218" s="465" t="e">
        <f>Interim!AH16</f>
        <v>#REF!</v>
      </c>
      <c r="CF218" s="465" t="e">
        <f>Interim!AI16</f>
        <v>#REF!</v>
      </c>
      <c r="CG218" s="343"/>
      <c r="CH218" s="343"/>
      <c r="CI218" s="343"/>
      <c r="CJ218" s="343"/>
      <c r="CK218" s="343"/>
      <c r="CL218" s="343"/>
      <c r="CM218" s="343"/>
      <c r="CN218" s="343"/>
      <c r="CO218" s="343"/>
      <c r="CR218" s="498"/>
      <c r="CS218" s="498"/>
      <c r="CT218" s="498"/>
      <c r="CU218" s="498"/>
      <c r="CV218" s="498"/>
      <c r="CW218" s="498"/>
      <c r="CX218" s="498"/>
      <c r="CY218" s="498"/>
      <c r="CZ218" s="498"/>
      <c r="DA218" s="498"/>
      <c r="DB218" s="498"/>
      <c r="DC218" s="498"/>
      <c r="DD218" s="498"/>
      <c r="DE218" s="498"/>
      <c r="DF218" s="498"/>
      <c r="DG218" s="498"/>
      <c r="DH218" s="498"/>
      <c r="DI218" s="498"/>
      <c r="DJ218" s="498"/>
      <c r="DK218" s="498"/>
      <c r="DL218" s="498"/>
      <c r="DM218" s="498"/>
      <c r="DN218" s="498"/>
      <c r="DO218" s="498"/>
      <c r="DP218" s="498"/>
      <c r="DQ218" s="498"/>
      <c r="DR218" s="498"/>
      <c r="DS218" s="498"/>
      <c r="DT218" s="498"/>
      <c r="DU218" s="498"/>
      <c r="DV218" s="498"/>
      <c r="DW218" s="498"/>
      <c r="DX218" s="498"/>
      <c r="DY218" s="498"/>
      <c r="DZ218" s="498"/>
      <c r="EA218" s="498"/>
      <c r="EB218" s="498"/>
      <c r="EC218" s="498"/>
      <c r="ED218" s="498"/>
      <c r="EE218" s="498"/>
      <c r="EF218" s="498"/>
      <c r="EG218" s="498"/>
      <c r="EH218" s="498"/>
      <c r="EI218" s="498"/>
      <c r="EJ218" s="498"/>
      <c r="EK218" s="498"/>
      <c r="EL218" s="498"/>
      <c r="EM218" s="498"/>
      <c r="EN218" s="498"/>
      <c r="EO218" s="498"/>
      <c r="EP218" s="498"/>
      <c r="EQ218" s="498"/>
      <c r="ER218" s="498"/>
      <c r="ES218" s="498"/>
      <c r="ET218" s="498"/>
      <c r="EU218" s="498"/>
      <c r="EV218" s="498"/>
      <c r="EW218" s="498"/>
      <c r="EX218" s="498"/>
      <c r="EY218" s="498"/>
      <c r="EZ218" s="498"/>
      <c r="FA218" s="498"/>
      <c r="FB218" s="498"/>
      <c r="FC218" s="498"/>
    </row>
    <row r="219" spans="3:159">
      <c r="C219" s="19"/>
      <c r="D219" s="371"/>
      <c r="E219" s="371"/>
      <c r="F219" s="371"/>
      <c r="G219" s="371"/>
      <c r="H219" s="371"/>
      <c r="I219" s="371"/>
      <c r="J219" s="287"/>
      <c r="K219" s="287"/>
      <c r="L219" s="287"/>
      <c r="M219" s="287"/>
      <c r="N219" s="287"/>
      <c r="O219" s="287"/>
      <c r="P219" s="287"/>
      <c r="Q219" s="287"/>
      <c r="R219" s="287"/>
      <c r="S219" s="287"/>
      <c r="T219" s="287"/>
      <c r="U219" s="287"/>
      <c r="V219" s="287"/>
      <c r="W219" s="287"/>
      <c r="X219" s="287"/>
      <c r="Y219" s="287"/>
      <c r="AO219" s="338"/>
      <c r="AP219" s="449"/>
      <c r="AR219" s="449"/>
      <c r="AS219" s="449"/>
      <c r="BA219" s="287"/>
      <c r="BB219" s="287"/>
      <c r="BC219" s="287"/>
      <c r="BD219" s="287"/>
      <c r="BE219" s="287"/>
      <c r="BF219" s="287"/>
      <c r="BG219" s="287"/>
      <c r="BH219" s="287"/>
      <c r="BI219" s="287"/>
      <c r="BJ219" s="287"/>
      <c r="BK219" s="287"/>
      <c r="BL219" s="287"/>
      <c r="BM219" s="287"/>
      <c r="BN219" s="287"/>
      <c r="BO219" s="287"/>
      <c r="BP219" s="287"/>
      <c r="BQ219" s="287"/>
      <c r="BR219" s="287"/>
      <c r="BS219" s="287"/>
      <c r="BT219" s="287"/>
      <c r="BU219" s="287"/>
      <c r="BV219" s="287"/>
      <c r="BW219" s="287"/>
      <c r="BX219" s="287"/>
      <c r="BY219" s="287"/>
      <c r="BZ219" s="287"/>
      <c r="CA219" s="287"/>
      <c r="CB219" s="287"/>
      <c r="CC219" s="287"/>
      <c r="CD219" s="287"/>
      <c r="CE219" s="287"/>
      <c r="CF219" s="287"/>
      <c r="CG219" s="287"/>
      <c r="CH219" s="287"/>
      <c r="CI219" s="287"/>
      <c r="CJ219" s="287"/>
      <c r="CK219" s="287"/>
      <c r="CL219" s="287"/>
      <c r="CM219" s="287"/>
      <c r="CN219" s="287"/>
      <c r="CO219" s="27"/>
      <c r="CR219" s="498"/>
      <c r="CS219" s="498"/>
      <c r="CT219" s="498"/>
      <c r="CU219" s="498"/>
      <c r="CV219" s="498"/>
      <c r="CW219" s="498"/>
      <c r="CX219" s="498"/>
      <c r="CY219" s="498"/>
      <c r="CZ219" s="498"/>
      <c r="DA219" s="498"/>
      <c r="DB219" s="498"/>
      <c r="DC219" s="498"/>
      <c r="DD219" s="498"/>
      <c r="DE219" s="498"/>
      <c r="DF219" s="498"/>
      <c r="DG219" s="498"/>
      <c r="DH219" s="498"/>
      <c r="DI219" s="498"/>
      <c r="DJ219" s="498"/>
      <c r="DK219" s="498"/>
      <c r="DL219" s="498"/>
      <c r="DM219" s="498"/>
      <c r="DN219" s="498"/>
      <c r="DO219" s="498"/>
      <c r="DP219" s="498"/>
      <c r="DQ219" s="498"/>
      <c r="DR219" s="498"/>
      <c r="DS219" s="498"/>
      <c r="DT219" s="498"/>
      <c r="DU219" s="498"/>
      <c r="DV219" s="498"/>
      <c r="DW219" s="498"/>
      <c r="DX219" s="498"/>
      <c r="DY219" s="498"/>
      <c r="DZ219" s="498"/>
      <c r="EA219" s="498"/>
      <c r="EB219" s="498"/>
      <c r="EC219" s="498"/>
      <c r="ED219" s="498"/>
      <c r="EE219" s="498"/>
      <c r="EF219" s="498"/>
      <c r="EG219" s="498"/>
      <c r="EH219" s="498"/>
      <c r="EI219" s="498"/>
      <c r="EJ219" s="498"/>
      <c r="EK219" s="498"/>
      <c r="EL219" s="498"/>
      <c r="EM219" s="498"/>
      <c r="EN219" s="498"/>
      <c r="EO219" s="498"/>
      <c r="EP219" s="498"/>
      <c r="EQ219" s="498"/>
      <c r="ER219" s="498"/>
      <c r="ES219" s="498"/>
      <c r="ET219" s="498"/>
      <c r="EU219" s="498"/>
      <c r="EV219" s="498"/>
      <c r="EW219" s="498"/>
      <c r="EX219" s="498"/>
      <c r="EY219" s="498"/>
      <c r="EZ219" s="498"/>
      <c r="FA219" s="498"/>
      <c r="FB219" s="498"/>
      <c r="FC219" s="498"/>
    </row>
    <row r="220" spans="3:159">
      <c r="C220" s="19" t="s">
        <v>788</v>
      </c>
      <c r="D220" s="371"/>
      <c r="E220" s="371"/>
      <c r="F220" s="371"/>
      <c r="G220" s="371"/>
      <c r="H220" s="371"/>
      <c r="I220" s="371"/>
      <c r="J220" s="287" t="e">
        <f>'Income Statement'!#REF!</f>
        <v>#REF!</v>
      </c>
      <c r="K220" s="287" t="e">
        <f>'Income Statement'!#REF!</f>
        <v>#REF!</v>
      </c>
      <c r="L220" s="287" t="e">
        <f>'Income Statement'!#REF!</f>
        <v>#REF!</v>
      </c>
      <c r="M220" s="287" t="e">
        <f>'Income Statement'!#REF!</f>
        <v>#REF!</v>
      </c>
      <c r="N220" s="287" t="e">
        <f>'Income Statement'!#REF!</f>
        <v>#REF!</v>
      </c>
      <c r="O220" s="287" t="e">
        <f>'Income Statement'!#REF!</f>
        <v>#REF!</v>
      </c>
      <c r="P220" s="287" t="e">
        <f>'Income Statement'!#REF!</f>
        <v>#REF!</v>
      </c>
      <c r="Q220" s="287">
        <f t="shared" ref="Q220:AH220" si="52">Q225-SUM(Q221:Q224)</f>
        <v>-651</v>
      </c>
      <c r="R220" s="287">
        <f t="shared" si="52"/>
        <v>-764</v>
      </c>
      <c r="S220" s="287">
        <f t="shared" si="52"/>
        <v>359</v>
      </c>
      <c r="T220" s="287">
        <f t="shared" si="52"/>
        <v>561</v>
      </c>
      <c r="U220" s="287">
        <f t="shared" si="52"/>
        <v>2493</v>
      </c>
      <c r="V220" s="287">
        <f t="shared" si="52"/>
        <v>2280</v>
      </c>
      <c r="W220" s="287">
        <f t="shared" si="52"/>
        <v>3824</v>
      </c>
      <c r="X220" s="287">
        <f t="shared" si="52"/>
        <v>1393</v>
      </c>
      <c r="Y220" s="287">
        <f t="shared" si="52"/>
        <v>1269</v>
      </c>
      <c r="Z220" s="287">
        <f t="shared" si="52"/>
        <v>2493</v>
      </c>
      <c r="AA220" s="287">
        <f t="shared" si="52"/>
        <v>3309</v>
      </c>
      <c r="AB220" s="287">
        <f t="shared" si="52"/>
        <v>4186</v>
      </c>
      <c r="AC220" s="287">
        <f t="shared" si="52"/>
        <v>4852.0617839715915</v>
      </c>
      <c r="AD220" s="287">
        <f t="shared" si="52"/>
        <v>5687.912862687469</v>
      </c>
      <c r="AE220" s="287">
        <f t="shared" si="52"/>
        <v>6517.98237854537</v>
      </c>
      <c r="AF220" s="287">
        <f t="shared" si="52"/>
        <v>7277.1887309951226</v>
      </c>
      <c r="AG220" s="287">
        <f t="shared" si="52"/>
        <v>7723.4884032810396</v>
      </c>
      <c r="AH220" s="287">
        <f t="shared" si="52"/>
        <v>8163.6102037785913</v>
      </c>
      <c r="AO220" s="338"/>
      <c r="AP220" s="449"/>
      <c r="AR220" s="449"/>
      <c r="AS220" s="449"/>
      <c r="BA220" s="260">
        <v>342</v>
      </c>
      <c r="BB220" s="260">
        <v>493</v>
      </c>
      <c r="BC220" s="260">
        <v>578</v>
      </c>
      <c r="BD220" s="260">
        <v>609</v>
      </c>
      <c r="BE220" s="260">
        <v>652</v>
      </c>
      <c r="BF220" s="260">
        <v>635</v>
      </c>
      <c r="BG220" s="260">
        <v>572</v>
      </c>
      <c r="BH220" s="260">
        <v>928</v>
      </c>
      <c r="BI220" s="260">
        <v>1375</v>
      </c>
      <c r="BJ220" s="260">
        <v>1498</v>
      </c>
      <c r="BK220" s="260">
        <v>1868</v>
      </c>
      <c r="BL220" s="260">
        <v>1122</v>
      </c>
      <c r="BM220" s="260">
        <v>1473</v>
      </c>
      <c r="BN220" s="260">
        <v>1020</v>
      </c>
      <c r="BO220" s="260">
        <v>912</v>
      </c>
      <c r="BP220" s="260">
        <v>1368</v>
      </c>
      <c r="BQ220" s="260">
        <v>1877</v>
      </c>
      <c r="BR220" s="260">
        <v>1947</v>
      </c>
      <c r="BS220" s="260">
        <v>859</v>
      </c>
      <c r="BT220" s="260">
        <v>534</v>
      </c>
      <c r="BU220" s="260">
        <v>351</v>
      </c>
      <c r="BV220" s="260">
        <v>918</v>
      </c>
      <c r="BW220" s="260">
        <v>968</v>
      </c>
      <c r="BX220" s="1003">
        <f t="shared" ref="BX220:BX225" si="53">INDEX($D220:$AF220,MATCH(BX$8,$D$8:$AG$8,0))-BW220</f>
        <v>1525</v>
      </c>
      <c r="BY220" s="260">
        <v>1406</v>
      </c>
      <c r="BZ220" s="1003">
        <f t="shared" ref="BZ220:BZ225" si="54">INDEX($D220:$AF220,MATCH(BZ$8,$D$8:$AG$8,0))-BY220</f>
        <v>1903</v>
      </c>
      <c r="CA220" s="260">
        <v>1968</v>
      </c>
      <c r="CB220" s="1003">
        <f t="shared" ref="CB220:CB225" si="55">INDEX($D220:$AF220,MATCH(CB$8,$D$8:$AG$8,0))-CA220</f>
        <v>2218</v>
      </c>
      <c r="CC220" s="327"/>
      <c r="CD220" s="327"/>
      <c r="CE220" s="327"/>
      <c r="CF220" s="327"/>
      <c r="CG220" s="287"/>
      <c r="CH220" s="287"/>
      <c r="CI220" s="287"/>
      <c r="CJ220" s="287"/>
      <c r="CK220" s="287"/>
      <c r="CL220" s="287"/>
      <c r="CM220" s="287"/>
      <c r="CN220" s="287"/>
      <c r="CO220" s="27"/>
      <c r="CR220" s="498"/>
      <c r="CS220" s="498"/>
      <c r="CT220" s="498"/>
      <c r="CU220" s="498"/>
      <c r="CV220" s="498"/>
      <c r="CW220" s="498"/>
      <c r="CX220" s="498"/>
      <c r="CY220" s="498"/>
      <c r="CZ220" s="498"/>
      <c r="DA220" s="498"/>
      <c r="DB220" s="498"/>
      <c r="DC220" s="498"/>
      <c r="DD220" s="498"/>
      <c r="DE220" s="498"/>
      <c r="DF220" s="498"/>
      <c r="DG220" s="498"/>
      <c r="DH220" s="498"/>
      <c r="DI220" s="498"/>
      <c r="DJ220" s="498"/>
      <c r="DK220" s="498"/>
      <c r="DL220" s="498"/>
      <c r="DM220" s="498"/>
      <c r="DN220" s="498"/>
      <c r="DO220" s="498"/>
      <c r="DP220" s="498"/>
      <c r="DQ220" s="498"/>
      <c r="DR220" s="498"/>
      <c r="DS220" s="498"/>
      <c r="DT220" s="498"/>
      <c r="DU220" s="498"/>
      <c r="DV220" s="498"/>
      <c r="DW220" s="498"/>
      <c r="DX220" s="498"/>
      <c r="DY220" s="498"/>
      <c r="DZ220" s="498"/>
      <c r="EA220" s="498"/>
      <c r="EB220" s="498"/>
      <c r="EC220" s="498"/>
      <c r="ED220" s="498"/>
      <c r="EE220" s="498"/>
      <c r="EF220" s="498"/>
      <c r="EG220" s="498"/>
      <c r="EH220" s="498"/>
      <c r="EI220" s="498"/>
      <c r="EJ220" s="498"/>
      <c r="EK220" s="498"/>
      <c r="EL220" s="498"/>
      <c r="EM220" s="498"/>
      <c r="EN220" s="498"/>
      <c r="EO220" s="498"/>
      <c r="EP220" s="498"/>
      <c r="EQ220" s="498"/>
      <c r="ER220" s="498"/>
      <c r="ES220" s="498"/>
      <c r="ET220" s="498"/>
      <c r="EU220" s="498"/>
      <c r="EV220" s="498"/>
      <c r="EW220" s="498"/>
      <c r="EX220" s="498"/>
      <c r="EY220" s="498"/>
      <c r="EZ220" s="498"/>
      <c r="FA220" s="498"/>
      <c r="FB220" s="498"/>
      <c r="FC220" s="498"/>
    </row>
    <row r="221" spans="3:159">
      <c r="C221" s="291" t="s">
        <v>787</v>
      </c>
      <c r="D221" s="371"/>
      <c r="E221" s="371"/>
      <c r="F221" s="371"/>
      <c r="G221" s="371"/>
      <c r="H221" s="371"/>
      <c r="I221" s="371"/>
      <c r="J221" s="293">
        <v>480</v>
      </c>
      <c r="K221" s="287">
        <f>383+117</f>
        <v>500</v>
      </c>
      <c r="L221" s="287">
        <f>49-15</f>
        <v>34</v>
      </c>
      <c r="M221" s="287">
        <f>-105+16</f>
        <v>-89</v>
      </c>
      <c r="N221" s="287">
        <f>-260-15</f>
        <v>-275</v>
      </c>
      <c r="O221" s="287">
        <f>76+20</f>
        <v>96</v>
      </c>
      <c r="P221" s="287">
        <f>3-55</f>
        <v>-52</v>
      </c>
      <c r="Q221" s="293">
        <v>13</v>
      </c>
      <c r="R221" s="293">
        <v>-33</v>
      </c>
      <c r="S221" s="293">
        <v>-5</v>
      </c>
      <c r="T221" s="293">
        <v>10</v>
      </c>
      <c r="U221" s="293">
        <v>7</v>
      </c>
      <c r="V221" s="293">
        <v>9</v>
      </c>
      <c r="W221" s="293">
        <v>-450</v>
      </c>
      <c r="X221" s="287">
        <f>-134+5</f>
        <v>-129</v>
      </c>
      <c r="Y221" s="293">
        <f>136+5</f>
        <v>141</v>
      </c>
      <c r="Z221" s="293">
        <v>-475</v>
      </c>
      <c r="AA221" s="293">
        <v>-462</v>
      </c>
      <c r="AB221" s="293">
        <v>-394</v>
      </c>
      <c r="AC221" s="287"/>
      <c r="AD221" s="287"/>
      <c r="AE221" s="287"/>
      <c r="AF221" s="287"/>
      <c r="AG221" s="287"/>
      <c r="AH221" s="287"/>
      <c r="AO221" s="338"/>
      <c r="AP221" s="449"/>
      <c r="AR221" s="449"/>
      <c r="AS221" s="449"/>
      <c r="BA221" s="260">
        <v>92</v>
      </c>
      <c r="BB221" s="260">
        <v>4</v>
      </c>
      <c r="BC221" s="260">
        <v>-45</v>
      </c>
      <c r="BD221" s="260">
        <v>-7</v>
      </c>
      <c r="BE221" s="260">
        <v>46</v>
      </c>
      <c r="BF221" s="260">
        <v>-33</v>
      </c>
      <c r="BG221" s="260">
        <v>244</v>
      </c>
      <c r="BH221" s="260">
        <v>-277</v>
      </c>
      <c r="BI221" s="260">
        <v>-303</v>
      </c>
      <c r="BJ221" s="260">
        <v>298</v>
      </c>
      <c r="BK221" s="260">
        <v>-311</v>
      </c>
      <c r="BL221" s="260">
        <v>321</v>
      </c>
      <c r="BM221" s="260">
        <v>2422</v>
      </c>
      <c r="BN221" s="260">
        <v>-2415</v>
      </c>
      <c r="BO221" s="260">
        <v>112</v>
      </c>
      <c r="BP221" s="260">
        <v>-103</v>
      </c>
      <c r="BQ221" s="260">
        <v>-215</v>
      </c>
      <c r="BR221" s="260">
        <v>-235</v>
      </c>
      <c r="BS221" s="260">
        <v>-127</v>
      </c>
      <c r="BT221" s="260">
        <v>-2</v>
      </c>
      <c r="BU221" s="260">
        <v>111</v>
      </c>
      <c r="BV221" s="260">
        <v>30</v>
      </c>
      <c r="BW221" s="260">
        <v>-109</v>
      </c>
      <c r="BX221" s="1003">
        <f t="shared" si="53"/>
        <v>-366</v>
      </c>
      <c r="BY221" s="260">
        <f>-170-5</f>
        <v>-175</v>
      </c>
      <c r="BZ221" s="1003">
        <f t="shared" si="54"/>
        <v>-287</v>
      </c>
      <c r="CA221" s="260">
        <f>-161+1</f>
        <v>-160</v>
      </c>
      <c r="CB221" s="1003">
        <f t="shared" si="55"/>
        <v>-234</v>
      </c>
      <c r="CC221" s="327"/>
      <c r="CD221" s="327"/>
      <c r="CE221" s="327"/>
      <c r="CF221" s="327"/>
      <c r="CG221" s="287"/>
      <c r="CH221" s="287"/>
      <c r="CI221" s="287"/>
      <c r="CJ221" s="287"/>
      <c r="CK221" s="287"/>
      <c r="CL221" s="287"/>
      <c r="CM221" s="287"/>
      <c r="CN221" s="287"/>
      <c r="CO221" s="27"/>
      <c r="CR221" s="498"/>
      <c r="CS221" s="498"/>
      <c r="CT221" s="498"/>
      <c r="CU221" s="498"/>
      <c r="CV221" s="498"/>
      <c r="CW221" s="498"/>
      <c r="CX221" s="498"/>
      <c r="CY221" s="498"/>
      <c r="CZ221" s="498"/>
      <c r="DA221" s="498"/>
      <c r="DB221" s="498"/>
      <c r="DC221" s="498"/>
      <c r="DD221" s="498"/>
      <c r="DE221" s="498"/>
      <c r="DF221" s="498"/>
      <c r="DG221" s="498"/>
      <c r="DH221" s="498"/>
      <c r="DI221" s="498"/>
      <c r="DJ221" s="498"/>
      <c r="DK221" s="498"/>
      <c r="DL221" s="498"/>
      <c r="DM221" s="498"/>
      <c r="DN221" s="498"/>
      <c r="DO221" s="498"/>
      <c r="DP221" s="498"/>
      <c r="DQ221" s="498"/>
      <c r="DR221" s="498"/>
      <c r="DS221" s="498"/>
      <c r="DT221" s="498"/>
      <c r="DU221" s="498"/>
      <c r="DV221" s="498"/>
      <c r="DW221" s="498"/>
      <c r="DX221" s="498"/>
      <c r="DY221" s="498"/>
      <c r="DZ221" s="498"/>
      <c r="EA221" s="498"/>
      <c r="EB221" s="498"/>
      <c r="EC221" s="498"/>
      <c r="ED221" s="498"/>
      <c r="EE221" s="498"/>
      <c r="EF221" s="498"/>
      <c r="EG221" s="498"/>
      <c r="EH221" s="498"/>
      <c r="EI221" s="498"/>
      <c r="EJ221" s="498"/>
      <c r="EK221" s="498"/>
      <c r="EL221" s="498"/>
      <c r="EM221" s="498"/>
      <c r="EN221" s="498"/>
      <c r="EO221" s="498"/>
      <c r="EP221" s="498"/>
      <c r="EQ221" s="498"/>
      <c r="ER221" s="498"/>
      <c r="ES221" s="498"/>
      <c r="ET221" s="498"/>
      <c r="EU221" s="498"/>
      <c r="EV221" s="498"/>
      <c r="EW221" s="498"/>
      <c r="EX221" s="498"/>
      <c r="EY221" s="498"/>
      <c r="EZ221" s="498"/>
      <c r="FA221" s="498"/>
      <c r="FB221" s="498"/>
      <c r="FC221" s="498"/>
    </row>
    <row r="222" spans="3:159">
      <c r="C222" s="291" t="s">
        <v>786</v>
      </c>
      <c r="D222" s="371"/>
      <c r="E222" s="371"/>
      <c r="F222" s="371"/>
      <c r="G222" s="371"/>
      <c r="H222" s="371"/>
      <c r="I222" s="371"/>
      <c r="J222" s="287"/>
      <c r="K222" s="287"/>
      <c r="L222" s="287"/>
      <c r="M222" s="293">
        <v>31</v>
      </c>
      <c r="N222" s="293">
        <v>43</v>
      </c>
      <c r="O222" s="293">
        <v>71</v>
      </c>
      <c r="P222" s="293">
        <v>103</v>
      </c>
      <c r="Q222" s="293">
        <v>127</v>
      </c>
      <c r="R222" s="293">
        <v>159</v>
      </c>
      <c r="S222" s="293">
        <v>153</v>
      </c>
      <c r="T222" s="227">
        <v>56</v>
      </c>
      <c r="U222" s="227">
        <v>67</v>
      </c>
      <c r="V222" s="227">
        <v>678</v>
      </c>
      <c r="W222" s="227">
        <v>395</v>
      </c>
      <c r="X222" s="27">
        <f>46+376</f>
        <v>422</v>
      </c>
      <c r="Y222" s="227">
        <f>39+356</f>
        <v>395</v>
      </c>
      <c r="Z222" s="227">
        <v>390</v>
      </c>
      <c r="AA222" s="227">
        <v>319</v>
      </c>
      <c r="AB222" s="227">
        <v>327</v>
      </c>
      <c r="AC222" s="327">
        <f t="shared" ref="AC222:AH223" si="56">AB222</f>
        <v>327</v>
      </c>
      <c r="AD222" s="327">
        <f t="shared" si="56"/>
        <v>327</v>
      </c>
      <c r="AE222" s="327">
        <f t="shared" si="56"/>
        <v>327</v>
      </c>
      <c r="AF222" s="327">
        <f t="shared" si="56"/>
        <v>327</v>
      </c>
      <c r="AG222" s="327">
        <f t="shared" si="56"/>
        <v>327</v>
      </c>
      <c r="AH222" s="327">
        <f t="shared" si="56"/>
        <v>327</v>
      </c>
      <c r="AO222" s="338"/>
      <c r="AP222" s="449"/>
      <c r="AR222" s="449"/>
      <c r="AS222" s="449"/>
      <c r="BA222" s="260">
        <v>26</v>
      </c>
      <c r="BB222" s="260">
        <v>45</v>
      </c>
      <c r="BC222" s="260">
        <v>50</v>
      </c>
      <c r="BD222" s="260">
        <v>53</v>
      </c>
      <c r="BE222" s="260">
        <v>51</v>
      </c>
      <c r="BF222" s="260">
        <v>76</v>
      </c>
      <c r="BG222" s="260">
        <v>81</v>
      </c>
      <c r="BH222" s="260">
        <v>78</v>
      </c>
      <c r="BI222" s="260">
        <v>40</v>
      </c>
      <c r="BJ222" s="260">
        <v>113</v>
      </c>
      <c r="BK222" s="260">
        <v>-297</v>
      </c>
      <c r="BL222" s="260">
        <v>353</v>
      </c>
      <c r="BM222" s="260">
        <v>0</v>
      </c>
      <c r="BN222" s="260">
        <v>67</v>
      </c>
      <c r="BO222" s="260">
        <v>332</v>
      </c>
      <c r="BP222" s="260">
        <v>346</v>
      </c>
      <c r="BQ222" s="260">
        <v>196</v>
      </c>
      <c r="BR222" s="260">
        <v>199</v>
      </c>
      <c r="BS222" s="260">
        <v>191</v>
      </c>
      <c r="BT222" s="260">
        <v>231</v>
      </c>
      <c r="BU222" s="260">
        <v>177</v>
      </c>
      <c r="BV222" s="260">
        <v>218</v>
      </c>
      <c r="BW222" s="260">
        <v>169</v>
      </c>
      <c r="BX222" s="1003">
        <f t="shared" si="53"/>
        <v>221</v>
      </c>
      <c r="BY222" s="260">
        <v>147</v>
      </c>
      <c r="BZ222" s="1003">
        <f t="shared" si="54"/>
        <v>172</v>
      </c>
      <c r="CA222" s="260">
        <v>145</v>
      </c>
      <c r="CB222" s="1003">
        <f t="shared" si="55"/>
        <v>182</v>
      </c>
      <c r="CC222" s="320" t="e">
        <f>CA222*CC218/CA218</f>
        <v>#REF!</v>
      </c>
      <c r="CD222" s="320" t="e">
        <f>INDEX($D222:$AF222,MATCH(CD$8,$D$8:$AG$8,0))-CC222</f>
        <v>#REF!</v>
      </c>
      <c r="CE222" s="320" t="e">
        <f>CC222*CE218/CC218</f>
        <v>#REF!</v>
      </c>
      <c r="CF222" s="320" t="e">
        <f>INDEX($D222:$AF222,MATCH(CF$8,$D$8:$AG$8,0))-CE222</f>
        <v>#REF!</v>
      </c>
      <c r="CG222" s="27"/>
      <c r="CH222" s="27"/>
      <c r="CI222" s="27"/>
      <c r="CJ222" s="27"/>
      <c r="CK222" s="27"/>
      <c r="CL222" s="27"/>
      <c r="CM222" s="27"/>
      <c r="CN222" s="27"/>
      <c r="CO222" s="27"/>
      <c r="CR222" s="498"/>
      <c r="CS222" s="498"/>
      <c r="CT222" s="498"/>
      <c r="CU222" s="498"/>
      <c r="CV222" s="498"/>
      <c r="CW222" s="498"/>
      <c r="CX222" s="498"/>
      <c r="CY222" s="498"/>
      <c r="CZ222" s="498"/>
      <c r="DA222" s="498"/>
      <c r="DB222" s="498"/>
      <c r="DC222" s="498"/>
      <c r="DD222" s="498"/>
      <c r="DE222" s="498"/>
      <c r="DF222" s="498"/>
      <c r="DG222" s="498"/>
      <c r="DH222" s="498"/>
      <c r="DI222" s="498"/>
      <c r="DJ222" s="498"/>
      <c r="DK222" s="498"/>
      <c r="DL222" s="498"/>
      <c r="DM222" s="498"/>
      <c r="DN222" s="498"/>
      <c r="DO222" s="498"/>
      <c r="DP222" s="498"/>
      <c r="DQ222" s="498"/>
      <c r="DR222" s="498"/>
      <c r="DS222" s="498"/>
      <c r="DT222" s="498"/>
      <c r="DU222" s="498"/>
      <c r="DV222" s="498"/>
      <c r="DW222" s="498"/>
      <c r="DX222" s="498"/>
      <c r="DY222" s="498"/>
      <c r="DZ222" s="498"/>
      <c r="EA222" s="498"/>
      <c r="EB222" s="498"/>
      <c r="EC222" s="498"/>
      <c r="ED222" s="498"/>
      <c r="EE222" s="498"/>
      <c r="EF222" s="498"/>
      <c r="EG222" s="498"/>
      <c r="EH222" s="498"/>
      <c r="EI222" s="498"/>
      <c r="EJ222" s="498"/>
      <c r="EK222" s="498"/>
      <c r="EL222" s="498"/>
      <c r="EM222" s="498"/>
      <c r="EN222" s="498"/>
      <c r="EO222" s="498"/>
      <c r="EP222" s="498"/>
      <c r="EQ222" s="498"/>
      <c r="ER222" s="498"/>
      <c r="ES222" s="498"/>
      <c r="ET222" s="498"/>
      <c r="EU222" s="498"/>
      <c r="EV222" s="498"/>
      <c r="EW222" s="498"/>
      <c r="EX222" s="498"/>
      <c r="EY222" s="498"/>
      <c r="EZ222" s="498"/>
      <c r="FA222" s="498"/>
      <c r="FB222" s="498"/>
      <c r="FC222" s="498"/>
    </row>
    <row r="223" spans="3:159">
      <c r="C223" s="291" t="s">
        <v>785</v>
      </c>
      <c r="D223" s="371"/>
      <c r="E223" s="371"/>
      <c r="F223" s="371"/>
      <c r="G223" s="371"/>
      <c r="H223" s="371"/>
      <c r="I223" s="371"/>
      <c r="J223" s="293">
        <v>164</v>
      </c>
      <c r="K223" s="293">
        <v>157</v>
      </c>
      <c r="L223" s="293">
        <v>161</v>
      </c>
      <c r="M223" s="293">
        <v>158</v>
      </c>
      <c r="N223" s="293">
        <v>159</v>
      </c>
      <c r="O223" s="293">
        <v>158</v>
      </c>
      <c r="P223" s="293">
        <v>156</v>
      </c>
      <c r="Q223" s="293">
        <v>150</v>
      </c>
      <c r="R223" s="293">
        <v>147</v>
      </c>
      <c r="S223" s="293">
        <v>89</v>
      </c>
      <c r="T223" s="227">
        <v>70</v>
      </c>
      <c r="U223" s="227">
        <v>63</v>
      </c>
      <c r="V223" s="227">
        <v>56</v>
      </c>
      <c r="W223" s="227">
        <v>51</v>
      </c>
      <c r="X223" s="27"/>
      <c r="Y223" s="227"/>
      <c r="Z223" s="227"/>
      <c r="AA223" s="227"/>
      <c r="AB223" s="227"/>
      <c r="AC223" s="327">
        <f t="shared" si="56"/>
        <v>0</v>
      </c>
      <c r="AD223" s="327">
        <f t="shared" si="56"/>
        <v>0</v>
      </c>
      <c r="AE223" s="327">
        <f t="shared" si="56"/>
        <v>0</v>
      </c>
      <c r="AF223" s="327">
        <f t="shared" si="56"/>
        <v>0</v>
      </c>
      <c r="AG223" s="327">
        <f t="shared" si="56"/>
        <v>0</v>
      </c>
      <c r="AH223" s="327">
        <f t="shared" si="56"/>
        <v>0</v>
      </c>
      <c r="AO223" s="338"/>
      <c r="AP223" s="449"/>
      <c r="AR223" s="449"/>
      <c r="AS223" s="449"/>
      <c r="BA223" s="260">
        <v>80</v>
      </c>
      <c r="BB223" s="260">
        <v>78</v>
      </c>
      <c r="BC223" s="260">
        <v>79</v>
      </c>
      <c r="BD223" s="260">
        <v>77</v>
      </c>
      <c r="BE223" s="260">
        <v>75</v>
      </c>
      <c r="BF223" s="260">
        <v>75</v>
      </c>
      <c r="BG223" s="260">
        <v>74</v>
      </c>
      <c r="BH223" s="260">
        <v>73</v>
      </c>
      <c r="BI223" s="260">
        <v>55</v>
      </c>
      <c r="BJ223" s="260">
        <v>34</v>
      </c>
      <c r="BK223" s="260">
        <v>36</v>
      </c>
      <c r="BL223" s="260">
        <v>34</v>
      </c>
      <c r="BM223" s="260">
        <v>0</v>
      </c>
      <c r="BN223" s="260">
        <v>63</v>
      </c>
      <c r="BO223" s="260">
        <v>30</v>
      </c>
      <c r="BP223" s="260">
        <v>26</v>
      </c>
      <c r="BQ223" s="260">
        <v>25</v>
      </c>
      <c r="BR223" s="260">
        <v>26</v>
      </c>
      <c r="BS223" s="260">
        <v>24</v>
      </c>
      <c r="BT223" s="260">
        <v>-24</v>
      </c>
      <c r="BU223" s="260">
        <v>20</v>
      </c>
      <c r="BV223" s="260">
        <v>-20</v>
      </c>
      <c r="BW223" s="260">
        <v>19</v>
      </c>
      <c r="BX223" s="1003">
        <f t="shared" si="53"/>
        <v>-19</v>
      </c>
      <c r="BY223" s="260">
        <v>19</v>
      </c>
      <c r="BZ223" s="1003">
        <f t="shared" si="54"/>
        <v>-19</v>
      </c>
      <c r="CA223" s="260">
        <v>21</v>
      </c>
      <c r="CB223" s="1003">
        <f t="shared" si="55"/>
        <v>-21</v>
      </c>
      <c r="CC223" s="327"/>
      <c r="CD223" s="327"/>
      <c r="CE223" s="327"/>
      <c r="CF223" s="327"/>
      <c r="CG223" s="27"/>
      <c r="CH223" s="27"/>
      <c r="CI223" s="27"/>
      <c r="CJ223" s="27"/>
      <c r="CK223" s="27"/>
      <c r="CL223" s="27"/>
      <c r="CM223" s="27"/>
      <c r="CN223" s="27"/>
      <c r="CO223" s="27"/>
      <c r="CR223" s="498"/>
      <c r="CS223" s="498"/>
      <c r="CT223" s="498"/>
      <c r="CU223" s="498"/>
      <c r="CV223" s="498"/>
      <c r="CW223" s="498"/>
      <c r="CX223" s="498"/>
      <c r="CY223" s="498"/>
      <c r="CZ223" s="498"/>
      <c r="DA223" s="498"/>
      <c r="DB223" s="498"/>
      <c r="DC223" s="498"/>
      <c r="DD223" s="498"/>
      <c r="DE223" s="498"/>
      <c r="DF223" s="498"/>
      <c r="DG223" s="498"/>
      <c r="DH223" s="498"/>
      <c r="DI223" s="498"/>
      <c r="DJ223" s="498"/>
      <c r="DK223" s="498"/>
      <c r="DL223" s="498"/>
      <c r="DM223" s="498"/>
      <c r="DN223" s="498"/>
      <c r="DO223" s="498"/>
      <c r="DP223" s="498"/>
      <c r="DQ223" s="498"/>
      <c r="DR223" s="498"/>
      <c r="DS223" s="498"/>
      <c r="DT223" s="498"/>
      <c r="DU223" s="498"/>
      <c r="DV223" s="498"/>
      <c r="DW223" s="498"/>
      <c r="DX223" s="498"/>
      <c r="DY223" s="498"/>
      <c r="DZ223" s="498"/>
      <c r="EA223" s="498"/>
      <c r="EB223" s="498"/>
      <c r="EC223" s="498"/>
      <c r="ED223" s="498"/>
      <c r="EE223" s="498"/>
      <c r="EF223" s="498"/>
      <c r="EG223" s="498"/>
      <c r="EH223" s="498"/>
      <c r="EI223" s="498"/>
      <c r="EJ223" s="498"/>
      <c r="EK223" s="498"/>
      <c r="EL223" s="498"/>
      <c r="EM223" s="498"/>
      <c r="EN223" s="498"/>
      <c r="EO223" s="498"/>
      <c r="EP223" s="498"/>
      <c r="EQ223" s="498"/>
      <c r="ER223" s="498"/>
      <c r="ES223" s="498"/>
      <c r="ET223" s="498"/>
      <c r="EU223" s="498"/>
      <c r="EV223" s="498"/>
      <c r="EW223" s="498"/>
      <c r="EX223" s="498"/>
      <c r="EY223" s="498"/>
      <c r="EZ223" s="498"/>
      <c r="FA223" s="498"/>
      <c r="FB223" s="498"/>
      <c r="FC223" s="498"/>
    </row>
    <row r="224" spans="3:159">
      <c r="C224" s="291" t="s">
        <v>784</v>
      </c>
      <c r="D224" s="371"/>
      <c r="E224" s="371"/>
      <c r="F224" s="371"/>
      <c r="G224" s="371"/>
      <c r="H224" s="371"/>
      <c r="I224" s="371"/>
      <c r="J224" s="293">
        <v>7</v>
      </c>
      <c r="K224" s="293">
        <v>43</v>
      </c>
      <c r="L224" s="287"/>
      <c r="M224" s="293">
        <v>35</v>
      </c>
      <c r="N224" s="293">
        <v>13</v>
      </c>
      <c r="O224" s="293">
        <v>29</v>
      </c>
      <c r="P224" s="293">
        <v>50</v>
      </c>
      <c r="Q224" s="293">
        <v>203</v>
      </c>
      <c r="R224" s="287">
        <f>316</f>
        <v>316</v>
      </c>
      <c r="S224" s="293">
        <v>-678</v>
      </c>
      <c r="T224" s="293">
        <v>-722</v>
      </c>
      <c r="U224" s="293">
        <v>-438</v>
      </c>
      <c r="V224" s="287"/>
      <c r="W224" s="287"/>
      <c r="X224" s="287"/>
      <c r="Y224" s="287"/>
      <c r="Z224" s="287"/>
      <c r="AA224" s="287"/>
      <c r="AB224" s="287"/>
      <c r="AC224" s="287"/>
      <c r="AD224" s="287"/>
      <c r="AE224" s="287"/>
      <c r="AF224" s="287"/>
      <c r="AG224" s="287"/>
      <c r="AH224" s="287"/>
      <c r="AO224" s="338"/>
      <c r="AP224" s="449"/>
      <c r="AR224" s="449"/>
      <c r="AS224" s="449"/>
      <c r="BA224" s="260">
        <v>14</v>
      </c>
      <c r="BB224" s="260">
        <v>15</v>
      </c>
      <c r="BC224" s="260">
        <v>19</v>
      </c>
      <c r="BD224" s="260">
        <v>31</v>
      </c>
      <c r="BE224" s="260">
        <v>23</v>
      </c>
      <c r="BF224" s="260">
        <v>180</v>
      </c>
      <c r="BG224" s="260">
        <v>10</v>
      </c>
      <c r="BH224" s="260">
        <v>306</v>
      </c>
      <c r="BI224" s="260">
        <v>4</v>
      </c>
      <c r="BJ224" s="260">
        <v>-682</v>
      </c>
      <c r="BK224" s="260">
        <v>13</v>
      </c>
      <c r="BL224" s="260">
        <v>-735</v>
      </c>
      <c r="BM224" s="260">
        <v>-28</v>
      </c>
      <c r="BN224" s="260">
        <v>-410</v>
      </c>
      <c r="BO224" s="260">
        <v>0</v>
      </c>
      <c r="BP224" s="260">
        <v>0</v>
      </c>
      <c r="BQ224" s="260">
        <v>0</v>
      </c>
      <c r="BR224" s="260">
        <v>0</v>
      </c>
      <c r="BS224" s="260">
        <v>0</v>
      </c>
      <c r="BT224" s="260">
        <v>0</v>
      </c>
      <c r="BU224" s="260">
        <v>0</v>
      </c>
      <c r="BV224" s="260">
        <v>0</v>
      </c>
      <c r="BW224" s="260">
        <v>0</v>
      </c>
      <c r="BX224" s="1003">
        <f t="shared" si="53"/>
        <v>0</v>
      </c>
      <c r="BY224" s="260">
        <v>0</v>
      </c>
      <c r="BZ224" s="1003">
        <f t="shared" si="54"/>
        <v>0</v>
      </c>
      <c r="CA224" s="260">
        <v>0</v>
      </c>
      <c r="CB224" s="1003">
        <f t="shared" si="55"/>
        <v>0</v>
      </c>
      <c r="CC224" s="327"/>
      <c r="CD224" s="327"/>
      <c r="CE224" s="327"/>
      <c r="CF224" s="327"/>
      <c r="CG224" s="287"/>
      <c r="CH224" s="287"/>
      <c r="CI224" s="287"/>
      <c r="CJ224" s="287"/>
      <c r="CK224" s="287"/>
      <c r="CL224" s="287"/>
      <c r="CM224" s="287"/>
      <c r="CN224" s="287"/>
      <c r="CO224" s="27"/>
      <c r="CR224" s="498"/>
      <c r="CS224" s="498"/>
      <c r="CT224" s="498"/>
      <c r="CU224" s="498"/>
      <c r="CV224" s="498"/>
      <c r="CW224" s="498"/>
      <c r="CX224" s="498"/>
      <c r="CY224" s="498"/>
      <c r="CZ224" s="498"/>
      <c r="DA224" s="498"/>
      <c r="DB224" s="498"/>
      <c r="DC224" s="498"/>
      <c r="DD224" s="498"/>
      <c r="DE224" s="498"/>
      <c r="DF224" s="498"/>
      <c r="DG224" s="498"/>
      <c r="DH224" s="498"/>
      <c r="DI224" s="498"/>
      <c r="DJ224" s="498"/>
      <c r="DK224" s="498"/>
      <c r="DL224" s="498"/>
      <c r="DM224" s="498"/>
      <c r="DN224" s="498"/>
      <c r="DO224" s="498"/>
      <c r="DP224" s="498"/>
      <c r="DQ224" s="498"/>
      <c r="DR224" s="498"/>
      <c r="DS224" s="498"/>
      <c r="DT224" s="498"/>
      <c r="DU224" s="498"/>
      <c r="DV224" s="498"/>
      <c r="DW224" s="498"/>
      <c r="DX224" s="498"/>
      <c r="DY224" s="498"/>
      <c r="DZ224" s="498"/>
      <c r="EA224" s="498"/>
      <c r="EB224" s="498"/>
      <c r="EC224" s="498"/>
      <c r="ED224" s="498"/>
      <c r="EE224" s="498"/>
      <c r="EF224" s="498"/>
      <c r="EG224" s="498"/>
      <c r="EH224" s="498"/>
      <c r="EI224" s="498"/>
      <c r="EJ224" s="498"/>
      <c r="EK224" s="498"/>
      <c r="EL224" s="498"/>
      <c r="EM224" s="498"/>
      <c r="EN224" s="498"/>
      <c r="EO224" s="498"/>
      <c r="EP224" s="498"/>
      <c r="EQ224" s="498"/>
      <c r="ER224" s="498"/>
      <c r="ES224" s="498"/>
      <c r="ET224" s="498"/>
      <c r="EU224" s="498"/>
      <c r="EV224" s="498"/>
      <c r="EW224" s="498"/>
      <c r="EX224" s="498"/>
      <c r="EY224" s="498"/>
      <c r="EZ224" s="498"/>
      <c r="FA224" s="498"/>
      <c r="FB224" s="498"/>
      <c r="FC224" s="498"/>
    </row>
    <row r="225" spans="3:159">
      <c r="C225" s="295" t="s">
        <v>783</v>
      </c>
      <c r="D225" s="373"/>
      <c r="E225" s="373"/>
      <c r="F225" s="373"/>
      <c r="G225" s="373"/>
      <c r="H225" s="373"/>
      <c r="I225" s="373"/>
      <c r="J225" s="281" t="e">
        <f t="shared" ref="J225:P225" si="57">SUM(J220:J224)</f>
        <v>#REF!</v>
      </c>
      <c r="K225" s="281" t="e">
        <f t="shared" si="57"/>
        <v>#REF!</v>
      </c>
      <c r="L225" s="281" t="e">
        <f t="shared" si="57"/>
        <v>#REF!</v>
      </c>
      <c r="M225" s="281" t="e">
        <f t="shared" si="57"/>
        <v>#REF!</v>
      </c>
      <c r="N225" s="281" t="e">
        <f t="shared" si="57"/>
        <v>#REF!</v>
      </c>
      <c r="O225" s="281" t="e">
        <f t="shared" si="57"/>
        <v>#REF!</v>
      </c>
      <c r="P225" s="281" t="e">
        <f t="shared" si="57"/>
        <v>#REF!</v>
      </c>
      <c r="Q225" s="281">
        <f>'Income Statement'!O23</f>
        <v>-158</v>
      </c>
      <c r="R225" s="281">
        <f>'Income Statement'!P23</f>
        <v>-175</v>
      </c>
      <c r="S225" s="281">
        <f>'Income Statement'!Q23</f>
        <v>-82</v>
      </c>
      <c r="T225" s="281">
        <f>'Income Statement'!R23</f>
        <v>-25</v>
      </c>
      <c r="U225" s="281">
        <f>'Income Statement'!S23</f>
        <v>2192</v>
      </c>
      <c r="V225" s="281">
        <f>'Income Statement'!T23</f>
        <v>3023</v>
      </c>
      <c r="W225" s="281">
        <f>'Income Statement'!U23</f>
        <v>3820</v>
      </c>
      <c r="X225" s="281">
        <f>'Income Statement'!V23</f>
        <v>1686</v>
      </c>
      <c r="Y225" s="281">
        <f>'Income Statement'!W23</f>
        <v>1805</v>
      </c>
      <c r="Z225" s="281">
        <f>'Income Statement'!X23</f>
        <v>2408</v>
      </c>
      <c r="AA225" s="281">
        <f>'Income Statement'!Y23</f>
        <v>3166</v>
      </c>
      <c r="AB225" s="281">
        <f>'Income Statement'!Z23</f>
        <v>4119</v>
      </c>
      <c r="AC225" s="281">
        <f>'Income Statement'!AA23</f>
        <v>5179.0617839715915</v>
      </c>
      <c r="AD225" s="281">
        <f>'Income Statement'!AB23</f>
        <v>6014.912862687469</v>
      </c>
      <c r="AE225" s="281">
        <f>'Income Statement'!AC23</f>
        <v>6844.98237854537</v>
      </c>
      <c r="AF225" s="281">
        <f>'Income Statement'!AD23</f>
        <v>7604.1887309951226</v>
      </c>
      <c r="AG225" s="281">
        <f>'Income Statement'!AE23</f>
        <v>8050.4884032810396</v>
      </c>
      <c r="AH225" s="281">
        <f>'Income Statement'!AF23</f>
        <v>8490.6102037785913</v>
      </c>
      <c r="AO225" s="338"/>
      <c r="AP225" s="449"/>
      <c r="AR225" s="449"/>
      <c r="AS225" s="449"/>
      <c r="BA225" s="281">
        <f t="shared" ref="BA225:BW225" si="58">SUM(BA220:BA224)</f>
        <v>554</v>
      </c>
      <c r="BB225" s="281">
        <f t="shared" si="58"/>
        <v>635</v>
      </c>
      <c r="BC225" s="281">
        <f t="shared" si="58"/>
        <v>681</v>
      </c>
      <c r="BD225" s="281">
        <f t="shared" si="58"/>
        <v>763</v>
      </c>
      <c r="BE225" s="281">
        <f t="shared" si="58"/>
        <v>847</v>
      </c>
      <c r="BF225" s="281">
        <f t="shared" si="58"/>
        <v>933</v>
      </c>
      <c r="BG225" s="281">
        <f t="shared" si="58"/>
        <v>981</v>
      </c>
      <c r="BH225" s="281">
        <f t="shared" si="58"/>
        <v>1108</v>
      </c>
      <c r="BI225" s="281">
        <f t="shared" si="58"/>
        <v>1171</v>
      </c>
      <c r="BJ225" s="281">
        <f t="shared" si="58"/>
        <v>1261</v>
      </c>
      <c r="BK225" s="281">
        <f t="shared" si="58"/>
        <v>1309</v>
      </c>
      <c r="BL225" s="281">
        <f t="shared" si="58"/>
        <v>1095</v>
      </c>
      <c r="BM225" s="281">
        <f t="shared" si="58"/>
        <v>3867</v>
      </c>
      <c r="BN225" s="281">
        <f t="shared" si="58"/>
        <v>-1675</v>
      </c>
      <c r="BO225" s="281">
        <f t="shared" si="58"/>
        <v>1386</v>
      </c>
      <c r="BP225" s="281">
        <f t="shared" si="58"/>
        <v>1637</v>
      </c>
      <c r="BQ225" s="281">
        <f t="shared" si="58"/>
        <v>1883</v>
      </c>
      <c r="BR225" s="281">
        <f t="shared" si="58"/>
        <v>1937</v>
      </c>
      <c r="BS225" s="281">
        <f t="shared" si="58"/>
        <v>947</v>
      </c>
      <c r="BT225" s="281">
        <f t="shared" si="58"/>
        <v>739</v>
      </c>
      <c r="BU225" s="281">
        <f t="shared" si="58"/>
        <v>659</v>
      </c>
      <c r="BV225" s="281">
        <f t="shared" si="58"/>
        <v>1146</v>
      </c>
      <c r="BW225" s="281">
        <f t="shared" si="58"/>
        <v>1047</v>
      </c>
      <c r="BX225" s="281">
        <f t="shared" si="53"/>
        <v>1361</v>
      </c>
      <c r="BY225" s="281">
        <f>Interim!AB44</f>
        <v>1397</v>
      </c>
      <c r="BZ225" s="281">
        <f t="shared" si="54"/>
        <v>1769</v>
      </c>
      <c r="CA225" s="281">
        <f>Interim!AD44</f>
        <v>1974</v>
      </c>
      <c r="CB225" s="281">
        <f t="shared" si="55"/>
        <v>2145</v>
      </c>
      <c r="CC225" s="464" t="e">
        <f>Interim!AF44</f>
        <v>#REF!</v>
      </c>
      <c r="CD225" s="464" t="e">
        <f>INDEX($D225:$AF225,MATCH(CD$8,$D$8:$AG$8,0))-CC225</f>
        <v>#REF!</v>
      </c>
      <c r="CE225" s="464" t="e">
        <f>Interim!AH44</f>
        <v>#REF!</v>
      </c>
      <c r="CF225" s="464" t="e">
        <f>INDEX($D225:$AF225,MATCH(CF$8,$D$8:$AG$8,0))-CE225</f>
        <v>#REF!</v>
      </c>
      <c r="CG225" s="281"/>
      <c r="CH225" s="281"/>
      <c r="CI225" s="281"/>
      <c r="CJ225" s="281"/>
      <c r="CK225" s="281"/>
      <c r="CL225" s="281"/>
      <c r="CM225" s="281"/>
      <c r="CN225" s="281"/>
      <c r="CO225" s="281"/>
      <c r="CR225" s="498"/>
      <c r="CS225" s="498"/>
      <c r="CT225" s="498"/>
      <c r="CU225" s="498"/>
      <c r="CV225" s="498"/>
      <c r="CW225" s="498"/>
      <c r="CX225" s="498"/>
      <c r="CY225" s="498"/>
      <c r="CZ225" s="498"/>
      <c r="DA225" s="498"/>
      <c r="DB225" s="498"/>
      <c r="DC225" s="498"/>
      <c r="DD225" s="498"/>
      <c r="DE225" s="498"/>
      <c r="DF225" s="498"/>
      <c r="DG225" s="498"/>
      <c r="DH225" s="498"/>
      <c r="DI225" s="498"/>
      <c r="DJ225" s="498"/>
      <c r="DK225" s="498"/>
      <c r="DL225" s="498"/>
      <c r="DM225" s="498"/>
      <c r="DN225" s="498"/>
      <c r="DO225" s="498"/>
      <c r="DP225" s="498"/>
      <c r="DQ225" s="498"/>
      <c r="DR225" s="498"/>
      <c r="DS225" s="498"/>
      <c r="DT225" s="498"/>
      <c r="DU225" s="498"/>
      <c r="DV225" s="498"/>
      <c r="DW225" s="498"/>
      <c r="DX225" s="498"/>
      <c r="DY225" s="498"/>
      <c r="DZ225" s="498"/>
      <c r="EA225" s="498"/>
      <c r="EB225" s="498"/>
      <c r="EC225" s="498"/>
      <c r="ED225" s="498"/>
      <c r="EE225" s="498"/>
      <c r="EF225" s="498"/>
      <c r="EG225" s="498"/>
      <c r="EH225" s="498"/>
      <c r="EI225" s="498"/>
      <c r="EJ225" s="498"/>
      <c r="EK225" s="498"/>
      <c r="EL225" s="498"/>
      <c r="EM225" s="498"/>
      <c r="EN225" s="498"/>
      <c r="EO225" s="498"/>
      <c r="EP225" s="498"/>
      <c r="EQ225" s="498"/>
      <c r="ER225" s="498"/>
      <c r="ES225" s="498"/>
      <c r="ET225" s="498"/>
      <c r="EU225" s="498"/>
      <c r="EV225" s="498"/>
      <c r="EW225" s="498"/>
      <c r="EX225" s="498"/>
      <c r="EY225" s="498"/>
      <c r="EZ225" s="498"/>
      <c r="FA225" s="498"/>
      <c r="FB225" s="498"/>
      <c r="FC225" s="498"/>
    </row>
    <row r="226" spans="3:159">
      <c r="C226" s="291" t="s">
        <v>781</v>
      </c>
      <c r="J226" s="285" t="e">
        <f t="shared" ref="J226:AH226" si="59">J225/J$218</f>
        <v>#REF!</v>
      </c>
      <c r="K226" s="285" t="e">
        <f t="shared" si="59"/>
        <v>#REF!</v>
      </c>
      <c r="L226" s="285" t="e">
        <f t="shared" si="59"/>
        <v>#REF!</v>
      </c>
      <c r="M226" s="285" t="e">
        <f t="shared" si="59"/>
        <v>#REF!</v>
      </c>
      <c r="N226" s="285" t="e">
        <f t="shared" si="59"/>
        <v>#REF!</v>
      </c>
      <c r="O226" s="285" t="e">
        <f t="shared" si="59"/>
        <v>#REF!</v>
      </c>
      <c r="P226" s="285" t="e">
        <f t="shared" si="59"/>
        <v>#REF!</v>
      </c>
      <c r="Q226" s="285">
        <f t="shared" si="59"/>
        <v>-1.10004873633642E-2</v>
      </c>
      <c r="R226" s="285">
        <f t="shared" si="59"/>
        <v>-1.1396939107782481E-2</v>
      </c>
      <c r="S226" s="285">
        <f t="shared" si="59"/>
        <v>-4.7088549442976914E-3</v>
      </c>
      <c r="T226" s="285">
        <f t="shared" si="59"/>
        <v>-1.5841835118180091E-3</v>
      </c>
      <c r="U226" s="285">
        <f t="shared" si="59"/>
        <v>0.13740362314298252</v>
      </c>
      <c r="V226" s="285">
        <f t="shared" si="59"/>
        <v>0.14361045130641331</v>
      </c>
      <c r="W226" s="285">
        <f t="shared" si="59"/>
        <v>0.15503246753246752</v>
      </c>
      <c r="X226" s="285">
        <f t="shared" si="59"/>
        <v>0.10219420535822524</v>
      </c>
      <c r="Y226" s="285">
        <f t="shared" si="59"/>
        <v>0.11830635118306351</v>
      </c>
      <c r="Z226" s="285">
        <f t="shared" si="59"/>
        <v>0.12650380877331233</v>
      </c>
      <c r="AA226" s="285">
        <f t="shared" si="59"/>
        <v>0.13647139962929436</v>
      </c>
      <c r="AB226" s="285">
        <f t="shared" si="59"/>
        <v>0.15078522531756783</v>
      </c>
      <c r="AC226" s="285">
        <f t="shared" si="59"/>
        <v>0.16708824722058432</v>
      </c>
      <c r="AD226" s="285">
        <f t="shared" si="59"/>
        <v>0.1742407221795885</v>
      </c>
      <c r="AE226" s="285">
        <f t="shared" si="59"/>
        <v>0.1793260788815034</v>
      </c>
      <c r="AF226" s="285">
        <f t="shared" si="59"/>
        <v>0.18367419824049241</v>
      </c>
      <c r="AG226" s="285">
        <f t="shared" si="59"/>
        <v>0.1853523011784857</v>
      </c>
      <c r="AH226" s="285">
        <f t="shared" si="59"/>
        <v>0.18645976426214242</v>
      </c>
      <c r="AO226" s="338"/>
      <c r="AP226" s="449"/>
      <c r="AR226" s="449"/>
      <c r="AS226" s="449"/>
      <c r="BA226" s="285">
        <f t="shared" ref="BA226:CF226" si="60">BA225/BA218</f>
        <v>9.8681866761667264E-2</v>
      </c>
      <c r="BB226" s="285">
        <f t="shared" si="60"/>
        <v>0.10372427311336165</v>
      </c>
      <c r="BC226" s="285">
        <f t="shared" si="60"/>
        <v>0.1061905504444098</v>
      </c>
      <c r="BD226" s="285">
        <f t="shared" si="60"/>
        <v>0.10675808031341821</v>
      </c>
      <c r="BE226" s="285">
        <f t="shared" si="60"/>
        <v>0.12262921673664398</v>
      </c>
      <c r="BF226" s="285">
        <f t="shared" si="60"/>
        <v>0.12513412017167383</v>
      </c>
      <c r="BG226" s="285">
        <f t="shared" si="60"/>
        <v>0.13609877913429522</v>
      </c>
      <c r="BH226" s="285">
        <f t="shared" si="60"/>
        <v>0.13600098195654842</v>
      </c>
      <c r="BI226" s="285">
        <f t="shared" si="60"/>
        <v>0.13935499226466738</v>
      </c>
      <c r="BJ226" s="285">
        <f t="shared" si="60"/>
        <v>0.13994007324381311</v>
      </c>
      <c r="BK226" s="285">
        <f t="shared" si="60"/>
        <v>0.16389132340052587</v>
      </c>
      <c r="BL226" s="285">
        <f t="shared" si="60"/>
        <v>0.14049268668206313</v>
      </c>
      <c r="BM226" s="285">
        <f t="shared" si="60"/>
        <v>0.48108982333913908</v>
      </c>
      <c r="BN226" s="285">
        <f t="shared" si="60"/>
        <v>-0.21162349968414404</v>
      </c>
      <c r="BO226" s="285">
        <f t="shared" si="60"/>
        <v>0.14578731461028716</v>
      </c>
      <c r="BP226" s="285">
        <f t="shared" si="60"/>
        <v>0.14181755176297323</v>
      </c>
      <c r="BQ226" s="285">
        <f t="shared" si="60"/>
        <v>0.15559411667492976</v>
      </c>
      <c r="BR226" s="285">
        <f t="shared" si="60"/>
        <v>0.15449034933801245</v>
      </c>
      <c r="BS226" s="285">
        <f t="shared" si="60"/>
        <v>0.10801870651306034</v>
      </c>
      <c r="BT226" s="285">
        <f t="shared" si="60"/>
        <v>9.5589186392445999E-2</v>
      </c>
      <c r="BU226" s="285">
        <f t="shared" si="60"/>
        <v>9.5840605002908669E-2</v>
      </c>
      <c r="BV226" s="285">
        <f t="shared" si="60"/>
        <v>0.13673785944398043</v>
      </c>
      <c r="BW226" s="285">
        <f t="shared" si="60"/>
        <v>0.12231308411214953</v>
      </c>
      <c r="BX226" s="285">
        <f t="shared" si="60"/>
        <v>0.12992840095465394</v>
      </c>
      <c r="BY226" s="285">
        <f t="shared" si="60"/>
        <v>0.12763819095477386</v>
      </c>
      <c r="BZ226" s="285">
        <f t="shared" si="60"/>
        <v>0.14436102497143791</v>
      </c>
      <c r="CA226" s="285">
        <f t="shared" si="60"/>
        <v>0.15129914922970797</v>
      </c>
      <c r="CB226" s="285">
        <f t="shared" si="60"/>
        <v>0.15031534688156972</v>
      </c>
      <c r="CC226" s="285" t="e">
        <f t="shared" si="60"/>
        <v>#REF!</v>
      </c>
      <c r="CD226" s="285" t="e">
        <f t="shared" si="60"/>
        <v>#REF!</v>
      </c>
      <c r="CE226" s="285" t="e">
        <f t="shared" si="60"/>
        <v>#REF!</v>
      </c>
      <c r="CF226" s="285" t="e">
        <f t="shared" si="60"/>
        <v>#REF!</v>
      </c>
      <c r="CG226" s="285"/>
      <c r="CH226" s="285"/>
      <c r="CI226" s="285"/>
      <c r="CJ226" s="285"/>
      <c r="CK226" s="285"/>
      <c r="CL226" s="285"/>
      <c r="CM226" s="285"/>
      <c r="CN226" s="285"/>
      <c r="CO226" s="473"/>
      <c r="CR226" s="498"/>
      <c r="CS226" s="498"/>
      <c r="CT226" s="498"/>
      <c r="CU226" s="498"/>
      <c r="CV226" s="498"/>
      <c r="CW226" s="498"/>
      <c r="CX226" s="498"/>
      <c r="CY226" s="498"/>
      <c r="CZ226" s="498"/>
      <c r="DA226" s="498"/>
      <c r="DB226" s="498"/>
      <c r="DC226" s="498"/>
      <c r="DD226" s="498"/>
      <c r="DE226" s="498"/>
      <c r="DF226" s="498"/>
      <c r="DG226" s="498"/>
      <c r="DH226" s="498"/>
      <c r="DI226" s="498"/>
      <c r="DJ226" s="498"/>
      <c r="DK226" s="498"/>
      <c r="DL226" s="498"/>
      <c r="DM226" s="498"/>
      <c r="DN226" s="498"/>
      <c r="DO226" s="498"/>
      <c r="DP226" s="498"/>
      <c r="DQ226" s="498"/>
      <c r="DR226" s="498"/>
      <c r="DS226" s="498"/>
      <c r="DT226" s="498"/>
      <c r="DU226" s="498"/>
      <c r="DV226" s="498"/>
      <c r="DW226" s="498"/>
      <c r="DX226" s="498"/>
      <c r="DY226" s="498"/>
      <c r="DZ226" s="498"/>
      <c r="EA226" s="498"/>
      <c r="EB226" s="498"/>
      <c r="EC226" s="498"/>
      <c r="ED226" s="498"/>
      <c r="EE226" s="498"/>
      <c r="EF226" s="498"/>
      <c r="EG226" s="498"/>
      <c r="EH226" s="498"/>
      <c r="EI226" s="498"/>
      <c r="EJ226" s="498"/>
      <c r="EK226" s="498"/>
      <c r="EL226" s="498"/>
      <c r="EM226" s="498"/>
      <c r="EN226" s="498"/>
      <c r="EO226" s="498"/>
      <c r="EP226" s="498"/>
      <c r="EQ226" s="498"/>
      <c r="ER226" s="498"/>
      <c r="ES226" s="498"/>
      <c r="ET226" s="498"/>
      <c r="EU226" s="498"/>
      <c r="EV226" s="498"/>
      <c r="EW226" s="498"/>
      <c r="EX226" s="498"/>
      <c r="EY226" s="498"/>
      <c r="EZ226" s="498"/>
      <c r="FA226" s="498"/>
      <c r="FB226" s="498"/>
      <c r="FC226" s="498"/>
    </row>
    <row r="227" spans="3:159">
      <c r="C227" s="19"/>
      <c r="J227" s="287"/>
      <c r="K227" s="287"/>
      <c r="L227" s="287"/>
      <c r="M227" s="287"/>
      <c r="N227" s="287"/>
      <c r="O227" s="287"/>
      <c r="P227" s="287"/>
      <c r="Q227" s="287"/>
      <c r="R227" s="287"/>
      <c r="S227" s="287"/>
      <c r="T227" s="287"/>
      <c r="U227" s="287"/>
      <c r="V227" s="287"/>
      <c r="W227" s="287"/>
      <c r="X227" s="287"/>
      <c r="Y227" s="287"/>
      <c r="AO227" s="338"/>
      <c r="AP227" s="449"/>
      <c r="AR227" s="449"/>
      <c r="AS227" s="449"/>
      <c r="BA227" s="287"/>
      <c r="BB227" s="287"/>
      <c r="BC227" s="287"/>
      <c r="BD227" s="287"/>
      <c r="BE227" s="287"/>
      <c r="BF227" s="287"/>
      <c r="BG227" s="287"/>
      <c r="BH227" s="287"/>
      <c r="BI227" s="287"/>
      <c r="BJ227" s="287"/>
      <c r="BK227" s="287"/>
      <c r="BL227" s="287"/>
      <c r="BM227" s="287"/>
      <c r="BN227" s="287"/>
      <c r="BO227" s="287"/>
      <c r="BP227" s="287"/>
      <c r="BQ227" s="287"/>
      <c r="BR227" s="287"/>
      <c r="BS227" s="287"/>
      <c r="BT227" s="287"/>
      <c r="BU227" s="287"/>
      <c r="BV227" s="287"/>
      <c r="BW227" s="287"/>
      <c r="BX227" s="287"/>
      <c r="BY227" s="287"/>
      <c r="BZ227" s="287"/>
      <c r="CA227" s="287"/>
      <c r="CB227" s="287"/>
      <c r="CC227" s="287"/>
      <c r="CD227" s="287"/>
      <c r="CE227" s="287"/>
      <c r="CF227" s="287"/>
      <c r="CG227" s="287"/>
      <c r="CH227" s="287"/>
      <c r="CI227" s="287"/>
      <c r="CJ227" s="287"/>
      <c r="CK227" s="287"/>
      <c r="CL227" s="287"/>
      <c r="CM227" s="287"/>
      <c r="CN227" s="287"/>
      <c r="CO227" s="27"/>
      <c r="CR227" s="498"/>
      <c r="CS227" s="498"/>
      <c r="CT227" s="498"/>
      <c r="CU227" s="498"/>
      <c r="CV227" s="498"/>
      <c r="CW227" s="498"/>
      <c r="CX227" s="498"/>
      <c r="CY227" s="498"/>
      <c r="CZ227" s="498"/>
      <c r="DA227" s="498"/>
      <c r="DB227" s="498"/>
      <c r="DC227" s="498"/>
      <c r="DD227" s="498"/>
      <c r="DE227" s="498"/>
      <c r="DF227" s="498"/>
      <c r="DG227" s="498"/>
      <c r="DH227" s="498"/>
      <c r="DI227" s="498"/>
      <c r="DJ227" s="498"/>
      <c r="DK227" s="498"/>
      <c r="DL227" s="498"/>
      <c r="DM227" s="498"/>
      <c r="DN227" s="498"/>
      <c r="DO227" s="498"/>
      <c r="DP227" s="498"/>
      <c r="DQ227" s="498"/>
      <c r="DR227" s="498"/>
      <c r="DS227" s="498"/>
      <c r="DT227" s="498"/>
      <c r="DU227" s="498"/>
      <c r="DV227" s="498"/>
      <c r="DW227" s="498"/>
      <c r="DX227" s="498"/>
      <c r="DY227" s="498"/>
      <c r="DZ227" s="498"/>
      <c r="EA227" s="498"/>
      <c r="EB227" s="498"/>
      <c r="EC227" s="498"/>
      <c r="ED227" s="498"/>
      <c r="EE227" s="498"/>
      <c r="EF227" s="498"/>
      <c r="EG227" s="498"/>
      <c r="EH227" s="498"/>
      <c r="EI227" s="498"/>
      <c r="EJ227" s="498"/>
      <c r="EK227" s="498"/>
      <c r="EL227" s="498"/>
      <c r="EM227" s="498"/>
      <c r="EN227" s="498"/>
      <c r="EO227" s="498"/>
      <c r="EP227" s="498"/>
      <c r="EQ227" s="498"/>
      <c r="ER227" s="498"/>
      <c r="ES227" s="498"/>
      <c r="ET227" s="498"/>
      <c r="EU227" s="498"/>
      <c r="EV227" s="498"/>
      <c r="EW227" s="498"/>
      <c r="EX227" s="498"/>
      <c r="EY227" s="498"/>
      <c r="EZ227" s="498"/>
      <c r="FA227" s="498"/>
      <c r="FB227" s="498"/>
      <c r="FC227" s="498"/>
    </row>
    <row r="228" spans="3:159">
      <c r="C228" s="291" t="s">
        <v>1558</v>
      </c>
      <c r="J228" s="287">
        <f>'Cashflow Statement'!H7-J223-J222</f>
        <v>113</v>
      </c>
      <c r="K228" s="287">
        <f>'Cashflow Statement'!I7-K223-K222</f>
        <v>75</v>
      </c>
      <c r="L228" s="287">
        <f>'Cashflow Statement'!J7-L223-L222</f>
        <v>106</v>
      </c>
      <c r="M228" s="287">
        <f>'Cashflow Statement'!K7-M223-M222</f>
        <v>110</v>
      </c>
      <c r="N228" s="287">
        <f>'Cashflow Statement'!L7-N223-N222</f>
        <v>113</v>
      </c>
      <c r="O228" s="287">
        <f>'Cashflow Statement'!M7-O223-O222</f>
        <v>112</v>
      </c>
      <c r="P228" s="287">
        <f>'Cashflow Statement'!N7-P223-P222</f>
        <v>122</v>
      </c>
      <c r="Q228" s="287">
        <f>'Cashflow Statement'!O7-Q223-Q222</f>
        <v>122</v>
      </c>
      <c r="R228" s="287">
        <f>'Cashflow Statement'!P7-R223-R222</f>
        <v>146</v>
      </c>
      <c r="S228" s="287">
        <f>'Cashflow Statement'!Q7-S223-S222</f>
        <v>167.45232273838633</v>
      </c>
      <c r="T228" s="287">
        <f>'Cashflow Statement'!R7-T223-T222</f>
        <v>275.16381418092914</v>
      </c>
      <c r="U228" s="287">
        <f>'Cashflow Statement'!S7-U223-U222</f>
        <v>305.42298288508562</v>
      </c>
      <c r="V228" s="287">
        <f>'Cashflow Statement'!T7-V223-V222</f>
        <v>-65.946210268948562</v>
      </c>
      <c r="W228" s="287">
        <f>'Cashflow Statement'!U7-W223-W222</f>
        <v>362.40586797066032</v>
      </c>
      <c r="X228" s="287">
        <f>'Cashflow Statement'!V7-X223-X222</f>
        <v>377.5647921760393</v>
      </c>
      <c r="Y228" s="287">
        <f>'Cashflow Statement'!W7-Y223-Y222</f>
        <v>367.54278728606369</v>
      </c>
      <c r="Z228" s="300">
        <f>'Cashflow Statement'!X7-Z223-Z222</f>
        <v>368.67481662591706</v>
      </c>
      <c r="AA228" s="300">
        <f>'Cashflow Statement'!Y7-AA223-AA222</f>
        <v>419.22982885085594</v>
      </c>
      <c r="AB228" s="300">
        <f>'Cashflow Statement'!Z7-AB223-AB222</f>
        <v>449.90953545232298</v>
      </c>
      <c r="AC228" s="300">
        <f>'Cashflow Statement'!AA7-AC223-AC222</f>
        <v>541.85056510968343</v>
      </c>
      <c r="AD228" s="300">
        <f>'Cashflow Statement'!AB7-AD223-AD222</f>
        <v>708.62120050580597</v>
      </c>
      <c r="AE228" s="300">
        <f>'Cashflow Statement'!AC7-AE223-AE222</f>
        <v>741.77654267964408</v>
      </c>
      <c r="AF228" s="300">
        <f>'Cashflow Statement'!AD7-AF223-AF222</f>
        <v>832.21172656532735</v>
      </c>
      <c r="AG228" s="300">
        <f>'Cashflow Statement'!AE7-AG223-AG222</f>
        <v>889.13637305104817</v>
      </c>
      <c r="AH228" s="300">
        <f>'Cashflow Statement'!AF7-AH223-AH222</f>
        <v>948.00475315182598</v>
      </c>
      <c r="AO228" s="338"/>
      <c r="AP228" s="449"/>
      <c r="AR228" s="449"/>
      <c r="AS228" s="449"/>
      <c r="BA228" s="259"/>
      <c r="BB228" s="287"/>
      <c r="BC228" s="287"/>
      <c r="BD228" s="287"/>
      <c r="BE228" s="287"/>
      <c r="BF228" s="287"/>
      <c r="BG228" s="287"/>
      <c r="BH228" s="287"/>
      <c r="BI228" s="287"/>
      <c r="BJ228" s="287"/>
      <c r="BK228" s="287"/>
      <c r="BL228" s="287"/>
      <c r="BM228" s="287"/>
      <c r="BN228" s="287"/>
      <c r="BO228" s="287"/>
      <c r="BP228" s="287"/>
      <c r="BQ228" s="287"/>
      <c r="BR228" s="287"/>
      <c r="BS228" s="287"/>
      <c r="BT228" s="287"/>
      <c r="BU228" s="287"/>
      <c r="BV228" s="287"/>
      <c r="BW228" s="287"/>
      <c r="BX228" s="287"/>
      <c r="BY228" s="287"/>
      <c r="BZ228" s="287"/>
      <c r="CA228" s="287"/>
      <c r="CB228" s="287"/>
      <c r="CC228" s="287"/>
      <c r="CD228" s="287"/>
      <c r="CE228" s="287"/>
      <c r="CF228" s="287"/>
      <c r="CG228" s="287"/>
      <c r="CH228" s="287"/>
      <c r="CI228" s="287"/>
      <c r="CJ228" s="287"/>
      <c r="CK228" s="287"/>
      <c r="CL228" s="287"/>
      <c r="CM228" s="287"/>
      <c r="CN228" s="287"/>
      <c r="CO228" s="27"/>
      <c r="CR228" s="498"/>
      <c r="CS228" s="498"/>
      <c r="CT228" s="498"/>
      <c r="CU228" s="498"/>
      <c r="CV228" s="498"/>
      <c r="CW228" s="498"/>
      <c r="CX228" s="498"/>
      <c r="CY228" s="498"/>
      <c r="CZ228" s="498"/>
      <c r="DA228" s="498"/>
      <c r="DB228" s="498"/>
      <c r="DC228" s="498"/>
      <c r="DD228" s="498"/>
      <c r="DE228" s="498"/>
      <c r="DF228" s="498"/>
      <c r="DG228" s="498"/>
      <c r="DH228" s="498"/>
      <c r="DI228" s="498"/>
      <c r="DJ228" s="498"/>
      <c r="DK228" s="498"/>
      <c r="DL228" s="498"/>
      <c r="DM228" s="498"/>
      <c r="DN228" s="498"/>
      <c r="DO228" s="498"/>
      <c r="DP228" s="498"/>
      <c r="DQ228" s="498"/>
      <c r="DR228" s="498"/>
      <c r="DS228" s="498"/>
      <c r="DT228" s="498"/>
      <c r="DU228" s="498"/>
      <c r="DV228" s="498"/>
      <c r="DW228" s="498"/>
      <c r="DX228" s="498"/>
      <c r="DY228" s="498"/>
      <c r="DZ228" s="498"/>
      <c r="EA228" s="498"/>
      <c r="EB228" s="498"/>
      <c r="EC228" s="498"/>
      <c r="ED228" s="498"/>
      <c r="EE228" s="498"/>
      <c r="EF228" s="498"/>
      <c r="EG228" s="498"/>
      <c r="EH228" s="498"/>
      <c r="EI228" s="498"/>
      <c r="EJ228" s="498"/>
      <c r="EK228" s="498"/>
      <c r="EL228" s="498"/>
      <c r="EM228" s="498"/>
      <c r="EN228" s="498"/>
      <c r="EO228" s="498"/>
      <c r="EP228" s="498"/>
      <c r="EQ228" s="498"/>
      <c r="ER228" s="498"/>
      <c r="ES228" s="498"/>
      <c r="ET228" s="498"/>
      <c r="EU228" s="498"/>
      <c r="EV228" s="498"/>
      <c r="EW228" s="498"/>
      <c r="EX228" s="498"/>
      <c r="EY228" s="498"/>
      <c r="EZ228" s="498"/>
      <c r="FA228" s="498"/>
      <c r="FB228" s="498"/>
      <c r="FC228" s="498"/>
    </row>
    <row r="229" spans="3:159">
      <c r="C229" s="291" t="s">
        <v>688</v>
      </c>
      <c r="J229" s="287">
        <f>'Cashflow Statement'!H5</f>
        <v>298</v>
      </c>
      <c r="K229" s="287">
        <f>'Cashflow Statement'!I5</f>
        <v>281</v>
      </c>
      <c r="L229" s="287">
        <f>'Cashflow Statement'!J5</f>
        <v>273</v>
      </c>
      <c r="M229" s="287">
        <f>'Cashflow Statement'!K5</f>
        <v>274</v>
      </c>
      <c r="N229" s="287">
        <f>'Cashflow Statement'!L5</f>
        <v>291</v>
      </c>
      <c r="O229" s="287">
        <f>'Cashflow Statement'!M5</f>
        <v>321</v>
      </c>
      <c r="P229" s="287">
        <f>'Cashflow Statement'!N5</f>
        <v>340</v>
      </c>
      <c r="Q229" s="287">
        <f>'Cashflow Statement'!O5</f>
        <v>363</v>
      </c>
      <c r="R229" s="287">
        <f>'Cashflow Statement'!P5</f>
        <v>366</v>
      </c>
      <c r="S229" s="287">
        <f>'Cashflow Statement'!Q5</f>
        <v>331.54767726161367</v>
      </c>
      <c r="T229" s="287">
        <f>'Cashflow Statement'!R5</f>
        <v>324.83618581907086</v>
      </c>
      <c r="U229" s="287">
        <f>'Cashflow Statement'!S5</f>
        <v>352.57701711491438</v>
      </c>
      <c r="V229" s="287">
        <f>'Cashflow Statement'!T5</f>
        <v>540.94621026894856</v>
      </c>
      <c r="W229" s="287">
        <f>'Cashflow Statement'!U5</f>
        <v>654.59413202933968</v>
      </c>
      <c r="X229" s="287">
        <f>'Cashflow Statement'!V5</f>
        <v>647.4352078239607</v>
      </c>
      <c r="Y229" s="287">
        <f>'Cashflow Statement'!W5</f>
        <v>617.45721271393631</v>
      </c>
      <c r="Z229" s="287">
        <f>'Cashflow Statement'!X5</f>
        <v>614.32518337408294</v>
      </c>
      <c r="AA229" s="287">
        <f>'Cashflow Statement'!Y5</f>
        <v>597.77017114914406</v>
      </c>
      <c r="AB229" s="287">
        <f>'Cashflow Statement'!Z5</f>
        <v>629.09046454767702</v>
      </c>
      <c r="AC229" s="287">
        <f>'Cashflow Statement'!AA5</f>
        <v>703.53828944722102</v>
      </c>
      <c r="AD229" s="287">
        <f>'Cashflow Statement'!AB5</f>
        <v>783.54190373986216</v>
      </c>
      <c r="AE229" s="287">
        <f>'Cashflow Statement'!AC5</f>
        <v>866.38601186008793</v>
      </c>
      <c r="AF229" s="287">
        <f>'Cashflow Statement'!AD5</f>
        <v>939.69579661837486</v>
      </c>
      <c r="AG229" s="287">
        <f>'Cashflow Statement'!AE5</f>
        <v>985.84081896482041</v>
      </c>
      <c r="AH229" s="287">
        <f>'Cashflow Statement'!AF5</f>
        <v>1033.5614967898616</v>
      </c>
      <c r="AO229" s="338"/>
      <c r="AP229" s="449"/>
      <c r="AR229" s="449"/>
      <c r="AS229" s="449"/>
      <c r="BA229" s="287"/>
      <c r="BB229" s="287"/>
      <c r="BC229" s="287"/>
      <c r="BD229" s="287"/>
      <c r="BE229" s="287"/>
      <c r="BF229" s="287"/>
      <c r="BG229" s="287"/>
      <c r="BH229" s="287"/>
      <c r="BI229" s="287"/>
      <c r="BJ229" s="287"/>
      <c r="BK229" s="287"/>
      <c r="BL229" s="287"/>
      <c r="BM229" s="287"/>
      <c r="BN229" s="287"/>
      <c r="BO229" s="287"/>
      <c r="BP229" s="287"/>
      <c r="BQ229" s="287"/>
      <c r="BR229" s="287"/>
      <c r="BS229" s="287"/>
      <c r="BT229" s="287"/>
      <c r="BU229" s="287"/>
      <c r="BV229" s="287"/>
      <c r="BW229" s="287"/>
      <c r="BX229" s="287"/>
      <c r="BY229" s="287"/>
      <c r="BZ229" s="287"/>
      <c r="CA229" s="287"/>
      <c r="CB229" s="287"/>
      <c r="CC229" s="287"/>
      <c r="CD229" s="287"/>
      <c r="CE229" s="287"/>
      <c r="CF229" s="287"/>
      <c r="CG229" s="287"/>
      <c r="CH229" s="287"/>
      <c r="CI229" s="287"/>
      <c r="CJ229" s="287"/>
      <c r="CK229" s="287"/>
      <c r="CL229" s="287"/>
      <c r="CM229" s="287"/>
      <c r="CN229" s="287"/>
      <c r="CO229" s="27"/>
      <c r="CR229" s="498"/>
      <c r="CS229" s="498"/>
      <c r="CT229" s="498"/>
      <c r="CU229" s="498"/>
      <c r="CV229" s="498"/>
      <c r="CW229" s="498"/>
      <c r="CX229" s="498"/>
      <c r="CY229" s="498"/>
      <c r="CZ229" s="498"/>
      <c r="DA229" s="498"/>
      <c r="DB229" s="498"/>
      <c r="DC229" s="498"/>
      <c r="DD229" s="498"/>
      <c r="DE229" s="498"/>
      <c r="DF229" s="498"/>
      <c r="DG229" s="498"/>
      <c r="DH229" s="498"/>
      <c r="DI229" s="498"/>
      <c r="DJ229" s="498"/>
      <c r="DK229" s="498"/>
      <c r="DL229" s="498"/>
      <c r="DM229" s="498"/>
      <c r="DN229" s="498"/>
      <c r="DO229" s="498"/>
      <c r="DP229" s="498"/>
      <c r="DQ229" s="498"/>
      <c r="DR229" s="498"/>
      <c r="DS229" s="498"/>
      <c r="DT229" s="498"/>
      <c r="DU229" s="498"/>
      <c r="DV229" s="498"/>
      <c r="DW229" s="498"/>
      <c r="DX229" s="498"/>
      <c r="DY229" s="498"/>
      <c r="DZ229" s="498"/>
      <c r="EA229" s="498"/>
      <c r="EB229" s="498"/>
      <c r="EC229" s="498"/>
      <c r="ED229" s="498"/>
      <c r="EE229" s="498"/>
      <c r="EF229" s="498"/>
      <c r="EG229" s="498"/>
      <c r="EH229" s="498"/>
      <c r="EI229" s="498"/>
      <c r="EJ229" s="498"/>
      <c r="EK229" s="498"/>
      <c r="EL229" s="498"/>
      <c r="EM229" s="498"/>
      <c r="EN229" s="498"/>
      <c r="EO229" s="498"/>
      <c r="EP229" s="498"/>
      <c r="EQ229" s="498"/>
      <c r="ER229" s="498"/>
      <c r="ES229" s="498"/>
      <c r="ET229" s="498"/>
      <c r="EU229" s="498"/>
      <c r="EV229" s="498"/>
      <c r="EW229" s="498"/>
      <c r="EX229" s="498"/>
      <c r="EY229" s="498"/>
      <c r="EZ229" s="498"/>
      <c r="FA229" s="498"/>
      <c r="FB229" s="498"/>
      <c r="FC229" s="498"/>
    </row>
    <row r="230" spans="3:159">
      <c r="C230" s="19" t="s">
        <v>1129</v>
      </c>
      <c r="J230" s="287">
        <f t="shared" ref="J230:AH230" si="61">J228+J229</f>
        <v>411</v>
      </c>
      <c r="K230" s="287">
        <f t="shared" si="61"/>
        <v>356</v>
      </c>
      <c r="L230" s="287">
        <f t="shared" si="61"/>
        <v>379</v>
      </c>
      <c r="M230" s="287">
        <f t="shared" si="61"/>
        <v>384</v>
      </c>
      <c r="N230" s="287">
        <f t="shared" si="61"/>
        <v>404</v>
      </c>
      <c r="O230" s="287">
        <f t="shared" si="61"/>
        <v>433</v>
      </c>
      <c r="P230" s="287">
        <f t="shared" si="61"/>
        <v>462</v>
      </c>
      <c r="Q230" s="287">
        <f t="shared" si="61"/>
        <v>485</v>
      </c>
      <c r="R230" s="287">
        <f t="shared" si="61"/>
        <v>512</v>
      </c>
      <c r="S230" s="287">
        <f t="shared" si="61"/>
        <v>499</v>
      </c>
      <c r="T230" s="287">
        <f t="shared" si="61"/>
        <v>600</v>
      </c>
      <c r="U230" s="287">
        <f t="shared" si="61"/>
        <v>658</v>
      </c>
      <c r="V230" s="287">
        <f t="shared" si="61"/>
        <v>475</v>
      </c>
      <c r="W230" s="287">
        <f t="shared" si="61"/>
        <v>1017</v>
      </c>
      <c r="X230" s="287">
        <f t="shared" si="61"/>
        <v>1025</v>
      </c>
      <c r="Y230" s="287">
        <f t="shared" si="61"/>
        <v>985</v>
      </c>
      <c r="Z230" s="287">
        <f t="shared" si="61"/>
        <v>983</v>
      </c>
      <c r="AA230" s="287">
        <f t="shared" si="61"/>
        <v>1017</v>
      </c>
      <c r="AB230" s="287">
        <f t="shared" si="61"/>
        <v>1079</v>
      </c>
      <c r="AC230" s="287">
        <f t="shared" si="61"/>
        <v>1245.3888545569043</v>
      </c>
      <c r="AD230" s="287">
        <f t="shared" si="61"/>
        <v>1492.1631042456681</v>
      </c>
      <c r="AE230" s="287">
        <f t="shared" si="61"/>
        <v>1608.1625545397319</v>
      </c>
      <c r="AF230" s="287">
        <f t="shared" si="61"/>
        <v>1771.9075231837023</v>
      </c>
      <c r="AG230" s="287">
        <f t="shared" si="61"/>
        <v>1874.9771920158687</v>
      </c>
      <c r="AH230" s="287">
        <f t="shared" si="61"/>
        <v>1981.5662499416876</v>
      </c>
      <c r="AO230" s="338"/>
      <c r="AP230" s="449"/>
      <c r="AR230" s="449"/>
      <c r="AS230" s="449"/>
      <c r="BA230" s="260">
        <v>312</v>
      </c>
      <c r="BB230" s="260">
        <v>350</v>
      </c>
      <c r="BC230" s="260">
        <v>359</v>
      </c>
      <c r="BD230" s="260">
        <v>0</v>
      </c>
      <c r="BE230" s="260">
        <v>369</v>
      </c>
      <c r="BF230" s="260">
        <v>0</v>
      </c>
      <c r="BG230" s="260">
        <v>376</v>
      </c>
      <c r="BH230" s="260">
        <v>0</v>
      </c>
      <c r="BI230" s="260">
        <v>458</v>
      </c>
      <c r="BJ230" s="260">
        <v>283</v>
      </c>
      <c r="BK230" s="260">
        <v>298</v>
      </c>
      <c r="BL230" s="260">
        <v>428</v>
      </c>
      <c r="BM230" s="260">
        <v>390</v>
      </c>
      <c r="BN230" s="260">
        <v>398</v>
      </c>
      <c r="BO230" s="260">
        <v>390</v>
      </c>
      <c r="BP230" s="260">
        <v>819</v>
      </c>
      <c r="BQ230" s="260">
        <v>549</v>
      </c>
      <c r="BR230" s="260">
        <v>914</v>
      </c>
      <c r="BS230" s="260">
        <v>469</v>
      </c>
      <c r="BT230" s="260">
        <v>978</v>
      </c>
      <c r="BU230" s="260">
        <f>610-195</f>
        <v>415</v>
      </c>
      <c r="BV230" s="260">
        <v>965</v>
      </c>
      <c r="BW230" s="260">
        <f>681-92</f>
        <v>589</v>
      </c>
      <c r="BX230" s="1003">
        <f>INDEX($D230:$AF230,MATCH(BX$8,$D$8:$AG$8,0))-BW230</f>
        <v>394</v>
      </c>
      <c r="BY230" s="260">
        <f>653-57</f>
        <v>596</v>
      </c>
      <c r="BZ230" s="1003">
        <f>INDEX($D230:$AF230,MATCH(BZ$8,$D$8:$AG$8,0))-BY230</f>
        <v>421</v>
      </c>
      <c r="CA230" s="260">
        <v>692</v>
      </c>
      <c r="CB230" s="1003">
        <f>INDEX($D230:$AF230,MATCH(CB$8,$D$8:$AG$8,0))-CA230</f>
        <v>387</v>
      </c>
      <c r="CC230" s="327">
        <f>INDEX($D230:$AF230,MATCH(CC$8,$D$8:$AG$8,0))*CA230/INDEX($D230:$AF230,MATCH(CA$8,$D$8:$AG$8,0))</f>
        <v>798.71092433121203</v>
      </c>
      <c r="CD230" s="327">
        <f>INDEX($D230:$AF230,MATCH(CD$8,$D$8:$AG$8,0))-CC230</f>
        <v>446.67793022569231</v>
      </c>
      <c r="CE230" s="327">
        <f>INDEX($D230:$AF230,MATCH(CE$8,$D$8:$AG$8,0))*CC230/INDEX($D230:$AF230,MATCH(CC$8,$D$8:$AG$8,0))</f>
        <v>956.97578140686028</v>
      </c>
      <c r="CF230" s="327">
        <f>INDEX($D230:$AF230,MATCH(CF$8,$D$8:$AG$8,0))-CE230</f>
        <v>535.18732283880786</v>
      </c>
      <c r="CG230" s="287"/>
      <c r="CH230" s="287"/>
      <c r="CI230" s="287"/>
      <c r="CJ230" s="287"/>
      <c r="CK230" s="287"/>
      <c r="CL230" s="287"/>
      <c r="CM230" s="287"/>
      <c r="CN230" s="287"/>
      <c r="CO230" s="27"/>
      <c r="CR230" s="498"/>
      <c r="CS230" s="498"/>
      <c r="CT230" s="498"/>
      <c r="CU230" s="498"/>
      <c r="CV230" s="498"/>
      <c r="CW230" s="498"/>
      <c r="CX230" s="498"/>
      <c r="CY230" s="498"/>
      <c r="CZ230" s="498"/>
      <c r="DA230" s="498"/>
      <c r="DB230" s="498"/>
      <c r="DC230" s="498"/>
      <c r="DD230" s="498"/>
      <c r="DE230" s="498"/>
      <c r="DF230" s="498"/>
      <c r="DG230" s="498"/>
      <c r="DH230" s="498"/>
      <c r="DI230" s="498"/>
      <c r="DJ230" s="498"/>
      <c r="DK230" s="498"/>
      <c r="DL230" s="498"/>
      <c r="DM230" s="498"/>
      <c r="DN230" s="498"/>
      <c r="DO230" s="498"/>
      <c r="DP230" s="498"/>
      <c r="DQ230" s="498"/>
      <c r="DR230" s="498"/>
      <c r="DS230" s="498"/>
      <c r="DT230" s="498"/>
      <c r="DU230" s="498"/>
      <c r="DV230" s="498"/>
      <c r="DW230" s="498"/>
      <c r="DX230" s="498"/>
      <c r="DY230" s="498"/>
      <c r="DZ230" s="498"/>
      <c r="EA230" s="498"/>
      <c r="EB230" s="498"/>
      <c r="EC230" s="498"/>
      <c r="ED230" s="498"/>
      <c r="EE230" s="498"/>
      <c r="EF230" s="498"/>
      <c r="EG230" s="498"/>
      <c r="EH230" s="498"/>
      <c r="EI230" s="498"/>
      <c r="EJ230" s="498"/>
      <c r="EK230" s="498"/>
      <c r="EL230" s="498"/>
      <c r="EM230" s="498"/>
      <c r="EN230" s="498"/>
      <c r="EO230" s="498"/>
      <c r="EP230" s="498"/>
      <c r="EQ230" s="498"/>
      <c r="ER230" s="498"/>
      <c r="ES230" s="498"/>
      <c r="ET230" s="498"/>
      <c r="EU230" s="498"/>
      <c r="EV230" s="498"/>
      <c r="EW230" s="498"/>
      <c r="EX230" s="498"/>
      <c r="EY230" s="498"/>
      <c r="EZ230" s="498"/>
      <c r="FA230" s="498"/>
      <c r="FB230" s="498"/>
      <c r="FC230" s="498"/>
    </row>
    <row r="231" spans="3:159">
      <c r="C231" s="19"/>
      <c r="J231" s="287"/>
      <c r="K231" s="287"/>
      <c r="L231" s="287"/>
      <c r="M231" s="287"/>
      <c r="N231" s="287"/>
      <c r="O231" s="287"/>
      <c r="P231" s="287"/>
      <c r="Q231" s="287"/>
      <c r="R231" s="287"/>
      <c r="S231" s="287"/>
      <c r="T231" s="287"/>
      <c r="U231" s="287"/>
      <c r="V231" s="287"/>
      <c r="W231" s="287"/>
      <c r="X231" s="287"/>
      <c r="Y231" s="287"/>
      <c r="Z231" s="19"/>
      <c r="AA231" s="19"/>
      <c r="AB231" s="19"/>
      <c r="AC231" s="19"/>
      <c r="AD231" s="19"/>
      <c r="AE231" s="19"/>
      <c r="AF231" s="19"/>
      <c r="AG231" s="19"/>
      <c r="AH231" s="19"/>
      <c r="AO231" s="338"/>
      <c r="AP231" s="449"/>
      <c r="AR231" s="449"/>
      <c r="AS231" s="449"/>
      <c r="BA231" s="259"/>
      <c r="BB231" s="259"/>
      <c r="BC231" s="259"/>
      <c r="BD231" s="259"/>
      <c r="BE231" s="259"/>
      <c r="BF231" s="259"/>
      <c r="BG231" s="259"/>
      <c r="BH231" s="259"/>
      <c r="BI231" s="259"/>
      <c r="BJ231" s="259"/>
      <c r="BK231" s="259"/>
      <c r="BL231" s="259"/>
      <c r="BM231" s="259"/>
      <c r="BN231" s="259"/>
      <c r="BO231" s="259"/>
      <c r="BP231" s="259"/>
      <c r="BQ231" s="259"/>
      <c r="BR231" s="259"/>
      <c r="BS231" s="259"/>
      <c r="BT231" s="259"/>
      <c r="BU231" s="259"/>
      <c r="BV231" s="259"/>
      <c r="BW231" s="287"/>
      <c r="BX231" s="287"/>
      <c r="BY231" s="287"/>
      <c r="BZ231" s="287"/>
      <c r="CA231" s="287"/>
      <c r="CB231" s="287"/>
      <c r="CC231" s="287"/>
      <c r="CD231" s="287"/>
      <c r="CE231" s="287"/>
      <c r="CF231" s="287"/>
      <c r="CG231" s="287"/>
      <c r="CH231" s="287"/>
      <c r="CI231" s="287"/>
      <c r="CJ231" s="287"/>
      <c r="CK231" s="287"/>
      <c r="CL231" s="287"/>
      <c r="CM231" s="287"/>
      <c r="CN231" s="287"/>
      <c r="CO231" s="27"/>
      <c r="CR231" s="498"/>
      <c r="CS231" s="498"/>
      <c r="CT231" s="498"/>
      <c r="CU231" s="498"/>
      <c r="CV231" s="498"/>
      <c r="CW231" s="498"/>
      <c r="CX231" s="498"/>
      <c r="CY231" s="498"/>
      <c r="CZ231" s="498"/>
      <c r="DA231" s="498"/>
      <c r="DB231" s="498"/>
      <c r="DC231" s="498"/>
      <c r="DD231" s="498"/>
      <c r="DE231" s="498"/>
      <c r="DF231" s="498"/>
      <c r="DG231" s="498"/>
      <c r="DH231" s="498"/>
      <c r="DI231" s="498"/>
      <c r="DJ231" s="498"/>
      <c r="DK231" s="498"/>
      <c r="DL231" s="498"/>
      <c r="DM231" s="498"/>
      <c r="DN231" s="498"/>
      <c r="DO231" s="498"/>
      <c r="DP231" s="498"/>
      <c r="DQ231" s="498"/>
      <c r="DR231" s="498"/>
      <c r="DS231" s="498"/>
      <c r="DT231" s="498"/>
      <c r="DU231" s="498"/>
      <c r="DV231" s="498"/>
      <c r="DW231" s="498"/>
      <c r="DX231" s="498"/>
      <c r="DY231" s="498"/>
      <c r="DZ231" s="498"/>
      <c r="EA231" s="498"/>
      <c r="EB231" s="498"/>
      <c r="EC231" s="498"/>
      <c r="ED231" s="498"/>
      <c r="EE231" s="498"/>
      <c r="EF231" s="498"/>
      <c r="EG231" s="498"/>
      <c r="EH231" s="498"/>
      <c r="EI231" s="498"/>
      <c r="EJ231" s="498"/>
      <c r="EK231" s="498"/>
      <c r="EL231" s="498"/>
      <c r="EM231" s="498"/>
      <c r="EN231" s="498"/>
      <c r="EO231" s="498"/>
      <c r="EP231" s="498"/>
      <c r="EQ231" s="498"/>
      <c r="ER231" s="498"/>
      <c r="ES231" s="498"/>
      <c r="ET231" s="498"/>
      <c r="EU231" s="498"/>
      <c r="EV231" s="498"/>
      <c r="EW231" s="498"/>
      <c r="EX231" s="498"/>
      <c r="EY231" s="498"/>
      <c r="EZ231" s="498"/>
      <c r="FA231" s="498"/>
      <c r="FB231" s="498"/>
      <c r="FC231" s="498"/>
    </row>
    <row r="232" spans="3:159">
      <c r="C232" s="19" t="s">
        <v>1559</v>
      </c>
      <c r="J232" s="287" t="e">
        <f t="shared" ref="J232:AH232" si="62">J225+J228+J229</f>
        <v>#REF!</v>
      </c>
      <c r="K232" s="287" t="e">
        <f t="shared" si="62"/>
        <v>#REF!</v>
      </c>
      <c r="L232" s="287" t="e">
        <f t="shared" si="62"/>
        <v>#REF!</v>
      </c>
      <c r="M232" s="287" t="e">
        <f t="shared" si="62"/>
        <v>#REF!</v>
      </c>
      <c r="N232" s="287" t="e">
        <f t="shared" si="62"/>
        <v>#REF!</v>
      </c>
      <c r="O232" s="287" t="e">
        <f t="shared" si="62"/>
        <v>#REF!</v>
      </c>
      <c r="P232" s="287" t="e">
        <f t="shared" si="62"/>
        <v>#REF!</v>
      </c>
      <c r="Q232" s="287">
        <f t="shared" si="62"/>
        <v>327</v>
      </c>
      <c r="R232" s="287">
        <f t="shared" si="62"/>
        <v>337</v>
      </c>
      <c r="S232" s="287">
        <f t="shared" si="62"/>
        <v>417</v>
      </c>
      <c r="T232" s="287">
        <f t="shared" si="62"/>
        <v>575</v>
      </c>
      <c r="U232" s="287">
        <f t="shared" si="62"/>
        <v>2850</v>
      </c>
      <c r="V232" s="287">
        <f t="shared" si="62"/>
        <v>3498</v>
      </c>
      <c r="W232" s="287">
        <f t="shared" si="62"/>
        <v>4837</v>
      </c>
      <c r="X232" s="287">
        <f t="shared" si="62"/>
        <v>2711</v>
      </c>
      <c r="Y232" s="287">
        <f t="shared" si="62"/>
        <v>2790</v>
      </c>
      <c r="Z232" s="287">
        <f t="shared" si="62"/>
        <v>3391</v>
      </c>
      <c r="AA232" s="287">
        <f t="shared" si="62"/>
        <v>4183</v>
      </c>
      <c r="AB232" s="287">
        <f t="shared" si="62"/>
        <v>5198</v>
      </c>
      <c r="AC232" s="287">
        <f t="shared" si="62"/>
        <v>6424.4506385284958</v>
      </c>
      <c r="AD232" s="287">
        <f t="shared" si="62"/>
        <v>7507.0759669331374</v>
      </c>
      <c r="AE232" s="287">
        <f t="shared" si="62"/>
        <v>8453.1449330851028</v>
      </c>
      <c r="AF232" s="287">
        <f t="shared" si="62"/>
        <v>9376.0962541788249</v>
      </c>
      <c r="AG232" s="287">
        <f t="shared" si="62"/>
        <v>9925.4655952969078</v>
      </c>
      <c r="AH232" s="287">
        <f t="shared" si="62"/>
        <v>10472.17645372028</v>
      </c>
      <c r="AO232" s="338"/>
      <c r="AP232" s="449"/>
      <c r="AR232" s="449"/>
      <c r="AS232" s="449"/>
      <c r="BA232" s="287">
        <f t="shared" ref="BA232:CF232" si="63">BA225+BA230-BA222-BA223</f>
        <v>760</v>
      </c>
      <c r="BB232" s="287">
        <f t="shared" si="63"/>
        <v>862</v>
      </c>
      <c r="BC232" s="287">
        <f t="shared" si="63"/>
        <v>911</v>
      </c>
      <c r="BD232" s="287">
        <f t="shared" si="63"/>
        <v>633</v>
      </c>
      <c r="BE232" s="287">
        <f t="shared" si="63"/>
        <v>1090</v>
      </c>
      <c r="BF232" s="287">
        <f t="shared" si="63"/>
        <v>782</v>
      </c>
      <c r="BG232" s="287">
        <f t="shared" si="63"/>
        <v>1202</v>
      </c>
      <c r="BH232" s="287">
        <f t="shared" si="63"/>
        <v>957</v>
      </c>
      <c r="BI232" s="287">
        <f t="shared" si="63"/>
        <v>1534</v>
      </c>
      <c r="BJ232" s="287">
        <f t="shared" si="63"/>
        <v>1397</v>
      </c>
      <c r="BK232" s="287">
        <f t="shared" si="63"/>
        <v>1868</v>
      </c>
      <c r="BL232" s="287">
        <f t="shared" si="63"/>
        <v>1136</v>
      </c>
      <c r="BM232" s="287">
        <f t="shared" si="63"/>
        <v>4257</v>
      </c>
      <c r="BN232" s="287">
        <f t="shared" si="63"/>
        <v>-1407</v>
      </c>
      <c r="BO232" s="287">
        <f t="shared" si="63"/>
        <v>1414</v>
      </c>
      <c r="BP232" s="287">
        <f t="shared" si="63"/>
        <v>2084</v>
      </c>
      <c r="BQ232" s="287">
        <f t="shared" si="63"/>
        <v>2211</v>
      </c>
      <c r="BR232" s="287">
        <f t="shared" si="63"/>
        <v>2626</v>
      </c>
      <c r="BS232" s="287">
        <f t="shared" si="63"/>
        <v>1201</v>
      </c>
      <c r="BT232" s="287">
        <f t="shared" si="63"/>
        <v>1510</v>
      </c>
      <c r="BU232" s="287">
        <f t="shared" si="63"/>
        <v>877</v>
      </c>
      <c r="BV232" s="287">
        <f t="shared" si="63"/>
        <v>1913</v>
      </c>
      <c r="BW232" s="287">
        <f t="shared" si="63"/>
        <v>1448</v>
      </c>
      <c r="BX232" s="287">
        <f t="shared" si="63"/>
        <v>1553</v>
      </c>
      <c r="BY232" s="287">
        <f t="shared" si="63"/>
        <v>1827</v>
      </c>
      <c r="BZ232" s="287">
        <f t="shared" si="63"/>
        <v>2037</v>
      </c>
      <c r="CA232" s="287">
        <f t="shared" si="63"/>
        <v>2500</v>
      </c>
      <c r="CB232" s="287">
        <f t="shared" si="63"/>
        <v>2371</v>
      </c>
      <c r="CC232" s="287" t="e">
        <f t="shared" si="63"/>
        <v>#REF!</v>
      </c>
      <c r="CD232" s="287" t="e">
        <f t="shared" si="63"/>
        <v>#REF!</v>
      </c>
      <c r="CE232" s="287" t="e">
        <f t="shared" si="63"/>
        <v>#REF!</v>
      </c>
      <c r="CF232" s="287" t="e">
        <f t="shared" si="63"/>
        <v>#REF!</v>
      </c>
      <c r="CG232" s="287"/>
      <c r="CH232" s="287"/>
      <c r="CI232" s="287"/>
      <c r="CJ232" s="287"/>
      <c r="CK232" s="287"/>
      <c r="CL232" s="287"/>
      <c r="CM232" s="287"/>
      <c r="CN232" s="287"/>
      <c r="CO232" s="27"/>
      <c r="CR232" s="498"/>
      <c r="CS232" s="498"/>
      <c r="CT232" s="498"/>
      <c r="CU232" s="498"/>
      <c r="CV232" s="498"/>
      <c r="CW232" s="498"/>
      <c r="CX232" s="498"/>
      <c r="CY232" s="498"/>
      <c r="CZ232" s="498"/>
      <c r="DA232" s="498"/>
      <c r="DB232" s="498"/>
      <c r="DC232" s="498"/>
      <c r="DD232" s="498"/>
      <c r="DE232" s="498"/>
      <c r="DF232" s="498"/>
      <c r="DG232" s="498"/>
      <c r="DH232" s="498"/>
      <c r="DI232" s="498"/>
      <c r="DJ232" s="498"/>
      <c r="DK232" s="498"/>
      <c r="DL232" s="498"/>
      <c r="DM232" s="498"/>
      <c r="DN232" s="498"/>
      <c r="DO232" s="498"/>
      <c r="DP232" s="498"/>
      <c r="DQ232" s="498"/>
      <c r="DR232" s="498"/>
      <c r="DS232" s="498"/>
      <c r="DT232" s="498"/>
      <c r="DU232" s="498"/>
      <c r="DV232" s="498"/>
      <c r="DW232" s="498"/>
      <c r="DX232" s="498"/>
      <c r="DY232" s="498"/>
      <c r="DZ232" s="498"/>
      <c r="EA232" s="498"/>
      <c r="EB232" s="498"/>
      <c r="EC232" s="498"/>
      <c r="ED232" s="498"/>
      <c r="EE232" s="498"/>
      <c r="EF232" s="498"/>
      <c r="EG232" s="498"/>
      <c r="EH232" s="498"/>
      <c r="EI232" s="498"/>
      <c r="EJ232" s="498"/>
      <c r="EK232" s="498"/>
      <c r="EL232" s="498"/>
      <c r="EM232" s="498"/>
      <c r="EN232" s="498"/>
      <c r="EO232" s="498"/>
      <c r="EP232" s="498"/>
      <c r="EQ232" s="498"/>
      <c r="ER232" s="498"/>
      <c r="ES232" s="498"/>
      <c r="ET232" s="498"/>
      <c r="EU232" s="498"/>
      <c r="EV232" s="498"/>
      <c r="EW232" s="498"/>
      <c r="EX232" s="498"/>
      <c r="EY232" s="498"/>
      <c r="EZ232" s="498"/>
      <c r="FA232" s="498"/>
      <c r="FB232" s="498"/>
      <c r="FC232" s="498"/>
    </row>
    <row r="233" spans="3:159">
      <c r="C233" s="291" t="s">
        <v>781</v>
      </c>
      <c r="J233" s="285" t="e">
        <f t="shared" ref="J233:AH233" si="64">J232/J$218</f>
        <v>#REF!</v>
      </c>
      <c r="K233" s="285" t="e">
        <f t="shared" si="64"/>
        <v>#REF!</v>
      </c>
      <c r="L233" s="285" t="e">
        <f t="shared" si="64"/>
        <v>#REF!</v>
      </c>
      <c r="M233" s="285" t="e">
        <f t="shared" si="64"/>
        <v>#REF!</v>
      </c>
      <c r="N233" s="285" t="e">
        <f t="shared" si="64"/>
        <v>#REF!</v>
      </c>
      <c r="O233" s="285" t="e">
        <f t="shared" si="64"/>
        <v>#REF!</v>
      </c>
      <c r="P233" s="285" t="e">
        <f t="shared" si="64"/>
        <v>#REF!</v>
      </c>
      <c r="Q233" s="285">
        <f t="shared" si="64"/>
        <v>2.2766831441899324E-2</v>
      </c>
      <c r="R233" s="285">
        <f t="shared" si="64"/>
        <v>2.1947248453272551E-2</v>
      </c>
      <c r="S233" s="285">
        <f t="shared" si="64"/>
        <v>2.394625014356265E-2</v>
      </c>
      <c r="T233" s="285">
        <f t="shared" si="64"/>
        <v>3.6436220771814208E-2</v>
      </c>
      <c r="U233" s="285">
        <f t="shared" si="64"/>
        <v>0.17864978373973547</v>
      </c>
      <c r="V233" s="285">
        <f t="shared" si="64"/>
        <v>0.16617577197149644</v>
      </c>
      <c r="W233" s="285">
        <f t="shared" si="64"/>
        <v>0.19630681818181819</v>
      </c>
      <c r="X233" s="285">
        <f t="shared" si="64"/>
        <v>0.16432294823614985</v>
      </c>
      <c r="Y233" s="285">
        <f t="shared" si="64"/>
        <v>0.18286688077603722</v>
      </c>
      <c r="Z233" s="285">
        <f t="shared" si="64"/>
        <v>0.17814552140793274</v>
      </c>
      <c r="AA233" s="285">
        <f t="shared" si="64"/>
        <v>0.18030949609896979</v>
      </c>
      <c r="AB233" s="285">
        <f t="shared" si="64"/>
        <v>0.19028443826188821</v>
      </c>
      <c r="AC233" s="285">
        <f t="shared" si="64"/>
        <v>0.20726730850538513</v>
      </c>
      <c r="AD233" s="285">
        <f t="shared" si="64"/>
        <v>0.21746588318006482</v>
      </c>
      <c r="AE233" s="285">
        <f t="shared" si="64"/>
        <v>0.22145701058610148</v>
      </c>
      <c r="AF233" s="285">
        <f t="shared" si="64"/>
        <v>0.22647346390712361</v>
      </c>
      <c r="AG233" s="285">
        <f t="shared" si="64"/>
        <v>0.22852127674718256</v>
      </c>
      <c r="AH233" s="285">
        <f t="shared" si="64"/>
        <v>0.22997635105227837</v>
      </c>
      <c r="AO233" s="338"/>
      <c r="AP233" s="449"/>
      <c r="AR233" s="449"/>
      <c r="AS233" s="449"/>
      <c r="BA233" s="285">
        <f t="shared" ref="BA233:CF233" si="65">BA232/BA218</f>
        <v>0.13537584609903811</v>
      </c>
      <c r="BB233" s="285">
        <f t="shared" si="65"/>
        <v>0.14080365893498856</v>
      </c>
      <c r="BC233" s="285">
        <f t="shared" si="65"/>
        <v>0.14205520037423983</v>
      </c>
      <c r="BD233" s="285">
        <f t="shared" si="65"/>
        <v>8.85686301944872E-2</v>
      </c>
      <c r="BE233" s="285">
        <f t="shared" si="65"/>
        <v>0.15781091646156073</v>
      </c>
      <c r="BF233" s="285">
        <f t="shared" si="65"/>
        <v>0.10488197424892703</v>
      </c>
      <c r="BG233" s="285">
        <f t="shared" si="65"/>
        <v>0.1667591564927858</v>
      </c>
      <c r="BH233" s="285">
        <f t="shared" si="65"/>
        <v>0.11746655210506934</v>
      </c>
      <c r="BI233" s="285">
        <f t="shared" si="65"/>
        <v>0.18255384981554207</v>
      </c>
      <c r="BJ233" s="285">
        <f t="shared" si="65"/>
        <v>0.15503273776495394</v>
      </c>
      <c r="BK233" s="285">
        <f t="shared" si="65"/>
        <v>0.23388005508952048</v>
      </c>
      <c r="BL233" s="285">
        <f t="shared" si="65"/>
        <v>0.14575314344367463</v>
      </c>
      <c r="BM233" s="285">
        <f t="shared" si="65"/>
        <v>0.52960935556108479</v>
      </c>
      <c r="BN233" s="285">
        <f t="shared" si="65"/>
        <v>-0.17776373973468099</v>
      </c>
      <c r="BO233" s="285">
        <f t="shared" si="65"/>
        <v>0.14873251288524245</v>
      </c>
      <c r="BP233" s="285">
        <f t="shared" si="65"/>
        <v>0.18054232002079182</v>
      </c>
      <c r="BQ233" s="285">
        <f t="shared" si="65"/>
        <v>0.18269707486365891</v>
      </c>
      <c r="BR233" s="285">
        <f t="shared" si="65"/>
        <v>0.20944329239113096</v>
      </c>
      <c r="BS233" s="285">
        <f t="shared" si="65"/>
        <v>0.1369909889357819</v>
      </c>
      <c r="BT233" s="285">
        <f t="shared" si="65"/>
        <v>0.19531755270986936</v>
      </c>
      <c r="BU233" s="285">
        <f t="shared" si="65"/>
        <v>0.12754508435136708</v>
      </c>
      <c r="BV233" s="285">
        <f t="shared" si="65"/>
        <v>0.22825438491826752</v>
      </c>
      <c r="BW233" s="285">
        <f t="shared" si="65"/>
        <v>0.1691588785046729</v>
      </c>
      <c r="BX233" s="285">
        <f t="shared" si="65"/>
        <v>0.14825775656324583</v>
      </c>
      <c r="BY233" s="285">
        <f t="shared" si="65"/>
        <v>0.166925536774783</v>
      </c>
      <c r="BZ233" s="285">
        <f t="shared" si="65"/>
        <v>0.16623143463358903</v>
      </c>
      <c r="CA233" s="285">
        <f t="shared" si="65"/>
        <v>0.19161493063539511</v>
      </c>
      <c r="CB233" s="285">
        <f t="shared" si="65"/>
        <v>0.16615276804484932</v>
      </c>
      <c r="CC233" s="285" t="e">
        <f t="shared" si="65"/>
        <v>#REF!</v>
      </c>
      <c r="CD233" s="285" t="e">
        <f t="shared" si="65"/>
        <v>#REF!</v>
      </c>
      <c r="CE233" s="285" t="e">
        <f t="shared" si="65"/>
        <v>#REF!</v>
      </c>
      <c r="CF233" s="285" t="e">
        <f t="shared" si="65"/>
        <v>#REF!</v>
      </c>
      <c r="CG233" s="285"/>
      <c r="CH233" s="285"/>
      <c r="CI233" s="285"/>
      <c r="CJ233" s="285"/>
      <c r="CK233" s="285"/>
      <c r="CL233" s="285"/>
      <c r="CM233" s="285"/>
      <c r="CN233" s="285"/>
      <c r="CO233" s="473"/>
      <c r="CR233" s="498"/>
      <c r="CS233" s="498"/>
      <c r="CT233" s="498"/>
      <c r="CU233" s="498"/>
      <c r="CV233" s="498"/>
      <c r="CW233" s="498"/>
      <c r="CX233" s="498"/>
      <c r="CY233" s="498"/>
      <c r="CZ233" s="498"/>
      <c r="DA233" s="498"/>
      <c r="DB233" s="498"/>
      <c r="DC233" s="498"/>
      <c r="DD233" s="498"/>
      <c r="DE233" s="498"/>
      <c r="DF233" s="498"/>
      <c r="DG233" s="498"/>
      <c r="DH233" s="498"/>
      <c r="DI233" s="498"/>
      <c r="DJ233" s="498"/>
      <c r="DK233" s="498"/>
      <c r="DL233" s="498"/>
      <c r="DM233" s="498"/>
      <c r="DN233" s="498"/>
      <c r="DO233" s="498"/>
      <c r="DP233" s="498"/>
      <c r="DQ233" s="498"/>
      <c r="DR233" s="498"/>
      <c r="DS233" s="498"/>
      <c r="DT233" s="498"/>
      <c r="DU233" s="498"/>
      <c r="DV233" s="498"/>
      <c r="DW233" s="498"/>
      <c r="DX233" s="498"/>
      <c r="DY233" s="498"/>
      <c r="DZ233" s="498"/>
      <c r="EA233" s="498"/>
      <c r="EB233" s="498"/>
      <c r="EC233" s="498"/>
      <c r="ED233" s="498"/>
      <c r="EE233" s="498"/>
      <c r="EF233" s="498"/>
      <c r="EG233" s="498"/>
      <c r="EH233" s="498"/>
      <c r="EI233" s="498"/>
      <c r="EJ233" s="498"/>
      <c r="EK233" s="498"/>
      <c r="EL233" s="498"/>
      <c r="EM233" s="498"/>
      <c r="EN233" s="498"/>
      <c r="EO233" s="498"/>
      <c r="EP233" s="498"/>
      <c r="EQ233" s="498"/>
      <c r="ER233" s="498"/>
      <c r="ES233" s="498"/>
      <c r="ET233" s="498"/>
      <c r="EU233" s="498"/>
      <c r="EV233" s="498"/>
      <c r="EW233" s="498"/>
      <c r="EX233" s="498"/>
      <c r="EY233" s="498"/>
      <c r="EZ233" s="498"/>
      <c r="FA233" s="498"/>
      <c r="FB233" s="498"/>
      <c r="FC233" s="498"/>
    </row>
    <row r="234" spans="3:159">
      <c r="C234" s="19"/>
      <c r="J234" s="285"/>
      <c r="K234" s="285"/>
      <c r="L234" s="285"/>
      <c r="M234" s="285"/>
      <c r="N234" s="285"/>
      <c r="O234" s="285"/>
      <c r="P234" s="285"/>
      <c r="Q234" s="285"/>
      <c r="R234" s="285"/>
      <c r="S234" s="285"/>
      <c r="T234" s="285"/>
      <c r="U234" s="285"/>
      <c r="V234" s="285"/>
      <c r="W234" s="285"/>
      <c r="X234" s="285"/>
      <c r="Y234" s="285"/>
      <c r="Z234" s="285"/>
      <c r="AA234" s="285"/>
      <c r="AB234" s="285"/>
      <c r="AC234" s="285"/>
      <c r="AD234" s="285"/>
      <c r="AE234" s="285"/>
      <c r="AF234" s="285"/>
      <c r="AG234" s="285"/>
      <c r="AH234" s="285"/>
      <c r="AO234" s="338"/>
      <c r="AP234" s="449"/>
      <c r="AR234" s="449"/>
      <c r="AS234" s="449"/>
      <c r="BA234" s="285"/>
      <c r="BB234" s="285"/>
      <c r="BC234" s="285"/>
      <c r="BD234" s="285"/>
      <c r="BE234" s="285"/>
      <c r="BF234" s="285"/>
      <c r="BG234" s="285"/>
      <c r="BH234" s="285"/>
      <c r="BI234" s="285"/>
      <c r="BJ234" s="285"/>
      <c r="BK234" s="285"/>
      <c r="BL234" s="285"/>
      <c r="BM234" s="285"/>
      <c r="BN234" s="285"/>
      <c r="BO234" s="285"/>
      <c r="BP234" s="285"/>
      <c r="BQ234" s="285"/>
      <c r="BR234" s="285"/>
      <c r="BS234" s="285"/>
      <c r="BT234" s="285"/>
      <c r="BU234" s="285"/>
      <c r="BV234" s="285"/>
      <c r="BW234" s="285"/>
      <c r="BX234" s="285"/>
      <c r="BY234" s="285"/>
      <c r="BZ234" s="285"/>
      <c r="CA234" s="285"/>
      <c r="CB234" s="285"/>
      <c r="CC234" s="285"/>
      <c r="CD234" s="285"/>
      <c r="CE234" s="285"/>
      <c r="CF234" s="285"/>
      <c r="CG234" s="285"/>
      <c r="CH234" s="285"/>
      <c r="CI234" s="285"/>
      <c r="CJ234" s="285"/>
      <c r="CK234" s="285"/>
      <c r="CL234" s="285"/>
      <c r="CM234" s="285"/>
      <c r="CN234" s="285"/>
      <c r="CO234" s="473"/>
      <c r="CR234" s="498"/>
      <c r="CS234" s="498"/>
      <c r="CT234" s="498"/>
      <c r="CU234" s="498"/>
      <c r="CV234" s="498"/>
      <c r="CW234" s="498"/>
      <c r="CX234" s="498"/>
      <c r="CY234" s="498"/>
      <c r="CZ234" s="498"/>
      <c r="DA234" s="498"/>
      <c r="DB234" s="498"/>
      <c r="DC234" s="498"/>
      <c r="DD234" s="498"/>
      <c r="DE234" s="498"/>
      <c r="DF234" s="498"/>
      <c r="DG234" s="498"/>
      <c r="DH234" s="498"/>
      <c r="DI234" s="498"/>
      <c r="DJ234" s="498"/>
      <c r="DK234" s="498"/>
      <c r="DL234" s="498"/>
      <c r="DM234" s="498"/>
      <c r="DN234" s="498"/>
      <c r="DO234" s="498"/>
      <c r="DP234" s="498"/>
      <c r="DQ234" s="498"/>
      <c r="DR234" s="498"/>
      <c r="DS234" s="498"/>
      <c r="DT234" s="498"/>
      <c r="DU234" s="498"/>
      <c r="DV234" s="498"/>
      <c r="DW234" s="498"/>
      <c r="DX234" s="498"/>
      <c r="DY234" s="498"/>
      <c r="DZ234" s="498"/>
      <c r="EA234" s="498"/>
      <c r="EB234" s="498"/>
      <c r="EC234" s="498"/>
      <c r="ED234" s="498"/>
      <c r="EE234" s="498"/>
      <c r="EF234" s="498"/>
      <c r="EG234" s="498"/>
      <c r="EH234" s="498"/>
      <c r="EI234" s="498"/>
      <c r="EJ234" s="498"/>
      <c r="EK234" s="498"/>
      <c r="EL234" s="498"/>
      <c r="EM234" s="498"/>
      <c r="EN234" s="498"/>
      <c r="EO234" s="498"/>
      <c r="EP234" s="498"/>
      <c r="EQ234" s="498"/>
      <c r="ER234" s="498"/>
      <c r="ES234" s="498"/>
      <c r="ET234" s="498"/>
      <c r="EU234" s="498"/>
      <c r="EV234" s="498"/>
      <c r="EW234" s="498"/>
      <c r="EX234" s="498"/>
      <c r="EY234" s="498"/>
      <c r="EZ234" s="498"/>
      <c r="FA234" s="498"/>
      <c r="FB234" s="498"/>
      <c r="FC234" s="498"/>
    </row>
    <row r="235" spans="3:159">
      <c r="C235" s="19" t="s">
        <v>782</v>
      </c>
      <c r="J235" s="287" t="e">
        <f t="shared" ref="J235:AH235" si="66">J232</f>
        <v>#REF!</v>
      </c>
      <c r="K235" s="287" t="e">
        <f t="shared" si="66"/>
        <v>#REF!</v>
      </c>
      <c r="L235" s="287" t="e">
        <f t="shared" si="66"/>
        <v>#REF!</v>
      </c>
      <c r="M235" s="287" t="e">
        <f t="shared" si="66"/>
        <v>#REF!</v>
      </c>
      <c r="N235" s="287" t="e">
        <f t="shared" si="66"/>
        <v>#REF!</v>
      </c>
      <c r="O235" s="287" t="e">
        <f t="shared" si="66"/>
        <v>#REF!</v>
      </c>
      <c r="P235" s="287" t="e">
        <f t="shared" si="66"/>
        <v>#REF!</v>
      </c>
      <c r="Q235" s="287">
        <f t="shared" si="66"/>
        <v>327</v>
      </c>
      <c r="R235" s="287">
        <f t="shared" si="66"/>
        <v>337</v>
      </c>
      <c r="S235" s="287">
        <f t="shared" si="66"/>
        <v>417</v>
      </c>
      <c r="T235" s="287">
        <f t="shared" si="66"/>
        <v>575</v>
      </c>
      <c r="U235" s="287">
        <f t="shared" si="66"/>
        <v>2850</v>
      </c>
      <c r="V235" s="287">
        <f t="shared" si="66"/>
        <v>3498</v>
      </c>
      <c r="W235" s="287">
        <f t="shared" si="66"/>
        <v>4837</v>
      </c>
      <c r="X235" s="287">
        <f t="shared" si="66"/>
        <v>2711</v>
      </c>
      <c r="Y235" s="287">
        <f t="shared" si="66"/>
        <v>2790</v>
      </c>
      <c r="Z235" s="287">
        <f t="shared" si="66"/>
        <v>3391</v>
      </c>
      <c r="AA235" s="287">
        <f t="shared" si="66"/>
        <v>4183</v>
      </c>
      <c r="AB235" s="287">
        <f t="shared" si="66"/>
        <v>5198</v>
      </c>
      <c r="AC235" s="287">
        <f t="shared" si="66"/>
        <v>6424.4506385284958</v>
      </c>
      <c r="AD235" s="287">
        <f t="shared" si="66"/>
        <v>7507.0759669331374</v>
      </c>
      <c r="AE235" s="287">
        <f t="shared" si="66"/>
        <v>8453.1449330851028</v>
      </c>
      <c r="AF235" s="287">
        <f t="shared" si="66"/>
        <v>9376.0962541788249</v>
      </c>
      <c r="AG235" s="287">
        <f t="shared" si="66"/>
        <v>9925.4655952969078</v>
      </c>
      <c r="AH235" s="287">
        <f t="shared" si="66"/>
        <v>10472.17645372028</v>
      </c>
      <c r="AO235" s="338"/>
      <c r="AP235" s="449"/>
      <c r="AR235" s="449"/>
      <c r="AS235" s="449"/>
      <c r="BA235" s="287">
        <f t="shared" ref="BA235:CF235" si="67">BA232</f>
        <v>760</v>
      </c>
      <c r="BB235" s="287">
        <f t="shared" si="67"/>
        <v>862</v>
      </c>
      <c r="BC235" s="287">
        <f t="shared" si="67"/>
        <v>911</v>
      </c>
      <c r="BD235" s="287">
        <f t="shared" si="67"/>
        <v>633</v>
      </c>
      <c r="BE235" s="287">
        <f t="shared" si="67"/>
        <v>1090</v>
      </c>
      <c r="BF235" s="287">
        <f t="shared" si="67"/>
        <v>782</v>
      </c>
      <c r="BG235" s="287">
        <f t="shared" si="67"/>
        <v>1202</v>
      </c>
      <c r="BH235" s="287">
        <f t="shared" si="67"/>
        <v>957</v>
      </c>
      <c r="BI235" s="287">
        <f t="shared" si="67"/>
        <v>1534</v>
      </c>
      <c r="BJ235" s="287">
        <f t="shared" si="67"/>
        <v>1397</v>
      </c>
      <c r="BK235" s="287">
        <f t="shared" si="67"/>
        <v>1868</v>
      </c>
      <c r="BL235" s="287">
        <f t="shared" si="67"/>
        <v>1136</v>
      </c>
      <c r="BM235" s="287">
        <f t="shared" si="67"/>
        <v>4257</v>
      </c>
      <c r="BN235" s="287">
        <f t="shared" si="67"/>
        <v>-1407</v>
      </c>
      <c r="BO235" s="287">
        <f t="shared" si="67"/>
        <v>1414</v>
      </c>
      <c r="BP235" s="287">
        <f t="shared" si="67"/>
        <v>2084</v>
      </c>
      <c r="BQ235" s="287">
        <f t="shared" si="67"/>
        <v>2211</v>
      </c>
      <c r="BR235" s="287">
        <f t="shared" si="67"/>
        <v>2626</v>
      </c>
      <c r="BS235" s="287">
        <f t="shared" si="67"/>
        <v>1201</v>
      </c>
      <c r="BT235" s="287">
        <f t="shared" si="67"/>
        <v>1510</v>
      </c>
      <c r="BU235" s="287">
        <f t="shared" si="67"/>
        <v>877</v>
      </c>
      <c r="BV235" s="287">
        <f t="shared" si="67"/>
        <v>1913</v>
      </c>
      <c r="BW235" s="287">
        <f t="shared" si="67"/>
        <v>1448</v>
      </c>
      <c r="BX235" s="287">
        <f t="shared" si="67"/>
        <v>1553</v>
      </c>
      <c r="BY235" s="287">
        <f t="shared" si="67"/>
        <v>1827</v>
      </c>
      <c r="BZ235" s="287">
        <f t="shared" si="67"/>
        <v>2037</v>
      </c>
      <c r="CA235" s="287">
        <f t="shared" si="67"/>
        <v>2500</v>
      </c>
      <c r="CB235" s="287">
        <f t="shared" si="67"/>
        <v>2371</v>
      </c>
      <c r="CC235" s="287" t="e">
        <f t="shared" si="67"/>
        <v>#REF!</v>
      </c>
      <c r="CD235" s="287" t="e">
        <f t="shared" si="67"/>
        <v>#REF!</v>
      </c>
      <c r="CE235" s="287" t="e">
        <f t="shared" si="67"/>
        <v>#REF!</v>
      </c>
      <c r="CF235" s="287" t="e">
        <f t="shared" si="67"/>
        <v>#REF!</v>
      </c>
      <c r="CG235" s="287"/>
      <c r="CH235" s="287"/>
      <c r="CI235" s="287"/>
      <c r="CJ235" s="287"/>
      <c r="CK235" s="287"/>
      <c r="CL235" s="287"/>
      <c r="CM235" s="287"/>
      <c r="CN235" s="287"/>
      <c r="CO235" s="27"/>
      <c r="CR235" s="498"/>
      <c r="CS235" s="498"/>
      <c r="CT235" s="498"/>
      <c r="CU235" s="498"/>
      <c r="CV235" s="498"/>
      <c r="CW235" s="498"/>
      <c r="CX235" s="498"/>
      <c r="CY235" s="498"/>
      <c r="CZ235" s="498"/>
      <c r="DA235" s="498"/>
      <c r="DB235" s="498"/>
      <c r="DC235" s="498"/>
      <c r="DD235" s="498"/>
      <c r="DE235" s="498"/>
      <c r="DF235" s="498"/>
      <c r="DG235" s="498"/>
      <c r="DH235" s="498"/>
      <c r="DI235" s="498"/>
      <c r="DJ235" s="498"/>
      <c r="DK235" s="498"/>
      <c r="DL235" s="498"/>
      <c r="DM235" s="498"/>
      <c r="DN235" s="498"/>
      <c r="DO235" s="498"/>
      <c r="DP235" s="498"/>
      <c r="DQ235" s="498"/>
      <c r="DR235" s="498"/>
      <c r="DS235" s="498"/>
      <c r="DT235" s="498"/>
      <c r="DU235" s="498"/>
      <c r="DV235" s="498"/>
      <c r="DW235" s="498"/>
      <c r="DX235" s="498"/>
      <c r="DY235" s="498"/>
      <c r="DZ235" s="498"/>
      <c r="EA235" s="498"/>
      <c r="EB235" s="498"/>
      <c r="EC235" s="498"/>
      <c r="ED235" s="498"/>
      <c r="EE235" s="498"/>
      <c r="EF235" s="498"/>
      <c r="EG235" s="498"/>
      <c r="EH235" s="498"/>
      <c r="EI235" s="498"/>
      <c r="EJ235" s="498"/>
      <c r="EK235" s="498"/>
      <c r="EL235" s="498"/>
      <c r="EM235" s="498"/>
      <c r="EN235" s="498"/>
      <c r="EO235" s="498"/>
      <c r="EP235" s="498"/>
      <c r="EQ235" s="498"/>
      <c r="ER235" s="498"/>
      <c r="ES235" s="498"/>
      <c r="ET235" s="498"/>
      <c r="EU235" s="498"/>
      <c r="EV235" s="498"/>
      <c r="EW235" s="498"/>
      <c r="EX235" s="498"/>
      <c r="EY235" s="498"/>
      <c r="EZ235" s="498"/>
      <c r="FA235" s="498"/>
      <c r="FB235" s="498"/>
      <c r="FC235" s="498"/>
    </row>
    <row r="236" spans="3:159">
      <c r="C236" s="291" t="s">
        <v>781</v>
      </c>
      <c r="J236" s="285" t="e">
        <f t="shared" ref="J236:AH236" si="68">J235/J$218</f>
        <v>#REF!</v>
      </c>
      <c r="K236" s="285" t="e">
        <f t="shared" si="68"/>
        <v>#REF!</v>
      </c>
      <c r="L236" s="285" t="e">
        <f t="shared" si="68"/>
        <v>#REF!</v>
      </c>
      <c r="M236" s="285" t="e">
        <f t="shared" si="68"/>
        <v>#REF!</v>
      </c>
      <c r="N236" s="285" t="e">
        <f t="shared" si="68"/>
        <v>#REF!</v>
      </c>
      <c r="O236" s="285" t="e">
        <f t="shared" si="68"/>
        <v>#REF!</v>
      </c>
      <c r="P236" s="285" t="e">
        <f t="shared" si="68"/>
        <v>#REF!</v>
      </c>
      <c r="Q236" s="285">
        <f t="shared" si="68"/>
        <v>2.2766831441899324E-2</v>
      </c>
      <c r="R236" s="285">
        <f t="shared" si="68"/>
        <v>2.1947248453272551E-2</v>
      </c>
      <c r="S236" s="285">
        <f t="shared" si="68"/>
        <v>2.394625014356265E-2</v>
      </c>
      <c r="T236" s="285">
        <f t="shared" si="68"/>
        <v>3.6436220771814208E-2</v>
      </c>
      <c r="U236" s="285">
        <f t="shared" si="68"/>
        <v>0.17864978373973547</v>
      </c>
      <c r="V236" s="285">
        <f t="shared" si="68"/>
        <v>0.16617577197149644</v>
      </c>
      <c r="W236" s="285">
        <f t="shared" si="68"/>
        <v>0.19630681818181819</v>
      </c>
      <c r="X236" s="285">
        <f t="shared" si="68"/>
        <v>0.16432294823614985</v>
      </c>
      <c r="Y236" s="285">
        <f t="shared" si="68"/>
        <v>0.18286688077603722</v>
      </c>
      <c r="Z236" s="285">
        <f t="shared" si="68"/>
        <v>0.17814552140793274</v>
      </c>
      <c r="AA236" s="285">
        <f t="shared" si="68"/>
        <v>0.18030949609896979</v>
      </c>
      <c r="AB236" s="285">
        <f t="shared" si="68"/>
        <v>0.19028443826188821</v>
      </c>
      <c r="AC236" s="285">
        <f t="shared" si="68"/>
        <v>0.20726730850538513</v>
      </c>
      <c r="AD236" s="285">
        <f t="shared" si="68"/>
        <v>0.21746588318006482</v>
      </c>
      <c r="AE236" s="285">
        <f t="shared" si="68"/>
        <v>0.22145701058610148</v>
      </c>
      <c r="AF236" s="285">
        <f t="shared" si="68"/>
        <v>0.22647346390712361</v>
      </c>
      <c r="AG236" s="285">
        <f t="shared" si="68"/>
        <v>0.22852127674718256</v>
      </c>
      <c r="AH236" s="285">
        <f t="shared" si="68"/>
        <v>0.22997635105227837</v>
      </c>
      <c r="AO236" s="338"/>
      <c r="AP236" s="449"/>
      <c r="AR236" s="449"/>
      <c r="AS236" s="449"/>
      <c r="BA236" s="285">
        <f t="shared" ref="BA236:CF236" si="69">BA235/BA$218</f>
        <v>0.13537584609903811</v>
      </c>
      <c r="BB236" s="285">
        <f t="shared" si="69"/>
        <v>0.14080365893498856</v>
      </c>
      <c r="BC236" s="285">
        <f t="shared" si="69"/>
        <v>0.14205520037423983</v>
      </c>
      <c r="BD236" s="285">
        <f t="shared" si="69"/>
        <v>8.85686301944872E-2</v>
      </c>
      <c r="BE236" s="285">
        <f t="shared" si="69"/>
        <v>0.15781091646156073</v>
      </c>
      <c r="BF236" s="285">
        <f t="shared" si="69"/>
        <v>0.10488197424892703</v>
      </c>
      <c r="BG236" s="285">
        <f t="shared" si="69"/>
        <v>0.1667591564927858</v>
      </c>
      <c r="BH236" s="285">
        <f t="shared" si="69"/>
        <v>0.11746655210506934</v>
      </c>
      <c r="BI236" s="285">
        <f t="shared" si="69"/>
        <v>0.18255384981554207</v>
      </c>
      <c r="BJ236" s="285">
        <f t="shared" si="69"/>
        <v>0.15503273776495394</v>
      </c>
      <c r="BK236" s="285">
        <f t="shared" si="69"/>
        <v>0.23388005508952048</v>
      </c>
      <c r="BL236" s="285">
        <f t="shared" si="69"/>
        <v>0.14575314344367463</v>
      </c>
      <c r="BM236" s="285">
        <f t="shared" si="69"/>
        <v>0.52960935556108479</v>
      </c>
      <c r="BN236" s="285">
        <f t="shared" si="69"/>
        <v>-0.17776373973468099</v>
      </c>
      <c r="BO236" s="285">
        <f t="shared" si="69"/>
        <v>0.14873251288524245</v>
      </c>
      <c r="BP236" s="285">
        <f t="shared" si="69"/>
        <v>0.18054232002079182</v>
      </c>
      <c r="BQ236" s="285">
        <f t="shared" si="69"/>
        <v>0.18269707486365891</v>
      </c>
      <c r="BR236" s="285">
        <f t="shared" si="69"/>
        <v>0.20944329239113096</v>
      </c>
      <c r="BS236" s="285">
        <f t="shared" si="69"/>
        <v>0.1369909889357819</v>
      </c>
      <c r="BT236" s="285">
        <f t="shared" si="69"/>
        <v>0.19531755270986936</v>
      </c>
      <c r="BU236" s="285">
        <f t="shared" si="69"/>
        <v>0.12754508435136708</v>
      </c>
      <c r="BV236" s="285">
        <f t="shared" si="69"/>
        <v>0.22825438491826752</v>
      </c>
      <c r="BW236" s="285">
        <f t="shared" si="69"/>
        <v>0.1691588785046729</v>
      </c>
      <c r="BX236" s="285">
        <f t="shared" si="69"/>
        <v>0.14825775656324583</v>
      </c>
      <c r="BY236" s="285">
        <f t="shared" si="69"/>
        <v>0.166925536774783</v>
      </c>
      <c r="BZ236" s="285">
        <f t="shared" si="69"/>
        <v>0.16623143463358903</v>
      </c>
      <c r="CA236" s="285">
        <f t="shared" si="69"/>
        <v>0.19161493063539511</v>
      </c>
      <c r="CB236" s="285">
        <f t="shared" si="69"/>
        <v>0.16615276804484932</v>
      </c>
      <c r="CC236" s="285" t="e">
        <f t="shared" si="69"/>
        <v>#REF!</v>
      </c>
      <c r="CD236" s="285" t="e">
        <f t="shared" si="69"/>
        <v>#REF!</v>
      </c>
      <c r="CE236" s="285" t="e">
        <f t="shared" si="69"/>
        <v>#REF!</v>
      </c>
      <c r="CF236" s="285" t="e">
        <f t="shared" si="69"/>
        <v>#REF!</v>
      </c>
      <c r="CG236" s="285"/>
      <c r="CH236" s="285"/>
      <c r="CI236" s="285"/>
      <c r="CJ236" s="285"/>
      <c r="CK236" s="285"/>
      <c r="CL236" s="285"/>
      <c r="CM236" s="285"/>
      <c r="CN236" s="285"/>
      <c r="CO236" s="473"/>
      <c r="CR236" s="498"/>
      <c r="CS236" s="498"/>
      <c r="CT236" s="498"/>
      <c r="CU236" s="498"/>
      <c r="CV236" s="498"/>
      <c r="CW236" s="498"/>
      <c r="CX236" s="498"/>
      <c r="CY236" s="498"/>
      <c r="CZ236" s="498"/>
      <c r="DA236" s="498"/>
      <c r="DB236" s="498"/>
      <c r="DC236" s="498"/>
      <c r="DD236" s="498"/>
      <c r="DE236" s="498"/>
      <c r="DF236" s="498"/>
      <c r="DG236" s="498"/>
      <c r="DH236" s="498"/>
      <c r="DI236" s="498"/>
      <c r="DJ236" s="498"/>
      <c r="DK236" s="498"/>
      <c r="DL236" s="498"/>
      <c r="DM236" s="498"/>
      <c r="DN236" s="498"/>
      <c r="DO236" s="498"/>
      <c r="DP236" s="498"/>
      <c r="DQ236" s="498"/>
      <c r="DR236" s="498"/>
      <c r="DS236" s="498"/>
      <c r="DT236" s="498"/>
      <c r="DU236" s="498"/>
      <c r="DV236" s="498"/>
      <c r="DW236" s="498"/>
      <c r="DX236" s="498"/>
      <c r="DY236" s="498"/>
      <c r="DZ236" s="498"/>
      <c r="EA236" s="498"/>
      <c r="EB236" s="498"/>
      <c r="EC236" s="498"/>
      <c r="ED236" s="498"/>
      <c r="EE236" s="498"/>
      <c r="EF236" s="498"/>
      <c r="EG236" s="498"/>
      <c r="EH236" s="498"/>
      <c r="EI236" s="498"/>
      <c r="EJ236" s="498"/>
      <c r="EK236" s="498"/>
      <c r="EL236" s="498"/>
      <c r="EM236" s="498"/>
      <c r="EN236" s="498"/>
      <c r="EO236" s="498"/>
      <c r="EP236" s="498"/>
      <c r="EQ236" s="498"/>
      <c r="ER236" s="498"/>
      <c r="ES236" s="498"/>
      <c r="ET236" s="498"/>
      <c r="EU236" s="498"/>
      <c r="EV236" s="498"/>
      <c r="EW236" s="498"/>
      <c r="EX236" s="498"/>
      <c r="EY236" s="498"/>
      <c r="EZ236" s="498"/>
      <c r="FA236" s="498"/>
      <c r="FB236" s="498"/>
      <c r="FC236" s="498"/>
    </row>
    <row r="237" spans="3:159">
      <c r="C237" s="19" t="s">
        <v>1006</v>
      </c>
      <c r="J237" s="285"/>
      <c r="K237" s="285"/>
      <c r="L237" s="285"/>
      <c r="M237" s="285"/>
      <c r="N237" s="285"/>
      <c r="O237" s="285"/>
      <c r="P237" s="285"/>
      <c r="Q237" s="285"/>
      <c r="R237" s="285"/>
      <c r="S237" s="285"/>
      <c r="T237" s="285"/>
      <c r="U237" s="285"/>
      <c r="V237" s="285"/>
      <c r="W237" s="285"/>
      <c r="X237" s="285"/>
      <c r="Y237" s="285"/>
      <c r="AO237" s="338"/>
      <c r="AP237" s="449"/>
      <c r="AR237" s="449"/>
      <c r="AS237" s="449"/>
      <c r="BA237" s="285"/>
      <c r="BB237" s="285"/>
      <c r="BC237" s="285"/>
      <c r="BD237" s="285"/>
      <c r="BE237" s="285"/>
      <c r="BF237" s="285"/>
      <c r="BG237" s="285"/>
      <c r="BH237" s="285"/>
      <c r="BI237" s="285"/>
      <c r="BJ237" s="285"/>
      <c r="BK237" s="285"/>
      <c r="BL237" s="285"/>
      <c r="BM237" s="285"/>
      <c r="BN237" s="285"/>
      <c r="BO237" s="285"/>
      <c r="BP237" s="285"/>
      <c r="BQ237" s="285"/>
      <c r="BR237" s="285"/>
      <c r="BS237" s="285"/>
      <c r="BT237" s="285"/>
      <c r="BU237" s="285"/>
      <c r="BV237" s="285"/>
      <c r="BW237" s="285"/>
      <c r="BX237" s="285"/>
      <c r="BY237" s="285"/>
      <c r="BZ237" s="285"/>
      <c r="CA237" s="285"/>
      <c r="CB237" s="285"/>
      <c r="CC237" s="285"/>
      <c r="CD237" s="285"/>
      <c r="CE237" s="285"/>
      <c r="CF237" s="285"/>
      <c r="CG237" s="285"/>
      <c r="CH237" s="285"/>
      <c r="CI237" s="285"/>
      <c r="CJ237" s="285"/>
      <c r="CK237" s="285"/>
      <c r="CL237" s="285"/>
      <c r="CM237" s="285"/>
      <c r="CN237" s="285"/>
      <c r="CO237" s="473"/>
      <c r="CR237" s="498"/>
      <c r="CS237" s="498"/>
      <c r="CT237" s="498"/>
      <c r="CU237" s="498"/>
      <c r="CV237" s="498"/>
      <c r="CW237" s="498"/>
      <c r="CX237" s="498"/>
      <c r="CY237" s="498"/>
      <c r="CZ237" s="498"/>
      <c r="DA237" s="498"/>
      <c r="DB237" s="498"/>
      <c r="DC237" s="498"/>
      <c r="DD237" s="498"/>
      <c r="DE237" s="498"/>
      <c r="DF237" s="498"/>
      <c r="DG237" s="498"/>
      <c r="DH237" s="498"/>
      <c r="DI237" s="498"/>
      <c r="DJ237" s="498"/>
      <c r="DK237" s="498"/>
      <c r="DL237" s="498"/>
      <c r="DM237" s="498"/>
      <c r="DN237" s="498"/>
      <c r="DO237" s="498"/>
      <c r="DP237" s="498"/>
      <c r="DQ237" s="498"/>
      <c r="DR237" s="498"/>
      <c r="DS237" s="498"/>
      <c r="DT237" s="498"/>
      <c r="DU237" s="498"/>
      <c r="DV237" s="498"/>
      <c r="DW237" s="498"/>
      <c r="DX237" s="498"/>
      <c r="DY237" s="498"/>
      <c r="DZ237" s="498"/>
      <c r="EA237" s="498"/>
      <c r="EB237" s="498"/>
      <c r="EC237" s="498"/>
      <c r="ED237" s="498"/>
      <c r="EE237" s="498"/>
      <c r="EF237" s="498"/>
      <c r="EG237" s="498"/>
      <c r="EH237" s="498"/>
      <c r="EI237" s="498"/>
      <c r="EJ237" s="498"/>
      <c r="EK237" s="498"/>
      <c r="EL237" s="498"/>
      <c r="EM237" s="498"/>
      <c r="EN237" s="498"/>
      <c r="EO237" s="498"/>
      <c r="EP237" s="498"/>
      <c r="EQ237" s="498"/>
      <c r="ER237" s="498"/>
      <c r="ES237" s="498"/>
      <c r="ET237" s="498"/>
      <c r="EU237" s="498"/>
      <c r="EV237" s="498"/>
      <c r="EW237" s="498"/>
      <c r="EX237" s="498"/>
      <c r="EY237" s="498"/>
      <c r="EZ237" s="498"/>
      <c r="FA237" s="498"/>
      <c r="FB237" s="498"/>
      <c r="FC237" s="498"/>
    </row>
    <row r="238" spans="3:159">
      <c r="C238" s="19"/>
      <c r="J238" s="287"/>
      <c r="K238" s="287"/>
      <c r="L238" s="287"/>
      <c r="M238" s="287"/>
      <c r="N238" s="287"/>
      <c r="O238" s="287"/>
      <c r="P238" s="287"/>
      <c r="Q238" s="287"/>
      <c r="R238" s="287"/>
      <c r="S238" s="287"/>
      <c r="T238" s="287"/>
      <c r="U238" s="287"/>
      <c r="V238" s="287"/>
      <c r="W238" s="287"/>
      <c r="X238" s="287"/>
      <c r="Y238" s="287"/>
      <c r="AO238" s="338"/>
      <c r="AP238" s="449"/>
      <c r="AR238" s="449"/>
      <c r="AS238" s="449"/>
      <c r="BA238" s="287"/>
      <c r="BB238" s="287"/>
      <c r="BC238" s="287"/>
      <c r="BD238" s="287"/>
      <c r="BE238" s="287"/>
      <c r="BF238" s="287"/>
      <c r="BG238" s="287"/>
      <c r="BH238" s="287"/>
      <c r="BI238" s="287"/>
      <c r="BJ238" s="287"/>
      <c r="BK238" s="287"/>
      <c r="BL238" s="287"/>
      <c r="BM238" s="287"/>
      <c r="BN238" s="287"/>
      <c r="BO238" s="287"/>
      <c r="BP238" s="287"/>
      <c r="BQ238" s="287"/>
      <c r="BR238" s="287"/>
      <c r="BS238" s="287"/>
      <c r="BT238" s="287"/>
      <c r="BU238" s="287"/>
      <c r="BV238" s="287"/>
      <c r="BW238" s="287"/>
      <c r="BX238" s="287"/>
      <c r="BY238" s="287"/>
      <c r="BZ238" s="287"/>
      <c r="CA238" s="287"/>
      <c r="CB238" s="287"/>
      <c r="CC238" s="287"/>
      <c r="CD238" s="287"/>
      <c r="CE238" s="287"/>
      <c r="CF238" s="287"/>
      <c r="CG238" s="287"/>
      <c r="CH238" s="287"/>
      <c r="CI238" s="287"/>
      <c r="CJ238" s="287"/>
      <c r="CK238" s="287"/>
      <c r="CL238" s="287"/>
      <c r="CM238" s="287"/>
      <c r="CN238" s="287"/>
      <c r="CO238" s="27"/>
      <c r="CR238" s="498"/>
      <c r="CS238" s="498"/>
      <c r="CT238" s="498"/>
      <c r="CU238" s="498"/>
      <c r="CV238" s="498"/>
      <c r="CW238" s="498"/>
      <c r="CX238" s="498"/>
      <c r="CY238" s="498"/>
      <c r="CZ238" s="498"/>
      <c r="DA238" s="498"/>
      <c r="DB238" s="498"/>
      <c r="DC238" s="498"/>
      <c r="DD238" s="498"/>
      <c r="DE238" s="498"/>
      <c r="DF238" s="498"/>
      <c r="DG238" s="498"/>
      <c r="DH238" s="498"/>
      <c r="DI238" s="498"/>
      <c r="DJ238" s="498"/>
      <c r="DK238" s="498"/>
      <c r="DL238" s="498"/>
      <c r="DM238" s="498"/>
      <c r="DN238" s="498"/>
      <c r="DO238" s="498"/>
      <c r="DP238" s="498"/>
      <c r="DQ238" s="498"/>
      <c r="DR238" s="498"/>
      <c r="DS238" s="498"/>
      <c r="DT238" s="498"/>
      <c r="DU238" s="498"/>
      <c r="DV238" s="498"/>
      <c r="DW238" s="498"/>
      <c r="DX238" s="498"/>
      <c r="DY238" s="498"/>
      <c r="DZ238" s="498"/>
      <c r="EA238" s="498"/>
      <c r="EB238" s="498"/>
      <c r="EC238" s="498"/>
      <c r="ED238" s="498"/>
      <c r="EE238" s="498"/>
      <c r="EF238" s="498"/>
      <c r="EG238" s="498"/>
      <c r="EH238" s="498"/>
      <c r="EI238" s="498"/>
      <c r="EJ238" s="498"/>
      <c r="EK238" s="498"/>
      <c r="EL238" s="498"/>
      <c r="EM238" s="498"/>
      <c r="EN238" s="498"/>
      <c r="EO238" s="498"/>
      <c r="EP238" s="498"/>
      <c r="EQ238" s="498"/>
      <c r="ER238" s="498"/>
      <c r="ES238" s="498"/>
      <c r="ET238" s="498"/>
      <c r="EU238" s="498"/>
      <c r="EV238" s="498"/>
      <c r="EW238" s="498"/>
      <c r="EX238" s="498"/>
      <c r="EY238" s="498"/>
      <c r="EZ238" s="498"/>
      <c r="FA238" s="498"/>
      <c r="FB238" s="498"/>
      <c r="FC238" s="498"/>
    </row>
    <row r="239" spans="3:159">
      <c r="C239" s="19" t="s">
        <v>1158</v>
      </c>
      <c r="J239" s="287"/>
      <c r="K239" s="287"/>
      <c r="L239" s="287"/>
      <c r="M239" s="287"/>
      <c r="N239" s="287"/>
      <c r="O239" s="287"/>
      <c r="P239" s="287"/>
      <c r="Q239" s="287"/>
      <c r="R239" s="293">
        <v>-107</v>
      </c>
      <c r="S239" s="293">
        <v>-796</v>
      </c>
      <c r="T239" s="293">
        <v>-18</v>
      </c>
      <c r="U239" s="293">
        <v>-90</v>
      </c>
      <c r="V239" s="293">
        <v>-115</v>
      </c>
      <c r="W239" s="293">
        <v>13</v>
      </c>
      <c r="X239" s="293">
        <v>-466</v>
      </c>
      <c r="Y239" s="293">
        <v>-405</v>
      </c>
      <c r="Z239" s="293">
        <v>-450</v>
      </c>
      <c r="AA239" s="293">
        <v>-511</v>
      </c>
      <c r="AB239" s="293">
        <v>6</v>
      </c>
      <c r="AO239" s="338"/>
      <c r="AP239" s="449"/>
      <c r="AR239" s="449"/>
      <c r="AS239" s="449"/>
      <c r="BA239" s="293"/>
      <c r="BB239" s="293"/>
      <c r="BC239" s="293"/>
      <c r="BD239" s="293"/>
      <c r="BE239" s="293"/>
      <c r="BF239" s="293"/>
      <c r="BG239" s="293"/>
      <c r="BH239" s="293"/>
      <c r="BI239" s="293"/>
      <c r="BJ239" s="293"/>
      <c r="BK239" s="293"/>
      <c r="BL239" s="293"/>
      <c r="BM239" s="293"/>
      <c r="BN239" s="293"/>
      <c r="BO239" s="293"/>
      <c r="BP239" s="293"/>
      <c r="BQ239" s="293"/>
      <c r="BR239" s="293"/>
      <c r="BS239" s="293"/>
      <c r="BT239" s="293"/>
      <c r="BU239" s="293"/>
      <c r="BV239" s="293"/>
      <c r="BW239" s="293"/>
      <c r="BX239" s="293"/>
      <c r="BY239" s="293"/>
      <c r="BZ239" s="293"/>
      <c r="CA239" s="293"/>
      <c r="CB239" s="293"/>
      <c r="CC239" s="293"/>
      <c r="CD239" s="293"/>
      <c r="CE239" s="293"/>
      <c r="CF239" s="293"/>
      <c r="CG239" s="293"/>
      <c r="CH239" s="293"/>
      <c r="CI239" s="293"/>
      <c r="CJ239" s="293"/>
      <c r="CK239" s="293"/>
      <c r="CL239" s="293"/>
      <c r="CM239" s="293"/>
      <c r="CN239" s="293"/>
      <c r="CO239" s="227"/>
      <c r="CR239" s="498"/>
      <c r="CS239" s="498"/>
      <c r="CT239" s="498"/>
      <c r="CU239" s="498"/>
      <c r="CV239" s="498"/>
      <c r="CW239" s="498"/>
      <c r="CX239" s="498"/>
      <c r="CY239" s="498"/>
      <c r="CZ239" s="498"/>
      <c r="DA239" s="498"/>
      <c r="DB239" s="498"/>
      <c r="DC239" s="498"/>
      <c r="DD239" s="498"/>
      <c r="DE239" s="498"/>
      <c r="DF239" s="498"/>
      <c r="DG239" s="498"/>
      <c r="DH239" s="498"/>
      <c r="DI239" s="498"/>
      <c r="DJ239" s="498"/>
      <c r="DK239" s="498"/>
      <c r="DL239" s="498"/>
      <c r="DM239" s="498"/>
      <c r="DN239" s="498"/>
      <c r="DO239" s="498"/>
      <c r="DP239" s="498"/>
      <c r="DQ239" s="498"/>
      <c r="DR239" s="498"/>
      <c r="DS239" s="498"/>
      <c r="DT239" s="498"/>
      <c r="DU239" s="498"/>
      <c r="DV239" s="498"/>
      <c r="DW239" s="498"/>
      <c r="DX239" s="498"/>
      <c r="DY239" s="498"/>
      <c r="DZ239" s="498"/>
      <c r="EA239" s="498"/>
      <c r="EB239" s="498"/>
      <c r="EC239" s="498"/>
      <c r="ED239" s="498"/>
      <c r="EE239" s="498"/>
      <c r="EF239" s="498"/>
      <c r="EG239" s="498"/>
      <c r="EH239" s="498"/>
      <c r="EI239" s="498"/>
      <c r="EJ239" s="498"/>
      <c r="EK239" s="498"/>
      <c r="EL239" s="498"/>
      <c r="EM239" s="498"/>
      <c r="EN239" s="498"/>
      <c r="EO239" s="498"/>
      <c r="EP239" s="498"/>
      <c r="EQ239" s="498"/>
      <c r="ER239" s="498"/>
      <c r="ES239" s="498"/>
      <c r="ET239" s="498"/>
      <c r="EU239" s="498"/>
      <c r="EV239" s="498"/>
      <c r="EW239" s="498"/>
      <c r="EX239" s="498"/>
      <c r="EY239" s="498"/>
      <c r="EZ239" s="498"/>
      <c r="FA239" s="498"/>
      <c r="FB239" s="498"/>
      <c r="FC239" s="498"/>
    </row>
    <row r="240" spans="3:159">
      <c r="C240" s="19" t="s">
        <v>1159</v>
      </c>
      <c r="J240" s="287"/>
      <c r="K240" s="287"/>
      <c r="L240" s="287"/>
      <c r="M240" s="287"/>
      <c r="N240" s="287"/>
      <c r="O240" s="287"/>
      <c r="P240" s="287"/>
      <c r="Q240" s="287"/>
      <c r="R240" s="293">
        <v>-107</v>
      </c>
      <c r="S240" s="293">
        <v>-698</v>
      </c>
      <c r="T240" s="293">
        <v>-18</v>
      </c>
      <c r="U240" s="287">
        <f>U239</f>
        <v>-90</v>
      </c>
      <c r="V240" s="287">
        <f>V239</f>
        <v>-115</v>
      </c>
      <c r="W240" s="293">
        <v>13</v>
      </c>
      <c r="X240" s="293">
        <v>-466</v>
      </c>
      <c r="Y240" s="293">
        <v>-405</v>
      </c>
      <c r="Z240" s="293">
        <v>-450</v>
      </c>
      <c r="AA240" s="293">
        <v>-511</v>
      </c>
      <c r="AB240" s="293">
        <v>6</v>
      </c>
      <c r="AO240" s="338"/>
      <c r="AP240" s="449"/>
      <c r="AR240" s="449"/>
      <c r="AS240" s="449"/>
      <c r="BA240" s="293"/>
      <c r="BB240" s="293"/>
      <c r="BC240" s="293"/>
      <c r="BD240" s="293"/>
      <c r="BE240" s="293"/>
      <c r="BF240" s="293"/>
      <c r="BG240" s="293"/>
      <c r="BH240" s="293"/>
      <c r="BI240" s="293"/>
      <c r="BJ240" s="293"/>
      <c r="BK240" s="293"/>
      <c r="BL240" s="293"/>
      <c r="BM240" s="293"/>
      <c r="BN240" s="293"/>
      <c r="BO240" s="293"/>
      <c r="BP240" s="293"/>
      <c r="BQ240" s="293"/>
      <c r="BR240" s="293"/>
      <c r="BS240" s="293"/>
      <c r="BT240" s="293"/>
      <c r="BU240" s="293"/>
      <c r="BV240" s="293"/>
      <c r="BW240" s="293"/>
      <c r="BX240" s="293"/>
      <c r="BY240" s="293">
        <v>-57</v>
      </c>
      <c r="BZ240" s="293"/>
      <c r="CA240" s="293">
        <v>-24</v>
      </c>
      <c r="CB240" s="293">
        <f>INDEX($D240:$AF240,MATCH(CB$8,$D$8:$AG$8,0))-CA240</f>
        <v>30</v>
      </c>
      <c r="CC240" s="293"/>
      <c r="CD240" s="293"/>
      <c r="CE240" s="293"/>
      <c r="CF240" s="293"/>
      <c r="CG240" s="293"/>
      <c r="CH240" s="293"/>
      <c r="CI240" s="293"/>
      <c r="CJ240" s="293"/>
      <c r="CK240" s="293"/>
      <c r="CL240" s="293"/>
      <c r="CM240" s="293"/>
      <c r="CN240" s="293"/>
      <c r="CO240" s="227"/>
      <c r="CR240" s="498"/>
      <c r="CS240" s="498"/>
      <c r="CT240" s="498"/>
      <c r="CU240" s="498"/>
      <c r="CV240" s="498"/>
      <c r="CW240" s="498"/>
      <c r="CX240" s="498"/>
      <c r="CY240" s="498"/>
      <c r="CZ240" s="498"/>
      <c r="DA240" s="498"/>
      <c r="DB240" s="498"/>
      <c r="DC240" s="498"/>
      <c r="DD240" s="498"/>
      <c r="DE240" s="498"/>
      <c r="DF240" s="498"/>
      <c r="DG240" s="498"/>
      <c r="DH240" s="498"/>
      <c r="DI240" s="498"/>
      <c r="DJ240" s="498"/>
      <c r="DK240" s="498"/>
      <c r="DL240" s="498"/>
      <c r="DM240" s="498"/>
      <c r="DN240" s="498"/>
      <c r="DO240" s="498"/>
      <c r="DP240" s="498"/>
      <c r="DQ240" s="498"/>
      <c r="DR240" s="498"/>
      <c r="DS240" s="498"/>
      <c r="DT240" s="498"/>
      <c r="DU240" s="498"/>
      <c r="DV240" s="498"/>
      <c r="DW240" s="498"/>
      <c r="DX240" s="498"/>
      <c r="DY240" s="498"/>
      <c r="DZ240" s="498"/>
      <c r="EA240" s="498"/>
      <c r="EB240" s="498"/>
      <c r="EC240" s="498"/>
      <c r="ED240" s="498"/>
      <c r="EE240" s="498"/>
      <c r="EF240" s="498"/>
      <c r="EG240" s="498"/>
      <c r="EH240" s="498"/>
      <c r="EI240" s="498"/>
      <c r="EJ240" s="498"/>
      <c r="EK240" s="498"/>
      <c r="EL240" s="498"/>
      <c r="EM240" s="498"/>
      <c r="EN240" s="498"/>
      <c r="EO240" s="498"/>
      <c r="EP240" s="498"/>
      <c r="EQ240" s="498"/>
      <c r="ER240" s="498"/>
      <c r="ES240" s="498"/>
      <c r="ET240" s="498"/>
      <c r="EU240" s="498"/>
      <c r="EV240" s="498"/>
      <c r="EW240" s="498"/>
      <c r="EX240" s="498"/>
      <c r="EY240" s="498"/>
      <c r="EZ240" s="498"/>
      <c r="FA240" s="498"/>
      <c r="FB240" s="498"/>
      <c r="FC240" s="498"/>
    </row>
    <row r="241" spans="3:159">
      <c r="C241" s="19"/>
      <c r="J241" s="287"/>
      <c r="K241" s="287"/>
      <c r="L241" s="287"/>
      <c r="M241" s="287"/>
      <c r="N241" s="287"/>
      <c r="O241" s="287"/>
      <c r="P241" s="287"/>
      <c r="Q241" s="287"/>
      <c r="R241" s="287"/>
      <c r="S241" s="287"/>
      <c r="T241" s="287"/>
      <c r="U241" s="287"/>
      <c r="V241" s="287"/>
      <c r="W241" s="287"/>
      <c r="X241" s="287"/>
      <c r="Y241" s="287"/>
      <c r="AO241" s="338"/>
      <c r="AP241" s="449"/>
      <c r="AR241" s="449"/>
      <c r="AS241" s="449"/>
      <c r="BA241" s="287"/>
      <c r="BB241" s="287"/>
      <c r="BC241" s="287"/>
      <c r="BD241" s="287"/>
      <c r="BE241" s="287"/>
      <c r="BF241" s="287"/>
      <c r="BG241" s="287"/>
      <c r="BH241" s="287"/>
      <c r="BI241" s="287"/>
      <c r="BJ241" s="287"/>
      <c r="BK241" s="287"/>
      <c r="BL241" s="287"/>
      <c r="BM241" s="287"/>
      <c r="BN241" s="287"/>
      <c r="BO241" s="287"/>
      <c r="BP241" s="287"/>
      <c r="BQ241" s="287"/>
      <c r="BR241" s="287"/>
      <c r="BS241" s="287"/>
      <c r="BT241" s="287"/>
      <c r="BU241" s="287"/>
      <c r="BV241" s="287"/>
      <c r="BW241" s="287"/>
      <c r="BX241" s="287"/>
      <c r="BY241" s="287"/>
      <c r="BZ241" s="287"/>
      <c r="CA241" s="287"/>
      <c r="CB241" s="287"/>
      <c r="CC241" s="287"/>
      <c r="CD241" s="287"/>
      <c r="CE241" s="287"/>
      <c r="CF241" s="287"/>
      <c r="CG241" s="287"/>
      <c r="CH241" s="287"/>
      <c r="CI241" s="287"/>
      <c r="CJ241" s="287"/>
      <c r="CK241" s="287"/>
      <c r="CL241" s="287"/>
      <c r="CM241" s="287"/>
      <c r="CN241" s="287"/>
      <c r="CO241" s="27"/>
      <c r="CR241" s="498"/>
      <c r="CS241" s="498"/>
      <c r="CT241" s="498"/>
      <c r="CU241" s="498"/>
      <c r="CV241" s="498"/>
      <c r="CW241" s="498"/>
      <c r="CX241" s="498"/>
      <c r="CY241" s="498"/>
      <c r="CZ241" s="498"/>
      <c r="DA241" s="498"/>
      <c r="DB241" s="498"/>
      <c r="DC241" s="498"/>
      <c r="DD241" s="498"/>
      <c r="DE241" s="498"/>
      <c r="DF241" s="498"/>
      <c r="DG241" s="498"/>
      <c r="DH241" s="498"/>
      <c r="DI241" s="498"/>
      <c r="DJ241" s="498"/>
      <c r="DK241" s="498"/>
      <c r="DL241" s="498"/>
      <c r="DM241" s="498"/>
      <c r="DN241" s="498"/>
      <c r="DO241" s="498"/>
      <c r="DP241" s="498"/>
      <c r="DQ241" s="498"/>
      <c r="DR241" s="498"/>
      <c r="DS241" s="498"/>
      <c r="DT241" s="498"/>
      <c r="DU241" s="498"/>
      <c r="DV241" s="498"/>
      <c r="DW241" s="498"/>
      <c r="DX241" s="498"/>
      <c r="DY241" s="498"/>
      <c r="DZ241" s="498"/>
      <c r="EA241" s="498"/>
      <c r="EB241" s="498"/>
      <c r="EC241" s="498"/>
      <c r="ED241" s="498"/>
      <c r="EE241" s="498"/>
      <c r="EF241" s="498"/>
      <c r="EG241" s="498"/>
      <c r="EH241" s="498"/>
      <c r="EI241" s="498"/>
      <c r="EJ241" s="498"/>
      <c r="EK241" s="498"/>
      <c r="EL241" s="498"/>
      <c r="EM241" s="498"/>
      <c r="EN241" s="498"/>
      <c r="EO241" s="498"/>
      <c r="EP241" s="498"/>
      <c r="EQ241" s="498"/>
      <c r="ER241" s="498"/>
      <c r="ES241" s="498"/>
      <c r="ET241" s="498"/>
      <c r="EU241" s="498"/>
      <c r="EV241" s="498"/>
      <c r="EW241" s="498"/>
      <c r="EX241" s="498"/>
      <c r="EY241" s="498"/>
      <c r="EZ241" s="498"/>
      <c r="FA241" s="498"/>
      <c r="FB241" s="498"/>
      <c r="FC241" s="498"/>
    </row>
    <row r="242" spans="3:159">
      <c r="C242" s="19" t="s">
        <v>780</v>
      </c>
      <c r="J242" s="287">
        <f>'Income Statement'!H75</f>
        <v>312</v>
      </c>
      <c r="K242" s="287">
        <f>'Income Statement'!I75</f>
        <v>34</v>
      </c>
      <c r="L242" s="287">
        <f>'Income Statement'!J75</f>
        <v>-716</v>
      </c>
      <c r="M242" s="287">
        <f>'Income Statement'!K75</f>
        <v>296</v>
      </c>
      <c r="N242" s="287">
        <f>'Income Statement'!L75</f>
        <v>-703</v>
      </c>
      <c r="O242" s="287">
        <f>'Income Statement'!M75</f>
        <v>-150</v>
      </c>
      <c r="P242" s="287">
        <f>'Income Statement'!N75</f>
        <v>533</v>
      </c>
      <c r="Q242" s="287">
        <f>'Income Statement'!O75</f>
        <v>439</v>
      </c>
      <c r="R242" s="287">
        <f>'Income Statement'!P75</f>
        <v>-1771</v>
      </c>
      <c r="S242" s="287">
        <f>'Income Statement'!Q75</f>
        <v>-3408</v>
      </c>
      <c r="T242" s="287">
        <f>'Income Statement'!R75</f>
        <v>-1052</v>
      </c>
      <c r="U242" s="287">
        <f>'Income Statement'!S75</f>
        <v>3012</v>
      </c>
      <c r="V242" s="287">
        <f>'Income Statement'!T75</f>
        <v>-476</v>
      </c>
      <c r="W242" s="287">
        <f>'Income Statement'!U75</f>
        <v>-363</v>
      </c>
      <c r="X242" s="287">
        <f>'Income Statement'!V75</f>
        <v>-357</v>
      </c>
      <c r="Y242" s="287">
        <f>'Income Statement'!W75</f>
        <v>-596</v>
      </c>
      <c r="Z242" s="287">
        <f>'Income Statement'!X75</f>
        <v>-5163</v>
      </c>
      <c r="AA242" s="287">
        <f>'Income Statement'!Y75</f>
        <v>1958</v>
      </c>
      <c r="AB242" s="287">
        <f>'Income Statement'!Z75</f>
        <v>-5051</v>
      </c>
      <c r="AC242" s="287">
        <f>'Income Statement'!AA75</f>
        <v>113.98500000000001</v>
      </c>
      <c r="AD242" s="287">
        <f>'Income Statement'!AB75</f>
        <v>126.92821272622497</v>
      </c>
      <c r="AE242" s="287">
        <f>'Income Statement'!AC75</f>
        <v>143.85053320935441</v>
      </c>
      <c r="AF242" s="287">
        <f>'Income Statement'!AD75</f>
        <v>168.32129448281512</v>
      </c>
      <c r="AG242" s="287">
        <f>'Income Statement'!AE75</f>
        <v>195.6653324986309</v>
      </c>
      <c r="AH242" s="287">
        <f>'Income Statement'!AF75</f>
        <v>242.18511461063076</v>
      </c>
      <c r="AO242" s="338"/>
      <c r="AP242" s="449"/>
      <c r="AR242" s="449"/>
      <c r="AS242" s="449"/>
      <c r="BA242" s="287"/>
      <c r="BB242" s="287"/>
      <c r="BC242" s="287"/>
      <c r="BD242" s="287"/>
      <c r="BE242" s="287"/>
      <c r="BF242" s="287"/>
      <c r="BG242" s="287"/>
      <c r="BH242" s="287"/>
      <c r="BI242" s="287"/>
      <c r="BJ242" s="287"/>
      <c r="BK242" s="287"/>
      <c r="BL242" s="287"/>
      <c r="BM242" s="287"/>
      <c r="BN242" s="287"/>
      <c r="BO242" s="287"/>
      <c r="BP242" s="287"/>
      <c r="BQ242" s="287"/>
      <c r="BR242" s="287"/>
      <c r="BS242" s="287"/>
      <c r="BT242" s="287"/>
      <c r="BU242" s="287"/>
      <c r="BV242" s="287"/>
      <c r="BW242" s="287"/>
      <c r="BX242" s="287"/>
      <c r="BY242" s="287"/>
      <c r="BZ242" s="287"/>
      <c r="CA242" s="287"/>
      <c r="CB242" s="287"/>
      <c r="CC242" s="287"/>
      <c r="CD242" s="287"/>
      <c r="CE242" s="287"/>
      <c r="CF242" s="287"/>
      <c r="CG242" s="287"/>
      <c r="CH242" s="287"/>
      <c r="CI242" s="287"/>
      <c r="CJ242" s="287"/>
      <c r="CK242" s="287"/>
      <c r="CL242" s="287"/>
      <c r="CM242" s="287"/>
      <c r="CN242" s="287"/>
      <c r="CO242" s="27"/>
      <c r="CR242" s="498"/>
      <c r="CS242" s="498"/>
      <c r="CT242" s="498"/>
      <c r="CU242" s="498"/>
      <c r="CV242" s="498"/>
      <c r="CW242" s="498"/>
      <c r="CX242" s="498"/>
      <c r="CY242" s="498"/>
      <c r="CZ242" s="498"/>
      <c r="DA242" s="498"/>
      <c r="DB242" s="498"/>
      <c r="DC242" s="498"/>
      <c r="DD242" s="498"/>
      <c r="DE242" s="498"/>
      <c r="DF242" s="498"/>
      <c r="DG242" s="498"/>
      <c r="DH242" s="498"/>
      <c r="DI242" s="498"/>
      <c r="DJ242" s="498"/>
      <c r="DK242" s="498"/>
      <c r="DL242" s="498"/>
      <c r="DM242" s="498"/>
      <c r="DN242" s="498"/>
      <c r="DO242" s="498"/>
      <c r="DP242" s="498"/>
      <c r="DQ242" s="498"/>
      <c r="DR242" s="498"/>
      <c r="DS242" s="498"/>
      <c r="DT242" s="498"/>
      <c r="DU242" s="498"/>
      <c r="DV242" s="498"/>
      <c r="DW242" s="498"/>
      <c r="DX242" s="498"/>
      <c r="DY242" s="498"/>
      <c r="DZ242" s="498"/>
      <c r="EA242" s="498"/>
      <c r="EB242" s="498"/>
      <c r="EC242" s="498"/>
      <c r="ED242" s="498"/>
      <c r="EE242" s="498"/>
      <c r="EF242" s="498"/>
      <c r="EG242" s="498"/>
      <c r="EH242" s="498"/>
      <c r="EI242" s="498"/>
      <c r="EJ242" s="498"/>
      <c r="EK242" s="498"/>
      <c r="EL242" s="498"/>
      <c r="EM242" s="498"/>
      <c r="EN242" s="498"/>
      <c r="EO242" s="498"/>
      <c r="EP242" s="498"/>
      <c r="EQ242" s="498"/>
      <c r="ER242" s="498"/>
      <c r="ES242" s="498"/>
      <c r="ET242" s="498"/>
      <c r="EU242" s="498"/>
      <c r="EV242" s="498"/>
      <c r="EW242" s="498"/>
      <c r="EX242" s="498"/>
      <c r="EY242" s="498"/>
      <c r="EZ242" s="498"/>
      <c r="FA242" s="498"/>
      <c r="FB242" s="498"/>
      <c r="FC242" s="498"/>
    </row>
    <row r="243" spans="3:159">
      <c r="C243" s="19" t="s">
        <v>779</v>
      </c>
      <c r="J243" s="287">
        <f t="shared" ref="J243:T243" si="70">SUM(J244:J246)</f>
        <v>-78</v>
      </c>
      <c r="K243" s="287">
        <f t="shared" si="70"/>
        <v>-65</v>
      </c>
      <c r="L243" s="287">
        <f t="shared" si="70"/>
        <v>-203</v>
      </c>
      <c r="M243" s="287">
        <f t="shared" si="70"/>
        <v>-174</v>
      </c>
      <c r="N243" s="287">
        <f t="shared" si="70"/>
        <v>-168</v>
      </c>
      <c r="O243" s="287">
        <f t="shared" si="70"/>
        <v>-215</v>
      </c>
      <c r="P243" s="287">
        <f t="shared" si="70"/>
        <v>-154</v>
      </c>
      <c r="Q243" s="287">
        <f t="shared" si="70"/>
        <v>-138</v>
      </c>
      <c r="R243" s="287">
        <f t="shared" si="70"/>
        <v>-165</v>
      </c>
      <c r="S243" s="287">
        <f t="shared" si="70"/>
        <v>-225</v>
      </c>
      <c r="T243" s="287">
        <f t="shared" si="70"/>
        <v>-144</v>
      </c>
      <c r="U243" s="293">
        <v>26</v>
      </c>
      <c r="V243" s="287">
        <f t="shared" ref="V243:AH243" si="71">SUM(V244:V246)</f>
        <v>-211</v>
      </c>
      <c r="W243" s="287">
        <f t="shared" si="71"/>
        <v>-89</v>
      </c>
      <c r="X243" s="287">
        <f t="shared" si="71"/>
        <v>-7</v>
      </c>
      <c r="Y243" s="287">
        <f t="shared" si="71"/>
        <v>-204</v>
      </c>
      <c r="Z243" s="287">
        <f t="shared" si="71"/>
        <v>-186</v>
      </c>
      <c r="AA243" s="287">
        <f t="shared" si="71"/>
        <v>174</v>
      </c>
      <c r="AB243" s="287">
        <f t="shared" si="71"/>
        <v>23</v>
      </c>
      <c r="AC243" s="287">
        <f t="shared" si="71"/>
        <v>85.985000000000014</v>
      </c>
      <c r="AD243" s="287">
        <f t="shared" si="71"/>
        <v>98.92821272622497</v>
      </c>
      <c r="AE243" s="287">
        <f t="shared" si="71"/>
        <v>115.85053320935441</v>
      </c>
      <c r="AF243" s="287">
        <f t="shared" si="71"/>
        <v>140.32129448281512</v>
      </c>
      <c r="AG243" s="287">
        <f t="shared" si="71"/>
        <v>167.6653324986309</v>
      </c>
      <c r="AH243" s="287">
        <f t="shared" si="71"/>
        <v>214.18511461063076</v>
      </c>
      <c r="AO243" s="338"/>
      <c r="AP243" s="449"/>
      <c r="AR243" s="449"/>
      <c r="AS243" s="449"/>
      <c r="BA243" s="260">
        <v>-104</v>
      </c>
      <c r="BB243" s="260">
        <v>-111</v>
      </c>
      <c r="BC243" s="260">
        <v>-79</v>
      </c>
      <c r="BD243" s="260">
        <v>-75</v>
      </c>
      <c r="BE243" s="260">
        <v>-67</v>
      </c>
      <c r="BF243" s="260">
        <v>-71</v>
      </c>
      <c r="BG243" s="260">
        <v>-11</v>
      </c>
      <c r="BH243" s="260">
        <v>-154</v>
      </c>
      <c r="BI243" s="260">
        <v>-39</v>
      </c>
      <c r="BJ243" s="260">
        <v>-186</v>
      </c>
      <c r="BK243" s="260">
        <v>-59</v>
      </c>
      <c r="BL243" s="260">
        <v>-85</v>
      </c>
      <c r="BM243" s="260">
        <v>-20</v>
      </c>
      <c r="BN243" s="260">
        <v>46</v>
      </c>
      <c r="BO243" s="260">
        <v>-114</v>
      </c>
      <c r="BP243" s="260">
        <v>-97</v>
      </c>
      <c r="BQ243" s="260">
        <v>-32</v>
      </c>
      <c r="BR243" s="260">
        <v>-57</v>
      </c>
      <c r="BS243" s="260">
        <v>-117</v>
      </c>
      <c r="BT243" s="260">
        <v>110</v>
      </c>
      <c r="BU243" s="260">
        <v>-84</v>
      </c>
      <c r="BV243" s="260">
        <v>-120</v>
      </c>
      <c r="BW243" s="260">
        <v>-193</v>
      </c>
      <c r="BX243" s="260">
        <v>7</v>
      </c>
      <c r="BY243" s="1003">
        <f>SUM(BY244:BY246)</f>
        <v>63</v>
      </c>
      <c r="BZ243" s="1003">
        <f>SUM(BZ244:BZ246)</f>
        <v>111</v>
      </c>
      <c r="CA243" s="1003">
        <f>SUM(CA244:CA246)</f>
        <v>-34</v>
      </c>
      <c r="CB243" s="1003">
        <f>SUM(CB244:CB246)</f>
        <v>57</v>
      </c>
      <c r="CC243" s="327">
        <f>INDEX($D243:$AF243,MATCH(CC$8,$D$8:$AG$8,0))*CA243/INDEX($D243:$AF243,MATCH(CA$8,$D$8:$AG$8,0))</f>
        <v>-127.10826086956524</v>
      </c>
      <c r="CD243" s="327">
        <f>INDEX($D243:$AF243,MATCH(CD$8,$D$8:$AG$8,0))-CC243</f>
        <v>213.09326086956526</v>
      </c>
      <c r="CE243" s="327">
        <f>INDEX($D243:$AF243,MATCH(CE$8,$D$8:$AG$8,0))*CC243/INDEX($D243:$AF243,MATCH(CC$8,$D$8:$AG$8,0))</f>
        <v>-146.24170576920213</v>
      </c>
      <c r="CF243" s="327">
        <f>INDEX($D243:$AF243,MATCH(CF$8,$D$8:$AG$8,0))-CE243</f>
        <v>245.16991849542711</v>
      </c>
      <c r="CG243" s="287"/>
      <c r="CH243" s="287"/>
      <c r="CI243" s="287"/>
      <c r="CJ243" s="287"/>
      <c r="CK243" s="287"/>
      <c r="CL243" s="287"/>
      <c r="CM243" s="287"/>
      <c r="CN243" s="287"/>
      <c r="CO243" s="27"/>
      <c r="CR243" s="498"/>
      <c r="CS243" s="498"/>
      <c r="CT243" s="498"/>
      <c r="CU243" s="498"/>
      <c r="CV243" s="498"/>
      <c r="CW243" s="498"/>
      <c r="CX243" s="498"/>
      <c r="CY243" s="498"/>
      <c r="CZ243" s="498"/>
      <c r="DA243" s="498"/>
      <c r="DB243" s="498"/>
      <c r="DC243" s="498"/>
      <c r="DD243" s="498"/>
      <c r="DE243" s="498"/>
      <c r="DF243" s="498"/>
      <c r="DG243" s="498"/>
      <c r="DH243" s="498"/>
      <c r="DI243" s="498"/>
      <c r="DJ243" s="498"/>
      <c r="DK243" s="498"/>
      <c r="DL243" s="498"/>
      <c r="DM243" s="498"/>
      <c r="DN243" s="498"/>
      <c r="DO243" s="498"/>
      <c r="DP243" s="498"/>
      <c r="DQ243" s="498"/>
      <c r="DR243" s="498"/>
      <c r="DS243" s="498"/>
      <c r="DT243" s="498"/>
      <c r="DU243" s="498"/>
      <c r="DV243" s="498"/>
      <c r="DW243" s="498"/>
      <c r="DX243" s="498"/>
      <c r="DY243" s="498"/>
      <c r="DZ243" s="498"/>
      <c r="EA243" s="498"/>
      <c r="EB243" s="498"/>
      <c r="EC243" s="498"/>
      <c r="ED243" s="498"/>
      <c r="EE243" s="498"/>
      <c r="EF243" s="498"/>
      <c r="EG243" s="498"/>
      <c r="EH243" s="498"/>
      <c r="EI243" s="498"/>
      <c r="EJ243" s="498"/>
      <c r="EK243" s="498"/>
      <c r="EL243" s="498"/>
      <c r="EM243" s="498"/>
      <c r="EN243" s="498"/>
      <c r="EO243" s="498"/>
      <c r="EP243" s="498"/>
      <c r="EQ243" s="498"/>
      <c r="ER243" s="498"/>
      <c r="ES243" s="498"/>
      <c r="ET243" s="498"/>
      <c r="EU243" s="498"/>
      <c r="EV243" s="498"/>
      <c r="EW243" s="498"/>
      <c r="EX243" s="498"/>
      <c r="EY243" s="498"/>
      <c r="EZ243" s="498"/>
      <c r="FA243" s="498"/>
      <c r="FB243" s="498"/>
      <c r="FC243" s="498"/>
    </row>
    <row r="244" spans="3:159">
      <c r="C244" s="291" t="s">
        <v>778</v>
      </c>
      <c r="J244" s="287">
        <f>'Income Statement'!H120</f>
        <v>-22</v>
      </c>
      <c r="K244" s="287">
        <f>'Income Statement'!I120</f>
        <v>-10</v>
      </c>
      <c r="L244" s="287">
        <f>'Income Statement'!J120</f>
        <v>-19</v>
      </c>
      <c r="M244" s="287">
        <f>'Income Statement'!K120</f>
        <v>-38</v>
      </c>
      <c r="N244" s="287">
        <f>'Income Statement'!L120</f>
        <v>-36</v>
      </c>
      <c r="O244" s="287">
        <f>'Income Statement'!M120</f>
        <v>-42</v>
      </c>
      <c r="P244" s="287">
        <f>'Income Statement'!N120</f>
        <v>-54</v>
      </c>
      <c r="Q244" s="287">
        <f>'Income Statement'!O120</f>
        <v>-42</v>
      </c>
      <c r="R244" s="287">
        <f>'Income Statement'!P76</f>
        <v>-42</v>
      </c>
      <c r="S244" s="287">
        <f>'Income Statement'!Q76</f>
        <v>-29</v>
      </c>
      <c r="T244" s="287">
        <f>'Income Statement'!R76</f>
        <v>-51</v>
      </c>
      <c r="U244" s="27">
        <f>'Income Statement'!S76</f>
        <v>-57</v>
      </c>
      <c r="V244" s="287">
        <f>'Income Statement'!T76</f>
        <v>-67</v>
      </c>
      <c r="W244" s="287">
        <f>'Income Statement'!U76</f>
        <v>-33</v>
      </c>
      <c r="X244" s="287">
        <f>'Income Statement'!V76</f>
        <v>-58</v>
      </c>
      <c r="Y244" s="287">
        <f>'Income Statement'!W76</f>
        <v>-85</v>
      </c>
      <c r="Z244" s="287">
        <f>'Income Statement'!X76</f>
        <v>-56</v>
      </c>
      <c r="AA244" s="287">
        <f>'Income Statement'!Y76</f>
        <v>112</v>
      </c>
      <c r="AB244" s="287">
        <f>'Income Statement'!Z76</f>
        <v>157</v>
      </c>
      <c r="AC244" s="287">
        <f>'Income Statement'!AA76</f>
        <v>113.98500000000001</v>
      </c>
      <c r="AD244" s="287">
        <f>'Income Statement'!AB76</f>
        <v>126.92821272622497</v>
      </c>
      <c r="AE244" s="287">
        <f>'Income Statement'!AC76</f>
        <v>143.85053320935441</v>
      </c>
      <c r="AF244" s="287">
        <f>'Income Statement'!AD76</f>
        <v>168.32129448281512</v>
      </c>
      <c r="AG244" s="287">
        <f>'Income Statement'!AE76</f>
        <v>195.6653324986309</v>
      </c>
      <c r="AH244" s="287">
        <f>'Income Statement'!AF76</f>
        <v>242.18511461063076</v>
      </c>
      <c r="AO244" s="338"/>
      <c r="AP244" s="449"/>
      <c r="AR244" s="449"/>
      <c r="AS244" s="449"/>
      <c r="BA244" s="287"/>
      <c r="BB244" s="287"/>
      <c r="BC244" s="287"/>
      <c r="BD244" s="287"/>
      <c r="BE244" s="287"/>
      <c r="BF244" s="287"/>
      <c r="BG244" s="287"/>
      <c r="BH244" s="287"/>
      <c r="BI244" s="287"/>
      <c r="BJ244" s="287"/>
      <c r="BK244" s="287"/>
      <c r="BL244" s="287"/>
      <c r="BM244" s="287"/>
      <c r="BN244" s="287"/>
      <c r="BO244" s="287"/>
      <c r="BP244" s="287"/>
      <c r="BQ244" s="287"/>
      <c r="BR244" s="287"/>
      <c r="BS244" s="287"/>
      <c r="BT244" s="287"/>
      <c r="BU244" s="287"/>
      <c r="BV244" s="287"/>
      <c r="BW244" s="287"/>
      <c r="BX244" s="287"/>
      <c r="BY244" s="293">
        <v>42</v>
      </c>
      <c r="BZ244" s="287">
        <f>INDEX($D244:$AF244,MATCH(BZ$8,$D$8:$AG$8,0))-BY244</f>
        <v>70</v>
      </c>
      <c r="CA244" s="293">
        <v>84</v>
      </c>
      <c r="CB244" s="287">
        <f>INDEX($D244:$AF244,MATCH(CB$8,$D$8:$AG$8,0))-CA244</f>
        <v>73</v>
      </c>
      <c r="CC244" s="287"/>
      <c r="CD244" s="287"/>
      <c r="CE244" s="287"/>
      <c r="CF244" s="287"/>
      <c r="CG244" s="287"/>
      <c r="CH244" s="287"/>
      <c r="CI244" s="287"/>
      <c r="CJ244" s="287"/>
      <c r="CK244" s="287"/>
      <c r="CL244" s="287"/>
      <c r="CM244" s="287"/>
      <c r="CN244" s="287"/>
      <c r="CO244" s="27"/>
      <c r="CR244" s="498"/>
      <c r="CS244" s="498"/>
      <c r="CT244" s="498"/>
      <c r="CU244" s="498"/>
      <c r="CV244" s="498"/>
      <c r="CW244" s="498"/>
      <c r="CX244" s="498"/>
      <c r="CY244" s="498"/>
      <c r="CZ244" s="498"/>
      <c r="DA244" s="498"/>
      <c r="DB244" s="498"/>
      <c r="DC244" s="498"/>
      <c r="DD244" s="498"/>
      <c r="DE244" s="498"/>
      <c r="DF244" s="498"/>
      <c r="DG244" s="498"/>
      <c r="DH244" s="498"/>
      <c r="DI244" s="498"/>
      <c r="DJ244" s="498"/>
      <c r="DK244" s="498"/>
      <c r="DL244" s="498"/>
      <c r="DM244" s="498"/>
      <c r="DN244" s="498"/>
      <c r="DO244" s="498"/>
      <c r="DP244" s="498"/>
      <c r="DQ244" s="498"/>
      <c r="DR244" s="498"/>
      <c r="DS244" s="498"/>
      <c r="DT244" s="498"/>
      <c r="DU244" s="498"/>
      <c r="DV244" s="498"/>
      <c r="DW244" s="498"/>
      <c r="DX244" s="498"/>
      <c r="DY244" s="498"/>
      <c r="DZ244" s="498"/>
      <c r="EA244" s="498"/>
      <c r="EB244" s="498"/>
      <c r="EC244" s="498"/>
      <c r="ED244" s="498"/>
      <c r="EE244" s="498"/>
      <c r="EF244" s="498"/>
      <c r="EG244" s="498"/>
      <c r="EH244" s="498"/>
      <c r="EI244" s="498"/>
      <c r="EJ244" s="498"/>
      <c r="EK244" s="498"/>
      <c r="EL244" s="498"/>
      <c r="EM244" s="498"/>
      <c r="EN244" s="498"/>
      <c r="EO244" s="498"/>
      <c r="EP244" s="498"/>
      <c r="EQ244" s="498"/>
      <c r="ER244" s="498"/>
      <c r="ES244" s="498"/>
      <c r="ET244" s="498"/>
      <c r="EU244" s="498"/>
      <c r="EV244" s="498"/>
      <c r="EW244" s="498"/>
      <c r="EX244" s="498"/>
      <c r="EY244" s="498"/>
      <c r="EZ244" s="498"/>
      <c r="FA244" s="498"/>
      <c r="FB244" s="498"/>
      <c r="FC244" s="498"/>
    </row>
    <row r="245" spans="3:159">
      <c r="C245" s="291" t="s">
        <v>777</v>
      </c>
      <c r="J245" s="293">
        <v>-17</v>
      </c>
      <c r="K245" s="293">
        <v>-5</v>
      </c>
      <c r="L245" s="293">
        <v>-122</v>
      </c>
      <c r="M245" s="293">
        <v>9</v>
      </c>
      <c r="N245" s="293">
        <v>4</v>
      </c>
      <c r="O245" s="293">
        <v>-46</v>
      </c>
      <c r="P245" s="293">
        <v>22</v>
      </c>
      <c r="Q245" s="293">
        <v>-26</v>
      </c>
      <c r="R245" s="293">
        <v>-48</v>
      </c>
      <c r="S245" s="293">
        <v>-85</v>
      </c>
      <c r="T245" s="293">
        <v>-35</v>
      </c>
      <c r="U245" s="293">
        <v>-105</v>
      </c>
      <c r="V245" s="293">
        <v>-86</v>
      </c>
      <c r="W245" s="293">
        <v>-9</v>
      </c>
      <c r="X245" s="293">
        <v>93</v>
      </c>
      <c r="Y245" s="293">
        <v>-105</v>
      </c>
      <c r="Z245" s="293">
        <v>-95</v>
      </c>
      <c r="AA245" s="293">
        <v>66</v>
      </c>
      <c r="AB245" s="293">
        <v>-106</v>
      </c>
      <c r="AC245" s="287"/>
      <c r="AD245" s="287"/>
      <c r="AE245" s="287"/>
      <c r="AF245" s="287"/>
      <c r="AG245" s="287"/>
      <c r="AH245" s="287"/>
      <c r="AO245" s="338"/>
      <c r="AP245" s="449"/>
      <c r="AR245" s="449"/>
      <c r="AS245" s="449"/>
      <c r="BA245" s="293"/>
      <c r="BB245" s="293"/>
      <c r="BC245" s="293"/>
      <c r="BD245" s="293"/>
      <c r="BE245" s="293"/>
      <c r="BF245" s="293"/>
      <c r="BG245" s="293"/>
      <c r="BH245" s="293"/>
      <c r="BI245" s="293"/>
      <c r="BJ245" s="293"/>
      <c r="BK245" s="293"/>
      <c r="BL245" s="293"/>
      <c r="BM245" s="293"/>
      <c r="BN245" s="293"/>
      <c r="BO245" s="293"/>
      <c r="BP245" s="293"/>
      <c r="BQ245" s="293"/>
      <c r="BR245" s="293"/>
      <c r="BS245" s="293"/>
      <c r="BT245" s="293"/>
      <c r="BU245" s="293"/>
      <c r="BV245" s="293"/>
      <c r="BW245" s="293"/>
      <c r="BX245" s="293"/>
      <c r="BY245" s="293">
        <v>21</v>
      </c>
      <c r="BZ245" s="287">
        <f>INDEX($D245:$AF245,MATCH(BZ$8,$D$8:$AG$8,0))-BY245</f>
        <v>45</v>
      </c>
      <c r="CA245" s="293">
        <v>-119</v>
      </c>
      <c r="CB245" s="287">
        <f>INDEX($D245:$AF245,MATCH(CB$8,$D$8:$AG$8,0))-CA245</f>
        <v>13</v>
      </c>
      <c r="CC245" s="293"/>
      <c r="CD245" s="293"/>
      <c r="CE245" s="293"/>
      <c r="CF245" s="293"/>
      <c r="CG245" s="293"/>
      <c r="CH245" s="293"/>
      <c r="CI245" s="293"/>
      <c r="CJ245" s="293"/>
      <c r="CK245" s="293"/>
      <c r="CL245" s="293"/>
      <c r="CM245" s="293"/>
      <c r="CN245" s="293"/>
      <c r="CO245" s="227"/>
      <c r="CR245" s="498"/>
      <c r="CS245" s="498"/>
      <c r="CT245" s="498"/>
      <c r="CU245" s="498"/>
      <c r="CV245" s="498"/>
      <c r="CW245" s="498"/>
      <c r="CX245" s="498"/>
      <c r="CY245" s="498"/>
      <c r="CZ245" s="498"/>
      <c r="DA245" s="498"/>
      <c r="DB245" s="498"/>
      <c r="DC245" s="498"/>
      <c r="DD245" s="498"/>
      <c r="DE245" s="498"/>
      <c r="DF245" s="498"/>
      <c r="DG245" s="498"/>
      <c r="DH245" s="498"/>
      <c r="DI245" s="498"/>
      <c r="DJ245" s="498"/>
      <c r="DK245" s="498"/>
      <c r="DL245" s="498"/>
      <c r="DM245" s="498"/>
      <c r="DN245" s="498"/>
      <c r="DO245" s="498"/>
      <c r="DP245" s="498"/>
      <c r="DQ245" s="498"/>
      <c r="DR245" s="498"/>
      <c r="DS245" s="498"/>
      <c r="DT245" s="498"/>
      <c r="DU245" s="498"/>
      <c r="DV245" s="498"/>
      <c r="DW245" s="498"/>
      <c r="DX245" s="498"/>
      <c r="DY245" s="498"/>
      <c r="DZ245" s="498"/>
      <c r="EA245" s="498"/>
      <c r="EB245" s="498"/>
      <c r="EC245" s="498"/>
      <c r="ED245" s="498"/>
      <c r="EE245" s="498"/>
      <c r="EF245" s="498"/>
      <c r="EG245" s="498"/>
      <c r="EH245" s="498"/>
      <c r="EI245" s="498"/>
      <c r="EJ245" s="498"/>
      <c r="EK245" s="498"/>
      <c r="EL245" s="498"/>
      <c r="EM245" s="498"/>
      <c r="EN245" s="498"/>
      <c r="EO245" s="498"/>
      <c r="EP245" s="498"/>
      <c r="EQ245" s="498"/>
      <c r="ER245" s="498"/>
      <c r="ES245" s="498"/>
      <c r="ET245" s="498"/>
      <c r="EU245" s="498"/>
      <c r="EV245" s="498"/>
      <c r="EW245" s="498"/>
      <c r="EX245" s="498"/>
      <c r="EY245" s="498"/>
      <c r="EZ245" s="498"/>
      <c r="FA245" s="498"/>
      <c r="FB245" s="498"/>
      <c r="FC245" s="498"/>
    </row>
    <row r="246" spans="3:159">
      <c r="C246" s="291" t="s">
        <v>776</v>
      </c>
      <c r="J246" s="287">
        <f>'Income Statement'!H129</f>
        <v>-39</v>
      </c>
      <c r="K246" s="287">
        <f>'Income Statement'!I129</f>
        <v>-50</v>
      </c>
      <c r="L246" s="287">
        <f>'Income Statement'!J129</f>
        <v>-62</v>
      </c>
      <c r="M246" s="287">
        <f>'Income Statement'!K129</f>
        <v>-145</v>
      </c>
      <c r="N246" s="287">
        <f>'Income Statement'!L129</f>
        <v>-136</v>
      </c>
      <c r="O246" s="287">
        <f>'Income Statement'!M129</f>
        <v>-127</v>
      </c>
      <c r="P246" s="287">
        <f>'Income Statement'!N129</f>
        <v>-122</v>
      </c>
      <c r="Q246" s="287">
        <f>'Income Statement'!O129</f>
        <v>-70</v>
      </c>
      <c r="R246" s="287">
        <f>'Income Statement'!P129</f>
        <v>-75</v>
      </c>
      <c r="S246" s="287">
        <f>'Income Statement'!Q129</f>
        <v>-111</v>
      </c>
      <c r="T246" s="287">
        <f>'Income Statement'!R129</f>
        <v>-58</v>
      </c>
      <c r="U246" s="27">
        <f>'Income Statement'!S129</f>
        <v>-22</v>
      </c>
      <c r="V246" s="287">
        <f>'Income Statement'!T129</f>
        <v>-58</v>
      </c>
      <c r="W246" s="293">
        <v>-47</v>
      </c>
      <c r="X246" s="293">
        <v>-42</v>
      </c>
      <c r="Y246" s="293">
        <v>-14</v>
      </c>
      <c r="Z246" s="293">
        <v>-35</v>
      </c>
      <c r="AA246" s="293">
        <v>-4</v>
      </c>
      <c r="AB246" s="293">
        <v>-28</v>
      </c>
      <c r="AC246" s="287">
        <f>'Income Statement'!AA129</f>
        <v>-28</v>
      </c>
      <c r="AD246" s="287">
        <f>'Income Statement'!AB129</f>
        <v>-28</v>
      </c>
      <c r="AE246" s="287">
        <f>'Income Statement'!AC129</f>
        <v>-28</v>
      </c>
      <c r="AF246" s="287">
        <f>'Income Statement'!AD129</f>
        <v>-28</v>
      </c>
      <c r="AG246" s="287">
        <f>'Income Statement'!AE129</f>
        <v>-28</v>
      </c>
      <c r="AH246" s="287">
        <f>'Income Statement'!AF129</f>
        <v>-28</v>
      </c>
      <c r="AO246" s="338"/>
      <c r="AP246" s="449"/>
      <c r="AR246" s="449"/>
      <c r="AS246" s="449"/>
      <c r="BA246" s="293"/>
      <c r="BB246" s="293"/>
      <c r="BC246" s="293"/>
      <c r="BD246" s="293"/>
      <c r="BE246" s="293"/>
      <c r="BF246" s="293"/>
      <c r="BG246" s="293"/>
      <c r="BH246" s="293"/>
      <c r="BI246" s="293"/>
      <c r="BJ246" s="293"/>
      <c r="BK246" s="293"/>
      <c r="BL246" s="293"/>
      <c r="BM246" s="293"/>
      <c r="BN246" s="293"/>
      <c r="BO246" s="293"/>
      <c r="BP246" s="293"/>
      <c r="BQ246" s="293"/>
      <c r="BR246" s="293"/>
      <c r="BS246" s="293"/>
      <c r="BT246" s="293"/>
      <c r="BU246" s="293"/>
      <c r="BV246" s="293"/>
      <c r="BW246" s="293"/>
      <c r="BX246" s="293"/>
      <c r="BY246" s="293">
        <v>0</v>
      </c>
      <c r="BZ246" s="287">
        <f>INDEX($D246:$AF246,MATCH(BZ$8,$D$8:$AG$8,0))-BY246</f>
        <v>-4</v>
      </c>
      <c r="CA246" s="293">
        <v>1</v>
      </c>
      <c r="CB246" s="287">
        <f>INDEX($D246:$AF246,MATCH(CB$8,$D$8:$AG$8,0))-CA246</f>
        <v>-29</v>
      </c>
      <c r="CC246" s="293"/>
      <c r="CD246" s="293"/>
      <c r="CE246" s="293"/>
      <c r="CF246" s="293"/>
      <c r="CG246" s="293"/>
      <c r="CH246" s="293"/>
      <c r="CI246" s="293"/>
      <c r="CJ246" s="293"/>
      <c r="CK246" s="293"/>
      <c r="CL246" s="293"/>
      <c r="CM246" s="293"/>
      <c r="CN246" s="293"/>
      <c r="CO246" s="227"/>
      <c r="CR246" s="498"/>
      <c r="CS246" s="498"/>
      <c r="CT246" s="498"/>
      <c r="CU246" s="498"/>
      <c r="CV246" s="498"/>
      <c r="CW246" s="498"/>
      <c r="CX246" s="498"/>
      <c r="CY246" s="498"/>
      <c r="CZ246" s="498"/>
      <c r="DA246" s="498"/>
      <c r="DB246" s="498"/>
      <c r="DC246" s="498"/>
      <c r="DD246" s="498"/>
      <c r="DE246" s="498"/>
      <c r="DF246" s="498"/>
      <c r="DG246" s="498"/>
      <c r="DH246" s="498"/>
      <c r="DI246" s="498"/>
      <c r="DJ246" s="498"/>
      <c r="DK246" s="498"/>
      <c r="DL246" s="498"/>
      <c r="DM246" s="498"/>
      <c r="DN246" s="498"/>
      <c r="DO246" s="498"/>
      <c r="DP246" s="498"/>
      <c r="DQ246" s="498"/>
      <c r="DR246" s="498"/>
      <c r="DS246" s="498"/>
      <c r="DT246" s="498"/>
      <c r="DU246" s="498"/>
      <c r="DV246" s="498"/>
      <c r="DW246" s="498"/>
      <c r="DX246" s="498"/>
      <c r="DY246" s="498"/>
      <c r="DZ246" s="498"/>
      <c r="EA246" s="498"/>
      <c r="EB246" s="498"/>
      <c r="EC246" s="498"/>
      <c r="ED246" s="498"/>
      <c r="EE246" s="498"/>
      <c r="EF246" s="498"/>
      <c r="EG246" s="498"/>
      <c r="EH246" s="498"/>
      <c r="EI246" s="498"/>
      <c r="EJ246" s="498"/>
      <c r="EK246" s="498"/>
      <c r="EL246" s="498"/>
      <c r="EM246" s="498"/>
      <c r="EN246" s="498"/>
      <c r="EO246" s="498"/>
      <c r="EP246" s="498"/>
      <c r="EQ246" s="498"/>
      <c r="ER246" s="498"/>
      <c r="ES246" s="498"/>
      <c r="ET246" s="498"/>
      <c r="EU246" s="498"/>
      <c r="EV246" s="498"/>
      <c r="EW246" s="498"/>
      <c r="EX246" s="498"/>
      <c r="EY246" s="498"/>
      <c r="EZ246" s="498"/>
      <c r="FA246" s="498"/>
      <c r="FB246" s="498"/>
      <c r="FC246" s="498"/>
    </row>
    <row r="247" spans="3:159">
      <c r="C247" s="19"/>
      <c r="J247" s="287"/>
      <c r="K247" s="287"/>
      <c r="L247" s="287"/>
      <c r="M247" s="287"/>
      <c r="N247" s="287"/>
      <c r="O247" s="287"/>
      <c r="P247" s="287"/>
      <c r="Q247" s="287"/>
      <c r="R247" s="287"/>
      <c r="S247" s="287"/>
      <c r="T247" s="287"/>
      <c r="U247" s="287"/>
      <c r="V247" s="287"/>
      <c r="W247" s="287"/>
      <c r="X247" s="287"/>
      <c r="Y247" s="287"/>
      <c r="Z247" s="287"/>
      <c r="AA247" s="287"/>
      <c r="AB247" s="287"/>
      <c r="AC247" s="287"/>
      <c r="AD247" s="287"/>
      <c r="AE247" s="287"/>
      <c r="AF247" s="287"/>
      <c r="AG247" s="287"/>
      <c r="AH247" s="287"/>
      <c r="AO247" s="338"/>
      <c r="AP247" s="449"/>
      <c r="AR247" s="449"/>
      <c r="AS247" s="449"/>
      <c r="BA247" s="287"/>
      <c r="BB247" s="287"/>
      <c r="BC247" s="287"/>
      <c r="BD247" s="287"/>
      <c r="BE247" s="287"/>
      <c r="BF247" s="287"/>
      <c r="BG247" s="287"/>
      <c r="BH247" s="287"/>
      <c r="BI247" s="287"/>
      <c r="BJ247" s="287"/>
      <c r="BK247" s="287"/>
      <c r="BL247" s="287"/>
      <c r="BM247" s="287"/>
      <c r="BN247" s="287"/>
      <c r="BO247" s="287"/>
      <c r="BP247" s="287"/>
      <c r="BQ247" s="287"/>
      <c r="BR247" s="287"/>
      <c r="BS247" s="287"/>
      <c r="BT247" s="287"/>
      <c r="BU247" s="287"/>
      <c r="BV247" s="287"/>
      <c r="BW247" s="287"/>
      <c r="BX247" s="287"/>
      <c r="BY247" s="287"/>
      <c r="BZ247" s="287"/>
      <c r="CA247" s="287"/>
      <c r="CB247" s="287"/>
      <c r="CC247" s="287"/>
      <c r="CD247" s="287"/>
      <c r="CE247" s="287"/>
      <c r="CF247" s="287"/>
      <c r="CG247" s="287"/>
      <c r="CH247" s="287"/>
      <c r="CI247" s="287"/>
      <c r="CJ247" s="287"/>
      <c r="CK247" s="287"/>
      <c r="CL247" s="287"/>
      <c r="CM247" s="287"/>
      <c r="CN247" s="287"/>
      <c r="CO247" s="27"/>
      <c r="CR247" s="498"/>
      <c r="CS247" s="498"/>
      <c r="CT247" s="498"/>
      <c r="CU247" s="498"/>
      <c r="CV247" s="498"/>
      <c r="CW247" s="498"/>
      <c r="CX247" s="498"/>
      <c r="CY247" s="498"/>
      <c r="CZ247" s="498"/>
      <c r="DA247" s="498"/>
      <c r="DB247" s="498"/>
      <c r="DC247" s="498"/>
      <c r="DD247" s="498"/>
      <c r="DE247" s="498"/>
      <c r="DF247" s="498"/>
      <c r="DG247" s="498"/>
      <c r="DH247" s="498"/>
      <c r="DI247" s="498"/>
      <c r="DJ247" s="498"/>
      <c r="DK247" s="498"/>
      <c r="DL247" s="498"/>
      <c r="DM247" s="498"/>
      <c r="DN247" s="498"/>
      <c r="DO247" s="498"/>
      <c r="DP247" s="498"/>
      <c r="DQ247" s="498"/>
      <c r="DR247" s="498"/>
      <c r="DS247" s="498"/>
      <c r="DT247" s="498"/>
      <c r="DU247" s="498"/>
      <c r="DV247" s="498"/>
      <c r="DW247" s="498"/>
      <c r="DX247" s="498"/>
      <c r="DY247" s="498"/>
      <c r="DZ247" s="498"/>
      <c r="EA247" s="498"/>
      <c r="EB247" s="498"/>
      <c r="EC247" s="498"/>
      <c r="ED247" s="498"/>
      <c r="EE247" s="498"/>
      <c r="EF247" s="498"/>
      <c r="EG247" s="498"/>
      <c r="EH247" s="498"/>
      <c r="EI247" s="498"/>
      <c r="EJ247" s="498"/>
      <c r="EK247" s="498"/>
      <c r="EL247" s="498"/>
      <c r="EM247" s="498"/>
      <c r="EN247" s="498"/>
      <c r="EO247" s="498"/>
      <c r="EP247" s="498"/>
      <c r="EQ247" s="498"/>
      <c r="ER247" s="498"/>
      <c r="ES247" s="498"/>
      <c r="ET247" s="498"/>
      <c r="EU247" s="498"/>
      <c r="EV247" s="498"/>
      <c r="EW247" s="498"/>
      <c r="EX247" s="498"/>
      <c r="EY247" s="498"/>
      <c r="EZ247" s="498"/>
      <c r="FA247" s="498"/>
      <c r="FB247" s="498"/>
      <c r="FC247" s="498"/>
    </row>
    <row r="248" spans="3:159">
      <c r="C248" s="19" t="s">
        <v>775</v>
      </c>
      <c r="J248" s="287">
        <f>'Income Statement'!H83</f>
        <v>4</v>
      </c>
      <c r="K248" s="287">
        <f>'Income Statement'!I83</f>
        <v>4</v>
      </c>
      <c r="L248" s="287">
        <f>'Income Statement'!J83</f>
        <v>10</v>
      </c>
      <c r="M248" s="287">
        <f>'Income Statement'!K83</f>
        <v>3</v>
      </c>
      <c r="N248" s="287">
        <f>'Income Statement'!L83</f>
        <v>9</v>
      </c>
      <c r="O248" s="287">
        <f>'Income Statement'!M83</f>
        <v>10</v>
      </c>
      <c r="P248" s="287">
        <f>'Income Statement'!N83</f>
        <v>19</v>
      </c>
      <c r="Q248" s="287">
        <f>'Income Statement'!O83</f>
        <v>15</v>
      </c>
      <c r="R248" s="287">
        <f>'Income Statement'!P83</f>
        <v>18</v>
      </c>
      <c r="S248" s="287">
        <f>'Income Statement'!Q83</f>
        <v>0</v>
      </c>
      <c r="T248" s="287">
        <f>'Income Statement'!R83</f>
        <v>0</v>
      </c>
      <c r="U248" s="287">
        <f>'Income Statement'!S83</f>
        <v>0</v>
      </c>
      <c r="V248" s="287">
        <f>'Income Statement'!T83</f>
        <v>0</v>
      </c>
      <c r="W248" s="287">
        <f>'Income Statement'!U83</f>
        <v>0</v>
      </c>
      <c r="X248" s="287">
        <f>'Income Statement'!V83</f>
        <v>0</v>
      </c>
      <c r="Y248" s="287">
        <f>'Income Statement'!W83</f>
        <v>0</v>
      </c>
      <c r="Z248" s="287">
        <f>'Income Statement'!X83</f>
        <v>0</v>
      </c>
      <c r="AA248" s="287">
        <f>'Income Statement'!Y83</f>
        <v>0</v>
      </c>
      <c r="AB248" s="287">
        <f>'Income Statement'!Z83</f>
        <v>0</v>
      </c>
      <c r="AC248" s="287">
        <f>'Income Statement'!AA83</f>
        <v>0</v>
      </c>
      <c r="AD248" s="287">
        <f>'Income Statement'!AB83</f>
        <v>0</v>
      </c>
      <c r="AE248" s="287">
        <f>'Income Statement'!AC83</f>
        <v>0</v>
      </c>
      <c r="AF248" s="287">
        <f>'Income Statement'!AD83</f>
        <v>0</v>
      </c>
      <c r="AG248" s="287">
        <f>'Income Statement'!AE83</f>
        <v>0</v>
      </c>
      <c r="AH248" s="287">
        <f>'Income Statement'!AF83</f>
        <v>0</v>
      </c>
      <c r="AO248" s="338"/>
      <c r="AP248" s="449"/>
      <c r="AR248" s="449"/>
      <c r="AS248" s="449"/>
      <c r="BA248" s="260">
        <v>6</v>
      </c>
      <c r="BB248" s="260">
        <v>4</v>
      </c>
      <c r="BC248" s="260">
        <v>11</v>
      </c>
      <c r="BD248" s="260">
        <v>8</v>
      </c>
      <c r="BE248" s="260">
        <v>10</v>
      </c>
      <c r="BF248" s="260">
        <v>5</v>
      </c>
      <c r="BG248" s="260">
        <v>7</v>
      </c>
      <c r="BH248" s="260">
        <v>11</v>
      </c>
      <c r="BI248" s="260">
        <v>4</v>
      </c>
      <c r="BJ248" s="260">
        <v>-4</v>
      </c>
      <c r="BK248" s="260">
        <v>0</v>
      </c>
      <c r="BL248" s="260">
        <v>0</v>
      </c>
      <c r="BM248" s="260">
        <v>0</v>
      </c>
      <c r="BN248" s="260">
        <v>0</v>
      </c>
      <c r="BO248" s="260">
        <v>0</v>
      </c>
      <c r="BP248" s="260">
        <v>0</v>
      </c>
      <c r="BQ248" s="260">
        <v>0</v>
      </c>
      <c r="BR248" s="260">
        <v>0</v>
      </c>
      <c r="BS248" s="260">
        <v>0</v>
      </c>
      <c r="BT248" s="260">
        <v>0</v>
      </c>
      <c r="BU248" s="260">
        <v>0</v>
      </c>
      <c r="BV248" s="260">
        <v>0</v>
      </c>
      <c r="BW248" s="260">
        <v>0</v>
      </c>
      <c r="BX248" s="260">
        <v>0</v>
      </c>
      <c r="BY248" s="260">
        <v>0</v>
      </c>
      <c r="BZ248" s="260">
        <v>0</v>
      </c>
      <c r="CA248" s="260">
        <v>0</v>
      </c>
      <c r="CB248" s="260">
        <v>0</v>
      </c>
      <c r="CC248" s="327">
        <f>CB248</f>
        <v>0</v>
      </c>
      <c r="CD248" s="327">
        <f>CC248</f>
        <v>0</v>
      </c>
      <c r="CE248" s="327">
        <f>CD248</f>
        <v>0</v>
      </c>
      <c r="CF248" s="327">
        <f>CE248</f>
        <v>0</v>
      </c>
      <c r="CG248" s="287"/>
      <c r="CH248" s="287"/>
      <c r="CI248" s="287"/>
      <c r="CJ248" s="287"/>
      <c r="CK248" s="287"/>
      <c r="CL248" s="287"/>
      <c r="CM248" s="287"/>
      <c r="CN248" s="287"/>
      <c r="CO248" s="27"/>
      <c r="CR248" s="498"/>
      <c r="CS248" s="498"/>
      <c r="CT248" s="498"/>
      <c r="CU248" s="498"/>
      <c r="CV248" s="498"/>
      <c r="CW248" s="498"/>
      <c r="CX248" s="498"/>
      <c r="CY248" s="498"/>
      <c r="CZ248" s="498"/>
      <c r="DA248" s="498"/>
      <c r="DB248" s="498"/>
      <c r="DC248" s="498"/>
      <c r="DD248" s="498"/>
      <c r="DE248" s="498"/>
      <c r="DF248" s="498"/>
      <c r="DG248" s="498"/>
      <c r="DH248" s="498"/>
      <c r="DI248" s="498"/>
      <c r="DJ248" s="498"/>
      <c r="DK248" s="498"/>
      <c r="DL248" s="498"/>
      <c r="DM248" s="498"/>
      <c r="DN248" s="498"/>
      <c r="DO248" s="498"/>
      <c r="DP248" s="498"/>
      <c r="DQ248" s="498"/>
      <c r="DR248" s="498"/>
      <c r="DS248" s="498"/>
      <c r="DT248" s="498"/>
      <c r="DU248" s="498"/>
      <c r="DV248" s="498"/>
      <c r="DW248" s="498"/>
      <c r="DX248" s="498"/>
      <c r="DY248" s="498"/>
      <c r="DZ248" s="498"/>
      <c r="EA248" s="498"/>
      <c r="EB248" s="498"/>
      <c r="EC248" s="498"/>
      <c r="ED248" s="498"/>
      <c r="EE248" s="498"/>
      <c r="EF248" s="498"/>
      <c r="EG248" s="498"/>
      <c r="EH248" s="498"/>
      <c r="EI248" s="498"/>
      <c r="EJ248" s="498"/>
      <c r="EK248" s="498"/>
      <c r="EL248" s="498"/>
      <c r="EM248" s="498"/>
      <c r="EN248" s="498"/>
      <c r="EO248" s="498"/>
      <c r="EP248" s="498"/>
      <c r="EQ248" s="498"/>
      <c r="ER248" s="498"/>
      <c r="ES248" s="498"/>
      <c r="ET248" s="498"/>
      <c r="EU248" s="498"/>
      <c r="EV248" s="498"/>
      <c r="EW248" s="498"/>
      <c r="EX248" s="498"/>
      <c r="EY248" s="498"/>
      <c r="EZ248" s="498"/>
      <c r="FA248" s="498"/>
      <c r="FB248" s="498"/>
      <c r="FC248" s="498"/>
    </row>
    <row r="249" spans="3:159">
      <c r="C249" s="19"/>
      <c r="J249" s="287"/>
      <c r="K249" s="287"/>
      <c r="L249" s="287"/>
      <c r="M249" s="287"/>
      <c r="N249" s="287"/>
      <c r="O249" s="287"/>
      <c r="P249" s="287"/>
      <c r="Q249" s="287"/>
      <c r="R249" s="287"/>
      <c r="S249" s="287"/>
      <c r="T249" s="287"/>
      <c r="U249" s="287"/>
      <c r="V249" s="287"/>
      <c r="W249" s="287"/>
      <c r="X249" s="287"/>
      <c r="Y249" s="287"/>
      <c r="Z249" s="287"/>
      <c r="AA249" s="287"/>
      <c r="AB249" s="287"/>
      <c r="AC249" s="287"/>
      <c r="AD249" s="287"/>
      <c r="AE249" s="287"/>
      <c r="AF249" s="287"/>
      <c r="AG249" s="287"/>
      <c r="AH249" s="287"/>
      <c r="AO249" s="338"/>
      <c r="AP249" s="449"/>
      <c r="AR249" s="449"/>
      <c r="AS249" s="449"/>
      <c r="BA249" s="259"/>
      <c r="BB249" s="259"/>
      <c r="BC249" s="259"/>
      <c r="BD249" s="259"/>
      <c r="BE249" s="259"/>
      <c r="BF249" s="259"/>
      <c r="BG249" s="259"/>
      <c r="BH249" s="259"/>
      <c r="BI249" s="259"/>
      <c r="BJ249" s="259"/>
      <c r="BK249" s="259"/>
      <c r="BL249" s="259"/>
      <c r="BM249" s="259"/>
      <c r="BN249" s="259"/>
      <c r="BO249" s="259"/>
      <c r="BP249" s="259"/>
      <c r="BQ249" s="259"/>
      <c r="BR249" s="259"/>
      <c r="BS249" s="259"/>
      <c r="BT249" s="259"/>
      <c r="BU249" s="259"/>
      <c r="BV249" s="259"/>
      <c r="BW249" s="287"/>
      <c r="BX249" s="287"/>
      <c r="BY249" s="287"/>
      <c r="BZ249" s="287"/>
      <c r="CA249" s="287"/>
      <c r="CB249" s="287"/>
      <c r="CC249" s="287"/>
      <c r="CD249" s="287"/>
      <c r="CE249" s="287"/>
      <c r="CF249" s="287"/>
      <c r="CG249" s="287"/>
      <c r="CH249" s="287"/>
      <c r="CI249" s="287"/>
      <c r="CJ249" s="287"/>
      <c r="CK249" s="287"/>
      <c r="CL249" s="287"/>
      <c r="CM249" s="287"/>
      <c r="CN249" s="287"/>
      <c r="CO249" s="27"/>
      <c r="CR249" s="498"/>
      <c r="CS249" s="498"/>
      <c r="CT249" s="498"/>
      <c r="CU249" s="498"/>
      <c r="CV249" s="498"/>
      <c r="CW249" s="498"/>
      <c r="CX249" s="498"/>
      <c r="CY249" s="498"/>
      <c r="CZ249" s="498"/>
      <c r="DA249" s="498"/>
      <c r="DB249" s="498"/>
      <c r="DC249" s="498"/>
      <c r="DD249" s="498"/>
      <c r="DE249" s="498"/>
      <c r="DF249" s="498"/>
      <c r="DG249" s="498"/>
      <c r="DH249" s="498"/>
      <c r="DI249" s="498"/>
      <c r="DJ249" s="498"/>
      <c r="DK249" s="498"/>
      <c r="DL249" s="498"/>
      <c r="DM249" s="498"/>
      <c r="DN249" s="498"/>
      <c r="DO249" s="498"/>
      <c r="DP249" s="498"/>
      <c r="DQ249" s="498"/>
      <c r="DR249" s="498"/>
      <c r="DS249" s="498"/>
      <c r="DT249" s="498"/>
      <c r="DU249" s="498"/>
      <c r="DV249" s="498"/>
      <c r="DW249" s="498"/>
      <c r="DX249" s="498"/>
      <c r="DY249" s="498"/>
      <c r="DZ249" s="498"/>
      <c r="EA249" s="498"/>
      <c r="EB249" s="498"/>
      <c r="EC249" s="498"/>
      <c r="ED249" s="498"/>
      <c r="EE249" s="498"/>
      <c r="EF249" s="498"/>
      <c r="EG249" s="498"/>
      <c r="EH249" s="498"/>
      <c r="EI249" s="498"/>
      <c r="EJ249" s="498"/>
      <c r="EK249" s="498"/>
      <c r="EL249" s="498"/>
      <c r="EM249" s="498"/>
      <c r="EN249" s="498"/>
      <c r="EO249" s="498"/>
      <c r="EP249" s="498"/>
      <c r="EQ249" s="498"/>
      <c r="ER249" s="498"/>
      <c r="ES249" s="498"/>
      <c r="ET249" s="498"/>
      <c r="EU249" s="498"/>
      <c r="EV249" s="498"/>
      <c r="EW249" s="498"/>
      <c r="EX249" s="498"/>
      <c r="EY249" s="498"/>
      <c r="EZ249" s="498"/>
      <c r="FA249" s="498"/>
      <c r="FB249" s="498"/>
      <c r="FC249" s="498"/>
    </row>
    <row r="250" spans="3:159">
      <c r="C250" s="19" t="s">
        <v>774</v>
      </c>
      <c r="J250" s="287" t="e">
        <f t="shared" ref="J250:Q250" si="72">J220+J242+J248</f>
        <v>#REF!</v>
      </c>
      <c r="K250" s="287" t="e">
        <f t="shared" si="72"/>
        <v>#REF!</v>
      </c>
      <c r="L250" s="287" t="e">
        <f t="shared" si="72"/>
        <v>#REF!</v>
      </c>
      <c r="M250" s="287" t="e">
        <f t="shared" si="72"/>
        <v>#REF!</v>
      </c>
      <c r="N250" s="287" t="e">
        <f t="shared" si="72"/>
        <v>#REF!</v>
      </c>
      <c r="O250" s="287" t="e">
        <f t="shared" si="72"/>
        <v>#REF!</v>
      </c>
      <c r="P250" s="287" t="e">
        <f t="shared" si="72"/>
        <v>#REF!</v>
      </c>
      <c r="Q250" s="287">
        <f t="shared" si="72"/>
        <v>-197</v>
      </c>
      <c r="R250" s="287">
        <f t="shared" ref="R250:AH250" si="73">R220+R242+R248+R239</f>
        <v>-2624</v>
      </c>
      <c r="S250" s="287">
        <f t="shared" si="73"/>
        <v>-3845</v>
      </c>
      <c r="T250" s="287">
        <f t="shared" si="73"/>
        <v>-509</v>
      </c>
      <c r="U250" s="287">
        <f t="shared" si="73"/>
        <v>5415</v>
      </c>
      <c r="V250" s="287">
        <f t="shared" si="73"/>
        <v>1689</v>
      </c>
      <c r="W250" s="287">
        <f t="shared" si="73"/>
        <v>3474</v>
      </c>
      <c r="X250" s="287">
        <f t="shared" si="73"/>
        <v>570</v>
      </c>
      <c r="Y250" s="287">
        <f t="shared" si="73"/>
        <v>268</v>
      </c>
      <c r="Z250" s="287">
        <f t="shared" si="73"/>
        <v>-3120</v>
      </c>
      <c r="AA250" s="287">
        <f t="shared" si="73"/>
        <v>4756</v>
      </c>
      <c r="AB250" s="287">
        <f t="shared" si="73"/>
        <v>-859</v>
      </c>
      <c r="AC250" s="287">
        <f t="shared" si="73"/>
        <v>4966.0467839715911</v>
      </c>
      <c r="AD250" s="287">
        <f t="shared" si="73"/>
        <v>5814.8410754136939</v>
      </c>
      <c r="AE250" s="287">
        <f t="shared" si="73"/>
        <v>6661.8329117547246</v>
      </c>
      <c r="AF250" s="287">
        <f t="shared" si="73"/>
        <v>7445.5100254779372</v>
      </c>
      <c r="AG250" s="287">
        <f t="shared" si="73"/>
        <v>7919.1537357796706</v>
      </c>
      <c r="AH250" s="287">
        <f t="shared" si="73"/>
        <v>8405.7953183892223</v>
      </c>
      <c r="AO250" s="338"/>
      <c r="AP250" s="449"/>
      <c r="AR250" s="449"/>
      <c r="AS250" s="449"/>
      <c r="BA250" s="287"/>
      <c r="BB250" s="287"/>
      <c r="BC250" s="287"/>
      <c r="BD250" s="287"/>
      <c r="BE250" s="287"/>
      <c r="BF250" s="287"/>
      <c r="BG250" s="287"/>
      <c r="BH250" s="287"/>
      <c r="BI250" s="287"/>
      <c r="BJ250" s="287"/>
      <c r="BK250" s="287"/>
      <c r="BL250" s="287"/>
      <c r="BM250" s="287"/>
      <c r="BN250" s="287"/>
      <c r="BO250" s="287"/>
      <c r="BP250" s="287"/>
      <c r="BQ250" s="287"/>
      <c r="BR250" s="287"/>
      <c r="BS250" s="287"/>
      <c r="BT250" s="287"/>
      <c r="BU250" s="287"/>
      <c r="BV250" s="287"/>
      <c r="BW250" s="287"/>
      <c r="BX250" s="287"/>
      <c r="BY250" s="287"/>
      <c r="BZ250" s="287"/>
      <c r="CA250" s="287"/>
      <c r="CB250" s="287"/>
      <c r="CC250" s="287"/>
      <c r="CD250" s="287"/>
      <c r="CE250" s="287"/>
      <c r="CF250" s="287"/>
      <c r="CG250" s="287"/>
      <c r="CH250" s="287"/>
      <c r="CI250" s="287"/>
      <c r="CJ250" s="287"/>
      <c r="CK250" s="287"/>
      <c r="CL250" s="287"/>
      <c r="CM250" s="287"/>
      <c r="CN250" s="287"/>
      <c r="CO250" s="27"/>
      <c r="CR250" s="498"/>
      <c r="CS250" s="498"/>
      <c r="CT250" s="498"/>
      <c r="CU250" s="498"/>
      <c r="CV250" s="498"/>
      <c r="CW250" s="498"/>
      <c r="CX250" s="498"/>
      <c r="CY250" s="498"/>
      <c r="CZ250" s="498"/>
      <c r="DA250" s="498"/>
      <c r="DB250" s="498"/>
      <c r="DC250" s="498"/>
      <c r="DD250" s="498"/>
      <c r="DE250" s="498"/>
      <c r="DF250" s="498"/>
      <c r="DG250" s="498"/>
      <c r="DH250" s="498"/>
      <c r="DI250" s="498"/>
      <c r="DJ250" s="498"/>
      <c r="DK250" s="498"/>
      <c r="DL250" s="498"/>
      <c r="DM250" s="498"/>
      <c r="DN250" s="498"/>
      <c r="DO250" s="498"/>
      <c r="DP250" s="498"/>
      <c r="DQ250" s="498"/>
      <c r="DR250" s="498"/>
      <c r="DS250" s="498"/>
      <c r="DT250" s="498"/>
      <c r="DU250" s="498"/>
      <c r="DV250" s="498"/>
      <c r="DW250" s="498"/>
      <c r="DX250" s="498"/>
      <c r="DY250" s="498"/>
      <c r="DZ250" s="498"/>
      <c r="EA250" s="498"/>
      <c r="EB250" s="498"/>
      <c r="EC250" s="498"/>
      <c r="ED250" s="498"/>
      <c r="EE250" s="498"/>
      <c r="EF250" s="498"/>
      <c r="EG250" s="498"/>
      <c r="EH250" s="498"/>
      <c r="EI250" s="498"/>
      <c r="EJ250" s="498"/>
      <c r="EK250" s="498"/>
      <c r="EL250" s="498"/>
      <c r="EM250" s="498"/>
      <c r="EN250" s="498"/>
      <c r="EO250" s="498"/>
      <c r="EP250" s="498"/>
      <c r="EQ250" s="498"/>
      <c r="ER250" s="498"/>
      <c r="ES250" s="498"/>
      <c r="ET250" s="498"/>
      <c r="EU250" s="498"/>
      <c r="EV250" s="498"/>
      <c r="EW250" s="498"/>
      <c r="EX250" s="498"/>
      <c r="EY250" s="498"/>
      <c r="EZ250" s="498"/>
      <c r="FA250" s="498"/>
      <c r="FB250" s="498"/>
      <c r="FC250" s="498"/>
    </row>
    <row r="251" spans="3:159">
      <c r="C251" s="19" t="s">
        <v>773</v>
      </c>
      <c r="J251" s="287" t="e">
        <f>J225+J243+J248</f>
        <v>#REF!</v>
      </c>
      <c r="K251" s="287" t="e">
        <f t="shared" ref="K251:P251" si="74">K225+K243+K248-K224</f>
        <v>#REF!</v>
      </c>
      <c r="L251" s="287" t="e">
        <f t="shared" si="74"/>
        <v>#REF!</v>
      </c>
      <c r="M251" s="287" t="e">
        <f t="shared" si="74"/>
        <v>#REF!</v>
      </c>
      <c r="N251" s="287" t="e">
        <f t="shared" si="74"/>
        <v>#REF!</v>
      </c>
      <c r="O251" s="287" t="e">
        <f t="shared" si="74"/>
        <v>#REF!</v>
      </c>
      <c r="P251" s="287" t="e">
        <f t="shared" si="74"/>
        <v>#REF!</v>
      </c>
      <c r="Q251" s="287">
        <f>Q225+Q243+Q248-31</f>
        <v>-312</v>
      </c>
      <c r="R251" s="287">
        <f t="shared" ref="R251:AH251" si="75">R225+R243+R248+R240</f>
        <v>-429</v>
      </c>
      <c r="S251" s="287">
        <f t="shared" si="75"/>
        <v>-1005</v>
      </c>
      <c r="T251" s="287">
        <f t="shared" si="75"/>
        <v>-187</v>
      </c>
      <c r="U251" s="287">
        <f t="shared" si="75"/>
        <v>2128</v>
      </c>
      <c r="V251" s="287">
        <f t="shared" si="75"/>
        <v>2697</v>
      </c>
      <c r="W251" s="287">
        <f t="shared" si="75"/>
        <v>3744</v>
      </c>
      <c r="X251" s="287">
        <f t="shared" si="75"/>
        <v>1213</v>
      </c>
      <c r="Y251" s="287">
        <f t="shared" si="75"/>
        <v>1196</v>
      </c>
      <c r="Z251" s="287">
        <f t="shared" si="75"/>
        <v>1772</v>
      </c>
      <c r="AA251" s="287">
        <f t="shared" si="75"/>
        <v>2829</v>
      </c>
      <c r="AB251" s="287">
        <f t="shared" si="75"/>
        <v>4148</v>
      </c>
      <c r="AC251" s="287">
        <f t="shared" si="75"/>
        <v>5265.0467839715911</v>
      </c>
      <c r="AD251" s="287">
        <f t="shared" si="75"/>
        <v>6113.8410754136939</v>
      </c>
      <c r="AE251" s="287">
        <f t="shared" si="75"/>
        <v>6960.8329117547246</v>
      </c>
      <c r="AF251" s="287">
        <f t="shared" si="75"/>
        <v>7744.5100254779372</v>
      </c>
      <c r="AG251" s="287">
        <f t="shared" si="75"/>
        <v>8218.1537357796697</v>
      </c>
      <c r="AH251" s="287">
        <f t="shared" si="75"/>
        <v>8704.7953183892223</v>
      </c>
      <c r="AO251" s="338"/>
      <c r="AP251" s="449"/>
      <c r="AR251" s="449"/>
      <c r="AS251" s="449"/>
      <c r="BA251" s="287">
        <f t="shared" ref="BA251:BR251" si="76">BA225+BA243+BA248+BA240</f>
        <v>456</v>
      </c>
      <c r="BB251" s="287">
        <f t="shared" si="76"/>
        <v>528</v>
      </c>
      <c r="BC251" s="287">
        <f t="shared" si="76"/>
        <v>613</v>
      </c>
      <c r="BD251" s="287">
        <f t="shared" si="76"/>
        <v>696</v>
      </c>
      <c r="BE251" s="287">
        <f t="shared" si="76"/>
        <v>790</v>
      </c>
      <c r="BF251" s="287">
        <f t="shared" si="76"/>
        <v>867</v>
      </c>
      <c r="BG251" s="287">
        <f t="shared" si="76"/>
        <v>977</v>
      </c>
      <c r="BH251" s="287">
        <f t="shared" si="76"/>
        <v>965</v>
      </c>
      <c r="BI251" s="287">
        <f t="shared" si="76"/>
        <v>1136</v>
      </c>
      <c r="BJ251" s="287">
        <f t="shared" si="76"/>
        <v>1071</v>
      </c>
      <c r="BK251" s="287">
        <f t="shared" si="76"/>
        <v>1250</v>
      </c>
      <c r="BL251" s="287">
        <f t="shared" si="76"/>
        <v>1010</v>
      </c>
      <c r="BM251" s="287">
        <f t="shared" si="76"/>
        <v>3847</v>
      </c>
      <c r="BN251" s="287">
        <f t="shared" si="76"/>
        <v>-1629</v>
      </c>
      <c r="BO251" s="287">
        <f t="shared" si="76"/>
        <v>1272</v>
      </c>
      <c r="BP251" s="287">
        <f t="shared" si="76"/>
        <v>1540</v>
      </c>
      <c r="BQ251" s="287">
        <f t="shared" si="76"/>
        <v>1851</v>
      </c>
      <c r="BR251" s="287">
        <f t="shared" si="76"/>
        <v>1880</v>
      </c>
      <c r="BS251" s="287">
        <f>BS225+BS243+BS248+BS240-144</f>
        <v>686</v>
      </c>
      <c r="BT251" s="287">
        <f>BT225+BT243+BT248+BT240</f>
        <v>849</v>
      </c>
      <c r="BU251" s="287">
        <f>BU225+BU243+BU248+BU240-195</f>
        <v>380</v>
      </c>
      <c r="BV251" s="287">
        <f>BV225+BV243+BV248+BV240</f>
        <v>1026</v>
      </c>
      <c r="BW251" s="287">
        <f>BW225+BW243+BW248+BW240-92</f>
        <v>762</v>
      </c>
      <c r="BX251" s="287">
        <f t="shared" ref="BX251:CF251" si="77">BX225+BX243+BX248+BX240</f>
        <v>1368</v>
      </c>
      <c r="BY251" s="287">
        <f t="shared" si="77"/>
        <v>1403</v>
      </c>
      <c r="BZ251" s="287">
        <f t="shared" si="77"/>
        <v>1880</v>
      </c>
      <c r="CA251" s="287">
        <f t="shared" si="77"/>
        <v>1916</v>
      </c>
      <c r="CB251" s="287">
        <f t="shared" si="77"/>
        <v>2232</v>
      </c>
      <c r="CC251" s="287" t="e">
        <f t="shared" si="77"/>
        <v>#REF!</v>
      </c>
      <c r="CD251" s="287" t="e">
        <f t="shared" si="77"/>
        <v>#REF!</v>
      </c>
      <c r="CE251" s="287" t="e">
        <f t="shared" si="77"/>
        <v>#REF!</v>
      </c>
      <c r="CF251" s="287" t="e">
        <f t="shared" si="77"/>
        <v>#REF!</v>
      </c>
      <c r="CG251" s="287"/>
      <c r="CH251" s="287"/>
      <c r="CI251" s="287"/>
      <c r="CJ251" s="287"/>
      <c r="CK251" s="287"/>
      <c r="CL251" s="287"/>
      <c r="CM251" s="287"/>
      <c r="CN251" s="287"/>
      <c r="CO251" s="27"/>
      <c r="CR251" s="498"/>
      <c r="CS251" s="498"/>
      <c r="CT251" s="498"/>
      <c r="CU251" s="498"/>
      <c r="CV251" s="498"/>
      <c r="CW251" s="498"/>
      <c r="CX251" s="498"/>
      <c r="CY251" s="498"/>
      <c r="CZ251" s="498"/>
      <c r="DA251" s="498"/>
      <c r="DB251" s="498"/>
      <c r="DC251" s="498"/>
      <c r="DD251" s="498"/>
      <c r="DE251" s="498"/>
      <c r="DF251" s="498"/>
      <c r="DG251" s="498"/>
      <c r="DH251" s="498"/>
      <c r="DI251" s="498"/>
      <c r="DJ251" s="498"/>
      <c r="DK251" s="498"/>
      <c r="DL251" s="498"/>
      <c r="DM251" s="498"/>
      <c r="DN251" s="498"/>
      <c r="DO251" s="498"/>
      <c r="DP251" s="498"/>
      <c r="DQ251" s="498"/>
      <c r="DR251" s="498"/>
      <c r="DS251" s="498"/>
      <c r="DT251" s="498"/>
      <c r="DU251" s="498"/>
      <c r="DV251" s="498"/>
      <c r="DW251" s="498"/>
      <c r="DX251" s="498"/>
      <c r="DY251" s="498"/>
      <c r="DZ251" s="498"/>
      <c r="EA251" s="498"/>
      <c r="EB251" s="498"/>
      <c r="EC251" s="498"/>
      <c r="ED251" s="498"/>
      <c r="EE251" s="498"/>
      <c r="EF251" s="498"/>
      <c r="EG251" s="498"/>
      <c r="EH251" s="498"/>
      <c r="EI251" s="498"/>
      <c r="EJ251" s="498"/>
      <c r="EK251" s="498"/>
      <c r="EL251" s="498"/>
      <c r="EM251" s="498"/>
      <c r="EN251" s="498"/>
      <c r="EO251" s="498"/>
      <c r="EP251" s="498"/>
      <c r="EQ251" s="498"/>
      <c r="ER251" s="498"/>
      <c r="ES251" s="498"/>
      <c r="ET251" s="498"/>
      <c r="EU251" s="498"/>
      <c r="EV251" s="498"/>
      <c r="EW251" s="498"/>
      <c r="EX251" s="498"/>
      <c r="EY251" s="498"/>
      <c r="EZ251" s="498"/>
      <c r="FA251" s="498"/>
      <c r="FB251" s="498"/>
      <c r="FC251" s="498"/>
    </row>
    <row r="252" spans="3:159">
      <c r="C252" s="19"/>
      <c r="J252" s="287"/>
      <c r="K252" s="287"/>
      <c r="L252" s="287"/>
      <c r="M252" s="287"/>
      <c r="N252" s="287"/>
      <c r="O252" s="287"/>
      <c r="P252" s="287"/>
      <c r="Q252" s="287"/>
      <c r="R252" s="287"/>
      <c r="S252" s="287"/>
      <c r="T252" s="287"/>
      <c r="U252" s="287"/>
      <c r="V252" s="287"/>
      <c r="W252" s="287"/>
      <c r="X252" s="287"/>
      <c r="Y252" s="287"/>
      <c r="Z252" s="287"/>
      <c r="AA252" s="287"/>
      <c r="AB252" s="287"/>
      <c r="AC252" s="287"/>
      <c r="AD252" s="287"/>
      <c r="AE252" s="287"/>
      <c r="AF252" s="287"/>
      <c r="AG252" s="287"/>
      <c r="AH252" s="287"/>
      <c r="AO252" s="338"/>
      <c r="AP252" s="449"/>
      <c r="AR252" s="449"/>
      <c r="AS252" s="449"/>
      <c r="BA252" s="287"/>
      <c r="BB252" s="287"/>
      <c r="BC252" s="287"/>
      <c r="BD252" s="287"/>
      <c r="BE252" s="287"/>
      <c r="BF252" s="287"/>
      <c r="BG252" s="287"/>
      <c r="BH252" s="287"/>
      <c r="BI252" s="287"/>
      <c r="BJ252" s="287"/>
      <c r="BK252" s="287"/>
      <c r="BL252" s="287"/>
      <c r="BM252" s="287"/>
      <c r="BN252" s="287"/>
      <c r="BO252" s="287"/>
      <c r="BP252" s="287"/>
      <c r="BQ252" s="287"/>
      <c r="BR252" s="287"/>
      <c r="BS252" s="287"/>
      <c r="BT252" s="287"/>
      <c r="BU252" s="287"/>
      <c r="BV252" s="287"/>
      <c r="BW252" s="287"/>
      <c r="BX252" s="287"/>
      <c r="BY252" s="287"/>
      <c r="BZ252" s="287"/>
      <c r="CA252" s="287"/>
      <c r="CB252" s="287"/>
      <c r="CC252" s="287"/>
      <c r="CD252" s="287"/>
      <c r="CE252" s="287"/>
      <c r="CF252" s="287"/>
      <c r="CG252" s="287"/>
      <c r="CH252" s="287"/>
      <c r="CI252" s="287"/>
      <c r="CJ252" s="287"/>
      <c r="CK252" s="287"/>
      <c r="CL252" s="287"/>
      <c r="CM252" s="287"/>
      <c r="CN252" s="287"/>
      <c r="CO252" s="27"/>
      <c r="CR252" s="498"/>
      <c r="CS252" s="498"/>
      <c r="CT252" s="498"/>
      <c r="CU252" s="498"/>
      <c r="CV252" s="498"/>
      <c r="CW252" s="498"/>
      <c r="CX252" s="498"/>
      <c r="CY252" s="498"/>
      <c r="CZ252" s="498"/>
      <c r="DA252" s="498"/>
      <c r="DB252" s="498"/>
      <c r="DC252" s="498"/>
      <c r="DD252" s="498"/>
      <c r="DE252" s="498"/>
      <c r="DF252" s="498"/>
      <c r="DG252" s="498"/>
      <c r="DH252" s="498"/>
      <c r="DI252" s="498"/>
      <c r="DJ252" s="498"/>
      <c r="DK252" s="498"/>
      <c r="DL252" s="498"/>
      <c r="DM252" s="498"/>
      <c r="DN252" s="498"/>
      <c r="DO252" s="498"/>
      <c r="DP252" s="498"/>
      <c r="DQ252" s="498"/>
      <c r="DR252" s="498"/>
      <c r="DS252" s="498"/>
      <c r="DT252" s="498"/>
      <c r="DU252" s="498"/>
      <c r="DV252" s="498"/>
      <c r="DW252" s="498"/>
      <c r="DX252" s="498"/>
      <c r="DY252" s="498"/>
      <c r="DZ252" s="498"/>
      <c r="EA252" s="498"/>
      <c r="EB252" s="498"/>
      <c r="EC252" s="498"/>
      <c r="ED252" s="498"/>
      <c r="EE252" s="498"/>
      <c r="EF252" s="498"/>
      <c r="EG252" s="498"/>
      <c r="EH252" s="498"/>
      <c r="EI252" s="498"/>
      <c r="EJ252" s="498"/>
      <c r="EK252" s="498"/>
      <c r="EL252" s="498"/>
      <c r="EM252" s="498"/>
      <c r="EN252" s="498"/>
      <c r="EO252" s="498"/>
      <c r="EP252" s="498"/>
      <c r="EQ252" s="498"/>
      <c r="ER252" s="498"/>
      <c r="ES252" s="498"/>
      <c r="ET252" s="498"/>
      <c r="EU252" s="498"/>
      <c r="EV252" s="498"/>
      <c r="EW252" s="498"/>
      <c r="EX252" s="498"/>
      <c r="EY252" s="498"/>
      <c r="EZ252" s="498"/>
      <c r="FA252" s="498"/>
      <c r="FB252" s="498"/>
      <c r="FC252" s="498"/>
    </row>
    <row r="253" spans="3:159">
      <c r="C253" s="19" t="s">
        <v>772</v>
      </c>
      <c r="J253" s="287">
        <f>'Income Statement'!H86</f>
        <v>-109</v>
      </c>
      <c r="K253" s="287">
        <f>'Income Statement'!I86</f>
        <v>-25</v>
      </c>
      <c r="L253" s="287">
        <f>'Income Statement'!J86</f>
        <v>142</v>
      </c>
      <c r="M253" s="287">
        <f>'Income Statement'!K86</f>
        <v>-235</v>
      </c>
      <c r="N253" s="287">
        <f>'Income Statement'!L86</f>
        <v>-14</v>
      </c>
      <c r="O253" s="287">
        <f>'Income Statement'!M86</f>
        <v>-201</v>
      </c>
      <c r="P253" s="287">
        <f>'Income Statement'!N86</f>
        <v>-433</v>
      </c>
      <c r="Q253" s="287">
        <f>'Income Statement'!O86</f>
        <v>-650</v>
      </c>
      <c r="R253" s="287">
        <f>'Income Statement'!P86</f>
        <v>292</v>
      </c>
      <c r="S253" s="287">
        <f>'Income Statement'!Q86</f>
        <v>505</v>
      </c>
      <c r="T253" s="287">
        <f>'Income Statement'!R86</f>
        <v>-398</v>
      </c>
      <c r="U253" s="287">
        <f>'Income Statement'!S86</f>
        <v>-1660</v>
      </c>
      <c r="V253" s="287">
        <f>'Income Statement'!T86</f>
        <v>-348</v>
      </c>
      <c r="W253" s="287">
        <f>'Income Statement'!U86</f>
        <v>-962</v>
      </c>
      <c r="X253" s="287">
        <f>'Income Statement'!V86</f>
        <v>-184</v>
      </c>
      <c r="Y253" s="287">
        <f>'Income Statement'!W86</f>
        <v>-200</v>
      </c>
      <c r="Z253" s="287">
        <f>'Income Statement'!X86</f>
        <v>694</v>
      </c>
      <c r="AA253" s="287">
        <f>'Income Statement'!Y86</f>
        <v>-1236</v>
      </c>
      <c r="AB253" s="287">
        <f>'Income Statement'!Z86</f>
        <v>284</v>
      </c>
      <c r="AC253" s="287">
        <f>'Income Statement'!AA86</f>
        <v>-1811.2806094750788</v>
      </c>
      <c r="AD253" s="287">
        <f>'Income Statement'!AB86</f>
        <v>-1849.3083478070635</v>
      </c>
      <c r="AE253" s="287">
        <f>'Income Statement'!AC86</f>
        <v>-1817.0965570562282</v>
      </c>
      <c r="AF253" s="287">
        <f>'Income Statement'!AD86</f>
        <v>-2020.8526066242628</v>
      </c>
      <c r="AG253" s="287">
        <f>'Income Statement'!AE86</f>
        <v>-2143.999971302715</v>
      </c>
      <c r="AH253" s="287">
        <f>'Income Statement'!AF86</f>
        <v>-2270.5267827811977</v>
      </c>
      <c r="AO253" s="338"/>
      <c r="AP253" s="449"/>
      <c r="AR253" s="449"/>
      <c r="AS253" s="449"/>
      <c r="BA253" s="287"/>
      <c r="BB253" s="287"/>
      <c r="BC253" s="287"/>
      <c r="BD253" s="287"/>
      <c r="BE253" s="287"/>
      <c r="BF253" s="287"/>
      <c r="BG253" s="287"/>
      <c r="BH253" s="287"/>
      <c r="BI253" s="287"/>
      <c r="BJ253" s="287"/>
      <c r="BK253" s="287"/>
      <c r="BL253" s="287"/>
      <c r="BM253" s="287"/>
      <c r="BN253" s="287"/>
      <c r="BO253" s="287"/>
      <c r="BP253" s="287"/>
      <c r="BQ253" s="287"/>
      <c r="BR253" s="287"/>
      <c r="BS253" s="287"/>
      <c r="BT253" s="287"/>
      <c r="BU253" s="287"/>
      <c r="BV253" s="287"/>
      <c r="BW253" s="287"/>
      <c r="BX253" s="287"/>
      <c r="BY253" s="287"/>
      <c r="BZ253" s="287"/>
      <c r="CA253" s="287"/>
      <c r="CB253" s="287"/>
      <c r="CC253" s="287"/>
      <c r="CD253" s="287"/>
      <c r="CE253" s="287"/>
      <c r="CF253" s="287"/>
      <c r="CG253" s="287"/>
      <c r="CH253" s="287"/>
      <c r="CI253" s="287"/>
      <c r="CJ253" s="287"/>
      <c r="CK253" s="287"/>
      <c r="CL253" s="287"/>
      <c r="CM253" s="287"/>
      <c r="CN253" s="287"/>
      <c r="CO253" s="27"/>
      <c r="CR253" s="498"/>
      <c r="CS253" s="498"/>
      <c r="CT253" s="498"/>
      <c r="CU253" s="498"/>
      <c r="CV253" s="498"/>
      <c r="CW253" s="498"/>
      <c r="CX253" s="498"/>
      <c r="CY253" s="498"/>
      <c r="CZ253" s="498"/>
      <c r="DA253" s="498"/>
      <c r="DB253" s="498"/>
      <c r="DC253" s="498"/>
      <c r="DD253" s="498"/>
      <c r="DE253" s="498"/>
      <c r="DF253" s="498"/>
      <c r="DG253" s="498"/>
      <c r="DH253" s="498"/>
      <c r="DI253" s="498"/>
      <c r="DJ253" s="498"/>
      <c r="DK253" s="498"/>
      <c r="DL253" s="498"/>
      <c r="DM253" s="498"/>
      <c r="DN253" s="498"/>
      <c r="DO253" s="498"/>
      <c r="DP253" s="498"/>
      <c r="DQ253" s="498"/>
      <c r="DR253" s="498"/>
      <c r="DS253" s="498"/>
      <c r="DT253" s="498"/>
      <c r="DU253" s="498"/>
      <c r="DV253" s="498"/>
      <c r="DW253" s="498"/>
      <c r="DX253" s="498"/>
      <c r="DY253" s="498"/>
      <c r="DZ253" s="498"/>
      <c r="EA253" s="498"/>
      <c r="EB253" s="498"/>
      <c r="EC253" s="498"/>
      <c r="ED253" s="498"/>
      <c r="EE253" s="498"/>
      <c r="EF253" s="498"/>
      <c r="EG253" s="498"/>
      <c r="EH253" s="498"/>
      <c r="EI253" s="498"/>
      <c r="EJ253" s="498"/>
      <c r="EK253" s="498"/>
      <c r="EL253" s="498"/>
      <c r="EM253" s="498"/>
      <c r="EN253" s="498"/>
      <c r="EO253" s="498"/>
      <c r="EP253" s="498"/>
      <c r="EQ253" s="498"/>
      <c r="ER253" s="498"/>
      <c r="ES253" s="498"/>
      <c r="ET253" s="498"/>
      <c r="EU253" s="498"/>
      <c r="EV253" s="498"/>
      <c r="EW253" s="498"/>
      <c r="EX253" s="498"/>
      <c r="EY253" s="498"/>
      <c r="EZ253" s="498"/>
      <c r="FA253" s="498"/>
      <c r="FB253" s="498"/>
      <c r="FC253" s="498"/>
    </row>
    <row r="254" spans="3:159">
      <c r="C254" s="19" t="s">
        <v>770</v>
      </c>
      <c r="J254" s="30" t="e">
        <f t="shared" ref="J254:AH254" si="78">J253/J250</f>
        <v>#REF!</v>
      </c>
      <c r="K254" s="30" t="e">
        <f t="shared" si="78"/>
        <v>#REF!</v>
      </c>
      <c r="L254" s="30" t="e">
        <f t="shared" si="78"/>
        <v>#REF!</v>
      </c>
      <c r="M254" s="30" t="e">
        <f t="shared" si="78"/>
        <v>#REF!</v>
      </c>
      <c r="N254" s="30" t="e">
        <f t="shared" si="78"/>
        <v>#REF!</v>
      </c>
      <c r="O254" s="30" t="e">
        <f t="shared" si="78"/>
        <v>#REF!</v>
      </c>
      <c r="P254" s="30" t="e">
        <f t="shared" si="78"/>
        <v>#REF!</v>
      </c>
      <c r="Q254" s="30">
        <f t="shared" si="78"/>
        <v>3.2994923857868019</v>
      </c>
      <c r="R254" s="30">
        <f t="shared" si="78"/>
        <v>-0.11128048780487805</v>
      </c>
      <c r="S254" s="30">
        <f t="shared" si="78"/>
        <v>-0.13133940182054615</v>
      </c>
      <c r="T254" s="30">
        <f t="shared" si="78"/>
        <v>0.78192534381139489</v>
      </c>
      <c r="U254" s="30">
        <f t="shared" si="78"/>
        <v>-0.30655586334256696</v>
      </c>
      <c r="V254" s="30">
        <f t="shared" si="78"/>
        <v>-0.20603907637655416</v>
      </c>
      <c r="W254" s="30">
        <f t="shared" si="78"/>
        <v>-0.27691421991940124</v>
      </c>
      <c r="X254" s="30">
        <f t="shared" si="78"/>
        <v>-0.32280701754385965</v>
      </c>
      <c r="Y254" s="30">
        <f t="shared" si="78"/>
        <v>-0.74626865671641796</v>
      </c>
      <c r="Z254" s="362">
        <f t="shared" si="78"/>
        <v>-0.22243589743589742</v>
      </c>
      <c r="AA254" s="362">
        <f t="shared" si="78"/>
        <v>-0.25988225399495374</v>
      </c>
      <c r="AB254" s="362">
        <f t="shared" si="78"/>
        <v>-0.33061699650756693</v>
      </c>
      <c r="AC254" s="362">
        <f t="shared" si="78"/>
        <v>-0.36473289283563876</v>
      </c>
      <c r="AD254" s="362">
        <f t="shared" si="78"/>
        <v>-0.31803248340290974</v>
      </c>
      <c r="AE254" s="362">
        <f t="shared" si="78"/>
        <v>-0.27276225344078853</v>
      </c>
      <c r="AF254" s="362">
        <f t="shared" si="78"/>
        <v>-0.27141896253031256</v>
      </c>
      <c r="AG254" s="362">
        <f t="shared" si="78"/>
        <v>-0.2707359956425483</v>
      </c>
      <c r="AH254" s="362">
        <f t="shared" si="78"/>
        <v>-0.27011445042136617</v>
      </c>
      <c r="AO254" s="338"/>
      <c r="AP254" s="449"/>
      <c r="AR254" s="449"/>
      <c r="AS254" s="449"/>
      <c r="BA254" s="30"/>
      <c r="BB254" s="30"/>
      <c r="BC254" s="30"/>
      <c r="BD254" s="30"/>
      <c r="BE254" s="30"/>
      <c r="BF254" s="30"/>
      <c r="BG254" s="30"/>
      <c r="BH254" s="30"/>
      <c r="BI254" s="30"/>
      <c r="BJ254" s="30"/>
      <c r="BK254" s="30"/>
      <c r="BL254" s="30"/>
      <c r="BM254" s="30"/>
      <c r="BN254" s="30"/>
      <c r="BO254" s="30"/>
      <c r="BP254" s="30"/>
      <c r="BQ254" s="30"/>
      <c r="BR254" s="30"/>
      <c r="BS254" s="30"/>
      <c r="BT254" s="30"/>
      <c r="BU254" s="30"/>
      <c r="BV254" s="30"/>
      <c r="BW254" s="30"/>
      <c r="BX254" s="30"/>
      <c r="BY254" s="30"/>
      <c r="BZ254" s="30"/>
      <c r="CA254" s="30"/>
      <c r="CB254" s="30"/>
      <c r="CC254" s="30"/>
      <c r="CD254" s="30"/>
      <c r="CE254" s="30"/>
      <c r="CF254" s="30"/>
      <c r="CG254" s="30"/>
      <c r="CH254" s="30"/>
      <c r="CI254" s="30"/>
      <c r="CJ254" s="30"/>
      <c r="CK254" s="30"/>
      <c r="CL254" s="30"/>
      <c r="CM254" s="30"/>
      <c r="CN254" s="30"/>
      <c r="CO254" s="355"/>
      <c r="CR254" s="498"/>
      <c r="CS254" s="498"/>
      <c r="CT254" s="498"/>
      <c r="CU254" s="498"/>
      <c r="CV254" s="498"/>
      <c r="CW254" s="498"/>
      <c r="CX254" s="498"/>
      <c r="CY254" s="498"/>
      <c r="CZ254" s="498"/>
      <c r="DA254" s="498"/>
      <c r="DB254" s="498"/>
      <c r="DC254" s="498"/>
      <c r="DD254" s="498"/>
      <c r="DE254" s="498"/>
      <c r="DF254" s="498"/>
      <c r="DG254" s="498"/>
      <c r="DH254" s="498"/>
      <c r="DI254" s="498"/>
      <c r="DJ254" s="498"/>
      <c r="DK254" s="498"/>
      <c r="DL254" s="498"/>
      <c r="DM254" s="498"/>
      <c r="DN254" s="498"/>
      <c r="DO254" s="498"/>
      <c r="DP254" s="498"/>
      <c r="DQ254" s="498"/>
      <c r="DR254" s="498"/>
      <c r="DS254" s="498"/>
      <c r="DT254" s="498"/>
      <c r="DU254" s="498"/>
      <c r="DV254" s="498"/>
      <c r="DW254" s="498"/>
      <c r="DX254" s="498"/>
      <c r="DY254" s="498"/>
      <c r="DZ254" s="498"/>
      <c r="EA254" s="498"/>
      <c r="EB254" s="498"/>
      <c r="EC254" s="498"/>
      <c r="ED254" s="498"/>
      <c r="EE254" s="498"/>
      <c r="EF254" s="498"/>
      <c r="EG254" s="498"/>
      <c r="EH254" s="498"/>
      <c r="EI254" s="498"/>
      <c r="EJ254" s="498"/>
      <c r="EK254" s="498"/>
      <c r="EL254" s="498"/>
      <c r="EM254" s="498"/>
      <c r="EN254" s="498"/>
      <c r="EO254" s="498"/>
      <c r="EP254" s="498"/>
      <c r="EQ254" s="498"/>
      <c r="ER254" s="498"/>
      <c r="ES254" s="498"/>
      <c r="ET254" s="498"/>
      <c r="EU254" s="498"/>
      <c r="EV254" s="498"/>
      <c r="EW254" s="498"/>
      <c r="EX254" s="498"/>
      <c r="EY254" s="498"/>
      <c r="EZ254" s="498"/>
      <c r="FA254" s="498"/>
      <c r="FB254" s="498"/>
      <c r="FC254" s="498"/>
    </row>
    <row r="255" spans="3:159">
      <c r="C255" s="19" t="s">
        <v>771</v>
      </c>
      <c r="J255" s="293">
        <v>-199</v>
      </c>
      <c r="K255" s="293">
        <v>-224</v>
      </c>
      <c r="L255" s="293">
        <v>-101</v>
      </c>
      <c r="M255" s="293">
        <v>-108</v>
      </c>
      <c r="N255" s="293">
        <v>-173</v>
      </c>
      <c r="O255" s="293">
        <v>-289</v>
      </c>
      <c r="P255" s="293">
        <v>-263</v>
      </c>
      <c r="Q255" s="293">
        <v>-540</v>
      </c>
      <c r="R255" s="293">
        <v>-522</v>
      </c>
      <c r="S255" s="293">
        <v>-403</v>
      </c>
      <c r="T255" s="293">
        <v>-498</v>
      </c>
      <c r="U255" s="293">
        <v>-542</v>
      </c>
      <c r="V255" s="293">
        <v>-638</v>
      </c>
      <c r="W255" s="293">
        <v>-1012</v>
      </c>
      <c r="X255" s="293">
        <v>-334</v>
      </c>
      <c r="Y255" s="293">
        <v>-412</v>
      </c>
      <c r="Z255" s="293">
        <v>-557</v>
      </c>
      <c r="AA255" s="293">
        <v>-724</v>
      </c>
      <c r="AB255" s="293">
        <v>-987</v>
      </c>
      <c r="AC255" s="287">
        <f t="shared" ref="AC255:AH255" si="79">AC256*AC251</f>
        <v>-1801.6990094750786</v>
      </c>
      <c r="AD255" s="287">
        <f t="shared" si="79"/>
        <v>-1840.8775478070634</v>
      </c>
      <c r="AE255" s="287">
        <f t="shared" si="79"/>
        <v>-1809.8165570562285</v>
      </c>
      <c r="AF255" s="287">
        <f t="shared" si="79"/>
        <v>-2013.5726066242637</v>
      </c>
      <c r="AG255" s="287">
        <f t="shared" si="79"/>
        <v>-2136.7199713027144</v>
      </c>
      <c r="AH255" s="287">
        <f t="shared" si="79"/>
        <v>-2263.2467827811979</v>
      </c>
      <c r="AO255" s="338"/>
      <c r="AP255" s="449"/>
      <c r="AR255" s="449"/>
      <c r="AS255" s="449"/>
      <c r="BA255" s="260">
        <v>-115</v>
      </c>
      <c r="BB255" s="260">
        <v>-174</v>
      </c>
      <c r="BC255" s="260">
        <v>-170</v>
      </c>
      <c r="BD255" s="260">
        <v>-93</v>
      </c>
      <c r="BE255" s="260">
        <v>-231</v>
      </c>
      <c r="BF255" s="260">
        <v>-309</v>
      </c>
      <c r="BG255" s="260">
        <v>-304</v>
      </c>
      <c r="BH255" s="260">
        <v>-218</v>
      </c>
      <c r="BI255" s="260">
        <v>-353</v>
      </c>
      <c r="BJ255" s="260">
        <v>-50</v>
      </c>
      <c r="BK255" s="260">
        <v>-342</v>
      </c>
      <c r="BL255" s="260">
        <v>-156</v>
      </c>
      <c r="BM255" s="260">
        <v>-1234</v>
      </c>
      <c r="BN255" s="260">
        <v>692</v>
      </c>
      <c r="BO255" s="260">
        <v>-272</v>
      </c>
      <c r="BP255" s="260">
        <v>-366</v>
      </c>
      <c r="BQ255" s="260">
        <v>-496</v>
      </c>
      <c r="BR255" s="260">
        <v>-516</v>
      </c>
      <c r="BS255" s="260">
        <v>-169</v>
      </c>
      <c r="BT255" s="1003">
        <f>INDEX($D255:$AF255,MATCH(BT$8,$D$8:$AG$8,0))-BS255</f>
        <v>-165</v>
      </c>
      <c r="BU255" s="260">
        <v>-100</v>
      </c>
      <c r="BV255" s="1003">
        <f>INDEX($D255:$AF255,MATCH(BV$8,$D$8:$AG$8,0))-BU255</f>
        <v>-312</v>
      </c>
      <c r="BW255" s="260">
        <v>-211</v>
      </c>
      <c r="BX255" s="1003">
        <f>INDEX($D255:$AF255,MATCH(BX$8,$D$8:$AG$8,0))-BW255</f>
        <v>-346</v>
      </c>
      <c r="BY255" s="260">
        <v>-318</v>
      </c>
      <c r="BZ255" s="1003">
        <f>INDEX($D255:$AF255,MATCH(BZ$8,$D$8:$AG$8,0))-BY255</f>
        <v>-406</v>
      </c>
      <c r="CA255" s="260">
        <v>-435</v>
      </c>
      <c r="CB255" s="1003">
        <f>INDEX($D255:$AF255,MATCH(CB$8,$D$8:$AG$8,0))-CA255</f>
        <v>-552</v>
      </c>
      <c r="CC255" s="327" t="e">
        <f>CC251*CC256</f>
        <v>#REF!</v>
      </c>
      <c r="CD255" s="327" t="e">
        <f>INDEX($D255:$AF255,MATCH(CD$8,$D$8:$AG$8,0))-CC255</f>
        <v>#REF!</v>
      </c>
      <c r="CE255" s="327" t="e">
        <f>CE251*CE256</f>
        <v>#REF!</v>
      </c>
      <c r="CF255" s="327" t="e">
        <f>INDEX($D255:$AF255,MATCH(CF$8,$D$8:$AG$8,0))-CE255</f>
        <v>#REF!</v>
      </c>
      <c r="CG255" s="293"/>
      <c r="CH255" s="293"/>
      <c r="CI255" s="293"/>
      <c r="CJ255" s="293"/>
      <c r="CK255" s="293"/>
      <c r="CL255" s="293"/>
      <c r="CM255" s="293"/>
      <c r="CN255" s="293"/>
      <c r="CO255" s="227"/>
      <c r="CR255" s="498"/>
      <c r="CS255" s="498"/>
      <c r="CT255" s="498"/>
      <c r="CU255" s="498"/>
      <c r="CV255" s="498"/>
      <c r="CW255" s="498"/>
      <c r="CX255" s="498"/>
      <c r="CY255" s="498"/>
      <c r="CZ255" s="498"/>
      <c r="DA255" s="498"/>
      <c r="DB255" s="498"/>
      <c r="DC255" s="498"/>
      <c r="DD255" s="498"/>
      <c r="DE255" s="498"/>
      <c r="DF255" s="498"/>
      <c r="DG255" s="498"/>
      <c r="DH255" s="498"/>
      <c r="DI255" s="498"/>
      <c r="DJ255" s="498"/>
      <c r="DK255" s="498"/>
      <c r="DL255" s="498"/>
      <c r="DM255" s="498"/>
      <c r="DN255" s="498"/>
      <c r="DO255" s="498"/>
      <c r="DP255" s="498"/>
      <c r="DQ255" s="498"/>
      <c r="DR255" s="498"/>
      <c r="DS255" s="498"/>
      <c r="DT255" s="498"/>
      <c r="DU255" s="498"/>
      <c r="DV255" s="498"/>
      <c r="DW255" s="498"/>
      <c r="DX255" s="498"/>
      <c r="DY255" s="498"/>
      <c r="DZ255" s="498"/>
      <c r="EA255" s="498"/>
      <c r="EB255" s="498"/>
      <c r="EC255" s="498"/>
      <c r="ED255" s="498"/>
      <c r="EE255" s="498"/>
      <c r="EF255" s="498"/>
      <c r="EG255" s="498"/>
      <c r="EH255" s="498"/>
      <c r="EI255" s="498"/>
      <c r="EJ255" s="498"/>
      <c r="EK255" s="498"/>
      <c r="EL255" s="498"/>
      <c r="EM255" s="498"/>
      <c r="EN255" s="498"/>
      <c r="EO255" s="498"/>
      <c r="EP255" s="498"/>
      <c r="EQ255" s="498"/>
      <c r="ER255" s="498"/>
      <c r="ES255" s="498"/>
      <c r="ET255" s="498"/>
      <c r="EU255" s="498"/>
      <c r="EV255" s="498"/>
      <c r="EW255" s="498"/>
      <c r="EX255" s="498"/>
      <c r="EY255" s="498"/>
      <c r="EZ255" s="498"/>
      <c r="FA255" s="498"/>
      <c r="FB255" s="498"/>
      <c r="FC255" s="498"/>
    </row>
    <row r="256" spans="3:159">
      <c r="C256" s="19" t="s">
        <v>770</v>
      </c>
      <c r="J256" s="30" t="e">
        <f t="shared" ref="J256:AB256" si="80">J255/J$251</f>
        <v>#REF!</v>
      </c>
      <c r="K256" s="30" t="e">
        <f t="shared" si="80"/>
        <v>#REF!</v>
      </c>
      <c r="L256" s="30" t="e">
        <f t="shared" si="80"/>
        <v>#REF!</v>
      </c>
      <c r="M256" s="30" t="e">
        <f t="shared" si="80"/>
        <v>#REF!</v>
      </c>
      <c r="N256" s="30" t="e">
        <f t="shared" si="80"/>
        <v>#REF!</v>
      </c>
      <c r="O256" s="30" t="e">
        <f t="shared" si="80"/>
        <v>#REF!</v>
      </c>
      <c r="P256" s="30" t="e">
        <f t="shared" si="80"/>
        <v>#REF!</v>
      </c>
      <c r="Q256" s="30">
        <f t="shared" si="80"/>
        <v>1.7307692307692308</v>
      </c>
      <c r="R256" s="30">
        <f t="shared" si="80"/>
        <v>1.2167832167832169</v>
      </c>
      <c r="S256" s="30">
        <f t="shared" si="80"/>
        <v>0.40099502487562189</v>
      </c>
      <c r="T256" s="30">
        <f t="shared" si="80"/>
        <v>2.6631016042780749</v>
      </c>
      <c r="U256" s="30">
        <f t="shared" si="80"/>
        <v>-0.25469924812030076</v>
      </c>
      <c r="V256" s="30">
        <f t="shared" si="80"/>
        <v>-0.23655913978494625</v>
      </c>
      <c r="W256" s="30">
        <f t="shared" si="80"/>
        <v>-0.27029914529914528</v>
      </c>
      <c r="X256" s="30">
        <f t="shared" si="80"/>
        <v>-0.27535037098103876</v>
      </c>
      <c r="Y256" s="30">
        <f t="shared" si="80"/>
        <v>-0.34448160535117056</v>
      </c>
      <c r="Z256" s="30">
        <f t="shared" si="80"/>
        <v>-0.31433408577878102</v>
      </c>
      <c r="AA256" s="30">
        <f t="shared" si="80"/>
        <v>-0.25592082007776601</v>
      </c>
      <c r="AB256" s="30">
        <f t="shared" si="80"/>
        <v>-0.23794599807135969</v>
      </c>
      <c r="AC256" s="785">
        <v>-0.3422</v>
      </c>
      <c r="AD256" s="785">
        <v>-0.30110000000000003</v>
      </c>
      <c r="AE256" s="785">
        <v>-0.26</v>
      </c>
      <c r="AF256" s="785">
        <v>-0.26</v>
      </c>
      <c r="AG256" s="785">
        <v>-0.26</v>
      </c>
      <c r="AH256" s="785">
        <v>-0.26</v>
      </c>
      <c r="AO256" s="338"/>
      <c r="AP256" s="449"/>
      <c r="AR256" s="449"/>
      <c r="AS256" s="449"/>
      <c r="BA256" s="30">
        <f t="shared" ref="BA256:CB256" si="81">BA255/BA251</f>
        <v>-0.25219298245614036</v>
      </c>
      <c r="BB256" s="30">
        <f t="shared" si="81"/>
        <v>-0.32954545454545453</v>
      </c>
      <c r="BC256" s="30">
        <f t="shared" si="81"/>
        <v>-0.27732463295269166</v>
      </c>
      <c r="BD256" s="30">
        <f t="shared" si="81"/>
        <v>-0.1336206896551724</v>
      </c>
      <c r="BE256" s="30">
        <f t="shared" si="81"/>
        <v>-0.29240506329113924</v>
      </c>
      <c r="BF256" s="30">
        <f t="shared" si="81"/>
        <v>-0.356401384083045</v>
      </c>
      <c r="BG256" s="30">
        <f t="shared" si="81"/>
        <v>-0.31115660184237459</v>
      </c>
      <c r="BH256" s="30">
        <f t="shared" si="81"/>
        <v>-0.22590673575129533</v>
      </c>
      <c r="BI256" s="30">
        <f t="shared" si="81"/>
        <v>-0.31073943661971831</v>
      </c>
      <c r="BJ256" s="30">
        <f t="shared" si="81"/>
        <v>-4.6685340802987862E-2</v>
      </c>
      <c r="BK256" s="30">
        <f t="shared" si="81"/>
        <v>-0.27360000000000001</v>
      </c>
      <c r="BL256" s="30">
        <f t="shared" si="81"/>
        <v>-0.15445544554455445</v>
      </c>
      <c r="BM256" s="30">
        <f t="shared" si="81"/>
        <v>-0.32076943072524045</v>
      </c>
      <c r="BN256" s="30">
        <f t="shared" si="81"/>
        <v>-0.42480049109883367</v>
      </c>
      <c r="BO256" s="30">
        <f t="shared" si="81"/>
        <v>-0.21383647798742139</v>
      </c>
      <c r="BP256" s="30">
        <f t="shared" si="81"/>
        <v>-0.23766233766233766</v>
      </c>
      <c r="BQ256" s="30">
        <f t="shared" si="81"/>
        <v>-0.26796326310102647</v>
      </c>
      <c r="BR256" s="30">
        <f t="shared" si="81"/>
        <v>-0.27446808510638299</v>
      </c>
      <c r="BS256" s="30">
        <f t="shared" si="81"/>
        <v>-0.24635568513119532</v>
      </c>
      <c r="BT256" s="30">
        <f t="shared" si="81"/>
        <v>-0.19434628975265017</v>
      </c>
      <c r="BU256" s="30">
        <f t="shared" si="81"/>
        <v>-0.26315789473684209</v>
      </c>
      <c r="BV256" s="30">
        <f t="shared" si="81"/>
        <v>-0.30409356725146197</v>
      </c>
      <c r="BW256" s="30">
        <f t="shared" si="81"/>
        <v>-0.2769028871391076</v>
      </c>
      <c r="BX256" s="30">
        <f t="shared" si="81"/>
        <v>-0.25292397660818716</v>
      </c>
      <c r="BY256" s="30">
        <f t="shared" si="81"/>
        <v>-0.22665716322166785</v>
      </c>
      <c r="BZ256" s="30">
        <f t="shared" si="81"/>
        <v>-0.21595744680851064</v>
      </c>
      <c r="CA256" s="30">
        <f t="shared" si="81"/>
        <v>-0.22703549060542796</v>
      </c>
      <c r="CB256" s="30">
        <f t="shared" si="81"/>
        <v>-0.24731182795698925</v>
      </c>
      <c r="CC256" s="364">
        <f>CB256</f>
        <v>-0.24731182795698925</v>
      </c>
      <c r="CD256" s="364" t="e">
        <f>CD255/CD251</f>
        <v>#REF!</v>
      </c>
      <c r="CE256" s="364" t="e">
        <f>CD256</f>
        <v>#REF!</v>
      </c>
      <c r="CF256" s="364" t="e">
        <f>CF255/CF251</f>
        <v>#REF!</v>
      </c>
      <c r="CG256" s="30"/>
      <c r="CH256" s="30"/>
      <c r="CI256" s="30"/>
      <c r="CJ256" s="30"/>
      <c r="CK256" s="30"/>
      <c r="CL256" s="30"/>
      <c r="CM256" s="30"/>
      <c r="CN256" s="30"/>
      <c r="CO256" s="355"/>
      <c r="CR256" s="498"/>
      <c r="CS256" s="498"/>
      <c r="CT256" s="498"/>
      <c r="CU256" s="498"/>
      <c r="CV256" s="498"/>
      <c r="CW256" s="498"/>
      <c r="CX256" s="498"/>
      <c r="CY256" s="498"/>
      <c r="CZ256" s="498"/>
      <c r="DA256" s="498"/>
      <c r="DB256" s="498"/>
      <c r="DC256" s="498"/>
      <c r="DD256" s="498"/>
      <c r="DE256" s="498"/>
      <c r="DF256" s="498"/>
      <c r="DG256" s="498"/>
      <c r="DH256" s="498"/>
      <c r="DI256" s="498"/>
      <c r="DJ256" s="498"/>
      <c r="DK256" s="498"/>
      <c r="DL256" s="498"/>
      <c r="DM256" s="498"/>
      <c r="DN256" s="498"/>
      <c r="DO256" s="498"/>
      <c r="DP256" s="498"/>
      <c r="DQ256" s="498"/>
      <c r="DR256" s="498"/>
      <c r="DS256" s="498"/>
      <c r="DT256" s="498"/>
      <c r="DU256" s="498"/>
      <c r="DV256" s="498"/>
      <c r="DW256" s="498"/>
      <c r="DX256" s="498"/>
      <c r="DY256" s="498"/>
      <c r="DZ256" s="498"/>
      <c r="EA256" s="498"/>
      <c r="EB256" s="498"/>
      <c r="EC256" s="498"/>
      <c r="ED256" s="498"/>
      <c r="EE256" s="498"/>
      <c r="EF256" s="498"/>
      <c r="EG256" s="498"/>
      <c r="EH256" s="498"/>
      <c r="EI256" s="498"/>
      <c r="EJ256" s="498"/>
      <c r="EK256" s="498"/>
      <c r="EL256" s="498"/>
      <c r="EM256" s="498"/>
      <c r="EN256" s="498"/>
      <c r="EO256" s="498"/>
      <c r="EP256" s="498"/>
      <c r="EQ256" s="498"/>
      <c r="ER256" s="498"/>
      <c r="ES256" s="498"/>
      <c r="ET256" s="498"/>
      <c r="EU256" s="498"/>
      <c r="EV256" s="498"/>
      <c r="EW256" s="498"/>
      <c r="EX256" s="498"/>
      <c r="EY256" s="498"/>
      <c r="EZ256" s="498"/>
      <c r="FA256" s="498"/>
      <c r="FB256" s="498"/>
      <c r="FC256" s="498"/>
    </row>
    <row r="257" spans="3:159">
      <c r="C257" s="19"/>
      <c r="J257" s="19"/>
      <c r="K257" s="19"/>
      <c r="L257" s="19"/>
      <c r="M257" s="19"/>
      <c r="N257" s="19"/>
      <c r="O257" s="19"/>
      <c r="P257" s="19"/>
      <c r="Q257" s="19"/>
      <c r="R257" s="19"/>
      <c r="S257" s="19"/>
      <c r="T257" s="19"/>
      <c r="U257" s="19"/>
      <c r="V257" s="19"/>
      <c r="W257" s="19"/>
      <c r="X257" s="19"/>
      <c r="Y257" s="19"/>
      <c r="AO257" s="338"/>
      <c r="AP257" s="449"/>
      <c r="AR257" s="449"/>
      <c r="AS257" s="449"/>
      <c r="BA257" s="19"/>
      <c r="BB257" s="19"/>
      <c r="BC257" s="19"/>
      <c r="BD257" s="19"/>
      <c r="BE257" s="19"/>
      <c r="BF257" s="19"/>
      <c r="BG257" s="19"/>
      <c r="BH257" s="19"/>
      <c r="BI257" s="19"/>
      <c r="BJ257" s="19"/>
      <c r="BK257" s="19"/>
      <c r="BL257" s="19"/>
      <c r="BM257" s="19"/>
      <c r="BN257" s="19"/>
      <c r="BO257" s="19"/>
      <c r="BP257" s="19"/>
      <c r="BQ257" s="19"/>
      <c r="BR257" s="19"/>
      <c r="BS257" s="19"/>
      <c r="BT257" s="19"/>
      <c r="BU257" s="19"/>
      <c r="BV257" s="19"/>
      <c r="BW257" s="19"/>
      <c r="BX257" s="19"/>
      <c r="BY257" s="19"/>
      <c r="BZ257" s="19"/>
      <c r="CA257" s="19"/>
      <c r="CB257" s="19"/>
      <c r="CC257" s="19"/>
      <c r="CD257" s="19"/>
      <c r="CE257" s="19"/>
      <c r="CF257" s="19"/>
      <c r="CG257" s="19"/>
      <c r="CH257" s="19"/>
      <c r="CI257" s="19"/>
      <c r="CJ257" s="19"/>
      <c r="CK257" s="19"/>
      <c r="CL257" s="19"/>
      <c r="CM257" s="19"/>
      <c r="CN257" s="19"/>
      <c r="CO257" s="4"/>
      <c r="CR257" s="498"/>
      <c r="CS257" s="498"/>
      <c r="CT257" s="498"/>
      <c r="CU257" s="498"/>
      <c r="CV257" s="498"/>
      <c r="CW257" s="498"/>
      <c r="CX257" s="498"/>
      <c r="CY257" s="498"/>
      <c r="CZ257" s="498"/>
      <c r="DA257" s="498"/>
      <c r="DB257" s="498"/>
      <c r="DC257" s="498"/>
      <c r="DD257" s="498"/>
      <c r="DE257" s="498"/>
      <c r="DF257" s="498"/>
      <c r="DG257" s="498"/>
      <c r="DH257" s="498"/>
      <c r="DI257" s="498"/>
      <c r="DJ257" s="498"/>
      <c r="DK257" s="498"/>
      <c r="DL257" s="498"/>
      <c r="DM257" s="498"/>
      <c r="DN257" s="498"/>
      <c r="DO257" s="498"/>
      <c r="DP257" s="498"/>
      <c r="DQ257" s="498"/>
      <c r="DR257" s="498"/>
      <c r="DS257" s="498"/>
      <c r="DT257" s="498"/>
      <c r="DU257" s="498"/>
      <c r="DV257" s="498"/>
      <c r="DW257" s="498"/>
      <c r="DX257" s="498"/>
      <c r="DY257" s="498"/>
      <c r="DZ257" s="498"/>
      <c r="EA257" s="498"/>
      <c r="EB257" s="498"/>
      <c r="EC257" s="498"/>
      <c r="ED257" s="498"/>
      <c r="EE257" s="498"/>
      <c r="EF257" s="498"/>
      <c r="EG257" s="498"/>
      <c r="EH257" s="498"/>
      <c r="EI257" s="498"/>
      <c r="EJ257" s="498"/>
      <c r="EK257" s="498"/>
      <c r="EL257" s="498"/>
      <c r="EM257" s="498"/>
      <c r="EN257" s="498"/>
      <c r="EO257" s="498"/>
      <c r="EP257" s="498"/>
      <c r="EQ257" s="498"/>
      <c r="ER257" s="498"/>
      <c r="ES257" s="498"/>
      <c r="ET257" s="498"/>
      <c r="EU257" s="498"/>
      <c r="EV257" s="498"/>
      <c r="EW257" s="498"/>
      <c r="EX257" s="498"/>
      <c r="EY257" s="498"/>
      <c r="EZ257" s="498"/>
      <c r="FA257" s="498"/>
      <c r="FB257" s="498"/>
      <c r="FC257" s="498"/>
    </row>
    <row r="258" spans="3:159">
      <c r="C258" s="19" t="s">
        <v>769</v>
      </c>
      <c r="J258" s="287">
        <f>'Income Statement'!H95</f>
        <v>-12</v>
      </c>
      <c r="K258" s="287">
        <f>'Income Statement'!I95</f>
        <v>-7</v>
      </c>
      <c r="L258" s="287">
        <f>'Income Statement'!J95</f>
        <v>-11</v>
      </c>
      <c r="M258" s="287">
        <f>-'Income Statement'!K95</f>
        <v>-13</v>
      </c>
      <c r="N258" s="287">
        <f>-'Income Statement'!L95</f>
        <v>-18</v>
      </c>
      <c r="O258" s="287">
        <f>-'Income Statement'!M95</f>
        <v>-19</v>
      </c>
      <c r="P258" s="287">
        <f>-'Income Statement'!N95</f>
        <v>-24</v>
      </c>
      <c r="Q258" s="287">
        <f>-'Income Statement'!O95</f>
        <v>-29</v>
      </c>
      <c r="R258" s="287">
        <f>-'Income Statement'!P95</f>
        <v>-58</v>
      </c>
      <c r="S258" s="287">
        <f>-'Income Statement'!Q95</f>
        <v>-47</v>
      </c>
      <c r="T258" s="287">
        <f>-'Income Statement'!R95</f>
        <v>-55</v>
      </c>
      <c r="U258" s="287">
        <f>-'Income Statement'!S95</f>
        <v>-61</v>
      </c>
      <c r="V258" s="287">
        <f>-'Income Statement'!T95</f>
        <v>-58</v>
      </c>
      <c r="W258" s="287">
        <f>-'Income Statement'!U95</f>
        <v>-65</v>
      </c>
      <c r="X258" s="287">
        <f>-'Income Statement'!V95</f>
        <v>-34</v>
      </c>
      <c r="Y258" s="287">
        <f>-'Income Statement'!W95</f>
        <v>-25</v>
      </c>
      <c r="Z258" s="19">
        <f>-'Income Statement'!X95</f>
        <v>-33</v>
      </c>
      <c r="AA258" s="19">
        <f>-'Income Statement'!Y95</f>
        <v>-76</v>
      </c>
      <c r="AB258" s="19">
        <f>-'Income Statement'!Z95</f>
        <v>-92</v>
      </c>
      <c r="AC258" s="19">
        <f>-'Income Statement'!AA95</f>
        <v>-102.88746416730811</v>
      </c>
      <c r="AD258" s="19">
        <f>-'Income Statement'!AB95</f>
        <v>-114.58742296451408</v>
      </c>
      <c r="AE258" s="19">
        <f>-'Income Statement'!AC95</f>
        <v>-126.70278375374625</v>
      </c>
      <c r="AF258" s="19">
        <f>-'Income Statement'!AD95</f>
        <v>-137.42381765562197</v>
      </c>
      <c r="AG258" s="19">
        <f>-'Income Statement'!AE95</f>
        <v>-144.17219852470006</v>
      </c>
      <c r="AH258" s="19">
        <f>-'Income Statement'!AF95</f>
        <v>-151.15100778555964</v>
      </c>
      <c r="AO258" s="338"/>
      <c r="AP258" s="449"/>
      <c r="AR258" s="449"/>
      <c r="AS258" s="449"/>
      <c r="BA258" s="260">
        <v>-10</v>
      </c>
      <c r="BB258" s="260">
        <v>-12</v>
      </c>
      <c r="BC258" s="260">
        <v>-13</v>
      </c>
      <c r="BD258" s="260">
        <v>-13</v>
      </c>
      <c r="BE258" s="260">
        <v>-9</v>
      </c>
      <c r="BF258" s="260">
        <v>108</v>
      </c>
      <c r="BG258" s="260">
        <v>-22</v>
      </c>
      <c r="BH258" s="260">
        <v>-43</v>
      </c>
      <c r="BI258" s="260">
        <v>-34</v>
      </c>
      <c r="BJ258" s="260">
        <v>-16</v>
      </c>
      <c r="BK258" s="260">
        <v>-33</v>
      </c>
      <c r="BL258" s="260">
        <v>-22</v>
      </c>
      <c r="BM258" s="260">
        <v>-30</v>
      </c>
      <c r="BN258" s="260">
        <v>-34</v>
      </c>
      <c r="BO258" s="260">
        <v>-42</v>
      </c>
      <c r="BP258" s="260">
        <v>-36</v>
      </c>
      <c r="BQ258" s="260">
        <v>-34</v>
      </c>
      <c r="BR258" s="260">
        <v>-33</v>
      </c>
      <c r="BS258" s="260">
        <v>-16</v>
      </c>
      <c r="BT258" s="260">
        <v>-19</v>
      </c>
      <c r="BU258" s="260">
        <v>-11</v>
      </c>
      <c r="BV258" s="260">
        <v>-13</v>
      </c>
      <c r="BW258" s="260">
        <v>-15</v>
      </c>
      <c r="BX258" s="260">
        <v>-18</v>
      </c>
      <c r="BY258" s="260">
        <v>-42</v>
      </c>
      <c r="BZ258" s="260">
        <v>-34</v>
      </c>
      <c r="CA258" s="260">
        <v>-49</v>
      </c>
      <c r="CB258" s="260">
        <f>INDEX($D258:$AF258,MATCH(CB$8,$D$8:$AG$8,0))-CA258</f>
        <v>-43</v>
      </c>
      <c r="CC258" s="327">
        <f>CB258</f>
        <v>-43</v>
      </c>
      <c r="CD258" s="327">
        <f>INDEX($D258:$AF258,MATCH(CD$8,$D$8:$AG$8,0))-CC258</f>
        <v>-59.88746416730811</v>
      </c>
      <c r="CE258" s="327">
        <f>CD258</f>
        <v>-59.88746416730811</v>
      </c>
      <c r="CF258" s="327">
        <f>INDEX($D258:$AF258,MATCH(CF$8,$D$8:$AG$8,0))-CE258</f>
        <v>-54.699958797205966</v>
      </c>
      <c r="CG258" s="287"/>
      <c r="CH258" s="287"/>
      <c r="CI258" s="287"/>
      <c r="CJ258" s="287"/>
      <c r="CK258" s="287"/>
      <c r="CL258" s="287"/>
      <c r="CM258" s="287"/>
      <c r="CN258" s="287"/>
      <c r="CO258" s="27"/>
      <c r="CR258" s="498"/>
      <c r="CS258" s="498"/>
      <c r="CT258" s="498"/>
      <c r="CU258" s="498"/>
      <c r="CV258" s="498"/>
      <c r="CW258" s="498"/>
      <c r="CX258" s="498"/>
      <c r="CY258" s="498"/>
      <c r="CZ258" s="498"/>
      <c r="DA258" s="498"/>
      <c r="DB258" s="498"/>
      <c r="DC258" s="498"/>
      <c r="DD258" s="498"/>
      <c r="DE258" s="498"/>
      <c r="DF258" s="498"/>
      <c r="DG258" s="498"/>
      <c r="DH258" s="498"/>
      <c r="DI258" s="498"/>
      <c r="DJ258" s="498"/>
      <c r="DK258" s="498"/>
      <c r="DL258" s="498"/>
      <c r="DM258" s="498"/>
      <c r="DN258" s="498"/>
      <c r="DO258" s="498"/>
      <c r="DP258" s="498"/>
      <c r="DQ258" s="498"/>
      <c r="DR258" s="498"/>
      <c r="DS258" s="498"/>
      <c r="DT258" s="498"/>
      <c r="DU258" s="498"/>
      <c r="DV258" s="498"/>
      <c r="DW258" s="498"/>
      <c r="DX258" s="498"/>
      <c r="DY258" s="498"/>
      <c r="DZ258" s="498"/>
      <c r="EA258" s="498"/>
      <c r="EB258" s="498"/>
      <c r="EC258" s="498"/>
      <c r="ED258" s="498"/>
      <c r="EE258" s="498"/>
      <c r="EF258" s="498"/>
      <c r="EG258" s="498"/>
      <c r="EH258" s="498"/>
      <c r="EI258" s="498"/>
      <c r="EJ258" s="498"/>
      <c r="EK258" s="498"/>
      <c r="EL258" s="498"/>
      <c r="EM258" s="498"/>
      <c r="EN258" s="498"/>
      <c r="EO258" s="498"/>
      <c r="EP258" s="498"/>
      <c r="EQ258" s="498"/>
      <c r="ER258" s="498"/>
      <c r="ES258" s="498"/>
      <c r="ET258" s="498"/>
      <c r="EU258" s="498"/>
      <c r="EV258" s="498"/>
      <c r="EW258" s="498"/>
      <c r="EX258" s="498"/>
      <c r="EY258" s="498"/>
      <c r="EZ258" s="498"/>
      <c r="FA258" s="498"/>
      <c r="FB258" s="498"/>
      <c r="FC258" s="498"/>
    </row>
    <row r="259" spans="3:159">
      <c r="C259" s="19" t="s">
        <v>768</v>
      </c>
      <c r="J259" s="293">
        <v>-15</v>
      </c>
      <c r="K259" s="293">
        <v>-15</v>
      </c>
      <c r="L259" s="293">
        <v>-15</v>
      </c>
      <c r="M259" s="293">
        <v>-16</v>
      </c>
      <c r="N259" s="293">
        <v>-20</v>
      </c>
      <c r="O259" s="293">
        <v>-25</v>
      </c>
      <c r="P259" s="293">
        <v>-26</v>
      </c>
      <c r="Q259" s="293">
        <v>-32</v>
      </c>
      <c r="R259" s="293">
        <v>-65</v>
      </c>
      <c r="S259" s="293">
        <v>-50</v>
      </c>
      <c r="T259" s="287">
        <f>T258</f>
        <v>-55</v>
      </c>
      <c r="U259" s="293">
        <v>-64</v>
      </c>
      <c r="V259" s="293">
        <v>-78</v>
      </c>
      <c r="W259" s="293">
        <v>-67</v>
      </c>
      <c r="X259" s="293">
        <v>-35</v>
      </c>
      <c r="Y259" s="293">
        <v>-24</v>
      </c>
      <c r="Z259" s="293">
        <v>-37</v>
      </c>
      <c r="AA259" s="293">
        <v>-77</v>
      </c>
      <c r="AB259" s="293">
        <v>-93</v>
      </c>
      <c r="AC259" s="19">
        <f t="shared" ref="AC259:AH259" si="82">AC258</f>
        <v>-102.88746416730811</v>
      </c>
      <c r="AD259" s="19">
        <f t="shared" si="82"/>
        <v>-114.58742296451408</v>
      </c>
      <c r="AE259" s="19">
        <f t="shared" si="82"/>
        <v>-126.70278375374625</v>
      </c>
      <c r="AF259" s="19">
        <f t="shared" si="82"/>
        <v>-137.42381765562197</v>
      </c>
      <c r="AG259" s="19">
        <f t="shared" si="82"/>
        <v>-144.17219852470006</v>
      </c>
      <c r="AH259" s="19">
        <f t="shared" si="82"/>
        <v>-151.15100778555964</v>
      </c>
      <c r="AO259" s="338"/>
      <c r="AP259" s="449"/>
      <c r="AR259" s="449"/>
      <c r="AS259" s="449"/>
      <c r="BA259" s="293"/>
      <c r="BB259" s="293"/>
      <c r="BC259" s="293"/>
      <c r="BD259" s="293"/>
      <c r="BE259" s="293"/>
      <c r="BF259" s="293"/>
      <c r="BG259" s="293"/>
      <c r="BH259" s="293"/>
      <c r="BI259" s="293"/>
      <c r="BJ259" s="293"/>
      <c r="BK259" s="293"/>
      <c r="BL259" s="293"/>
      <c r="BM259" s="293"/>
      <c r="BN259" s="293"/>
      <c r="BO259" s="293"/>
      <c r="BP259" s="293"/>
      <c r="BQ259" s="293"/>
      <c r="BR259" s="293"/>
      <c r="BS259" s="293"/>
      <c r="BT259" s="293"/>
      <c r="BU259" s="293"/>
      <c r="BV259" s="293"/>
      <c r="BW259" s="293"/>
      <c r="BX259" s="293"/>
      <c r="BY259" s="293"/>
      <c r="BZ259" s="293"/>
      <c r="CA259" s="293"/>
      <c r="CB259" s="293"/>
      <c r="CC259" s="293"/>
      <c r="CD259" s="293"/>
      <c r="CE259" s="293"/>
      <c r="CF259" s="293"/>
      <c r="CG259" s="293"/>
      <c r="CH259" s="293"/>
      <c r="CI259" s="293"/>
      <c r="CJ259" s="293"/>
      <c r="CK259" s="293"/>
      <c r="CL259" s="293"/>
      <c r="CM259" s="293"/>
      <c r="CN259" s="293"/>
      <c r="CO259" s="227"/>
      <c r="CR259" s="498"/>
      <c r="CS259" s="498"/>
      <c r="CT259" s="498"/>
      <c r="CU259" s="498"/>
      <c r="CV259" s="498"/>
      <c r="CW259" s="498"/>
      <c r="CX259" s="498"/>
      <c r="CY259" s="498"/>
      <c r="CZ259" s="498"/>
      <c r="DA259" s="498"/>
      <c r="DB259" s="498"/>
      <c r="DC259" s="498"/>
      <c r="DD259" s="498"/>
      <c r="DE259" s="498"/>
      <c r="DF259" s="498"/>
      <c r="DG259" s="498"/>
      <c r="DH259" s="498"/>
      <c r="DI259" s="498"/>
      <c r="DJ259" s="498"/>
      <c r="DK259" s="498"/>
      <c r="DL259" s="498"/>
      <c r="DM259" s="498"/>
      <c r="DN259" s="498"/>
      <c r="DO259" s="498"/>
      <c r="DP259" s="498"/>
      <c r="DQ259" s="498"/>
      <c r="DR259" s="498"/>
      <c r="DS259" s="498"/>
      <c r="DT259" s="498"/>
      <c r="DU259" s="498"/>
      <c r="DV259" s="498"/>
      <c r="DW259" s="498"/>
      <c r="DX259" s="498"/>
      <c r="DY259" s="498"/>
      <c r="DZ259" s="498"/>
      <c r="EA259" s="498"/>
      <c r="EB259" s="498"/>
      <c r="EC259" s="498"/>
      <c r="ED259" s="498"/>
      <c r="EE259" s="498"/>
      <c r="EF259" s="498"/>
      <c r="EG259" s="498"/>
      <c r="EH259" s="498"/>
      <c r="EI259" s="498"/>
      <c r="EJ259" s="498"/>
      <c r="EK259" s="498"/>
      <c r="EL259" s="498"/>
      <c r="EM259" s="498"/>
      <c r="EN259" s="498"/>
      <c r="EO259" s="498"/>
      <c r="EP259" s="498"/>
      <c r="EQ259" s="498"/>
      <c r="ER259" s="498"/>
      <c r="ES259" s="498"/>
      <c r="ET259" s="498"/>
      <c r="EU259" s="498"/>
      <c r="EV259" s="498"/>
      <c r="EW259" s="498"/>
      <c r="EX259" s="498"/>
      <c r="EY259" s="498"/>
      <c r="EZ259" s="498"/>
      <c r="FA259" s="498"/>
      <c r="FB259" s="498"/>
      <c r="FC259" s="498"/>
    </row>
    <row r="260" spans="3:159">
      <c r="C260" s="19" t="s">
        <v>767</v>
      </c>
      <c r="J260" s="287"/>
      <c r="K260" s="287"/>
      <c r="L260" s="293">
        <v>-233</v>
      </c>
      <c r="M260" s="293">
        <v>-4</v>
      </c>
      <c r="N260" s="293">
        <v>-5</v>
      </c>
      <c r="O260" s="293">
        <v>3</v>
      </c>
      <c r="P260" s="293">
        <v>0</v>
      </c>
      <c r="Q260" s="293">
        <v>131</v>
      </c>
      <c r="R260" s="287"/>
      <c r="S260" s="293">
        <v>421</v>
      </c>
      <c r="T260" s="287"/>
      <c r="U260" s="287"/>
      <c r="V260" s="287"/>
      <c r="W260" s="287"/>
      <c r="X260" s="287"/>
      <c r="Y260" s="287"/>
      <c r="Z260" s="19"/>
      <c r="AA260" s="19"/>
      <c r="AB260" s="19"/>
      <c r="AC260" s="19"/>
      <c r="AD260" s="19"/>
      <c r="AE260" s="19"/>
      <c r="AF260" s="19"/>
      <c r="AG260" s="19"/>
      <c r="AH260" s="19"/>
      <c r="AO260" s="338"/>
      <c r="AP260" s="449"/>
      <c r="AR260" s="449"/>
      <c r="AS260" s="449"/>
      <c r="BA260" s="287"/>
      <c r="BB260" s="287"/>
      <c r="BC260" s="287"/>
      <c r="BD260" s="287"/>
      <c r="BE260" s="287"/>
      <c r="BF260" s="287"/>
      <c r="BG260" s="287"/>
      <c r="BH260" s="287"/>
      <c r="BI260" s="287"/>
      <c r="BJ260" s="287"/>
      <c r="BK260" s="287"/>
      <c r="BL260" s="287"/>
      <c r="BM260" s="287"/>
      <c r="BN260" s="287"/>
      <c r="BO260" s="287"/>
      <c r="BP260" s="287"/>
      <c r="BQ260" s="287"/>
      <c r="BR260" s="287"/>
      <c r="BS260" s="287"/>
      <c r="BT260" s="287"/>
      <c r="BU260" s="287"/>
      <c r="BV260" s="287"/>
      <c r="BW260" s="287"/>
      <c r="BX260" s="287"/>
      <c r="BY260" s="287"/>
      <c r="BZ260" s="287"/>
      <c r="CA260" s="287"/>
      <c r="CB260" s="287"/>
      <c r="CC260" s="287"/>
      <c r="CD260" s="287"/>
      <c r="CE260" s="287"/>
      <c r="CF260" s="287"/>
      <c r="CG260" s="287"/>
      <c r="CH260" s="287"/>
      <c r="CI260" s="287"/>
      <c r="CJ260" s="287"/>
      <c r="CK260" s="287"/>
      <c r="CL260" s="287"/>
      <c r="CM260" s="287"/>
      <c r="CN260" s="287"/>
      <c r="CO260" s="27"/>
      <c r="CR260" s="498"/>
      <c r="CS260" s="498"/>
      <c r="CT260" s="498"/>
      <c r="CU260" s="498"/>
      <c r="CV260" s="498"/>
      <c r="CW260" s="498"/>
      <c r="CX260" s="498"/>
      <c r="CY260" s="498"/>
      <c r="CZ260" s="498"/>
      <c r="DA260" s="498"/>
      <c r="DB260" s="498"/>
      <c r="DC260" s="498"/>
      <c r="DD260" s="498"/>
      <c r="DE260" s="498"/>
      <c r="DF260" s="498"/>
      <c r="DG260" s="498"/>
      <c r="DH260" s="498"/>
      <c r="DI260" s="498"/>
      <c r="DJ260" s="498"/>
      <c r="DK260" s="498"/>
      <c r="DL260" s="498"/>
      <c r="DM260" s="498"/>
      <c r="DN260" s="498"/>
      <c r="DO260" s="498"/>
      <c r="DP260" s="498"/>
      <c r="DQ260" s="498"/>
      <c r="DR260" s="498"/>
      <c r="DS260" s="498"/>
      <c r="DT260" s="498"/>
      <c r="DU260" s="498"/>
      <c r="DV260" s="498"/>
      <c r="DW260" s="498"/>
      <c r="DX260" s="498"/>
      <c r="DY260" s="498"/>
      <c r="DZ260" s="498"/>
      <c r="EA260" s="498"/>
      <c r="EB260" s="498"/>
      <c r="EC260" s="498"/>
      <c r="ED260" s="498"/>
      <c r="EE260" s="498"/>
      <c r="EF260" s="498"/>
      <c r="EG260" s="498"/>
      <c r="EH260" s="498"/>
      <c r="EI260" s="498"/>
      <c r="EJ260" s="498"/>
      <c r="EK260" s="498"/>
      <c r="EL260" s="498"/>
      <c r="EM260" s="498"/>
      <c r="EN260" s="498"/>
      <c r="EO260" s="498"/>
      <c r="EP260" s="498"/>
      <c r="EQ260" s="498"/>
      <c r="ER260" s="498"/>
      <c r="ES260" s="498"/>
      <c r="ET260" s="498"/>
      <c r="EU260" s="498"/>
      <c r="EV260" s="498"/>
      <c r="EW260" s="498"/>
      <c r="EX260" s="498"/>
      <c r="EY260" s="498"/>
      <c r="EZ260" s="498"/>
      <c r="FA260" s="498"/>
      <c r="FB260" s="498"/>
      <c r="FC260" s="498"/>
    </row>
    <row r="261" spans="3:159">
      <c r="C261" s="19"/>
      <c r="J261" s="287"/>
      <c r="K261" s="287"/>
      <c r="L261" s="287"/>
      <c r="M261" s="287"/>
      <c r="N261" s="287"/>
      <c r="O261" s="287"/>
      <c r="P261" s="287"/>
      <c r="Q261" s="287"/>
      <c r="R261" s="287"/>
      <c r="S261" s="287"/>
      <c r="T261" s="287"/>
      <c r="U261" s="287"/>
      <c r="V261" s="287"/>
      <c r="W261" s="287"/>
      <c r="X261" s="287"/>
      <c r="Y261" s="287"/>
      <c r="Z261" s="19"/>
      <c r="AA261" s="19"/>
      <c r="AB261" s="19"/>
      <c r="AC261" s="19"/>
      <c r="AD261" s="19"/>
      <c r="AE261" s="19"/>
      <c r="AF261" s="19"/>
      <c r="AG261" s="19"/>
      <c r="AH261" s="19"/>
      <c r="AO261" s="338"/>
      <c r="AP261" s="449"/>
      <c r="AR261" s="449"/>
      <c r="AS261" s="449"/>
      <c r="BA261" s="287"/>
      <c r="BB261" s="287"/>
      <c r="BC261" s="287"/>
      <c r="BD261" s="287"/>
      <c r="BE261" s="287"/>
      <c r="BF261" s="287"/>
      <c r="BG261" s="287"/>
      <c r="BH261" s="287"/>
      <c r="BI261" s="287"/>
      <c r="BJ261" s="287"/>
      <c r="BK261" s="287"/>
      <c r="BL261" s="287"/>
      <c r="BM261" s="287"/>
      <c r="BN261" s="287"/>
      <c r="BO261" s="287"/>
      <c r="BP261" s="287"/>
      <c r="BQ261" s="287"/>
      <c r="BR261" s="287"/>
      <c r="BS261" s="287"/>
      <c r="BT261" s="287"/>
      <c r="BU261" s="287"/>
      <c r="BV261" s="287"/>
      <c r="BW261" s="287"/>
      <c r="BX261" s="287"/>
      <c r="BY261" s="287"/>
      <c r="BZ261" s="287"/>
      <c r="CA261" s="287"/>
      <c r="CB261" s="287"/>
      <c r="CC261" s="287"/>
      <c r="CD261" s="287"/>
      <c r="CE261" s="287"/>
      <c r="CF261" s="287"/>
      <c r="CG261" s="287"/>
      <c r="CH261" s="287"/>
      <c r="CI261" s="287"/>
      <c r="CJ261" s="287"/>
      <c r="CK261" s="287"/>
      <c r="CL261" s="287"/>
      <c r="CM261" s="287"/>
      <c r="CN261" s="287"/>
      <c r="CO261" s="27"/>
      <c r="CR261" s="498"/>
      <c r="CS261" s="498"/>
      <c r="CT261" s="498"/>
      <c r="CU261" s="498"/>
      <c r="CV261" s="498"/>
      <c r="CW261" s="498"/>
      <c r="CX261" s="498"/>
      <c r="CY261" s="498"/>
      <c r="CZ261" s="498"/>
      <c r="DA261" s="498"/>
      <c r="DB261" s="498"/>
      <c r="DC261" s="498"/>
      <c r="DD261" s="498"/>
      <c r="DE261" s="498"/>
      <c r="DF261" s="498"/>
      <c r="DG261" s="498"/>
      <c r="DH261" s="498"/>
      <c r="DI261" s="498"/>
      <c r="DJ261" s="498"/>
      <c r="DK261" s="498"/>
      <c r="DL261" s="498"/>
      <c r="DM261" s="498"/>
      <c r="DN261" s="498"/>
      <c r="DO261" s="498"/>
      <c r="DP261" s="498"/>
      <c r="DQ261" s="498"/>
      <c r="DR261" s="498"/>
      <c r="DS261" s="498"/>
      <c r="DT261" s="498"/>
      <c r="DU261" s="498"/>
      <c r="DV261" s="498"/>
      <c r="DW261" s="498"/>
      <c r="DX261" s="498"/>
      <c r="DY261" s="498"/>
      <c r="DZ261" s="498"/>
      <c r="EA261" s="498"/>
      <c r="EB261" s="498"/>
      <c r="EC261" s="498"/>
      <c r="ED261" s="498"/>
      <c r="EE261" s="498"/>
      <c r="EF261" s="498"/>
      <c r="EG261" s="498"/>
      <c r="EH261" s="498"/>
      <c r="EI261" s="498"/>
      <c r="EJ261" s="498"/>
      <c r="EK261" s="498"/>
      <c r="EL261" s="498"/>
      <c r="EM261" s="498"/>
      <c r="EN261" s="498"/>
      <c r="EO261" s="498"/>
      <c r="EP261" s="498"/>
      <c r="EQ261" s="498"/>
      <c r="ER261" s="498"/>
      <c r="ES261" s="498"/>
      <c r="ET261" s="498"/>
      <c r="EU261" s="498"/>
      <c r="EV261" s="498"/>
      <c r="EW261" s="498"/>
      <c r="EX261" s="498"/>
      <c r="EY261" s="498"/>
      <c r="EZ261" s="498"/>
      <c r="FA261" s="498"/>
      <c r="FB261" s="498"/>
      <c r="FC261" s="498"/>
    </row>
    <row r="262" spans="3:159">
      <c r="C262" s="19" t="s">
        <v>766</v>
      </c>
      <c r="J262" s="287" t="e">
        <f t="shared" ref="J262:AH262" si="83">J250+J253+J258+J260</f>
        <v>#REF!</v>
      </c>
      <c r="K262" s="287" t="e">
        <f t="shared" si="83"/>
        <v>#REF!</v>
      </c>
      <c r="L262" s="287" t="e">
        <f t="shared" si="83"/>
        <v>#REF!</v>
      </c>
      <c r="M262" s="287" t="e">
        <f t="shared" si="83"/>
        <v>#REF!</v>
      </c>
      <c r="N262" s="287" t="e">
        <f t="shared" si="83"/>
        <v>#REF!</v>
      </c>
      <c r="O262" s="287" t="e">
        <f t="shared" si="83"/>
        <v>#REF!</v>
      </c>
      <c r="P262" s="287" t="e">
        <f t="shared" si="83"/>
        <v>#REF!</v>
      </c>
      <c r="Q262" s="287">
        <f t="shared" si="83"/>
        <v>-745</v>
      </c>
      <c r="R262" s="287">
        <f t="shared" si="83"/>
        <v>-2390</v>
      </c>
      <c r="S262" s="287">
        <f t="shared" si="83"/>
        <v>-2966</v>
      </c>
      <c r="T262" s="287">
        <f t="shared" si="83"/>
        <v>-962</v>
      </c>
      <c r="U262" s="287">
        <f t="shared" si="83"/>
        <v>3694</v>
      </c>
      <c r="V262" s="287">
        <f t="shared" si="83"/>
        <v>1283</v>
      </c>
      <c r="W262" s="287">
        <f t="shared" si="83"/>
        <v>2447</v>
      </c>
      <c r="X262" s="287">
        <f t="shared" si="83"/>
        <v>352</v>
      </c>
      <c r="Y262" s="287">
        <f t="shared" si="83"/>
        <v>43</v>
      </c>
      <c r="Z262" s="287">
        <f t="shared" si="83"/>
        <v>-2459</v>
      </c>
      <c r="AA262" s="287">
        <f t="shared" si="83"/>
        <v>3444</v>
      </c>
      <c r="AB262" s="287">
        <f t="shared" si="83"/>
        <v>-667</v>
      </c>
      <c r="AC262" s="287">
        <f t="shared" si="83"/>
        <v>3051.8787103292043</v>
      </c>
      <c r="AD262" s="287">
        <f t="shared" si="83"/>
        <v>3850.9453046421163</v>
      </c>
      <c r="AE262" s="287">
        <f t="shared" si="83"/>
        <v>4718.03357094475</v>
      </c>
      <c r="AF262" s="287">
        <f t="shared" si="83"/>
        <v>5287.2336011980524</v>
      </c>
      <c r="AG262" s="287">
        <f t="shared" si="83"/>
        <v>5630.9815659522556</v>
      </c>
      <c r="AH262" s="287">
        <f t="shared" si="83"/>
        <v>5984.1175278224646</v>
      </c>
      <c r="AO262" s="338"/>
      <c r="AP262" s="449"/>
      <c r="AR262" s="449"/>
      <c r="AS262" s="449"/>
      <c r="BA262" s="287"/>
      <c r="BB262" s="287"/>
      <c r="BC262" s="287"/>
      <c r="BD262" s="287"/>
      <c r="BE262" s="287"/>
      <c r="BF262" s="287"/>
      <c r="BG262" s="287"/>
      <c r="BH262" s="287"/>
      <c r="BI262" s="287"/>
      <c r="BJ262" s="287"/>
      <c r="BK262" s="287"/>
      <c r="BL262" s="287"/>
      <c r="BM262" s="287"/>
      <c r="BN262" s="287"/>
      <c r="BO262" s="287"/>
      <c r="BP262" s="287"/>
      <c r="BQ262" s="287"/>
      <c r="BR262" s="287"/>
      <c r="BS262" s="287"/>
      <c r="BT262" s="287"/>
      <c r="BU262" s="287"/>
      <c r="BV262" s="287"/>
      <c r="BW262" s="287"/>
      <c r="BX262" s="287"/>
      <c r="BY262" s="287"/>
      <c r="BZ262" s="287"/>
      <c r="CA262" s="287"/>
      <c r="CB262" s="287"/>
      <c r="CC262" s="287"/>
      <c r="CD262" s="287"/>
      <c r="CE262" s="287"/>
      <c r="CF262" s="287"/>
      <c r="CG262" s="287"/>
      <c r="CH262" s="287"/>
      <c r="CI262" s="287"/>
      <c r="CJ262" s="287"/>
      <c r="CK262" s="287"/>
      <c r="CL262" s="287"/>
      <c r="CM262" s="287"/>
      <c r="CN262" s="287"/>
      <c r="CO262" s="27"/>
      <c r="CR262" s="498"/>
      <c r="CS262" s="498"/>
      <c r="CT262" s="498"/>
      <c r="CU262" s="498"/>
      <c r="CV262" s="498"/>
      <c r="CW262" s="498"/>
      <c r="CX262" s="498"/>
      <c r="CY262" s="498"/>
      <c r="CZ262" s="498"/>
      <c r="DA262" s="498"/>
      <c r="DB262" s="498"/>
      <c r="DC262" s="498"/>
      <c r="DD262" s="498"/>
      <c r="DE262" s="498"/>
      <c r="DF262" s="498"/>
      <c r="DG262" s="498"/>
      <c r="DH262" s="498"/>
      <c r="DI262" s="498"/>
      <c r="DJ262" s="498"/>
      <c r="DK262" s="498"/>
      <c r="DL262" s="498"/>
      <c r="DM262" s="498"/>
      <c r="DN262" s="498"/>
      <c r="DO262" s="498"/>
      <c r="DP262" s="498"/>
      <c r="DQ262" s="498"/>
      <c r="DR262" s="498"/>
      <c r="DS262" s="498"/>
      <c r="DT262" s="498"/>
      <c r="DU262" s="498"/>
      <c r="DV262" s="498"/>
      <c r="DW262" s="498"/>
      <c r="DX262" s="498"/>
      <c r="DY262" s="498"/>
      <c r="DZ262" s="498"/>
      <c r="EA262" s="498"/>
      <c r="EB262" s="498"/>
      <c r="EC262" s="498"/>
      <c r="ED262" s="498"/>
      <c r="EE262" s="498"/>
      <c r="EF262" s="498"/>
      <c r="EG262" s="498"/>
      <c r="EH262" s="498"/>
      <c r="EI262" s="498"/>
      <c r="EJ262" s="498"/>
      <c r="EK262" s="498"/>
      <c r="EL262" s="498"/>
      <c r="EM262" s="498"/>
      <c r="EN262" s="498"/>
      <c r="EO262" s="498"/>
      <c r="EP262" s="498"/>
      <c r="EQ262" s="498"/>
      <c r="ER262" s="498"/>
      <c r="ES262" s="498"/>
      <c r="ET262" s="498"/>
      <c r="EU262" s="498"/>
      <c r="EV262" s="498"/>
      <c r="EW262" s="498"/>
      <c r="EX262" s="498"/>
      <c r="EY262" s="498"/>
      <c r="EZ262" s="498"/>
      <c r="FA262" s="498"/>
      <c r="FB262" s="498"/>
      <c r="FC262" s="498"/>
    </row>
    <row r="263" spans="3:159">
      <c r="C263" s="19" t="s">
        <v>765</v>
      </c>
      <c r="J263" s="287" t="e">
        <f t="shared" ref="J263:AH263" si="84">J251+J255+J259+J260</f>
        <v>#REF!</v>
      </c>
      <c r="K263" s="287" t="e">
        <f t="shared" si="84"/>
        <v>#REF!</v>
      </c>
      <c r="L263" s="287" t="e">
        <f t="shared" si="84"/>
        <v>#REF!</v>
      </c>
      <c r="M263" s="287" t="e">
        <f t="shared" si="84"/>
        <v>#REF!</v>
      </c>
      <c r="N263" s="287" t="e">
        <f t="shared" si="84"/>
        <v>#REF!</v>
      </c>
      <c r="O263" s="287" t="e">
        <f t="shared" si="84"/>
        <v>#REF!</v>
      </c>
      <c r="P263" s="287" t="e">
        <f t="shared" si="84"/>
        <v>#REF!</v>
      </c>
      <c r="Q263" s="287">
        <f t="shared" si="84"/>
        <v>-753</v>
      </c>
      <c r="R263" s="287">
        <f t="shared" si="84"/>
        <v>-1016</v>
      </c>
      <c r="S263" s="287">
        <f t="shared" si="84"/>
        <v>-1037</v>
      </c>
      <c r="T263" s="287">
        <f t="shared" si="84"/>
        <v>-740</v>
      </c>
      <c r="U263" s="287">
        <f t="shared" si="84"/>
        <v>1522</v>
      </c>
      <c r="V263" s="287">
        <f t="shared" si="84"/>
        <v>1981</v>
      </c>
      <c r="W263" s="287">
        <f t="shared" si="84"/>
        <v>2665</v>
      </c>
      <c r="X263" s="287">
        <f t="shared" si="84"/>
        <v>844</v>
      </c>
      <c r="Y263" s="287">
        <f t="shared" si="84"/>
        <v>760</v>
      </c>
      <c r="Z263" s="287">
        <f t="shared" si="84"/>
        <v>1178</v>
      </c>
      <c r="AA263" s="287">
        <f t="shared" si="84"/>
        <v>2028</v>
      </c>
      <c r="AB263" s="287">
        <f t="shared" si="84"/>
        <v>3068</v>
      </c>
      <c r="AC263" s="287">
        <f t="shared" si="84"/>
        <v>3360.4603103292043</v>
      </c>
      <c r="AD263" s="287">
        <f t="shared" si="84"/>
        <v>4158.3761046421168</v>
      </c>
      <c r="AE263" s="287">
        <f t="shared" si="84"/>
        <v>5024.3135709447497</v>
      </c>
      <c r="AF263" s="287">
        <f t="shared" si="84"/>
        <v>5593.5136011980512</v>
      </c>
      <c r="AG263" s="287">
        <f t="shared" si="84"/>
        <v>5937.2615659522544</v>
      </c>
      <c r="AH263" s="287">
        <f t="shared" si="84"/>
        <v>6290.3975278224643</v>
      </c>
      <c r="AO263" s="338"/>
      <c r="AP263" s="449"/>
      <c r="AR263" s="449"/>
      <c r="AS263" s="449"/>
      <c r="BA263" s="287">
        <f t="shared" ref="BA263:CF263" si="85">BA251+BA255+BA258</f>
        <v>331</v>
      </c>
      <c r="BB263" s="287">
        <f t="shared" si="85"/>
        <v>342</v>
      </c>
      <c r="BC263" s="287">
        <f t="shared" si="85"/>
        <v>430</v>
      </c>
      <c r="BD263" s="287">
        <f t="shared" si="85"/>
        <v>590</v>
      </c>
      <c r="BE263" s="287">
        <f t="shared" si="85"/>
        <v>550</v>
      </c>
      <c r="BF263" s="287">
        <f t="shared" si="85"/>
        <v>666</v>
      </c>
      <c r="BG263" s="287">
        <f t="shared" si="85"/>
        <v>651</v>
      </c>
      <c r="BH263" s="287">
        <f t="shared" si="85"/>
        <v>704</v>
      </c>
      <c r="BI263" s="287">
        <f t="shared" si="85"/>
        <v>749</v>
      </c>
      <c r="BJ263" s="287">
        <f t="shared" si="85"/>
        <v>1005</v>
      </c>
      <c r="BK263" s="287">
        <f t="shared" si="85"/>
        <v>875</v>
      </c>
      <c r="BL263" s="287">
        <f t="shared" si="85"/>
        <v>832</v>
      </c>
      <c r="BM263" s="287">
        <f t="shared" si="85"/>
        <v>2583</v>
      </c>
      <c r="BN263" s="287">
        <f t="shared" si="85"/>
        <v>-971</v>
      </c>
      <c r="BO263" s="287">
        <f t="shared" si="85"/>
        <v>958</v>
      </c>
      <c r="BP263" s="287">
        <f t="shared" si="85"/>
        <v>1138</v>
      </c>
      <c r="BQ263" s="287">
        <f t="shared" si="85"/>
        <v>1321</v>
      </c>
      <c r="BR263" s="287">
        <f t="shared" si="85"/>
        <v>1331</v>
      </c>
      <c r="BS263" s="287">
        <f t="shared" si="85"/>
        <v>501</v>
      </c>
      <c r="BT263" s="287">
        <f t="shared" si="85"/>
        <v>665</v>
      </c>
      <c r="BU263" s="287">
        <f t="shared" si="85"/>
        <v>269</v>
      </c>
      <c r="BV263" s="287">
        <f t="shared" si="85"/>
        <v>701</v>
      </c>
      <c r="BW263" s="287">
        <f t="shared" si="85"/>
        <v>536</v>
      </c>
      <c r="BX263" s="287">
        <f t="shared" si="85"/>
        <v>1004</v>
      </c>
      <c r="BY263" s="287">
        <f t="shared" si="85"/>
        <v>1043</v>
      </c>
      <c r="BZ263" s="287">
        <f t="shared" si="85"/>
        <v>1440</v>
      </c>
      <c r="CA263" s="287">
        <f t="shared" si="85"/>
        <v>1432</v>
      </c>
      <c r="CB263" s="287">
        <f t="shared" si="85"/>
        <v>1637</v>
      </c>
      <c r="CC263" s="287" t="e">
        <f t="shared" si="85"/>
        <v>#REF!</v>
      </c>
      <c r="CD263" s="287" t="e">
        <f t="shared" si="85"/>
        <v>#REF!</v>
      </c>
      <c r="CE263" s="287" t="e">
        <f t="shared" si="85"/>
        <v>#REF!</v>
      </c>
      <c r="CF263" s="287" t="e">
        <f t="shared" si="85"/>
        <v>#REF!</v>
      </c>
      <c r="CG263" s="287"/>
      <c r="CH263" s="287"/>
      <c r="CI263" s="287"/>
      <c r="CJ263" s="287"/>
      <c r="CK263" s="287"/>
      <c r="CL263" s="287"/>
      <c r="CM263" s="287"/>
      <c r="CN263" s="287"/>
      <c r="CO263" s="27"/>
      <c r="CR263" s="498"/>
      <c r="CS263" s="498"/>
      <c r="CT263" s="498"/>
      <c r="CU263" s="498"/>
      <c r="CV263" s="498"/>
      <c r="CW263" s="498"/>
      <c r="CX263" s="498"/>
      <c r="CY263" s="498"/>
      <c r="CZ263" s="498"/>
      <c r="DA263" s="498"/>
      <c r="DB263" s="498"/>
      <c r="DC263" s="498"/>
      <c r="DD263" s="498"/>
      <c r="DE263" s="498"/>
      <c r="DF263" s="498"/>
      <c r="DG263" s="498"/>
      <c r="DH263" s="498"/>
      <c r="DI263" s="498"/>
      <c r="DJ263" s="498"/>
      <c r="DK263" s="498"/>
      <c r="DL263" s="498"/>
      <c r="DM263" s="498"/>
      <c r="DN263" s="498"/>
      <c r="DO263" s="498"/>
      <c r="DP263" s="498"/>
      <c r="DQ263" s="498"/>
      <c r="DR263" s="498"/>
      <c r="DS263" s="498"/>
      <c r="DT263" s="498"/>
      <c r="DU263" s="498"/>
      <c r="DV263" s="498"/>
      <c r="DW263" s="498"/>
      <c r="DX263" s="498"/>
      <c r="DY263" s="498"/>
      <c r="DZ263" s="498"/>
      <c r="EA263" s="498"/>
      <c r="EB263" s="498"/>
      <c r="EC263" s="498"/>
      <c r="ED263" s="498"/>
      <c r="EE263" s="498"/>
      <c r="EF263" s="498"/>
      <c r="EG263" s="498"/>
      <c r="EH263" s="498"/>
      <c r="EI263" s="498"/>
      <c r="EJ263" s="498"/>
      <c r="EK263" s="498"/>
      <c r="EL263" s="498"/>
      <c r="EM263" s="498"/>
      <c r="EN263" s="498"/>
      <c r="EO263" s="498"/>
      <c r="EP263" s="498"/>
      <c r="EQ263" s="498"/>
      <c r="ER263" s="498"/>
      <c r="ES263" s="498"/>
      <c r="ET263" s="498"/>
      <c r="EU263" s="498"/>
      <c r="EV263" s="498"/>
      <c r="EW263" s="498"/>
      <c r="EX263" s="498"/>
      <c r="EY263" s="498"/>
      <c r="EZ263" s="498"/>
      <c r="FA263" s="498"/>
      <c r="FB263" s="498"/>
      <c r="FC263" s="498"/>
    </row>
    <row r="264" spans="3:159">
      <c r="C264" s="19"/>
      <c r="J264" s="287"/>
      <c r="K264" s="287"/>
      <c r="L264" s="287"/>
      <c r="M264" s="287"/>
      <c r="N264" s="287"/>
      <c r="O264" s="287"/>
      <c r="P264" s="287"/>
      <c r="Q264" s="287"/>
      <c r="R264" s="287"/>
      <c r="S264" s="287"/>
      <c r="T264" s="287"/>
      <c r="U264" s="287"/>
      <c r="V264" s="287"/>
      <c r="W264" s="287"/>
      <c r="X264" s="287"/>
      <c r="Y264" s="287"/>
      <c r="Z264" s="30"/>
      <c r="AA264" s="30"/>
      <c r="AB264" s="30"/>
      <c r="AC264" s="30"/>
      <c r="AD264" s="30"/>
      <c r="AE264" s="30"/>
      <c r="AF264" s="30"/>
      <c r="AG264" s="30"/>
      <c r="AH264" s="30"/>
      <c r="AO264" s="338"/>
      <c r="AP264" s="449"/>
      <c r="AR264" s="449"/>
      <c r="AS264" s="449"/>
      <c r="BA264" s="287"/>
      <c r="BB264" s="287"/>
      <c r="BC264" s="287"/>
      <c r="BD264" s="287"/>
      <c r="BE264" s="287"/>
      <c r="BF264" s="287"/>
      <c r="BG264" s="287"/>
      <c r="BH264" s="287"/>
      <c r="BI264" s="287"/>
      <c r="BJ264" s="287"/>
      <c r="BK264" s="287"/>
      <c r="BL264" s="287"/>
      <c r="BM264" s="287"/>
      <c r="BN264" s="287"/>
      <c r="BO264" s="287"/>
      <c r="BP264" s="287"/>
      <c r="BQ264" s="287"/>
      <c r="BR264" s="287"/>
      <c r="BS264" s="287"/>
      <c r="BT264" s="287"/>
      <c r="BU264" s="287"/>
      <c r="BV264" s="287"/>
      <c r="BW264" s="287"/>
      <c r="BX264" s="287"/>
      <c r="BY264" s="287"/>
      <c r="BZ264" s="287"/>
      <c r="CA264" s="287"/>
      <c r="CB264" s="287"/>
      <c r="CC264" s="287"/>
      <c r="CD264" s="287"/>
      <c r="CE264" s="287"/>
      <c r="CF264" s="287"/>
      <c r="CG264" s="287"/>
      <c r="CH264" s="287"/>
      <c r="CI264" s="287"/>
      <c r="CJ264" s="287"/>
      <c r="CK264" s="287"/>
      <c r="CL264" s="287"/>
      <c r="CM264" s="287"/>
      <c r="CN264" s="287"/>
      <c r="CO264" s="27"/>
      <c r="CR264" s="498"/>
      <c r="CS264" s="498"/>
      <c r="CT264" s="498"/>
      <c r="CU264" s="498"/>
      <c r="CV264" s="498"/>
      <c r="CW264" s="498"/>
      <c r="CX264" s="498"/>
      <c r="CY264" s="498"/>
      <c r="CZ264" s="498"/>
      <c r="DA264" s="498"/>
      <c r="DB264" s="498"/>
      <c r="DC264" s="498"/>
      <c r="DD264" s="498"/>
      <c r="DE264" s="498"/>
      <c r="DF264" s="498"/>
      <c r="DG264" s="498"/>
      <c r="DH264" s="498"/>
      <c r="DI264" s="498"/>
      <c r="DJ264" s="498"/>
      <c r="DK264" s="498"/>
      <c r="DL264" s="498"/>
      <c r="DM264" s="498"/>
      <c r="DN264" s="498"/>
      <c r="DO264" s="498"/>
      <c r="DP264" s="498"/>
      <c r="DQ264" s="498"/>
      <c r="DR264" s="498"/>
      <c r="DS264" s="498"/>
      <c r="DT264" s="498"/>
      <c r="DU264" s="498"/>
      <c r="DV264" s="498"/>
      <c r="DW264" s="498"/>
      <c r="DX264" s="498"/>
      <c r="DY264" s="498"/>
      <c r="DZ264" s="498"/>
      <c r="EA264" s="498"/>
      <c r="EB264" s="498"/>
      <c r="EC264" s="498"/>
      <c r="ED264" s="498"/>
      <c r="EE264" s="498"/>
      <c r="EF264" s="498"/>
      <c r="EG264" s="498"/>
      <c r="EH264" s="498"/>
      <c r="EI264" s="498"/>
      <c r="EJ264" s="498"/>
      <c r="EK264" s="498"/>
      <c r="EL264" s="498"/>
      <c r="EM264" s="498"/>
      <c r="EN264" s="498"/>
      <c r="EO264" s="498"/>
      <c r="EP264" s="498"/>
      <c r="EQ264" s="498"/>
      <c r="ER264" s="498"/>
      <c r="ES264" s="498"/>
      <c r="ET264" s="498"/>
      <c r="EU264" s="498"/>
      <c r="EV264" s="498"/>
      <c r="EW264" s="498"/>
      <c r="EX264" s="498"/>
      <c r="EY264" s="498"/>
      <c r="EZ264" s="498"/>
      <c r="FA264" s="498"/>
      <c r="FB264" s="498"/>
      <c r="FC264" s="498"/>
    </row>
    <row r="265" spans="3:159">
      <c r="C265" s="19" t="s">
        <v>764</v>
      </c>
      <c r="J265" s="287">
        <f>'Income Statement'!H116</f>
        <v>410774.00900000002</v>
      </c>
      <c r="K265" s="287">
        <f>'Income Statement'!I116</f>
        <v>410774.00900000002</v>
      </c>
      <c r="L265" s="287">
        <f>'Income Statement'!J116</f>
        <v>405354.402</v>
      </c>
      <c r="M265" s="287">
        <f>'Income Statement'!K116</f>
        <v>399266.788</v>
      </c>
      <c r="N265" s="287">
        <f>'Income Statement'!L116</f>
        <v>399552.92</v>
      </c>
      <c r="O265" s="287">
        <f>'Income Statement'!M116</f>
        <v>404735.46100000001</v>
      </c>
      <c r="P265" s="287">
        <f>'Income Statement'!N116</f>
        <v>415280.826</v>
      </c>
      <c r="Q265" s="287">
        <f>'Income Statement'!O116</f>
        <v>416292.73599999998</v>
      </c>
      <c r="R265" s="287">
        <f>'Income Statement'!P116</f>
        <v>416413.36800000002</v>
      </c>
      <c r="S265" s="287">
        <f>'Income Statement'!Q116</f>
        <v>417569.03100000002</v>
      </c>
      <c r="T265" s="287">
        <f>'Income Statement'!R116</f>
        <v>416325.11800000002</v>
      </c>
      <c r="U265" s="287">
        <f>'Income Statement'!S116</f>
        <v>410241.04300000001</v>
      </c>
      <c r="V265" s="287">
        <f>'Income Statement'!T116</f>
        <v>430911.81</v>
      </c>
      <c r="W265" s="287">
        <f>'Income Statement'!U116</f>
        <v>429723.37199999997</v>
      </c>
      <c r="X265" s="287">
        <f>'Income Statement'!V116</f>
        <v>426035.73200000002</v>
      </c>
      <c r="Y265" s="287">
        <f>'Income Statement'!W116</f>
        <v>426650.42499999999</v>
      </c>
      <c r="Z265" s="287">
        <f>'Income Statement'!X116</f>
        <v>426680.65700000001</v>
      </c>
      <c r="AA265" s="287">
        <f>'Income Statement'!Y116</f>
        <v>417795.49200000003</v>
      </c>
      <c r="AB265" s="287">
        <f>'Income Statement'!Z116</f>
        <v>416149.53</v>
      </c>
      <c r="AC265" s="287">
        <f>'Income Statement'!AA116</f>
        <v>411662.81068916013</v>
      </c>
      <c r="AD265" s="287">
        <f>'Income Statement'!AB116</f>
        <v>407176.09137832024</v>
      </c>
      <c r="AE265" s="287">
        <f>'Income Statement'!AC116</f>
        <v>402689.37206748035</v>
      </c>
      <c r="AF265" s="287">
        <f>'Income Statement'!AD116</f>
        <v>398202.65275664045</v>
      </c>
      <c r="AG265" s="287">
        <f>'Income Statement'!AE116</f>
        <v>398202.65275664045</v>
      </c>
      <c r="AH265" s="287">
        <f>'Income Statement'!AF116</f>
        <v>398202.65275664045</v>
      </c>
      <c r="AO265" s="338"/>
      <c r="AP265" s="449"/>
      <c r="AR265" s="449"/>
      <c r="AS265" s="449"/>
      <c r="BA265" s="260">
        <v>401277.09499999997</v>
      </c>
      <c r="BB265" s="260">
        <v>404735.46100000001</v>
      </c>
      <c r="BC265" s="260">
        <v>414658.53</v>
      </c>
      <c r="BD265" s="260">
        <v>415280.826</v>
      </c>
      <c r="BE265" s="260">
        <v>416151.72600000002</v>
      </c>
      <c r="BF265" s="260">
        <v>416292.73599999998</v>
      </c>
      <c r="BG265" s="260">
        <v>416440.88</v>
      </c>
      <c r="BH265" s="260">
        <v>416413.36800000002</v>
      </c>
      <c r="BI265" s="260">
        <v>416432.77299999999</v>
      </c>
      <c r="BJ265" s="260">
        <v>417569.03100000002</v>
      </c>
      <c r="BK265" s="260">
        <v>416388.89299999998</v>
      </c>
      <c r="BL265" s="260">
        <v>416388.89299999998</v>
      </c>
      <c r="BM265" s="260">
        <v>418502.06300000002</v>
      </c>
      <c r="BN265" s="260">
        <v>418502.06300000002</v>
      </c>
      <c r="BO265" s="260">
        <v>430911.81</v>
      </c>
      <c r="BP265" s="260">
        <v>430911.81</v>
      </c>
      <c r="BQ265" s="260">
        <v>429723.37199999997</v>
      </c>
      <c r="BR265" s="260">
        <v>429723.37199999997</v>
      </c>
      <c r="BS265" s="260">
        <v>425155</v>
      </c>
      <c r="BT265" s="260">
        <v>426035.73200000002</v>
      </c>
      <c r="BU265" s="260">
        <v>426622.54700000002</v>
      </c>
      <c r="BV265" s="260">
        <v>426650.42499999999</v>
      </c>
      <c r="BW265" s="260">
        <v>426832.58299999998</v>
      </c>
      <c r="BX265" s="27">
        <f>INDEX($D265:$AF265,MATCH(BX$8,$D$8:$AG$8,0))</f>
        <v>426680.65700000001</v>
      </c>
      <c r="BY265" s="260">
        <v>420447.86499999999</v>
      </c>
      <c r="BZ265" s="27">
        <f>INDEX($D265:$AF265,MATCH(BZ$8,$D$8:$AG$8,0))</f>
        <v>417795.49200000003</v>
      </c>
      <c r="CA265" s="260">
        <v>424913.98300000001</v>
      </c>
      <c r="CB265" s="27">
        <f>INDEX($D265:$AF265,MATCH(CB$8,$D$8:$AG$8,0))</f>
        <v>416149.53</v>
      </c>
      <c r="CC265" s="327">
        <f>CB265</f>
        <v>416149.53</v>
      </c>
      <c r="CD265" s="327">
        <f>INDEX($D265:$AF265,MATCH(CD$8,$D$8:$AG$8,0))</f>
        <v>411662.81068916013</v>
      </c>
      <c r="CE265" s="327">
        <f>CD265</f>
        <v>411662.81068916013</v>
      </c>
      <c r="CF265" s="327">
        <f>INDEX($D265:$AF265,MATCH(CF$8,$D$8:$AG$8,0))</f>
        <v>407176.09137832024</v>
      </c>
      <c r="CG265" s="287"/>
      <c r="CH265" s="287"/>
      <c r="CI265" s="287"/>
      <c r="CJ265" s="287"/>
      <c r="CK265" s="287"/>
      <c r="CL265" s="287"/>
      <c r="CM265" s="287"/>
      <c r="CN265" s="287"/>
      <c r="CO265" s="27"/>
      <c r="CR265" s="498"/>
      <c r="CS265" s="498"/>
      <c r="CT265" s="498"/>
      <c r="CU265" s="498"/>
      <c r="CV265" s="498"/>
      <c r="CW265" s="498"/>
      <c r="CX265" s="498"/>
      <c r="CY265" s="498"/>
      <c r="CZ265" s="498"/>
      <c r="DA265" s="498"/>
      <c r="DB265" s="498"/>
      <c r="DC265" s="498"/>
      <c r="DD265" s="498"/>
      <c r="DE265" s="498"/>
      <c r="DF265" s="498"/>
      <c r="DG265" s="498"/>
      <c r="DH265" s="498"/>
      <c r="DI265" s="498"/>
      <c r="DJ265" s="498"/>
      <c r="DK265" s="498"/>
      <c r="DL265" s="498"/>
      <c r="DM265" s="498"/>
      <c r="DN265" s="498"/>
      <c r="DO265" s="498"/>
      <c r="DP265" s="498"/>
      <c r="DQ265" s="498"/>
      <c r="DR265" s="498"/>
      <c r="DS265" s="498"/>
      <c r="DT265" s="498"/>
      <c r="DU265" s="498"/>
      <c r="DV265" s="498"/>
      <c r="DW265" s="498"/>
      <c r="DX265" s="498"/>
      <c r="DY265" s="498"/>
      <c r="DZ265" s="498"/>
      <c r="EA265" s="498"/>
      <c r="EB265" s="498"/>
      <c r="EC265" s="498"/>
      <c r="ED265" s="498"/>
      <c r="EE265" s="498"/>
      <c r="EF265" s="498"/>
      <c r="EG265" s="498"/>
      <c r="EH265" s="498"/>
      <c r="EI265" s="498"/>
      <c r="EJ265" s="498"/>
      <c r="EK265" s="498"/>
      <c r="EL265" s="498"/>
      <c r="EM265" s="498"/>
      <c r="EN265" s="498"/>
      <c r="EO265" s="498"/>
      <c r="EP265" s="498"/>
      <c r="EQ265" s="498"/>
      <c r="ER265" s="498"/>
      <c r="ES265" s="498"/>
      <c r="ET265" s="498"/>
      <c r="EU265" s="498"/>
      <c r="EV265" s="498"/>
      <c r="EW265" s="498"/>
      <c r="EX265" s="498"/>
      <c r="EY265" s="498"/>
      <c r="EZ265" s="498"/>
      <c r="FA265" s="498"/>
      <c r="FB265" s="498"/>
      <c r="FC265" s="498"/>
    </row>
    <row r="266" spans="3:159">
      <c r="C266" s="19"/>
      <c r="J266" s="19"/>
      <c r="K266" s="19"/>
      <c r="L266" s="19"/>
      <c r="M266" s="19"/>
      <c r="N266" s="19"/>
      <c r="O266" s="19"/>
      <c r="P266" s="19"/>
      <c r="Q266" s="19"/>
      <c r="R266" s="19"/>
      <c r="S266" s="19"/>
      <c r="T266" s="19"/>
      <c r="U266" s="19"/>
      <c r="V266" s="19"/>
      <c r="W266" s="19"/>
      <c r="X266" s="19"/>
      <c r="Y266" s="19"/>
      <c r="Z266" s="19"/>
      <c r="AA266" s="19"/>
      <c r="AB266" s="19"/>
      <c r="AC266" s="19"/>
      <c r="AD266" s="19"/>
      <c r="AE266" s="19"/>
      <c r="AF266" s="19"/>
      <c r="AG266" s="19"/>
      <c r="AH266" s="19"/>
      <c r="AO266" s="338"/>
      <c r="AP266" s="449"/>
      <c r="AR266" s="449"/>
      <c r="AS266" s="449"/>
      <c r="BA266" s="19"/>
      <c r="BB266" s="19"/>
      <c r="BC266" s="19"/>
      <c r="BD266" s="19"/>
      <c r="BE266" s="19"/>
      <c r="BF266" s="19"/>
      <c r="BG266" s="19"/>
      <c r="BH266" s="19"/>
      <c r="BI266" s="19"/>
      <c r="BJ266" s="19"/>
      <c r="BK266" s="19"/>
      <c r="BL266" s="19"/>
      <c r="BM266" s="19"/>
      <c r="BN266" s="19"/>
      <c r="BO266" s="19"/>
      <c r="BP266" s="19"/>
      <c r="BQ266" s="19"/>
      <c r="BR266" s="19"/>
      <c r="BS266" s="19"/>
      <c r="BT266" s="19"/>
      <c r="BU266" s="19"/>
      <c r="BV266" s="19"/>
      <c r="BW266" s="19"/>
      <c r="BX266" s="19"/>
      <c r="BY266" s="19"/>
      <c r="BZ266" s="19"/>
      <c r="CA266" s="19"/>
      <c r="CB266" s="19"/>
      <c r="CC266" s="19"/>
      <c r="CD266" s="19"/>
      <c r="CE266" s="19"/>
      <c r="CF266" s="19"/>
      <c r="CG266" s="19"/>
      <c r="CH266" s="19"/>
      <c r="CI266" s="19"/>
      <c r="CJ266" s="19"/>
      <c r="CK266" s="19"/>
      <c r="CL266" s="19"/>
      <c r="CM266" s="19"/>
      <c r="CN266" s="19"/>
      <c r="CO266" s="4"/>
      <c r="CR266" s="498"/>
      <c r="CS266" s="498"/>
      <c r="CT266" s="498"/>
      <c r="CU266" s="498"/>
      <c r="CV266" s="498"/>
      <c r="CW266" s="498"/>
      <c r="CX266" s="498"/>
      <c r="CY266" s="498"/>
      <c r="CZ266" s="498"/>
      <c r="DA266" s="498"/>
      <c r="DB266" s="498"/>
      <c r="DC266" s="498"/>
      <c r="DD266" s="498"/>
      <c r="DE266" s="498"/>
      <c r="DF266" s="498"/>
      <c r="DG266" s="498"/>
      <c r="DH266" s="498"/>
      <c r="DI266" s="498"/>
      <c r="DJ266" s="498"/>
      <c r="DK266" s="498"/>
      <c r="DL266" s="498"/>
      <c r="DM266" s="498"/>
      <c r="DN266" s="498"/>
      <c r="DO266" s="498"/>
      <c r="DP266" s="498"/>
      <c r="DQ266" s="498"/>
      <c r="DR266" s="498"/>
      <c r="DS266" s="498"/>
      <c r="DT266" s="498"/>
      <c r="DU266" s="498"/>
      <c r="DV266" s="498"/>
      <c r="DW266" s="498"/>
      <c r="DX266" s="498"/>
      <c r="DY266" s="498"/>
      <c r="DZ266" s="498"/>
      <c r="EA266" s="498"/>
      <c r="EB266" s="498"/>
      <c r="EC266" s="498"/>
      <c r="ED266" s="498"/>
      <c r="EE266" s="498"/>
      <c r="EF266" s="498"/>
      <c r="EG266" s="498"/>
      <c r="EH266" s="498"/>
      <c r="EI266" s="498"/>
      <c r="EJ266" s="498"/>
      <c r="EK266" s="498"/>
      <c r="EL266" s="498"/>
      <c r="EM266" s="498"/>
      <c r="EN266" s="498"/>
      <c r="EO266" s="498"/>
      <c r="EP266" s="498"/>
      <c r="EQ266" s="498"/>
      <c r="ER266" s="498"/>
      <c r="ES266" s="498"/>
      <c r="ET266" s="498"/>
      <c r="EU266" s="498"/>
      <c r="EV266" s="498"/>
      <c r="EW266" s="498"/>
      <c r="EX266" s="498"/>
      <c r="EY266" s="498"/>
      <c r="EZ266" s="498"/>
      <c r="FA266" s="498"/>
      <c r="FB266" s="498"/>
      <c r="FC266" s="498"/>
    </row>
    <row r="267" spans="3:159">
      <c r="C267" s="19" t="s">
        <v>763</v>
      </c>
      <c r="J267" s="353" t="e">
        <f t="shared" ref="J267:AH267" si="86">J262/J265*1000</f>
        <v>#REF!</v>
      </c>
      <c r="K267" s="353" t="e">
        <f t="shared" si="86"/>
        <v>#REF!</v>
      </c>
      <c r="L267" s="353" t="e">
        <f t="shared" si="86"/>
        <v>#REF!</v>
      </c>
      <c r="M267" s="353" t="e">
        <f t="shared" si="86"/>
        <v>#REF!</v>
      </c>
      <c r="N267" s="353" t="e">
        <f t="shared" si="86"/>
        <v>#REF!</v>
      </c>
      <c r="O267" s="353" t="e">
        <f t="shared" si="86"/>
        <v>#REF!</v>
      </c>
      <c r="P267" s="353" t="e">
        <f t="shared" si="86"/>
        <v>#REF!</v>
      </c>
      <c r="Q267" s="353">
        <f t="shared" si="86"/>
        <v>-1.7896060526023689</v>
      </c>
      <c r="R267" s="353">
        <f t="shared" si="86"/>
        <v>-5.7394891318666783</v>
      </c>
      <c r="S267" s="353">
        <f t="shared" si="86"/>
        <v>-7.1030171775358504</v>
      </c>
      <c r="T267" s="353">
        <f t="shared" si="86"/>
        <v>-2.3106941147855506</v>
      </c>
      <c r="U267" s="353">
        <f t="shared" si="86"/>
        <v>9.0044622863344266</v>
      </c>
      <c r="V267" s="353">
        <f t="shared" si="86"/>
        <v>2.9774073725201449</v>
      </c>
      <c r="W267" s="353">
        <f t="shared" si="86"/>
        <v>5.6943609760187766</v>
      </c>
      <c r="X267" s="353">
        <f t="shared" si="86"/>
        <v>0.82622177803621399</v>
      </c>
      <c r="Y267" s="353">
        <f t="shared" si="86"/>
        <v>0.10078508652604765</v>
      </c>
      <c r="Z267" s="353">
        <f t="shared" si="86"/>
        <v>-5.7630922791046508</v>
      </c>
      <c r="AA267" s="353">
        <f t="shared" si="86"/>
        <v>8.2432674979652472</v>
      </c>
      <c r="AB267" s="353">
        <f t="shared" si="86"/>
        <v>-1.6027892666369226</v>
      </c>
      <c r="AC267" s="353">
        <f t="shared" si="86"/>
        <v>7.4135399921603025</v>
      </c>
      <c r="AD267" s="353">
        <f t="shared" si="86"/>
        <v>9.4576901399254325</v>
      </c>
      <c r="AE267" s="353">
        <f t="shared" si="86"/>
        <v>11.716310134338807</v>
      </c>
      <c r="AF267" s="353">
        <f t="shared" si="86"/>
        <v>13.277745802535673</v>
      </c>
      <c r="AG267" s="353">
        <f t="shared" si="86"/>
        <v>14.140994609078112</v>
      </c>
      <c r="AH267" s="353">
        <f t="shared" si="86"/>
        <v>15.027819343734075</v>
      </c>
      <c r="AO267" s="338"/>
      <c r="AP267" s="449"/>
      <c r="AR267" s="449"/>
      <c r="AS267" s="449"/>
      <c r="BA267" s="353"/>
      <c r="BB267" s="509"/>
      <c r="BC267" s="509"/>
      <c r="BD267" s="509"/>
      <c r="BE267" s="509"/>
      <c r="BF267" s="509"/>
      <c r="BG267" s="509"/>
      <c r="BH267" s="509"/>
      <c r="BI267" s="509"/>
      <c r="BJ267" s="509"/>
      <c r="BK267" s="509"/>
      <c r="BL267" s="509"/>
      <c r="BM267" s="509"/>
      <c r="BN267" s="509"/>
      <c r="BO267" s="509"/>
      <c r="BP267" s="509"/>
      <c r="BQ267" s="509"/>
      <c r="BR267" s="509"/>
      <c r="BS267" s="509"/>
      <c r="BT267" s="509"/>
      <c r="BU267" s="509"/>
      <c r="BV267" s="509"/>
      <c r="BW267" s="509"/>
      <c r="BX267" s="509"/>
      <c r="BY267" s="509"/>
      <c r="BZ267" s="509"/>
      <c r="CA267" s="509"/>
      <c r="CB267" s="509"/>
      <c r="CC267" s="353"/>
      <c r="CD267" s="353"/>
      <c r="CE267" s="353"/>
      <c r="CF267" s="353"/>
      <c r="CG267" s="353"/>
      <c r="CH267" s="353"/>
      <c r="CI267" s="353"/>
      <c r="CJ267" s="353"/>
      <c r="CK267" s="353"/>
      <c r="CL267" s="353"/>
      <c r="CM267" s="353"/>
      <c r="CN267" s="353"/>
      <c r="CO267" s="484"/>
      <c r="CR267" s="498"/>
      <c r="CS267" s="498"/>
      <c r="CT267" s="498"/>
      <c r="CU267" s="498"/>
      <c r="CV267" s="498"/>
      <c r="CW267" s="498"/>
      <c r="CX267" s="498"/>
      <c r="CY267" s="498"/>
      <c r="CZ267" s="498"/>
      <c r="DA267" s="498"/>
      <c r="DB267" s="498"/>
      <c r="DC267" s="498"/>
      <c r="DD267" s="498"/>
      <c r="DE267" s="498"/>
      <c r="DF267" s="498"/>
      <c r="DG267" s="498"/>
      <c r="DH267" s="498"/>
      <c r="DI267" s="498"/>
      <c r="DJ267" s="498"/>
      <c r="DK267" s="498"/>
      <c r="DL267" s="498"/>
      <c r="DM267" s="498"/>
      <c r="DN267" s="498"/>
      <c r="DO267" s="498"/>
      <c r="DP267" s="498"/>
      <c r="DQ267" s="498"/>
      <c r="DR267" s="498"/>
      <c r="DS267" s="498"/>
      <c r="DT267" s="498"/>
      <c r="DU267" s="498"/>
      <c r="DV267" s="498"/>
      <c r="DW267" s="498"/>
      <c r="DX267" s="498"/>
      <c r="DY267" s="498"/>
      <c r="DZ267" s="498"/>
      <c r="EA267" s="498"/>
      <c r="EB267" s="498"/>
      <c r="EC267" s="498"/>
      <c r="ED267" s="498"/>
      <c r="EE267" s="498"/>
      <c r="EF267" s="498"/>
      <c r="EG267" s="498"/>
      <c r="EH267" s="498"/>
      <c r="EI267" s="498"/>
      <c r="EJ267" s="498"/>
      <c r="EK267" s="498"/>
      <c r="EL267" s="498"/>
      <c r="EM267" s="498"/>
      <c r="EN267" s="498"/>
      <c r="EO267" s="498"/>
      <c r="EP267" s="498"/>
      <c r="EQ267" s="498"/>
      <c r="ER267" s="498"/>
      <c r="ES267" s="498"/>
      <c r="ET267" s="498"/>
      <c r="EU267" s="498"/>
      <c r="EV267" s="498"/>
      <c r="EW267" s="498"/>
      <c r="EX267" s="498"/>
      <c r="EY267" s="498"/>
      <c r="EZ267" s="498"/>
      <c r="FA267" s="498"/>
      <c r="FB267" s="498"/>
      <c r="FC267" s="498"/>
    </row>
    <row r="268" spans="3:159">
      <c r="C268" s="374" t="s">
        <v>762</v>
      </c>
      <c r="J268" s="353" t="e">
        <f t="shared" ref="J268:AH268" si="87">J263/J265*1000</f>
        <v>#REF!</v>
      </c>
      <c r="K268" s="353" t="e">
        <f t="shared" si="87"/>
        <v>#REF!</v>
      </c>
      <c r="L268" s="353" t="e">
        <f t="shared" si="87"/>
        <v>#REF!</v>
      </c>
      <c r="M268" s="353" t="e">
        <f t="shared" si="87"/>
        <v>#REF!</v>
      </c>
      <c r="N268" s="353" t="e">
        <f t="shared" si="87"/>
        <v>#REF!</v>
      </c>
      <c r="O268" s="353" t="e">
        <f t="shared" si="87"/>
        <v>#REF!</v>
      </c>
      <c r="P268" s="353" t="e">
        <f t="shared" si="87"/>
        <v>#REF!</v>
      </c>
      <c r="Q268" s="353">
        <f t="shared" si="87"/>
        <v>-1.8088232988048103</v>
      </c>
      <c r="R268" s="353">
        <f t="shared" si="87"/>
        <v>-2.4398832460152908</v>
      </c>
      <c r="S268" s="353">
        <f t="shared" si="87"/>
        <v>-2.4834217171627366</v>
      </c>
      <c r="T268" s="353">
        <f t="shared" si="87"/>
        <v>-1.7774570113735004</v>
      </c>
      <c r="U268" s="353">
        <f t="shared" si="87"/>
        <v>3.7100139685438545</v>
      </c>
      <c r="V268" s="353">
        <f t="shared" si="87"/>
        <v>4.5972283748732714</v>
      </c>
      <c r="W268" s="353">
        <f t="shared" si="87"/>
        <v>6.2016640789088857</v>
      </c>
      <c r="X268" s="353">
        <f t="shared" si="87"/>
        <v>1.9810544905186496</v>
      </c>
      <c r="Y268" s="353">
        <f t="shared" si="87"/>
        <v>1.7813178083673538</v>
      </c>
      <c r="Z268" s="353">
        <f t="shared" si="87"/>
        <v>2.760846972259162</v>
      </c>
      <c r="AA268" s="353">
        <f t="shared" si="87"/>
        <v>4.8540495022861565</v>
      </c>
      <c r="AB268" s="353">
        <f t="shared" si="87"/>
        <v>7.3723500300480929</v>
      </c>
      <c r="AC268" s="353">
        <f t="shared" si="87"/>
        <v>8.1631379446287493</v>
      </c>
      <c r="AD268" s="353">
        <f t="shared" si="87"/>
        <v>10.212721701231809</v>
      </c>
      <c r="AE268" s="353">
        <f t="shared" si="87"/>
        <v>12.4768963857899</v>
      </c>
      <c r="AF268" s="353">
        <f t="shared" si="87"/>
        <v>14.046901904032515</v>
      </c>
      <c r="AG268" s="353">
        <f t="shared" si="87"/>
        <v>14.910150710574953</v>
      </c>
      <c r="AH268" s="353">
        <f t="shared" si="87"/>
        <v>15.796975445230922</v>
      </c>
      <c r="AO268" s="338"/>
      <c r="AP268" s="449"/>
      <c r="AR268" s="449"/>
      <c r="AS268" s="449"/>
      <c r="BA268" s="353">
        <f>BA263/BA265*1000</f>
        <v>0.8248664180545866</v>
      </c>
      <c r="BB268" s="353" t="e">
        <f>INDEX($D268:$AF268,MATCH(BB$8,$D$8:$AG$8,0))-BA268</f>
        <v>#REF!</v>
      </c>
      <c r="BC268" s="353">
        <f>BC263/BC265*1000</f>
        <v>1.0369978401264288</v>
      </c>
      <c r="BD268" s="353" t="e">
        <f>INDEX($D268:$AF268,MATCH(BD$8,$D$8:$AG$8,0))-BC268</f>
        <v>#REF!</v>
      </c>
      <c r="BE268" s="353">
        <f>BE263/BE265*1000</f>
        <v>1.321633350620778</v>
      </c>
      <c r="BF268" s="353">
        <f>INDEX($D268:$AF268,MATCH(BF$8,$D$8:$AG$8,0))-BE268</f>
        <v>-3.1304566494255885</v>
      </c>
      <c r="BG268" s="353">
        <f>BG263/BG265*1000</f>
        <v>1.5632471048471515</v>
      </c>
      <c r="BH268" s="353">
        <f>INDEX($D268:$AF268,MATCH(BH$8,$D$8:$AG$8,0))-BG268</f>
        <v>-4.0031303508624418</v>
      </c>
      <c r="BI268" s="353">
        <f>BI263/BI265*1000</f>
        <v>1.7986096401687386</v>
      </c>
      <c r="BJ268" s="353">
        <f>INDEX($D268:$AF268,MATCH(BJ$8,$D$8:$AG$8,0))-BI268</f>
        <v>-4.2820313573314754</v>
      </c>
      <c r="BK268" s="353">
        <f>BK263/BK265*1000</f>
        <v>2.1014009132083165</v>
      </c>
      <c r="BL268" s="353">
        <f>INDEX($D268:$AF268,MATCH(BL$8,$D$8:$AG$8,0))-BK268</f>
        <v>-3.8788579245818169</v>
      </c>
      <c r="BM268" s="353">
        <f>BM263/BM265*1000</f>
        <v>6.1720125857539676</v>
      </c>
      <c r="BN268" s="353">
        <f>INDEX($D268:$AF268,MATCH(BN$8,$D$8:$AG$8,0))-BM268</f>
        <v>-2.4619986172101131</v>
      </c>
      <c r="BO268" s="353">
        <f>BO263/BO265*1000</f>
        <v>2.2231927224273571</v>
      </c>
      <c r="BP268" s="353">
        <f>INDEX($D268:$AF268,MATCH(BP$8,$D$8:$AG$8,0))-BO268</f>
        <v>2.3740356524459143</v>
      </c>
      <c r="BQ268" s="353">
        <f>BQ263/BQ265*1000</f>
        <v>3.0740706372377624</v>
      </c>
      <c r="BR268" s="353">
        <f>INDEX($D268:$AF268,MATCH(BR$8,$D$8:$AG$8,0))-BQ268</f>
        <v>3.1275934416711233</v>
      </c>
      <c r="BS268" s="353">
        <f>BS263/BS265*1000</f>
        <v>1.178393762274935</v>
      </c>
      <c r="BT268" s="353">
        <f>INDEX($D268:$AF268,MATCH(BT$8,$D$8:$AG$8,0))-BS268</f>
        <v>0.80266072824371459</v>
      </c>
      <c r="BU268" s="353">
        <f>BU263/BU265*1000</f>
        <v>0.63053395065873064</v>
      </c>
      <c r="BV268" s="353">
        <f>INDEX($D268:$AF268,MATCH(BV$8,$D$8:$AG$8,0))-BU268</f>
        <v>1.1507838577086231</v>
      </c>
      <c r="BW268" s="353">
        <f>BW263/BW265*1000</f>
        <v>1.2557616764697648</v>
      </c>
      <c r="BX268" s="353">
        <f>INDEX($D268:$AF268,MATCH(BX$8,$D$8:$AG$8,0))-BW268</f>
        <v>1.5050852957893972</v>
      </c>
      <c r="BY268" s="353">
        <f>BY263/BY265*1000</f>
        <v>2.4806880634296955</v>
      </c>
      <c r="BZ268" s="353">
        <f>INDEX($D268:$AF268,MATCH(BZ$8,$D$8:$AG$8,0))-BY268</f>
        <v>2.373361438856461</v>
      </c>
      <c r="CA268" s="353">
        <f>CA263/CA265*1000</f>
        <v>3.3700938479118019</v>
      </c>
      <c r="CB268" s="353">
        <f>INDEX($D268:$AF268,MATCH(CB$8,$D$8:$AG$8,0))-CA268</f>
        <v>4.002256182136291</v>
      </c>
      <c r="CC268" s="353" t="e">
        <f>CC263/CC265*1000</f>
        <v>#REF!</v>
      </c>
      <c r="CD268" s="353" t="e">
        <f>INDEX($D268:$AF268,MATCH(CD$8,$D$8:$AG$8,0))-CC268</f>
        <v>#REF!</v>
      </c>
      <c r="CE268" s="353" t="e">
        <f>CE263/CE265*1000</f>
        <v>#REF!</v>
      </c>
      <c r="CF268" s="353" t="e">
        <f>INDEX($D268:$AF268,MATCH(CF$8,$D$8:$AG$8,0))-CE268</f>
        <v>#REF!</v>
      </c>
      <c r="CG268" s="353"/>
      <c r="CH268" s="353"/>
      <c r="CI268" s="353"/>
      <c r="CJ268" s="353"/>
      <c r="CK268" s="353"/>
      <c r="CL268" s="353"/>
      <c r="CM268" s="353"/>
      <c r="CN268" s="353"/>
      <c r="CO268" s="484"/>
      <c r="CR268" s="498"/>
      <c r="CS268" s="498"/>
      <c r="CT268" s="498"/>
      <c r="CU268" s="498"/>
      <c r="CV268" s="498"/>
      <c r="CW268" s="498"/>
      <c r="CX268" s="498"/>
      <c r="CY268" s="498"/>
      <c r="CZ268" s="498"/>
      <c r="DA268" s="498"/>
      <c r="DB268" s="498"/>
      <c r="DC268" s="498"/>
      <c r="DD268" s="498"/>
      <c r="DE268" s="498"/>
      <c r="DF268" s="498"/>
      <c r="DG268" s="498"/>
      <c r="DH268" s="498"/>
      <c r="DI268" s="498"/>
      <c r="DJ268" s="498"/>
      <c r="DK268" s="498"/>
      <c r="DL268" s="498"/>
      <c r="DM268" s="498"/>
      <c r="DN268" s="498"/>
      <c r="DO268" s="498"/>
      <c r="DP268" s="498"/>
      <c r="DQ268" s="498"/>
      <c r="DR268" s="498"/>
      <c r="DS268" s="498"/>
      <c r="DT268" s="498"/>
      <c r="DU268" s="498"/>
      <c r="DV268" s="498"/>
      <c r="DW268" s="498"/>
      <c r="DX268" s="498"/>
      <c r="DY268" s="498"/>
      <c r="DZ268" s="498"/>
      <c r="EA268" s="498"/>
      <c r="EB268" s="498"/>
      <c r="EC268" s="498"/>
      <c r="ED268" s="498"/>
      <c r="EE268" s="498"/>
      <c r="EF268" s="498"/>
      <c r="EG268" s="498"/>
      <c r="EH268" s="498"/>
      <c r="EI268" s="498"/>
      <c r="EJ268" s="498"/>
      <c r="EK268" s="498"/>
      <c r="EL268" s="498"/>
      <c r="EM268" s="498"/>
      <c r="EN268" s="498"/>
      <c r="EO268" s="498"/>
      <c r="EP268" s="498"/>
      <c r="EQ268" s="498"/>
      <c r="ER268" s="498"/>
      <c r="ES268" s="498"/>
      <c r="ET268" s="498"/>
      <c r="EU268" s="498"/>
      <c r="EV268" s="498"/>
      <c r="EW268" s="498"/>
      <c r="EX268" s="498"/>
      <c r="EY268" s="498"/>
      <c r="EZ268" s="498"/>
      <c r="FA268" s="498"/>
      <c r="FB268" s="498"/>
      <c r="FC268" s="498"/>
    </row>
    <row r="269" spans="3:159">
      <c r="C269" s="291" t="s">
        <v>1283</v>
      </c>
      <c r="J269" s="19"/>
      <c r="K269" s="19"/>
      <c r="L269" s="19"/>
      <c r="M269" s="19"/>
      <c r="N269" s="19"/>
      <c r="O269" s="19"/>
      <c r="P269" s="19"/>
      <c r="Q269" s="19"/>
      <c r="R269" s="19"/>
      <c r="S269" s="352"/>
      <c r="T269" s="352"/>
      <c r="U269" s="352"/>
      <c r="V269" s="366">
        <f>'Income Statement'!T112/V268</f>
        <v>24.079726081272085</v>
      </c>
      <c r="W269" s="366">
        <f>'Income Statement'!U112/W268</f>
        <v>21.308796851707314</v>
      </c>
      <c r="X269" s="366">
        <f>'Income Statement'!V112/X268</f>
        <v>45.430350568720385</v>
      </c>
      <c r="Y269" s="366">
        <f>'Income Statement'!W112/Y268</f>
        <v>60.43840099407894</v>
      </c>
      <c r="Z269" s="366">
        <f>'Income Statement'!X112/Z268</f>
        <v>38.140469594312393</v>
      </c>
      <c r="AA269" s="366">
        <f>'Income Statement'!Y112/AA268</f>
        <v>29.401002814187994</v>
      </c>
      <c r="AB269" s="366">
        <f>'Income Statement'!Z112/AB268</f>
        <v>27.283924447638022</v>
      </c>
      <c r="AC269" s="366">
        <f>'Income Statement'!AA112/AC268</f>
        <v>34.129032473757917</v>
      </c>
      <c r="AD269" s="366">
        <f>'Income Statement'!AB112/AD268</f>
        <v>27.279701547766315</v>
      </c>
      <c r="AE269" s="366">
        <f>'Income Statement'!AC112/AE268</f>
        <v>22.32927094892775</v>
      </c>
      <c r="AF269" s="366">
        <f>'Income Statement'!AD112/AF268</f>
        <v>19.83355489369659</v>
      </c>
      <c r="AG269" s="366">
        <f>'Income Statement'!AE112/AG268</f>
        <v>18.685257138440882</v>
      </c>
      <c r="AH269" s="366">
        <f>'Income Statement'!AF112/AH268</f>
        <v>17.636287463123761</v>
      </c>
      <c r="AO269" s="338"/>
      <c r="AP269" s="449"/>
      <c r="AR269" s="449"/>
      <c r="AS269" s="449"/>
      <c r="BA269" s="366"/>
      <c r="BB269" s="366"/>
      <c r="BC269" s="366"/>
      <c r="BD269" s="366"/>
      <c r="BE269" s="366"/>
      <c r="BF269" s="366"/>
      <c r="BG269" s="366"/>
      <c r="BH269" s="366"/>
      <c r="BI269" s="366"/>
      <c r="BJ269" s="366"/>
      <c r="BK269" s="366"/>
      <c r="BL269" s="366"/>
      <c r="BM269" s="366"/>
      <c r="BN269" s="366"/>
      <c r="BO269" s="366"/>
      <c r="BP269" s="366"/>
      <c r="BQ269" s="366"/>
      <c r="BR269" s="366"/>
      <c r="BS269" s="366"/>
      <c r="BT269" s="366"/>
      <c r="BU269" s="366"/>
      <c r="BV269" s="366"/>
      <c r="BW269" s="366"/>
      <c r="BX269" s="366"/>
      <c r="BY269" s="366"/>
      <c r="BZ269" s="366"/>
      <c r="CA269" s="366"/>
      <c r="CB269" s="366"/>
      <c r="CC269" s="366"/>
      <c r="CD269" s="366"/>
      <c r="CE269" s="366"/>
      <c r="CF269" s="366"/>
      <c r="CG269" s="366"/>
      <c r="CH269" s="366"/>
      <c r="CI269" s="366"/>
      <c r="CJ269" s="366"/>
      <c r="CK269" s="366"/>
      <c r="CL269" s="366"/>
      <c r="CM269" s="366"/>
      <c r="CN269" s="366"/>
      <c r="CO269" s="482"/>
      <c r="CR269" s="498"/>
      <c r="CS269" s="498"/>
      <c r="CT269" s="498"/>
      <c r="CU269" s="498"/>
      <c r="CV269" s="498"/>
      <c r="CW269" s="498"/>
      <c r="CX269" s="498"/>
      <c r="CY269" s="498"/>
      <c r="CZ269" s="498"/>
      <c r="DA269" s="498"/>
      <c r="DB269" s="498"/>
      <c r="DC269" s="498"/>
      <c r="DD269" s="498"/>
      <c r="DE269" s="498"/>
      <c r="DF269" s="498"/>
      <c r="DG269" s="498"/>
      <c r="DH269" s="498"/>
      <c r="DI269" s="498"/>
      <c r="DJ269" s="498"/>
      <c r="DK269" s="498"/>
      <c r="DL269" s="498"/>
      <c r="DM269" s="498"/>
      <c r="DN269" s="498"/>
      <c r="DO269" s="498"/>
      <c r="DP269" s="498"/>
      <c r="DQ269" s="498"/>
      <c r="DR269" s="498"/>
      <c r="DS269" s="498"/>
      <c r="DT269" s="498"/>
      <c r="DU269" s="498"/>
      <c r="DV269" s="498"/>
      <c r="DW269" s="498"/>
      <c r="DX269" s="498"/>
      <c r="DY269" s="498"/>
      <c r="DZ269" s="498"/>
      <c r="EA269" s="498"/>
      <c r="EB269" s="498"/>
      <c r="EC269" s="498"/>
      <c r="ED269" s="498"/>
      <c r="EE269" s="498"/>
      <c r="EF269" s="498"/>
      <c r="EG269" s="498"/>
      <c r="EH269" s="498"/>
      <c r="EI269" s="498"/>
      <c r="EJ269" s="498"/>
      <c r="EK269" s="498"/>
      <c r="EL269" s="498"/>
      <c r="EM269" s="498"/>
      <c r="EN269" s="498"/>
      <c r="EO269" s="498"/>
      <c r="EP269" s="498"/>
      <c r="EQ269" s="498"/>
      <c r="ER269" s="498"/>
      <c r="ES269" s="498"/>
      <c r="ET269" s="498"/>
      <c r="EU269" s="498"/>
      <c r="EV269" s="498"/>
      <c r="EW269" s="498"/>
      <c r="EX269" s="498"/>
      <c r="EY269" s="498"/>
      <c r="EZ269" s="498"/>
      <c r="FA269" s="498"/>
      <c r="FB269" s="498"/>
      <c r="FC269" s="498"/>
    </row>
    <row r="270" spans="3:159">
      <c r="C270" s="291"/>
      <c r="J270" s="19"/>
      <c r="K270" s="19"/>
      <c r="L270" s="19"/>
      <c r="M270" s="19"/>
      <c r="N270" s="19"/>
      <c r="O270" s="19"/>
      <c r="P270" s="19"/>
      <c r="Q270" s="19"/>
      <c r="R270" s="19"/>
      <c r="S270" s="352"/>
      <c r="T270" s="352"/>
      <c r="U270" s="352"/>
      <c r="V270" s="366"/>
      <c r="W270" s="366"/>
      <c r="X270" s="366"/>
      <c r="Y270" s="366"/>
      <c r="Z270" s="366"/>
      <c r="AA270" s="366"/>
      <c r="AB270" s="366"/>
      <c r="AC270" s="366"/>
      <c r="AD270" s="366"/>
      <c r="AE270" s="366"/>
      <c r="AF270" s="366"/>
      <c r="AG270" s="366"/>
      <c r="AH270" s="366"/>
      <c r="AO270" s="338"/>
      <c r="AP270" s="449"/>
      <c r="AR270" s="449"/>
      <c r="AS270" s="449"/>
      <c r="BA270" s="366"/>
      <c r="BB270" s="366"/>
      <c r="BC270" s="366"/>
      <c r="BD270" s="366"/>
      <c r="BE270" s="366"/>
      <c r="BF270" s="366"/>
      <c r="BG270" s="366"/>
      <c r="BH270" s="366"/>
      <c r="BI270" s="366"/>
      <c r="BJ270" s="366"/>
      <c r="BK270" s="366"/>
      <c r="BL270" s="366"/>
      <c r="BM270" s="366"/>
      <c r="BN270" s="366"/>
      <c r="BO270" s="366"/>
      <c r="BP270" s="366"/>
      <c r="BQ270" s="366"/>
      <c r="BR270" s="366"/>
      <c r="BS270" s="366"/>
      <c r="BT270" s="366"/>
      <c r="BU270" s="366"/>
      <c r="BV270" s="366"/>
      <c r="BW270" s="366"/>
      <c r="BX270" s="366"/>
      <c r="BY270" s="366"/>
      <c r="BZ270" s="366"/>
      <c r="CA270" s="366"/>
      <c r="CB270" s="366"/>
      <c r="CC270" s="366"/>
      <c r="CD270" s="366"/>
      <c r="CE270" s="366"/>
      <c r="CF270" s="366"/>
      <c r="CG270" s="366"/>
      <c r="CH270" s="366"/>
      <c r="CI270" s="366"/>
      <c r="CJ270" s="366"/>
      <c r="CK270" s="366"/>
      <c r="CL270" s="366"/>
      <c r="CM270" s="366"/>
      <c r="CN270" s="366"/>
      <c r="CO270" s="482"/>
      <c r="CR270" s="498"/>
      <c r="CS270" s="498"/>
      <c r="CT270" s="498"/>
      <c r="CU270" s="498"/>
      <c r="CV270" s="498"/>
      <c r="CW270" s="498"/>
      <c r="CX270" s="498"/>
      <c r="CY270" s="498"/>
      <c r="CZ270" s="498"/>
      <c r="DA270" s="498"/>
      <c r="DB270" s="498"/>
      <c r="DC270" s="498"/>
      <c r="DD270" s="498"/>
      <c r="DE270" s="498"/>
      <c r="DF270" s="498"/>
      <c r="DG270" s="498"/>
      <c r="DH270" s="498"/>
      <c r="DI270" s="498"/>
      <c r="DJ270" s="498"/>
      <c r="DK270" s="498"/>
      <c r="DL270" s="498"/>
      <c r="DM270" s="498"/>
      <c r="DN270" s="498"/>
      <c r="DO270" s="498"/>
      <c r="DP270" s="498"/>
      <c r="DQ270" s="498"/>
      <c r="DR270" s="498"/>
      <c r="DS270" s="498"/>
      <c r="DT270" s="498"/>
      <c r="DU270" s="498"/>
      <c r="DV270" s="498"/>
      <c r="DW270" s="498"/>
      <c r="DX270" s="498"/>
      <c r="DY270" s="498"/>
      <c r="DZ270" s="498"/>
      <c r="EA270" s="498"/>
      <c r="EB270" s="498"/>
      <c r="EC270" s="498"/>
      <c r="ED270" s="498"/>
      <c r="EE270" s="498"/>
      <c r="EF270" s="498"/>
      <c r="EG270" s="498"/>
      <c r="EH270" s="498"/>
      <c r="EI270" s="498"/>
      <c r="EJ270" s="498"/>
      <c r="EK270" s="498"/>
      <c r="EL270" s="498"/>
      <c r="EM270" s="498"/>
      <c r="EN270" s="498"/>
      <c r="EO270" s="498"/>
      <c r="EP270" s="498"/>
      <c r="EQ270" s="498"/>
      <c r="ER270" s="498"/>
      <c r="ES270" s="498"/>
      <c r="ET270" s="498"/>
      <c r="EU270" s="498"/>
      <c r="EV270" s="498"/>
      <c r="EW270" s="498"/>
      <c r="EX270" s="498"/>
      <c r="EY270" s="498"/>
      <c r="EZ270" s="498"/>
      <c r="FA270" s="498"/>
      <c r="FB270" s="498"/>
      <c r="FC270" s="498"/>
    </row>
    <row r="271" spans="3:159">
      <c r="C271" s="295" t="s">
        <v>1145</v>
      </c>
      <c r="J271" s="289">
        <f>'Cashflow Statement'!H57</f>
        <v>165</v>
      </c>
      <c r="K271" s="289">
        <f>'Cashflow Statement'!I57</f>
        <v>374</v>
      </c>
      <c r="L271" s="289">
        <f>'Cashflow Statement'!J57</f>
        <v>49</v>
      </c>
      <c r="M271" s="289">
        <f>'Cashflow Statement'!K57</f>
        <v>818</v>
      </c>
      <c r="N271" s="289">
        <f>'Cashflow Statement'!L57</f>
        <v>934</v>
      </c>
      <c r="O271" s="289">
        <f>'Cashflow Statement'!M57</f>
        <v>532</v>
      </c>
      <c r="P271" s="289">
        <f>'Cashflow Statement'!N57</f>
        <v>565</v>
      </c>
      <c r="Q271" s="289">
        <f>'Cashflow Statement'!O57</f>
        <v>712</v>
      </c>
      <c r="R271" s="289">
        <f>'Cashflow Statement'!P57</f>
        <v>740</v>
      </c>
      <c r="S271" s="289">
        <f>'Cashflow Statement'!Q57</f>
        <v>929</v>
      </c>
      <c r="T271" s="289">
        <f>'Cashflow Statement'!R57</f>
        <v>1455</v>
      </c>
      <c r="U271" s="289">
        <f>'Cashflow Statement'!S57</f>
        <v>1438</v>
      </c>
      <c r="V271" s="289">
        <f>'Cashflow Statement'!T57</f>
        <v>1781</v>
      </c>
      <c r="W271" s="289">
        <f>'Cashflow Statement'!U57</f>
        <v>1983</v>
      </c>
      <c r="X271" s="289">
        <f>'Cashflow Statement'!V57</f>
        <v>1073</v>
      </c>
      <c r="Y271" s="289">
        <f>'Cashflow Statement'!W57</f>
        <v>1680</v>
      </c>
      <c r="Z271" s="289">
        <f>'Cashflow Statement'!X57</f>
        <v>2666</v>
      </c>
      <c r="AA271" s="289">
        <f>'Cashflow Statement'!Y57</f>
        <v>2945</v>
      </c>
      <c r="AB271" s="289">
        <f>'Cashflow Statement'!Z57</f>
        <v>3189</v>
      </c>
      <c r="AC271" s="289">
        <f>'Cashflow Statement'!AA57</f>
        <v>3518.6013391781835</v>
      </c>
      <c r="AD271" s="289">
        <f>'Cashflow Statement'!AB57</f>
        <v>4206.2766698938904</v>
      </c>
      <c r="AE271" s="289">
        <f>'Cashflow Statement'!AC57</f>
        <v>4875.4879954339885</v>
      </c>
      <c r="AF271" s="289">
        <f>'Cashflow Statement'!AD57</f>
        <v>5449.6205658951149</v>
      </c>
      <c r="AG271" s="289">
        <f>'Cashflow Statement'!AE57</f>
        <v>6106.2307315687576</v>
      </c>
      <c r="AH271" s="289">
        <f>'Cashflow Statement'!AF57</f>
        <v>6582.9644679664161</v>
      </c>
      <c r="AO271" s="338"/>
      <c r="AP271" s="449"/>
      <c r="AR271" s="449"/>
      <c r="AS271" s="449"/>
      <c r="BA271" s="260">
        <v>157</v>
      </c>
      <c r="BB271" s="260">
        <v>375</v>
      </c>
      <c r="BC271" s="260">
        <v>104</v>
      </c>
      <c r="BD271" s="260">
        <v>460</v>
      </c>
      <c r="BE271" s="260">
        <v>157</v>
      </c>
      <c r="BF271" s="260">
        <v>555</v>
      </c>
      <c r="BG271" s="260">
        <v>41</v>
      </c>
      <c r="BH271" s="260">
        <v>699</v>
      </c>
      <c r="BI271" s="260">
        <v>96</v>
      </c>
      <c r="BJ271" s="260">
        <v>833</v>
      </c>
      <c r="BK271" s="260">
        <v>566</v>
      </c>
      <c r="BL271" s="260">
        <v>525</v>
      </c>
      <c r="BM271" s="260">
        <v>666</v>
      </c>
      <c r="BN271" s="260">
        <v>772</v>
      </c>
      <c r="BO271" s="260">
        <v>820</v>
      </c>
      <c r="BP271" s="260">
        <v>961</v>
      </c>
      <c r="BQ271" s="260">
        <v>1177</v>
      </c>
      <c r="BR271" s="260">
        <v>806</v>
      </c>
      <c r="BS271" s="260">
        <v>901</v>
      </c>
      <c r="BT271" s="260">
        <v>172</v>
      </c>
      <c r="BU271" s="260">
        <v>701</v>
      </c>
      <c r="BV271" s="1003">
        <f>INDEX($D271:$AF271,MATCH(BV$8,$D$8:$AG$8,0))-BU271</f>
        <v>979</v>
      </c>
      <c r="BW271" s="260">
        <v>1665</v>
      </c>
      <c r="BX271" s="1003">
        <f>INDEX($D271:$AF271,MATCH(BX$8,$D$8:$AG$8,0))-BW271</f>
        <v>1001</v>
      </c>
      <c r="BY271" s="260">
        <v>1463</v>
      </c>
      <c r="BZ271" s="1003">
        <f>INDEX($D271:$AF271,MATCH(BZ$8,$D$8:$AG$8,0))-BY271</f>
        <v>1482</v>
      </c>
      <c r="CA271" s="260">
        <v>1463</v>
      </c>
      <c r="CB271" s="1003">
        <f>INDEX($D271:$AF271,MATCH(CB$8,$D$8:$AG$8,0))-CA271</f>
        <v>1726</v>
      </c>
      <c r="CC271" s="327">
        <f>INDEX($D271:$AF271,MATCH(CC$8,$D$8:$AG$8,0))*CA271/INDEX($D271:$AF271,MATCH(CA$8,$D$8:$AG$8,0))</f>
        <v>1614.2093945492888</v>
      </c>
      <c r="CD271" s="327">
        <f>INDEX($D271:$AF271,MATCH(CD$8,$D$8:$AG$8,0))-CC271</f>
        <v>1904.3919446288946</v>
      </c>
      <c r="CE271" s="327">
        <f>INDEX($D271:$AF271,MATCH(CE$8,$D$8:$AG$8,0))*CC271/INDEX($D271:$AF271,MATCH(CC$8,$D$8:$AG$8,0))</f>
        <v>1929.690425855993</v>
      </c>
      <c r="CF271" s="327">
        <f>INDEX($D271:$AF271,MATCH(CF$8,$D$8:$AG$8,0))-CE271</f>
        <v>2276.5862440378974</v>
      </c>
      <c r="CG271" s="366"/>
      <c r="CH271" s="366"/>
      <c r="CI271" s="366"/>
      <c r="CJ271" s="366"/>
      <c r="CK271" s="366"/>
      <c r="CL271" s="366"/>
      <c r="CM271" s="366"/>
      <c r="CN271" s="366"/>
      <c r="CO271" s="482"/>
      <c r="CR271" s="498"/>
      <c r="CS271" s="498"/>
      <c r="CT271" s="498"/>
      <c r="CU271" s="498"/>
      <c r="CV271" s="498"/>
      <c r="CW271" s="498"/>
      <c r="CX271" s="498"/>
      <c r="CY271" s="498"/>
      <c r="CZ271" s="498"/>
      <c r="DA271" s="498"/>
      <c r="DB271" s="498"/>
      <c r="DC271" s="498"/>
      <c r="DD271" s="498"/>
      <c r="DE271" s="498"/>
      <c r="DF271" s="498"/>
      <c r="DG271" s="498"/>
      <c r="DH271" s="498"/>
      <c r="DI271" s="498"/>
      <c r="DJ271" s="498"/>
      <c r="DK271" s="498"/>
      <c r="DL271" s="498"/>
      <c r="DM271" s="498"/>
      <c r="DN271" s="498"/>
      <c r="DO271" s="498"/>
      <c r="DP271" s="498"/>
      <c r="DQ271" s="498"/>
      <c r="DR271" s="498"/>
      <c r="DS271" s="498"/>
      <c r="DT271" s="498"/>
      <c r="DU271" s="498"/>
      <c r="DV271" s="498"/>
      <c r="DW271" s="498"/>
      <c r="DX271" s="498"/>
      <c r="DY271" s="498"/>
      <c r="DZ271" s="498"/>
      <c r="EA271" s="498"/>
      <c r="EB271" s="498"/>
      <c r="EC271" s="498"/>
      <c r="ED271" s="498"/>
      <c r="EE271" s="498"/>
      <c r="EF271" s="498"/>
      <c r="EG271" s="498"/>
      <c r="EH271" s="498"/>
      <c r="EI271" s="498"/>
      <c r="EJ271" s="498"/>
      <c r="EK271" s="498"/>
      <c r="EL271" s="498"/>
      <c r="EM271" s="498"/>
      <c r="EN271" s="498"/>
      <c r="EO271" s="498"/>
      <c r="EP271" s="498"/>
      <c r="EQ271" s="498"/>
      <c r="ER271" s="498"/>
      <c r="ES271" s="498"/>
      <c r="ET271" s="498"/>
      <c r="EU271" s="498"/>
      <c r="EV271" s="498"/>
      <c r="EW271" s="498"/>
      <c r="EX271" s="498"/>
      <c r="EY271" s="498"/>
      <c r="EZ271" s="498"/>
      <c r="FA271" s="498"/>
      <c r="FB271" s="498"/>
      <c r="FC271" s="498"/>
    </row>
    <row r="272" spans="3:159">
      <c r="C272" s="291"/>
      <c r="J272" s="19"/>
      <c r="K272" s="19"/>
      <c r="L272" s="19"/>
      <c r="M272" s="19"/>
      <c r="N272" s="19"/>
      <c r="O272" s="19"/>
      <c r="P272" s="19"/>
      <c r="Q272" s="19"/>
      <c r="R272" s="19"/>
      <c r="S272" s="352"/>
      <c r="T272" s="352"/>
      <c r="U272" s="352"/>
      <c r="V272" s="366"/>
      <c r="W272" s="366"/>
      <c r="X272" s="366"/>
      <c r="Y272" s="366"/>
      <c r="Z272" s="366"/>
      <c r="AA272" s="366"/>
      <c r="AB272" s="366"/>
      <c r="AC272" s="366"/>
      <c r="AD272" s="366"/>
      <c r="AE272" s="366"/>
      <c r="AF272" s="366"/>
      <c r="AG272" s="366"/>
      <c r="AH272" s="366"/>
      <c r="AO272" s="338"/>
      <c r="AP272" s="449"/>
      <c r="AR272" s="449"/>
      <c r="AS272" s="449"/>
      <c r="BA272" s="366"/>
      <c r="BB272" s="366"/>
      <c r="BC272" s="366"/>
      <c r="BD272" s="366"/>
      <c r="BE272" s="366"/>
      <c r="BF272" s="366"/>
      <c r="BG272" s="366"/>
      <c r="BH272" s="366"/>
      <c r="BI272" s="366"/>
      <c r="BJ272" s="366"/>
      <c r="BK272" s="366"/>
      <c r="BL272" s="366"/>
      <c r="BM272" s="366"/>
      <c r="BN272" s="366"/>
      <c r="BO272" s="366"/>
      <c r="BP272" s="366"/>
      <c r="BQ272" s="366"/>
      <c r="BR272" s="366"/>
      <c r="BS272" s="366"/>
      <c r="BT272" s="366"/>
      <c r="BU272" s="366"/>
      <c r="BV272" s="366"/>
      <c r="BW272" s="366"/>
      <c r="BX272" s="366"/>
      <c r="BY272" s="366"/>
      <c r="BZ272" s="366"/>
      <c r="CA272" s="366"/>
      <c r="CB272" s="366"/>
      <c r="CC272" s="366"/>
      <c r="CD272" s="366"/>
      <c r="CE272" s="366"/>
      <c r="CF272" s="366"/>
      <c r="CG272" s="366"/>
      <c r="CH272" s="366"/>
      <c r="CI272" s="366"/>
      <c r="CJ272" s="366"/>
      <c r="CK272" s="366"/>
      <c r="CL272" s="366"/>
      <c r="CM272" s="366"/>
      <c r="CN272" s="366"/>
      <c r="CO272" s="482"/>
      <c r="CR272" s="498"/>
      <c r="CS272" s="498"/>
      <c r="CT272" s="498"/>
      <c r="CU272" s="498"/>
      <c r="CV272" s="498"/>
      <c r="CW272" s="498"/>
      <c r="CX272" s="498"/>
      <c r="CY272" s="498"/>
      <c r="CZ272" s="498"/>
      <c r="DA272" s="498"/>
      <c r="DB272" s="498"/>
      <c r="DC272" s="498"/>
      <c r="DD272" s="498"/>
      <c r="DE272" s="498"/>
      <c r="DF272" s="498"/>
      <c r="DG272" s="498"/>
      <c r="DH272" s="498"/>
      <c r="DI272" s="498"/>
      <c r="DJ272" s="498"/>
      <c r="DK272" s="498"/>
      <c r="DL272" s="498"/>
      <c r="DM272" s="498"/>
      <c r="DN272" s="498"/>
      <c r="DO272" s="498"/>
      <c r="DP272" s="498"/>
      <c r="DQ272" s="498"/>
      <c r="DR272" s="498"/>
      <c r="DS272" s="498"/>
      <c r="DT272" s="498"/>
      <c r="DU272" s="498"/>
      <c r="DV272" s="498"/>
      <c r="DW272" s="498"/>
      <c r="DX272" s="498"/>
      <c r="DY272" s="498"/>
      <c r="DZ272" s="498"/>
      <c r="EA272" s="498"/>
      <c r="EB272" s="498"/>
      <c r="EC272" s="498"/>
      <c r="ED272" s="498"/>
      <c r="EE272" s="498"/>
      <c r="EF272" s="498"/>
      <c r="EG272" s="498"/>
      <c r="EH272" s="498"/>
      <c r="EI272" s="498"/>
      <c r="EJ272" s="498"/>
      <c r="EK272" s="498"/>
      <c r="EL272" s="498"/>
      <c r="EM272" s="498"/>
      <c r="EN272" s="498"/>
      <c r="EO272" s="498"/>
      <c r="EP272" s="498"/>
      <c r="EQ272" s="498"/>
      <c r="ER272" s="498"/>
      <c r="ES272" s="498"/>
      <c r="ET272" s="498"/>
      <c r="EU272" s="498"/>
      <c r="EV272" s="498"/>
      <c r="EW272" s="498"/>
      <c r="EX272" s="498"/>
      <c r="EY272" s="498"/>
      <c r="EZ272" s="498"/>
      <c r="FA272" s="498"/>
      <c r="FB272" s="498"/>
      <c r="FC272" s="498"/>
    </row>
    <row r="273" spans="3:159">
      <c r="C273" s="295" t="s">
        <v>761</v>
      </c>
      <c r="D273" s="57"/>
      <c r="E273" s="57"/>
      <c r="F273" s="57"/>
      <c r="G273" s="57"/>
      <c r="H273" s="57"/>
      <c r="I273" s="57"/>
      <c r="J273" s="298">
        <f t="shared" ref="J273:AH273" si="88">-SUM(J274:J277)</f>
        <v>419</v>
      </c>
      <c r="K273" s="298">
        <f t="shared" si="88"/>
        <v>169</v>
      </c>
      <c r="L273" s="298">
        <f t="shared" si="88"/>
        <v>635</v>
      </c>
      <c r="M273" s="298">
        <f t="shared" si="88"/>
        <v>498</v>
      </c>
      <c r="N273" s="298">
        <f t="shared" si="88"/>
        <v>-24</v>
      </c>
      <c r="O273" s="298">
        <f t="shared" si="88"/>
        <v>997</v>
      </c>
      <c r="P273" s="298">
        <f t="shared" si="88"/>
        <v>932</v>
      </c>
      <c r="Q273" s="298">
        <f t="shared" si="88"/>
        <v>1220</v>
      </c>
      <c r="R273" s="298">
        <f t="shared" si="88"/>
        <v>1503</v>
      </c>
      <c r="S273" s="298">
        <f t="shared" si="88"/>
        <v>748</v>
      </c>
      <c r="T273" s="298">
        <f t="shared" si="88"/>
        <v>1376</v>
      </c>
      <c r="U273" s="298">
        <f t="shared" si="88"/>
        <v>-313</v>
      </c>
      <c r="V273" s="298">
        <f t="shared" si="88"/>
        <v>3269</v>
      </c>
      <c r="W273" s="298">
        <f t="shared" si="88"/>
        <v>4114</v>
      </c>
      <c r="X273" s="298">
        <f t="shared" si="88"/>
        <v>2792</v>
      </c>
      <c r="Y273" s="298">
        <f t="shared" si="88"/>
        <v>1544</v>
      </c>
      <c r="Z273" s="298">
        <f t="shared" si="88"/>
        <v>-14</v>
      </c>
      <c r="AA273" s="298">
        <f t="shared" si="88"/>
        <v>-374</v>
      </c>
      <c r="AB273" s="298">
        <f t="shared" si="88"/>
        <v>-1738</v>
      </c>
      <c r="AC273" s="298">
        <f t="shared" si="88"/>
        <v>-2455.7677021781838</v>
      </c>
      <c r="AD273" s="298">
        <f t="shared" si="88"/>
        <v>-3669.4906324987242</v>
      </c>
      <c r="AE273" s="298">
        <f t="shared" si="88"/>
        <v>-5154.261274494409</v>
      </c>
      <c r="AF273" s="298">
        <f t="shared" si="88"/>
        <v>-6963.913080364604</v>
      </c>
      <c r="AG273" s="298">
        <f t="shared" si="88"/>
        <v>-10449.360331352229</v>
      </c>
      <c r="AH273" s="298">
        <f t="shared" si="88"/>
        <v>-14272.147557994624</v>
      </c>
      <c r="AO273" s="338"/>
      <c r="AP273" s="449"/>
      <c r="AR273" s="449"/>
      <c r="AS273" s="449"/>
      <c r="BA273" s="260">
        <v>335</v>
      </c>
      <c r="BB273" s="260">
        <v>997</v>
      </c>
      <c r="BC273" s="260">
        <v>1129</v>
      </c>
      <c r="BD273" s="260">
        <v>932</v>
      </c>
      <c r="BE273" s="260">
        <v>1202</v>
      </c>
      <c r="BF273" s="260">
        <v>1220</v>
      </c>
      <c r="BG273" s="260">
        <v>1797</v>
      </c>
      <c r="BH273" s="260">
        <v>1503</v>
      </c>
      <c r="BI273" s="260">
        <v>1499</v>
      </c>
      <c r="BJ273" s="260">
        <v>748</v>
      </c>
      <c r="BK273" s="260">
        <v>1015</v>
      </c>
      <c r="BL273" s="260">
        <v>1376</v>
      </c>
      <c r="BM273" s="260">
        <v>-1560</v>
      </c>
      <c r="BN273" s="260">
        <v>-313</v>
      </c>
      <c r="BO273" s="260">
        <v>-3533</v>
      </c>
      <c r="BP273" s="260">
        <v>3269</v>
      </c>
      <c r="BQ273" s="260">
        <v>2970</v>
      </c>
      <c r="BR273" s="260">
        <v>4114</v>
      </c>
      <c r="BS273" s="260">
        <v>3082</v>
      </c>
      <c r="BT273" s="260">
        <v>2792</v>
      </c>
      <c r="BU273" s="260">
        <v>2566</v>
      </c>
      <c r="BV273" s="1003">
        <f>INDEX($D273:$AF273,MATCH(BV$8,$D$8:$AG$8,0))</f>
        <v>1544</v>
      </c>
      <c r="BW273" s="27"/>
      <c r="BX273" s="1003">
        <f>INDEX($D273:$AF273,MATCH(BX$8,$D$8:$AG$8,0))</f>
        <v>-14</v>
      </c>
      <c r="BY273" s="260">
        <v>263</v>
      </c>
      <c r="BZ273" s="1003">
        <f>INDEX($D273:$AF273,MATCH(BZ$8,$D$8:$AG$8,0))</f>
        <v>-374</v>
      </c>
      <c r="CA273" s="260">
        <v>-895</v>
      </c>
      <c r="CB273" s="1003">
        <f>INDEX($D273:$AF273,MATCH(CB$8,$D$8:$AG$8,0))</f>
        <v>-1738</v>
      </c>
      <c r="CC273" s="327">
        <f>AC273</f>
        <v>-2455.7677021781838</v>
      </c>
      <c r="CD273" s="327">
        <f>INDEX($D273:$AF273,MATCH(CD$8,$D$8:$AG$8,0))</f>
        <v>-2455.7677021781838</v>
      </c>
      <c r="CE273" s="327">
        <f>AE273</f>
        <v>-5154.261274494409</v>
      </c>
      <c r="CF273" s="327">
        <f>INDEX($D273:$AF273,MATCH(CF$8,$D$8:$AG$8,0))</f>
        <v>-3669.4906324987242</v>
      </c>
      <c r="CG273" s="298"/>
      <c r="CH273" s="298"/>
      <c r="CI273" s="298"/>
      <c r="CJ273" s="298"/>
      <c r="CK273" s="298"/>
      <c r="CL273" s="298"/>
      <c r="CM273" s="298"/>
      <c r="CN273" s="298"/>
      <c r="CO273" s="298"/>
      <c r="CR273" s="498"/>
      <c r="CS273" s="498"/>
      <c r="CT273" s="498"/>
      <c r="CU273" s="498"/>
      <c r="CV273" s="498"/>
      <c r="CW273" s="498"/>
      <c r="CX273" s="498"/>
      <c r="CY273" s="498"/>
      <c r="CZ273" s="498"/>
      <c r="DA273" s="498"/>
      <c r="DB273" s="498"/>
      <c r="DC273" s="498"/>
      <c r="DD273" s="498"/>
      <c r="DE273" s="498"/>
      <c r="DF273" s="498"/>
      <c r="DG273" s="498"/>
      <c r="DH273" s="498"/>
      <c r="DI273" s="498"/>
      <c r="DJ273" s="498"/>
      <c r="DK273" s="498"/>
      <c r="DL273" s="498"/>
      <c r="DM273" s="498"/>
      <c r="DN273" s="498"/>
      <c r="DO273" s="498"/>
      <c r="DP273" s="498"/>
      <c r="DQ273" s="498"/>
      <c r="DR273" s="498"/>
      <c r="DS273" s="498"/>
      <c r="DT273" s="498"/>
      <c r="DU273" s="498"/>
      <c r="DV273" s="498"/>
      <c r="DW273" s="498"/>
      <c r="DX273" s="498"/>
      <c r="DY273" s="498"/>
      <c r="DZ273" s="498"/>
      <c r="EA273" s="498"/>
      <c r="EB273" s="498"/>
      <c r="EC273" s="498"/>
      <c r="ED273" s="498"/>
      <c r="EE273" s="498"/>
      <c r="EF273" s="498"/>
      <c r="EG273" s="498"/>
      <c r="EH273" s="498"/>
      <c r="EI273" s="498"/>
      <c r="EJ273" s="498"/>
      <c r="EK273" s="498"/>
      <c r="EL273" s="498"/>
      <c r="EM273" s="498"/>
      <c r="EN273" s="498"/>
      <c r="EO273" s="498"/>
      <c r="EP273" s="498"/>
      <c r="EQ273" s="498"/>
      <c r="ER273" s="498"/>
      <c r="ES273" s="498"/>
      <c r="ET273" s="498"/>
      <c r="EU273" s="498"/>
      <c r="EV273" s="498"/>
      <c r="EW273" s="498"/>
      <c r="EX273" s="498"/>
      <c r="EY273" s="498"/>
      <c r="EZ273" s="498"/>
      <c r="FA273" s="498"/>
      <c r="FB273" s="498"/>
      <c r="FC273" s="498"/>
    </row>
    <row r="274" spans="3:159">
      <c r="C274" s="291" t="s">
        <v>760</v>
      </c>
      <c r="J274" s="375">
        <f>'Balance Sheet'!H23</f>
        <v>743</v>
      </c>
      <c r="K274" s="375">
        <f>'Balance Sheet'!I23</f>
        <v>730</v>
      </c>
      <c r="L274" s="375">
        <f>'Balance Sheet'!J23</f>
        <v>919</v>
      </c>
      <c r="M274" s="375">
        <f>'Balance Sheet'!K23</f>
        <v>2080</v>
      </c>
      <c r="N274" s="375">
        <f>'Balance Sheet'!L23</f>
        <v>2062</v>
      </c>
      <c r="O274" s="375">
        <f>'Balance Sheet'!M23</f>
        <v>1431</v>
      </c>
      <c r="P274" s="375">
        <f>'Balance Sheet'!N23</f>
        <v>2193</v>
      </c>
      <c r="Q274" s="375">
        <f>'Balance Sheet'!O23</f>
        <v>1547</v>
      </c>
      <c r="R274" s="375">
        <f>'Balance Sheet'!P23</f>
        <v>1633</v>
      </c>
      <c r="S274" s="375">
        <f>'Balance Sheet'!Q23</f>
        <v>1845</v>
      </c>
      <c r="T274" s="375">
        <f>'Balance Sheet'!R23</f>
        <v>1926</v>
      </c>
      <c r="U274" s="375">
        <f>'Balance Sheet'!S23</f>
        <v>4914</v>
      </c>
      <c r="V274" s="375">
        <f>'Balance Sheet'!T23</f>
        <v>2330</v>
      </c>
      <c r="W274" s="375">
        <f>'Balance Sheet'!U23</f>
        <v>2632</v>
      </c>
      <c r="X274" s="375">
        <f>'Balance Sheet'!V23</f>
        <v>3747</v>
      </c>
      <c r="Y274" s="375">
        <f>'Balance Sheet'!W23</f>
        <v>5247</v>
      </c>
      <c r="Z274" s="375">
        <f>'Balance Sheet'!X23</f>
        <v>6687</v>
      </c>
      <c r="AA274" s="375">
        <f>'Balance Sheet'!Y23</f>
        <v>6676</v>
      </c>
      <c r="AB274" s="375">
        <f>'Balance Sheet'!Z23</f>
        <v>6514</v>
      </c>
      <c r="AC274" s="375">
        <f>'Balance Sheet'!AA23</f>
        <v>7231.7677021781838</v>
      </c>
      <c r="AD274" s="375">
        <f>'Balance Sheet'!AB23</f>
        <v>8445.4906324987242</v>
      </c>
      <c r="AE274" s="375">
        <f>'Balance Sheet'!AC23</f>
        <v>9930.261274494409</v>
      </c>
      <c r="AF274" s="375">
        <f>'Balance Sheet'!AD23</f>
        <v>11739.913080364604</v>
      </c>
      <c r="AG274" s="375">
        <f>'Balance Sheet'!AE23</f>
        <v>15225.360331352229</v>
      </c>
      <c r="AH274" s="375">
        <f>'Balance Sheet'!AF23</f>
        <v>19048.147557994624</v>
      </c>
      <c r="AO274" s="338"/>
      <c r="AP274" s="449"/>
      <c r="AR274" s="449"/>
      <c r="AS274" s="449"/>
      <c r="BA274" s="375"/>
      <c r="BB274" s="375"/>
      <c r="BC274" s="375"/>
      <c r="BD274" s="375"/>
      <c r="BE274" s="375"/>
      <c r="BF274" s="375"/>
      <c r="BG274" s="375"/>
      <c r="BH274" s="375"/>
      <c r="BI274" s="375"/>
      <c r="BJ274" s="375"/>
      <c r="BK274" s="375"/>
      <c r="BL274" s="375"/>
      <c r="BM274" s="375"/>
      <c r="BN274" s="375"/>
      <c r="BO274" s="375"/>
      <c r="BP274" s="375"/>
      <c r="BQ274" s="375"/>
      <c r="BR274" s="375"/>
      <c r="BS274" s="375"/>
      <c r="BT274" s="375"/>
      <c r="BU274" s="375"/>
      <c r="BV274" s="375"/>
      <c r="BW274" s="375"/>
      <c r="BX274" s="375"/>
      <c r="BY274" s="375"/>
      <c r="BZ274" s="375"/>
      <c r="CA274" s="375"/>
      <c r="CB274" s="375"/>
      <c r="CC274" s="375"/>
      <c r="CD274" s="375"/>
      <c r="CE274" s="375"/>
      <c r="CF274" s="375"/>
      <c r="CG274" s="375"/>
      <c r="CH274" s="375"/>
      <c r="CI274" s="375"/>
      <c r="CJ274" s="375"/>
      <c r="CK274" s="375"/>
      <c r="CL274" s="375"/>
      <c r="CM274" s="375"/>
      <c r="CN274" s="375"/>
      <c r="CO274" s="485"/>
      <c r="CR274" s="498"/>
      <c r="CS274" s="498"/>
      <c r="CT274" s="498"/>
      <c r="CU274" s="498"/>
      <c r="CV274" s="498"/>
      <c r="CW274" s="498"/>
      <c r="CX274" s="498"/>
      <c r="CY274" s="498"/>
      <c r="CZ274" s="498"/>
      <c r="DA274" s="498"/>
      <c r="DB274" s="498"/>
      <c r="DC274" s="498"/>
      <c r="DD274" s="498"/>
      <c r="DE274" s="498"/>
      <c r="DF274" s="498"/>
      <c r="DG274" s="498"/>
      <c r="DH274" s="498"/>
      <c r="DI274" s="498"/>
      <c r="DJ274" s="498"/>
      <c r="DK274" s="498"/>
      <c r="DL274" s="498"/>
      <c r="DM274" s="498"/>
      <c r="DN274" s="498"/>
      <c r="DO274" s="498"/>
      <c r="DP274" s="498"/>
      <c r="DQ274" s="498"/>
      <c r="DR274" s="498"/>
      <c r="DS274" s="498"/>
      <c r="DT274" s="498"/>
      <c r="DU274" s="498"/>
      <c r="DV274" s="498"/>
      <c r="DW274" s="498"/>
      <c r="DX274" s="498"/>
      <c r="DY274" s="498"/>
      <c r="DZ274" s="498"/>
      <c r="EA274" s="498"/>
      <c r="EB274" s="498"/>
      <c r="EC274" s="498"/>
      <c r="ED274" s="498"/>
      <c r="EE274" s="498"/>
      <c r="EF274" s="498"/>
      <c r="EG274" s="498"/>
      <c r="EH274" s="498"/>
      <c r="EI274" s="498"/>
      <c r="EJ274" s="498"/>
      <c r="EK274" s="498"/>
      <c r="EL274" s="498"/>
      <c r="EM274" s="498"/>
      <c r="EN274" s="498"/>
      <c r="EO274" s="498"/>
      <c r="EP274" s="498"/>
      <c r="EQ274" s="498"/>
      <c r="ER274" s="498"/>
      <c r="ES274" s="498"/>
      <c r="ET274" s="498"/>
      <c r="EU274" s="498"/>
      <c r="EV274" s="498"/>
      <c r="EW274" s="498"/>
      <c r="EX274" s="498"/>
      <c r="EY274" s="498"/>
      <c r="EZ274" s="498"/>
      <c r="FA274" s="498"/>
      <c r="FB274" s="498"/>
      <c r="FC274" s="498"/>
    </row>
    <row r="275" spans="3:159">
      <c r="C275" s="291" t="s">
        <v>759</v>
      </c>
      <c r="J275" s="375">
        <f>'Balance Sheet'!H39</f>
        <v>-699</v>
      </c>
      <c r="K275" s="375">
        <f>'Balance Sheet'!I39</f>
        <v>-502</v>
      </c>
      <c r="L275" s="375">
        <f>'Balance Sheet'!J39</f>
        <v>-1136</v>
      </c>
      <c r="M275" s="375">
        <f>'Balance Sheet'!K39</f>
        <v>-1367</v>
      </c>
      <c r="N275" s="375">
        <f>'Balance Sheet'!L39</f>
        <v>-568</v>
      </c>
      <c r="O275" s="375">
        <f>'Balance Sheet'!M39</f>
        <v>-998</v>
      </c>
      <c r="P275" s="375">
        <f>'Balance Sheet'!N39</f>
        <v>-916</v>
      </c>
      <c r="Q275" s="375">
        <f>'Balance Sheet'!O39</f>
        <v>-1435</v>
      </c>
      <c r="R275" s="375">
        <f>'Balance Sheet'!P39</f>
        <v>-1507</v>
      </c>
      <c r="S275" s="375">
        <f>'Balance Sheet'!Q39</f>
        <v>-876</v>
      </c>
      <c r="T275" s="375">
        <f>'Balance Sheet'!R39</f>
        <v>-945</v>
      </c>
      <c r="U275" s="375">
        <f>'Balance Sheet'!S39</f>
        <v>-1390</v>
      </c>
      <c r="V275" s="375">
        <f>'Balance Sheet'!T39</f>
        <v>-2221</v>
      </c>
      <c r="W275" s="375">
        <f>'Balance Sheet'!U39</f>
        <v>-3540</v>
      </c>
      <c r="X275" s="375">
        <f>'Balance Sheet'!V39</f>
        <v>-2509</v>
      </c>
      <c r="Y275" s="375">
        <f>'Balance Sheet'!W39</f>
        <v>-1720</v>
      </c>
      <c r="Z275" s="375">
        <f>'Balance Sheet'!X39</f>
        <v>-1277</v>
      </c>
      <c r="AA275" s="375">
        <f>'Balance Sheet'!Y39</f>
        <v>-1608</v>
      </c>
      <c r="AB275" s="375">
        <f>'Balance Sheet'!Z39</f>
        <v>-988</v>
      </c>
      <c r="AC275" s="375">
        <f>'Balance Sheet'!AA39</f>
        <v>-988</v>
      </c>
      <c r="AD275" s="375">
        <f>'Balance Sheet'!AB39</f>
        <v>-988</v>
      </c>
      <c r="AE275" s="375">
        <f>'Balance Sheet'!AC39</f>
        <v>-988</v>
      </c>
      <c r="AF275" s="375">
        <f>'Balance Sheet'!AD39</f>
        <v>-988</v>
      </c>
      <c r="AG275" s="375">
        <f>'Balance Sheet'!AE39</f>
        <v>-988</v>
      </c>
      <c r="AH275" s="375">
        <f>'Balance Sheet'!AF39</f>
        <v>-988</v>
      </c>
      <c r="AO275" s="338"/>
      <c r="AP275" s="449"/>
      <c r="AR275" s="449"/>
      <c r="AS275" s="449"/>
      <c r="BA275" s="375"/>
      <c r="BB275" s="375"/>
      <c r="BC275" s="375"/>
      <c r="BD275" s="375"/>
      <c r="BE275" s="375"/>
      <c r="BF275" s="375"/>
      <c r="BG275" s="375"/>
      <c r="BH275" s="375"/>
      <c r="BI275" s="375"/>
      <c r="BJ275" s="375"/>
      <c r="BK275" s="375"/>
      <c r="BL275" s="375"/>
      <c r="BM275" s="375"/>
      <c r="BN275" s="375"/>
      <c r="BO275" s="375"/>
      <c r="BP275" s="375"/>
      <c r="BQ275" s="375"/>
      <c r="BR275" s="375"/>
      <c r="BS275" s="375"/>
      <c r="BT275" s="375"/>
      <c r="BU275" s="375"/>
      <c r="BV275" s="375"/>
      <c r="BW275" s="375"/>
      <c r="BX275" s="375"/>
      <c r="BY275" s="375"/>
      <c r="BZ275" s="375"/>
      <c r="CA275" s="375"/>
      <c r="CB275" s="375"/>
      <c r="CC275" s="375"/>
      <c r="CD275" s="375"/>
      <c r="CE275" s="375"/>
      <c r="CF275" s="375"/>
      <c r="CG275" s="375"/>
      <c r="CH275" s="375"/>
      <c r="CI275" s="375"/>
      <c r="CJ275" s="375"/>
      <c r="CK275" s="375"/>
      <c r="CL275" s="375"/>
      <c r="CM275" s="375"/>
      <c r="CN275" s="375"/>
      <c r="CO275" s="485"/>
      <c r="CR275" s="498"/>
      <c r="CS275" s="498"/>
      <c r="CT275" s="498"/>
      <c r="CU275" s="498"/>
      <c r="CV275" s="498"/>
      <c r="CW275" s="498"/>
      <c r="CX275" s="498"/>
      <c r="CY275" s="498"/>
      <c r="CZ275" s="498"/>
      <c r="DA275" s="498"/>
      <c r="DB275" s="498"/>
      <c r="DC275" s="498"/>
      <c r="DD275" s="498"/>
      <c r="DE275" s="498"/>
      <c r="DF275" s="498"/>
      <c r="DG275" s="498"/>
      <c r="DH275" s="498"/>
      <c r="DI275" s="498"/>
      <c r="DJ275" s="498"/>
      <c r="DK275" s="498"/>
      <c r="DL275" s="498"/>
      <c r="DM275" s="498"/>
      <c r="DN275" s="498"/>
      <c r="DO275" s="498"/>
      <c r="DP275" s="498"/>
      <c r="DQ275" s="498"/>
      <c r="DR275" s="498"/>
      <c r="DS275" s="498"/>
      <c r="DT275" s="498"/>
      <c r="DU275" s="498"/>
      <c r="DV275" s="498"/>
      <c r="DW275" s="498"/>
      <c r="DX275" s="498"/>
      <c r="DY275" s="498"/>
      <c r="DZ275" s="498"/>
      <c r="EA275" s="498"/>
      <c r="EB275" s="498"/>
      <c r="EC275" s="498"/>
      <c r="ED275" s="498"/>
      <c r="EE275" s="498"/>
      <c r="EF275" s="498"/>
      <c r="EG275" s="498"/>
      <c r="EH275" s="498"/>
      <c r="EI275" s="498"/>
      <c r="EJ275" s="498"/>
      <c r="EK275" s="498"/>
      <c r="EL275" s="498"/>
      <c r="EM275" s="498"/>
      <c r="EN275" s="498"/>
      <c r="EO275" s="498"/>
      <c r="EP275" s="498"/>
      <c r="EQ275" s="498"/>
      <c r="ER275" s="498"/>
      <c r="ES275" s="498"/>
      <c r="ET275" s="498"/>
      <c r="EU275" s="498"/>
      <c r="EV275" s="498"/>
      <c r="EW275" s="498"/>
      <c r="EX275" s="498"/>
      <c r="EY275" s="498"/>
      <c r="EZ275" s="498"/>
      <c r="FA275" s="498"/>
      <c r="FB275" s="498"/>
      <c r="FC275" s="498"/>
    </row>
    <row r="276" spans="3:159">
      <c r="C276" s="291" t="s">
        <v>758</v>
      </c>
      <c r="J276" s="375">
        <f>'Balance Sheet'!H31</f>
        <v>-463</v>
      </c>
      <c r="K276" s="375">
        <f>'Balance Sheet'!I31</f>
        <v>-397</v>
      </c>
      <c r="L276" s="375">
        <f>'Balance Sheet'!J31</f>
        <v>-418</v>
      </c>
      <c r="M276" s="375">
        <f>'Balance Sheet'!K31</f>
        <v>-1208</v>
      </c>
      <c r="N276" s="375">
        <f>'Balance Sheet'!L31</f>
        <v>-1483</v>
      </c>
      <c r="O276" s="375">
        <f>'Balance Sheet'!M31</f>
        <v>-1447</v>
      </c>
      <c r="P276" s="375">
        <f>'Balance Sheet'!N31</f>
        <v>-2259</v>
      </c>
      <c r="Q276" s="375">
        <f>'Balance Sheet'!O31</f>
        <v>-1301</v>
      </c>
      <c r="R276" s="375">
        <f>'Balance Sheet'!P31</f>
        <v>-1658</v>
      </c>
      <c r="S276" s="375">
        <f>'Balance Sheet'!Q31</f>
        <v>-1752</v>
      </c>
      <c r="T276" s="375">
        <f>'Balance Sheet'!R31</f>
        <v>-2392</v>
      </c>
      <c r="U276" s="375">
        <f>'Balance Sheet'!S31</f>
        <v>-3246</v>
      </c>
      <c r="V276" s="375">
        <f>'Balance Sheet'!T31</f>
        <v>-3384</v>
      </c>
      <c r="W276" s="375">
        <f>'Balance Sheet'!U31</f>
        <v>-3239</v>
      </c>
      <c r="X276" s="375">
        <f>'Balance Sheet'!V31</f>
        <v>-4082</v>
      </c>
      <c r="Y276" s="375">
        <f>'Balance Sheet'!W31</f>
        <v>-5094</v>
      </c>
      <c r="Z276" s="375">
        <f>'Balance Sheet'!X31</f>
        <v>-5378</v>
      </c>
      <c r="AA276" s="375">
        <f>'Balance Sheet'!Y31</f>
        <v>-4691</v>
      </c>
      <c r="AB276" s="375">
        <f>'Balance Sheet'!Z31</f>
        <v>-3788</v>
      </c>
      <c r="AC276" s="375">
        <f>'Balance Sheet'!AA31</f>
        <v>-3788</v>
      </c>
      <c r="AD276" s="375">
        <f>'Balance Sheet'!AB31</f>
        <v>-3788</v>
      </c>
      <c r="AE276" s="375">
        <f>'Balance Sheet'!AC31</f>
        <v>-3788</v>
      </c>
      <c r="AF276" s="375">
        <f>'Balance Sheet'!AD31</f>
        <v>-3788</v>
      </c>
      <c r="AG276" s="375">
        <f>'Balance Sheet'!AE31</f>
        <v>-3788</v>
      </c>
      <c r="AH276" s="375">
        <f>'Balance Sheet'!AF31</f>
        <v>-3788</v>
      </c>
      <c r="AO276" s="338"/>
      <c r="AP276" s="449"/>
      <c r="AR276" s="449"/>
      <c r="AS276" s="449"/>
      <c r="BA276" s="375"/>
      <c r="BB276" s="375"/>
      <c r="BC276" s="375"/>
      <c r="BD276" s="375"/>
      <c r="BE276" s="375"/>
      <c r="BF276" s="375"/>
      <c r="BG276" s="375"/>
      <c r="BH276" s="375"/>
      <c r="BI276" s="375"/>
      <c r="BJ276" s="375"/>
      <c r="BK276" s="375"/>
      <c r="BL276" s="375"/>
      <c r="BM276" s="375"/>
      <c r="BN276" s="375"/>
      <c r="BO276" s="375"/>
      <c r="BP276" s="375"/>
      <c r="BQ276" s="375"/>
      <c r="BR276" s="375"/>
      <c r="BS276" s="375"/>
      <c r="BT276" s="375"/>
      <c r="BU276" s="375"/>
      <c r="BV276" s="375"/>
      <c r="BW276" s="375"/>
      <c r="BX276" s="375"/>
      <c r="BY276" s="375"/>
      <c r="BZ276" s="375"/>
      <c r="CA276" s="375"/>
      <c r="CB276" s="375"/>
      <c r="CC276" s="375"/>
      <c r="CD276" s="375"/>
      <c r="CE276" s="375"/>
      <c r="CF276" s="375"/>
      <c r="CG276" s="375"/>
      <c r="CH276" s="375"/>
      <c r="CI276" s="375"/>
      <c r="CJ276" s="375"/>
      <c r="CK276" s="375"/>
      <c r="CL276" s="375"/>
      <c r="CM276" s="375"/>
      <c r="CN276" s="375"/>
      <c r="CO276" s="485"/>
      <c r="CR276" s="498"/>
      <c r="CS276" s="498"/>
      <c r="CT276" s="498"/>
      <c r="CU276" s="498"/>
      <c r="CV276" s="498"/>
      <c r="CW276" s="498"/>
      <c r="CX276" s="498"/>
      <c r="CY276" s="498"/>
      <c r="CZ276" s="498"/>
      <c r="DA276" s="498"/>
      <c r="DB276" s="498"/>
      <c r="DC276" s="498"/>
      <c r="DD276" s="498"/>
      <c r="DE276" s="498"/>
      <c r="DF276" s="498"/>
      <c r="DG276" s="498"/>
      <c r="DH276" s="498"/>
      <c r="DI276" s="498"/>
      <c r="DJ276" s="498"/>
      <c r="DK276" s="498"/>
      <c r="DL276" s="498"/>
      <c r="DM276" s="498"/>
      <c r="DN276" s="498"/>
      <c r="DO276" s="498"/>
      <c r="DP276" s="498"/>
      <c r="DQ276" s="498"/>
      <c r="DR276" s="498"/>
      <c r="DS276" s="498"/>
      <c r="DT276" s="498"/>
      <c r="DU276" s="498"/>
      <c r="DV276" s="498"/>
      <c r="DW276" s="498"/>
      <c r="DX276" s="498"/>
      <c r="DY276" s="498"/>
      <c r="DZ276" s="498"/>
      <c r="EA276" s="498"/>
      <c r="EB276" s="498"/>
      <c r="EC276" s="498"/>
      <c r="ED276" s="498"/>
      <c r="EE276" s="498"/>
      <c r="EF276" s="498"/>
      <c r="EG276" s="498"/>
      <c r="EH276" s="498"/>
      <c r="EI276" s="498"/>
      <c r="EJ276" s="498"/>
      <c r="EK276" s="498"/>
      <c r="EL276" s="498"/>
      <c r="EM276" s="498"/>
      <c r="EN276" s="498"/>
      <c r="EO276" s="498"/>
      <c r="EP276" s="498"/>
      <c r="EQ276" s="498"/>
      <c r="ER276" s="498"/>
      <c r="ES276" s="498"/>
      <c r="ET276" s="498"/>
      <c r="EU276" s="498"/>
      <c r="EV276" s="498"/>
      <c r="EW276" s="498"/>
      <c r="EX276" s="498"/>
      <c r="EY276" s="498"/>
      <c r="EZ276" s="498"/>
      <c r="FA276" s="498"/>
      <c r="FB276" s="498"/>
      <c r="FC276" s="498"/>
    </row>
    <row r="277" spans="3:159">
      <c r="C277" s="291" t="s">
        <v>757</v>
      </c>
      <c r="J277" s="375"/>
      <c r="K277" s="375"/>
      <c r="L277" s="375"/>
      <c r="M277" s="376">
        <v>-3</v>
      </c>
      <c r="N277" s="376">
        <v>13</v>
      </c>
      <c r="O277" s="376">
        <v>17</v>
      </c>
      <c r="P277" s="376">
        <v>50</v>
      </c>
      <c r="Q277" s="376">
        <v>-31</v>
      </c>
      <c r="R277" s="376">
        <v>29</v>
      </c>
      <c r="S277" s="376">
        <v>35</v>
      </c>
      <c r="T277" s="375">
        <f>S277</f>
        <v>35</v>
      </c>
      <c r="U277" s="375">
        <f>T277</f>
        <v>35</v>
      </c>
      <c r="V277" s="376">
        <v>6</v>
      </c>
      <c r="W277" s="376">
        <v>33</v>
      </c>
      <c r="X277" s="376">
        <v>52</v>
      </c>
      <c r="Y277" s="376">
        <v>23</v>
      </c>
      <c r="Z277" s="376">
        <v>-18</v>
      </c>
      <c r="AA277" s="376">
        <v>-3</v>
      </c>
      <c r="AB277" s="376">
        <v>0</v>
      </c>
      <c r="AC277" s="19">
        <f t="shared" ref="AC277:AH277" si="89">AB277</f>
        <v>0</v>
      </c>
      <c r="AD277" s="19">
        <f t="shared" si="89"/>
        <v>0</v>
      </c>
      <c r="AE277" s="19">
        <f t="shared" si="89"/>
        <v>0</v>
      </c>
      <c r="AF277" s="19">
        <f t="shared" si="89"/>
        <v>0</v>
      </c>
      <c r="AG277" s="19">
        <f t="shared" si="89"/>
        <v>0</v>
      </c>
      <c r="AH277" s="19">
        <f t="shared" si="89"/>
        <v>0</v>
      </c>
      <c r="AO277" s="338"/>
      <c r="AP277" s="449"/>
      <c r="AR277" s="449"/>
      <c r="AS277" s="449"/>
      <c r="BA277" s="376"/>
      <c r="BB277" s="376"/>
      <c r="BC277" s="376"/>
      <c r="BD277" s="376"/>
      <c r="BE277" s="376"/>
      <c r="BF277" s="376"/>
      <c r="BG277" s="376"/>
      <c r="BH277" s="376"/>
      <c r="BI277" s="376"/>
      <c r="BJ277" s="376"/>
      <c r="BK277" s="376"/>
      <c r="BL277" s="376"/>
      <c r="BM277" s="376"/>
      <c r="BN277" s="376"/>
      <c r="BO277" s="376"/>
      <c r="BP277" s="376"/>
      <c r="BQ277" s="376"/>
      <c r="BR277" s="376"/>
      <c r="BS277" s="376"/>
      <c r="BT277" s="376"/>
      <c r="BU277" s="376"/>
      <c r="BV277" s="376"/>
      <c r="BW277" s="376"/>
      <c r="BX277" s="376"/>
      <c r="BY277" s="376"/>
      <c r="BZ277" s="376"/>
      <c r="CA277" s="376"/>
      <c r="CB277" s="376"/>
      <c r="CC277" s="376"/>
      <c r="CD277" s="376"/>
      <c r="CE277" s="376"/>
      <c r="CF277" s="376"/>
      <c r="CG277" s="376"/>
      <c r="CH277" s="376"/>
      <c r="CI277" s="376"/>
      <c r="CJ277" s="376"/>
      <c r="CK277" s="376"/>
      <c r="CL277" s="376"/>
      <c r="CM277" s="376"/>
      <c r="CN277" s="376"/>
      <c r="CO277" s="486"/>
      <c r="CR277" s="498"/>
      <c r="CS277" s="498"/>
      <c r="CT277" s="498"/>
      <c r="CU277" s="498"/>
      <c r="CV277" s="498"/>
      <c r="CW277" s="498"/>
      <c r="CX277" s="498"/>
      <c r="CY277" s="498"/>
      <c r="CZ277" s="498"/>
      <c r="DA277" s="498"/>
      <c r="DB277" s="498"/>
      <c r="DC277" s="498"/>
      <c r="DD277" s="498"/>
      <c r="DE277" s="498"/>
      <c r="DF277" s="498"/>
      <c r="DG277" s="498"/>
      <c r="DH277" s="498"/>
      <c r="DI277" s="498"/>
      <c r="DJ277" s="498"/>
      <c r="DK277" s="498"/>
      <c r="DL277" s="498"/>
      <c r="DM277" s="498"/>
      <c r="DN277" s="498"/>
      <c r="DO277" s="498"/>
      <c r="DP277" s="498"/>
      <c r="DQ277" s="498"/>
      <c r="DR277" s="498"/>
      <c r="DS277" s="498"/>
      <c r="DT277" s="498"/>
      <c r="DU277" s="498"/>
      <c r="DV277" s="498"/>
      <c r="DW277" s="498"/>
      <c r="DX277" s="498"/>
      <c r="DY277" s="498"/>
      <c r="DZ277" s="498"/>
      <c r="EA277" s="498"/>
      <c r="EB277" s="498"/>
      <c r="EC277" s="498"/>
      <c r="ED277" s="498"/>
      <c r="EE277" s="498"/>
      <c r="EF277" s="498"/>
      <c r="EG277" s="498"/>
      <c r="EH277" s="498"/>
      <c r="EI277" s="498"/>
      <c r="EJ277" s="498"/>
      <c r="EK277" s="498"/>
      <c r="EL277" s="498"/>
      <c r="EM277" s="498"/>
      <c r="EN277" s="498"/>
      <c r="EO277" s="498"/>
      <c r="EP277" s="498"/>
      <c r="EQ277" s="498"/>
      <c r="ER277" s="498"/>
      <c r="ES277" s="498"/>
      <c r="ET277" s="498"/>
      <c r="EU277" s="498"/>
      <c r="EV277" s="498"/>
      <c r="EW277" s="498"/>
      <c r="EX277" s="498"/>
      <c r="EY277" s="498"/>
      <c r="EZ277" s="498"/>
      <c r="FA277" s="498"/>
      <c r="FB277" s="498"/>
      <c r="FC277" s="498"/>
    </row>
    <row r="278" spans="3:159">
      <c r="C278" s="19"/>
      <c r="AO278" s="338"/>
      <c r="AP278" s="449"/>
      <c r="AR278" s="449"/>
      <c r="AS278" s="449"/>
    </row>
    <row r="279" spans="3:159">
      <c r="C279" s="282" t="s">
        <v>1111</v>
      </c>
      <c r="D279" s="282"/>
      <c r="E279" s="282"/>
      <c r="F279" s="282"/>
      <c r="G279" s="282"/>
      <c r="H279" s="282"/>
      <c r="I279" s="282"/>
      <c r="J279" s="282"/>
      <c r="K279" s="282"/>
      <c r="L279" s="282"/>
      <c r="M279" s="282"/>
      <c r="N279" s="282"/>
      <c r="O279" s="282"/>
      <c r="P279" s="282"/>
      <c r="Q279" s="282"/>
      <c r="R279" s="282"/>
      <c r="S279" s="282"/>
      <c r="T279" s="282"/>
      <c r="U279" s="282"/>
      <c r="V279" s="282"/>
      <c r="W279" s="282"/>
      <c r="X279" s="282"/>
      <c r="Y279" s="282"/>
      <c r="Z279" s="282"/>
      <c r="AA279" s="282"/>
      <c r="AB279" s="282"/>
      <c r="AC279" s="195"/>
      <c r="AD279" s="195"/>
      <c r="AE279" s="195"/>
      <c r="AF279" s="195"/>
      <c r="AG279" s="195"/>
      <c r="AH279" s="195"/>
      <c r="AO279" s="338"/>
      <c r="AP279" s="449"/>
      <c r="AR279" s="449"/>
      <c r="AS279" s="449"/>
      <c r="BA279" s="282"/>
      <c r="BB279" s="282"/>
      <c r="BC279" s="282"/>
      <c r="BD279" s="282"/>
      <c r="BE279" s="282"/>
      <c r="BF279" s="282"/>
      <c r="BG279" s="282"/>
      <c r="BH279" s="282"/>
      <c r="BI279" s="282"/>
      <c r="BJ279" s="282"/>
      <c r="BK279" s="282"/>
      <c r="BL279" s="282"/>
      <c r="BM279" s="282"/>
      <c r="BN279" s="282"/>
      <c r="BO279" s="282"/>
      <c r="BP279" s="282"/>
      <c r="BQ279" s="282"/>
      <c r="BR279" s="282"/>
      <c r="BS279" s="282"/>
      <c r="BT279" s="282"/>
      <c r="BU279" s="282"/>
      <c r="BV279" s="282"/>
      <c r="BW279" s="282"/>
      <c r="BX279" s="282"/>
      <c r="BY279" s="282"/>
      <c r="BZ279" s="282"/>
      <c r="CA279" s="282"/>
      <c r="CB279" s="282"/>
      <c r="CC279" s="337"/>
      <c r="CD279" s="337"/>
      <c r="CE279" s="337"/>
      <c r="CF279" s="337"/>
      <c r="CG279" s="337"/>
      <c r="CH279" s="337"/>
      <c r="CI279" s="337"/>
      <c r="CJ279" s="337"/>
      <c r="CK279" s="337"/>
      <c r="CL279" s="337"/>
      <c r="CM279" s="337"/>
      <c r="CN279" s="337"/>
      <c r="CO279" s="483"/>
      <c r="CR279" s="282"/>
      <c r="CS279" s="282"/>
      <c r="CT279" s="282"/>
      <c r="CU279" s="282"/>
      <c r="CV279" s="282"/>
      <c r="CW279" s="282"/>
      <c r="CX279" s="282"/>
      <c r="CY279" s="282"/>
      <c r="CZ279" s="282"/>
      <c r="DA279" s="282"/>
      <c r="DB279" s="282"/>
      <c r="DC279" s="282"/>
      <c r="DD279" s="282"/>
      <c r="DE279" s="282"/>
      <c r="DF279" s="282"/>
      <c r="DG279" s="282"/>
      <c r="DH279" s="282"/>
      <c r="DI279" s="282"/>
      <c r="DJ279" s="282"/>
      <c r="DK279" s="282"/>
      <c r="DL279" s="282"/>
      <c r="DM279" s="282"/>
      <c r="DN279" s="282"/>
      <c r="DO279" s="282"/>
      <c r="DP279" s="282"/>
      <c r="DQ279" s="282"/>
      <c r="DR279" s="282"/>
      <c r="DS279" s="282"/>
      <c r="DT279" s="282"/>
      <c r="DU279" s="282"/>
      <c r="DV279" s="282"/>
      <c r="DW279" s="282"/>
      <c r="DX279" s="282"/>
      <c r="DY279" s="282"/>
      <c r="DZ279" s="282"/>
      <c r="EA279" s="282"/>
      <c r="EB279" s="282"/>
      <c r="EC279" s="282"/>
      <c r="ED279" s="282"/>
      <c r="EE279" s="282"/>
      <c r="EF279" s="282"/>
      <c r="EG279" s="282"/>
      <c r="EH279" s="282"/>
      <c r="EI279" s="282"/>
      <c r="EJ279" s="282"/>
      <c r="EK279" s="282"/>
      <c r="EL279" s="282"/>
      <c r="EM279" s="282"/>
      <c r="EN279" s="282"/>
      <c r="EO279" s="282"/>
      <c r="EP279" s="282"/>
      <c r="EQ279" s="282"/>
      <c r="ER279" s="282"/>
      <c r="ES279" s="282"/>
      <c r="ET279" s="282"/>
      <c r="EU279" s="282"/>
      <c r="EV279" s="282"/>
      <c r="EW279" s="337"/>
      <c r="EX279" s="337"/>
      <c r="EY279" s="337"/>
      <c r="EZ279" s="337"/>
      <c r="FA279" s="337"/>
      <c r="FB279" s="337"/>
      <c r="FC279" s="337"/>
    </row>
    <row r="280" spans="3:159">
      <c r="C280" s="19" t="s">
        <v>755</v>
      </c>
      <c r="J280" s="287">
        <f>'Income Statement'!H116/1000</f>
        <v>410.77400900000004</v>
      </c>
      <c r="K280" s="287">
        <f>'Income Statement'!I116/1000</f>
        <v>410.77400900000004</v>
      </c>
      <c r="L280" s="287">
        <f>'Income Statement'!J116/1000</f>
        <v>405.35440199999999</v>
      </c>
      <c r="M280" s="287">
        <f>'Income Statement'!K116/1000</f>
        <v>399.26678800000002</v>
      </c>
      <c r="N280" s="287">
        <f>'Income Statement'!L116/1000</f>
        <v>399.55291999999997</v>
      </c>
      <c r="O280" s="287">
        <f>'Income Statement'!M116/1000</f>
        <v>404.73546099999999</v>
      </c>
      <c r="P280" s="287">
        <f>'Income Statement'!N116/1000</f>
        <v>415.28082599999999</v>
      </c>
      <c r="Q280" s="287">
        <f>'Income Statement'!O116/1000</f>
        <v>416.29273599999999</v>
      </c>
      <c r="R280" s="287">
        <f>'Income Statement'!P116/1000</f>
        <v>416.41336799999999</v>
      </c>
      <c r="S280" s="287">
        <f>'Income Statement'!Q116/1000</f>
        <v>417.569031</v>
      </c>
      <c r="T280" s="287">
        <f>'Income Statement'!R116/1000</f>
        <v>416.32511800000003</v>
      </c>
      <c r="U280" s="287">
        <f>'Income Statement'!S116/1000</f>
        <v>410.24104299999999</v>
      </c>
      <c r="V280" s="287">
        <f>'Income Statement'!T116/1000</f>
        <v>430.91181</v>
      </c>
      <c r="W280" s="287">
        <f>'Income Statement'!U116/1000</f>
        <v>429.72337199999998</v>
      </c>
      <c r="X280" s="287">
        <f>'Income Statement'!V116/1000</f>
        <v>426.035732</v>
      </c>
      <c r="Y280" s="287">
        <f>'Income Statement'!W116/1000</f>
        <v>426.65042499999998</v>
      </c>
      <c r="Z280" s="287">
        <f>'Income Statement'!X116/1000</f>
        <v>426.680657</v>
      </c>
      <c r="AA280" s="287">
        <f>'Income Statement'!Y116/1000</f>
        <v>417.79549200000002</v>
      </c>
      <c r="AB280" s="287">
        <f>'Income Statement'!Z116/1000</f>
        <v>416.14953000000003</v>
      </c>
      <c r="AC280" s="287">
        <f>'Income Statement'!AA116/1000</f>
        <v>411.66281068916015</v>
      </c>
      <c r="AD280" s="287">
        <f>'Income Statement'!AB116/1000</f>
        <v>407.17609137832022</v>
      </c>
      <c r="AE280" s="287">
        <f>'Income Statement'!AC116/1000</f>
        <v>402.68937206748035</v>
      </c>
      <c r="AF280" s="287">
        <f>'Income Statement'!AD116/1000</f>
        <v>398.20265275664048</v>
      </c>
      <c r="AG280" s="287">
        <f>'Income Statement'!AE116/1000</f>
        <v>398.20265275664048</v>
      </c>
      <c r="AH280" s="287">
        <f>'Income Statement'!AF116/1000</f>
        <v>398.20265275664048</v>
      </c>
      <c r="AO280" s="338"/>
      <c r="AP280" s="449"/>
      <c r="AR280" s="449"/>
      <c r="AS280" s="449"/>
      <c r="BA280" s="498"/>
      <c r="BB280" s="498"/>
      <c r="BC280" s="498"/>
      <c r="BD280" s="498"/>
      <c r="BE280" s="498"/>
      <c r="BF280" s="498"/>
      <c r="BG280" s="498"/>
      <c r="BH280" s="498"/>
      <c r="BI280" s="498"/>
      <c r="BJ280" s="498"/>
      <c r="BK280" s="498"/>
      <c r="BL280" s="498"/>
      <c r="BM280" s="498"/>
      <c r="BN280" s="498"/>
      <c r="BO280" s="498"/>
      <c r="BP280" s="498"/>
      <c r="BQ280" s="498"/>
      <c r="BR280" s="498"/>
      <c r="BS280" s="498"/>
      <c r="BT280" s="498"/>
      <c r="BU280" s="498"/>
      <c r="BV280" s="498"/>
      <c r="BW280" s="498"/>
      <c r="BX280" s="498"/>
      <c r="BY280" s="498"/>
      <c r="BZ280" s="498"/>
      <c r="CA280" s="498"/>
      <c r="CB280" s="498"/>
      <c r="CC280" s="498"/>
      <c r="CD280" s="498"/>
      <c r="CE280" s="498"/>
      <c r="CF280" s="498"/>
      <c r="CG280" s="287"/>
      <c r="CH280" s="287"/>
      <c r="CI280" s="287"/>
      <c r="CJ280" s="287"/>
      <c r="CK280" s="287"/>
      <c r="CL280" s="287"/>
      <c r="CM280" s="287"/>
      <c r="CN280" s="287"/>
      <c r="CO280" s="27"/>
      <c r="CR280" s="498"/>
      <c r="CS280" s="498"/>
      <c r="CT280" s="498"/>
      <c r="CU280" s="498"/>
      <c r="CV280" s="498"/>
      <c r="CW280" s="498"/>
      <c r="CX280" s="498"/>
      <c r="CY280" s="498"/>
      <c r="CZ280" s="498"/>
      <c r="DA280" s="498"/>
      <c r="DB280" s="498"/>
      <c r="DC280" s="498"/>
      <c r="DD280" s="498"/>
      <c r="DE280" s="498"/>
      <c r="DF280" s="498"/>
      <c r="DG280" s="498"/>
      <c r="DH280" s="498"/>
      <c r="DI280" s="498"/>
      <c r="DJ280" s="498"/>
      <c r="DK280" s="498"/>
      <c r="DL280" s="498"/>
      <c r="DM280" s="498"/>
      <c r="DN280" s="498"/>
      <c r="DO280" s="498"/>
      <c r="DP280" s="498"/>
      <c r="DQ280" s="498"/>
      <c r="DR280" s="498"/>
      <c r="DS280" s="498"/>
      <c r="DT280" s="498"/>
      <c r="DU280" s="498"/>
      <c r="DV280" s="498"/>
      <c r="DW280" s="498"/>
      <c r="DX280" s="498"/>
      <c r="DY280" s="498"/>
      <c r="DZ280" s="498"/>
      <c r="EA280" s="498"/>
      <c r="EB280" s="498"/>
      <c r="EC280" s="498"/>
      <c r="ED280" s="498"/>
      <c r="EE280" s="498"/>
      <c r="EF280" s="498"/>
      <c r="EG280" s="498"/>
      <c r="EH280" s="498"/>
      <c r="EI280" s="498"/>
      <c r="EJ280" s="498"/>
      <c r="EK280" s="498"/>
      <c r="EL280" s="498"/>
      <c r="EM280" s="498"/>
      <c r="EN280" s="498"/>
      <c r="EO280" s="498"/>
      <c r="EP280" s="498"/>
      <c r="EQ280" s="498"/>
      <c r="ER280" s="498"/>
      <c r="ES280" s="498"/>
      <c r="ET280" s="498"/>
      <c r="EU280" s="498"/>
      <c r="EV280" s="498"/>
      <c r="EW280" s="498"/>
      <c r="EX280" s="498"/>
      <c r="EY280" s="498"/>
      <c r="EZ280" s="498"/>
      <c r="FA280" s="498"/>
      <c r="FB280" s="498"/>
      <c r="FC280" s="498"/>
    </row>
    <row r="281" spans="3:159">
      <c r="C281" s="19" t="s">
        <v>754</v>
      </c>
      <c r="J281" s="377">
        <v>18.02</v>
      </c>
      <c r="K281" s="377">
        <v>17.41</v>
      </c>
      <c r="L281" s="377">
        <v>12.01</v>
      </c>
      <c r="M281" s="377">
        <v>10.29</v>
      </c>
      <c r="N281" s="377">
        <v>20.3</v>
      </c>
      <c r="O281" s="377">
        <v>25.5</v>
      </c>
      <c r="P281" s="377">
        <v>27.8</v>
      </c>
      <c r="Q281" s="377">
        <v>40.948582375478907</v>
      </c>
      <c r="R281" s="377">
        <v>60.9</v>
      </c>
      <c r="S281" s="377">
        <v>64.8</v>
      </c>
      <c r="T281" s="377">
        <v>68.42</v>
      </c>
      <c r="U281" s="377">
        <v>85.2</v>
      </c>
      <c r="V281" s="377">
        <v>110.7</v>
      </c>
      <c r="W281" s="377">
        <v>132.15</v>
      </c>
      <c r="X281" s="377">
        <v>97.85</v>
      </c>
      <c r="Y281" s="234">
        <f>'Income Statement'!W112</f>
        <v>107.66</v>
      </c>
      <c r="Z281" s="234">
        <f>'Income Statement'!X112</f>
        <v>105.3</v>
      </c>
      <c r="AA281" s="234">
        <f>'Income Statement'!Y112</f>
        <v>142.71392307692312</v>
      </c>
      <c r="AB281" s="234">
        <f>'Income Statement'!Z112</f>
        <v>201.14664122137407</v>
      </c>
      <c r="AC281" s="234">
        <f>'Income Statement'!AA112</f>
        <v>278.60000000000002</v>
      </c>
      <c r="AD281" s="234">
        <f>'Income Statement'!AB112</f>
        <v>278.60000000000002</v>
      </c>
      <c r="AE281" s="234">
        <f>'Income Statement'!AC112</f>
        <v>278.60000000000002</v>
      </c>
      <c r="AF281" s="234">
        <f>'Income Statement'!AD112</f>
        <v>278.60000000000002</v>
      </c>
      <c r="AG281" s="234">
        <f>'Income Statement'!AE112</f>
        <v>278.60000000000002</v>
      </c>
      <c r="AH281" s="234">
        <f>'Income Statement'!AF112</f>
        <v>278.60000000000002</v>
      </c>
      <c r="AO281" s="338"/>
      <c r="AP281" s="449"/>
      <c r="AR281" s="449"/>
      <c r="AS281" s="449"/>
      <c r="BA281" s="498"/>
      <c r="BB281" s="498"/>
      <c r="BC281" s="498"/>
      <c r="BD281" s="498"/>
      <c r="BE281" s="498"/>
      <c r="BF281" s="498"/>
      <c r="BG281" s="498"/>
      <c r="BH281" s="498"/>
      <c r="BI281" s="498"/>
      <c r="BJ281" s="498"/>
      <c r="BK281" s="498"/>
      <c r="BL281" s="498"/>
      <c r="BM281" s="498"/>
      <c r="BN281" s="498"/>
      <c r="BO281" s="498"/>
      <c r="BP281" s="498"/>
      <c r="BQ281" s="498"/>
      <c r="BR281" s="498"/>
      <c r="BS281" s="498"/>
      <c r="BT281" s="498"/>
      <c r="BU281" s="498"/>
      <c r="BV281" s="498"/>
      <c r="BW281" s="498"/>
      <c r="BX281" s="498"/>
      <c r="BY281" s="498"/>
      <c r="BZ281" s="498"/>
      <c r="CA281" s="498"/>
      <c r="CB281" s="498"/>
      <c r="CC281" s="498"/>
      <c r="CD281" s="498"/>
      <c r="CE281" s="498"/>
      <c r="CF281" s="498"/>
      <c r="CG281" s="377"/>
      <c r="CH281" s="377"/>
      <c r="CI281" s="377"/>
      <c r="CJ281" s="377"/>
      <c r="CK281" s="377"/>
      <c r="CL281" s="377"/>
      <c r="CM281" s="377"/>
      <c r="CN281" s="377"/>
      <c r="CO281" s="377"/>
      <c r="CR281" s="498"/>
      <c r="CS281" s="498"/>
      <c r="CT281" s="498"/>
      <c r="CU281" s="498"/>
      <c r="CV281" s="498"/>
      <c r="CW281" s="498"/>
      <c r="CX281" s="498"/>
      <c r="CY281" s="498"/>
      <c r="CZ281" s="498"/>
      <c r="DA281" s="498"/>
      <c r="DB281" s="498"/>
      <c r="DC281" s="498"/>
      <c r="DD281" s="498"/>
      <c r="DE281" s="498"/>
      <c r="DF281" s="498"/>
      <c r="DG281" s="498"/>
      <c r="DH281" s="498"/>
      <c r="DI281" s="498"/>
      <c r="DJ281" s="498"/>
      <c r="DK281" s="498"/>
      <c r="DL281" s="498"/>
      <c r="DM281" s="498"/>
      <c r="DN281" s="498"/>
      <c r="DO281" s="498"/>
      <c r="DP281" s="498"/>
      <c r="DQ281" s="498"/>
      <c r="DR281" s="498"/>
      <c r="DS281" s="498"/>
      <c r="DT281" s="498"/>
      <c r="DU281" s="498"/>
      <c r="DV281" s="498"/>
      <c r="DW281" s="498"/>
      <c r="DX281" s="498"/>
      <c r="DY281" s="498"/>
      <c r="DZ281" s="498"/>
      <c r="EA281" s="498"/>
      <c r="EB281" s="498"/>
      <c r="EC281" s="498"/>
      <c r="ED281" s="498"/>
      <c r="EE281" s="498"/>
      <c r="EF281" s="498"/>
      <c r="EG281" s="498"/>
      <c r="EH281" s="498"/>
      <c r="EI281" s="498"/>
      <c r="EJ281" s="498"/>
      <c r="EK281" s="498"/>
      <c r="EL281" s="498"/>
      <c r="EM281" s="498"/>
      <c r="EN281" s="498"/>
      <c r="EO281" s="498"/>
      <c r="EP281" s="498"/>
      <c r="EQ281" s="498"/>
      <c r="ER281" s="498"/>
      <c r="ES281" s="498"/>
      <c r="ET281" s="498"/>
      <c r="EU281" s="498"/>
      <c r="EV281" s="498"/>
      <c r="EW281" s="498"/>
      <c r="EX281" s="498"/>
      <c r="EY281" s="498"/>
      <c r="EZ281" s="498"/>
      <c r="FA281" s="498"/>
      <c r="FB281" s="498"/>
      <c r="FC281" s="498"/>
    </row>
    <row r="282" spans="3:159">
      <c r="C282" s="19"/>
      <c r="AO282" s="338"/>
      <c r="AP282" s="449"/>
      <c r="AR282" s="449"/>
      <c r="AS282" s="449"/>
    </row>
    <row r="283" spans="3:159">
      <c r="C283" s="306" t="s">
        <v>753</v>
      </c>
      <c r="D283" s="307"/>
      <c r="E283" s="307"/>
      <c r="F283" s="307"/>
      <c r="G283" s="307"/>
      <c r="H283" s="307"/>
      <c r="I283" s="307"/>
      <c r="J283" s="307"/>
      <c r="K283" s="307"/>
      <c r="L283" s="307"/>
      <c r="M283" s="307"/>
      <c r="N283" s="307"/>
      <c r="O283" s="308"/>
      <c r="P283" s="308"/>
      <c r="Q283" s="308"/>
      <c r="R283" s="308"/>
      <c r="S283" s="308"/>
      <c r="T283" s="308"/>
      <c r="U283" s="308"/>
      <c r="V283" s="308"/>
      <c r="W283" s="308"/>
      <c r="X283" s="308"/>
      <c r="Y283" s="308"/>
      <c r="Z283" s="308"/>
      <c r="AA283" s="308"/>
      <c r="AB283" s="308"/>
      <c r="AC283" s="308"/>
      <c r="AD283" s="308"/>
      <c r="AE283" s="308"/>
      <c r="AF283" s="308"/>
      <c r="AG283" s="308"/>
      <c r="AH283" s="308"/>
      <c r="AO283" s="338"/>
      <c r="AP283" s="449"/>
      <c r="AR283" s="449"/>
      <c r="AS283" s="449"/>
      <c r="BA283" s="308"/>
      <c r="BB283" s="308"/>
      <c r="BC283" s="308"/>
      <c r="BD283" s="308"/>
      <c r="BE283" s="308"/>
      <c r="BF283" s="308"/>
      <c r="BG283" s="308"/>
      <c r="BH283" s="308"/>
      <c r="BI283" s="308"/>
      <c r="BJ283" s="308"/>
      <c r="BK283" s="308"/>
      <c r="BL283" s="308"/>
      <c r="BM283" s="308"/>
      <c r="BN283" s="308"/>
      <c r="BO283" s="308"/>
      <c r="BP283" s="308"/>
      <c r="BQ283" s="308"/>
      <c r="BR283" s="308"/>
      <c r="BS283" s="308"/>
      <c r="BT283" s="308"/>
      <c r="BU283" s="308"/>
      <c r="BV283" s="308"/>
      <c r="BW283" s="308"/>
      <c r="BX283" s="308"/>
      <c r="BY283" s="308"/>
      <c r="BZ283" s="308"/>
      <c r="CA283" s="308"/>
      <c r="CB283" s="308"/>
      <c r="CC283" s="308"/>
      <c r="CD283" s="308"/>
      <c r="CE283" s="308"/>
      <c r="CF283" s="308"/>
      <c r="CG283" s="308"/>
      <c r="CH283" s="308"/>
      <c r="CI283" s="308"/>
      <c r="CJ283" s="308"/>
      <c r="CK283" s="308"/>
      <c r="CL283" s="308"/>
      <c r="CM283" s="308"/>
      <c r="CN283" s="308"/>
      <c r="CO283" s="339"/>
      <c r="CR283" s="308"/>
      <c r="CS283" s="308"/>
      <c r="CT283" s="308"/>
      <c r="CU283" s="308"/>
      <c r="CV283" s="308"/>
      <c r="CW283" s="308"/>
      <c r="CX283" s="308"/>
      <c r="CY283" s="308"/>
      <c r="CZ283" s="308"/>
      <c r="DA283" s="308"/>
      <c r="DB283" s="308"/>
      <c r="DC283" s="308"/>
      <c r="DD283" s="308"/>
      <c r="DE283" s="308"/>
      <c r="DF283" s="308"/>
      <c r="DG283" s="308"/>
      <c r="DH283" s="308"/>
      <c r="DI283" s="308"/>
      <c r="DJ283" s="308"/>
      <c r="DK283" s="308"/>
      <c r="DL283" s="308"/>
      <c r="DM283" s="308"/>
      <c r="DN283" s="308"/>
      <c r="DO283" s="308"/>
      <c r="DP283" s="308"/>
      <c r="DQ283" s="308"/>
      <c r="DR283" s="308"/>
      <c r="DS283" s="308"/>
      <c r="DT283" s="308"/>
      <c r="DU283" s="308"/>
      <c r="DV283" s="308"/>
      <c r="DW283" s="308"/>
      <c r="DX283" s="308"/>
      <c r="DY283" s="308"/>
      <c r="DZ283" s="308"/>
      <c r="EA283" s="308"/>
      <c r="EB283" s="308"/>
      <c r="EC283" s="308"/>
      <c r="ED283" s="308"/>
      <c r="EE283" s="308"/>
      <c r="EF283" s="308"/>
      <c r="EG283" s="308"/>
      <c r="EH283" s="308"/>
      <c r="EI283" s="308"/>
      <c r="EJ283" s="308"/>
      <c r="EK283" s="308"/>
      <c r="EL283" s="308"/>
      <c r="EM283" s="308"/>
      <c r="EN283" s="308"/>
      <c r="EO283" s="308"/>
      <c r="EP283" s="308"/>
      <c r="EQ283" s="308"/>
      <c r="ER283" s="308"/>
      <c r="ES283" s="308"/>
      <c r="ET283" s="308"/>
      <c r="EU283" s="308"/>
      <c r="EV283" s="308"/>
      <c r="EW283" s="308"/>
      <c r="EX283" s="308"/>
      <c r="EY283" s="308"/>
      <c r="EZ283" s="308"/>
      <c r="FA283" s="308"/>
      <c r="FB283" s="308"/>
      <c r="FC283" s="308"/>
    </row>
    <row r="284" spans="3:159">
      <c r="C284" s="4" t="s">
        <v>752</v>
      </c>
      <c r="J284" s="287">
        <f t="shared" ref="J284:AH284" si="90">J280*J281</f>
        <v>7402.1476421800007</v>
      </c>
      <c r="K284" s="287">
        <f t="shared" si="90"/>
        <v>7151.5754966900004</v>
      </c>
      <c r="L284" s="287">
        <f t="shared" si="90"/>
        <v>4868.3063680200003</v>
      </c>
      <c r="M284" s="287">
        <f t="shared" si="90"/>
        <v>4108.4552485200002</v>
      </c>
      <c r="N284" s="287">
        <f t="shared" si="90"/>
        <v>8110.9242759999997</v>
      </c>
      <c r="O284" s="287">
        <f t="shared" si="90"/>
        <v>10320.7542555</v>
      </c>
      <c r="P284" s="287">
        <f t="shared" si="90"/>
        <v>11544.806962799999</v>
      </c>
      <c r="Q284" s="287">
        <f t="shared" si="90"/>
        <v>17046.597392409494</v>
      </c>
      <c r="R284" s="287">
        <f t="shared" si="90"/>
        <v>25359.5741112</v>
      </c>
      <c r="S284" s="287">
        <f t="shared" si="90"/>
        <v>27058.473208799998</v>
      </c>
      <c r="T284" s="287">
        <f t="shared" si="90"/>
        <v>28484.964573560002</v>
      </c>
      <c r="U284" s="287">
        <f t="shared" si="90"/>
        <v>34952.536863599998</v>
      </c>
      <c r="V284" s="287">
        <f t="shared" si="90"/>
        <v>47701.937366999999</v>
      </c>
      <c r="W284" s="287">
        <f t="shared" si="90"/>
        <v>56787.943609800001</v>
      </c>
      <c r="X284" s="287">
        <f t="shared" si="90"/>
        <v>41687.596376199996</v>
      </c>
      <c r="Y284" s="287">
        <f t="shared" si="90"/>
        <v>45933.184755499999</v>
      </c>
      <c r="Z284" s="287">
        <f t="shared" si="90"/>
        <v>44929.473182099995</v>
      </c>
      <c r="AA284" s="287">
        <f t="shared" si="90"/>
        <v>59625.233707173255</v>
      </c>
      <c r="AB284" s="287">
        <f t="shared" si="90"/>
        <v>83707.080205353457</v>
      </c>
      <c r="AC284" s="287">
        <f t="shared" si="90"/>
        <v>114689.25905800003</v>
      </c>
      <c r="AD284" s="287">
        <f t="shared" si="90"/>
        <v>113439.25905800003</v>
      </c>
      <c r="AE284" s="287">
        <f t="shared" si="90"/>
        <v>112189.25905800004</v>
      </c>
      <c r="AF284" s="287">
        <f t="shared" si="90"/>
        <v>110939.25905800004</v>
      </c>
      <c r="AG284" s="287">
        <f t="shared" si="90"/>
        <v>110939.25905800004</v>
      </c>
      <c r="AH284" s="287">
        <f t="shared" si="90"/>
        <v>110939.25905800004</v>
      </c>
      <c r="AO284" s="338"/>
      <c r="AP284" s="449"/>
      <c r="AR284" s="449"/>
      <c r="AS284" s="449"/>
      <c r="BA284" s="498"/>
      <c r="BB284" s="498"/>
      <c r="BC284" s="498"/>
      <c r="BD284" s="498"/>
      <c r="BE284" s="498"/>
      <c r="BF284" s="498"/>
      <c r="BG284" s="498"/>
      <c r="BH284" s="498"/>
      <c r="BI284" s="498"/>
      <c r="BJ284" s="498"/>
      <c r="BK284" s="498"/>
      <c r="BL284" s="498"/>
      <c r="BM284" s="498"/>
      <c r="BN284" s="498"/>
      <c r="BO284" s="498"/>
      <c r="BP284" s="498"/>
      <c r="BQ284" s="498"/>
      <c r="BR284" s="498"/>
      <c r="BS284" s="498"/>
      <c r="BT284" s="498"/>
      <c r="BU284" s="498"/>
      <c r="BV284" s="498"/>
      <c r="BW284" s="498"/>
      <c r="BX284" s="498"/>
      <c r="BY284" s="498"/>
      <c r="BZ284" s="498"/>
      <c r="CA284" s="498"/>
      <c r="CB284" s="498"/>
      <c r="CC284" s="498"/>
      <c r="CD284" s="498"/>
      <c r="CE284" s="498"/>
      <c r="CF284" s="498"/>
      <c r="CG284" s="287"/>
      <c r="CH284" s="287"/>
      <c r="CI284" s="287"/>
      <c r="CJ284" s="287"/>
      <c r="CK284" s="287"/>
      <c r="CL284" s="287"/>
      <c r="CM284" s="287"/>
      <c r="CN284" s="287"/>
      <c r="CO284" s="27"/>
      <c r="CR284" s="498"/>
      <c r="CS284" s="498"/>
      <c r="CT284" s="498"/>
      <c r="CU284" s="498"/>
      <c r="CV284" s="498"/>
      <c r="CW284" s="498"/>
      <c r="CX284" s="498"/>
      <c r="CY284" s="498"/>
      <c r="CZ284" s="498"/>
      <c r="DA284" s="498"/>
      <c r="DB284" s="498"/>
      <c r="DC284" s="498"/>
      <c r="DD284" s="498"/>
      <c r="DE284" s="498"/>
      <c r="DF284" s="498"/>
      <c r="DG284" s="498"/>
      <c r="DH284" s="498"/>
      <c r="DI284" s="498"/>
      <c r="DJ284" s="498"/>
      <c r="DK284" s="498"/>
      <c r="DL284" s="498"/>
      <c r="DM284" s="498"/>
      <c r="DN284" s="498"/>
      <c r="DO284" s="498"/>
      <c r="DP284" s="498"/>
      <c r="DQ284" s="498"/>
      <c r="DR284" s="498"/>
      <c r="DS284" s="498"/>
      <c r="DT284" s="498"/>
      <c r="DU284" s="498"/>
      <c r="DV284" s="498"/>
      <c r="DW284" s="498"/>
      <c r="DX284" s="498"/>
      <c r="DY284" s="498"/>
      <c r="DZ284" s="498"/>
      <c r="EA284" s="498"/>
      <c r="EB284" s="498"/>
      <c r="EC284" s="498"/>
      <c r="ED284" s="498"/>
      <c r="EE284" s="498"/>
      <c r="EF284" s="498"/>
      <c r="EG284" s="498"/>
      <c r="EH284" s="498"/>
      <c r="EI284" s="498"/>
      <c r="EJ284" s="498"/>
      <c r="EK284" s="498"/>
      <c r="EL284" s="498"/>
      <c r="EM284" s="498"/>
      <c r="EN284" s="498"/>
      <c r="EO284" s="498"/>
      <c r="EP284" s="498"/>
      <c r="EQ284" s="498"/>
      <c r="ER284" s="498"/>
      <c r="ES284" s="498"/>
      <c r="ET284" s="498"/>
      <c r="EU284" s="498"/>
      <c r="EV284" s="498"/>
      <c r="EW284" s="498"/>
      <c r="EX284" s="498"/>
      <c r="EY284" s="498"/>
      <c r="EZ284" s="498"/>
      <c r="FA284" s="498"/>
      <c r="FB284" s="498"/>
      <c r="FC284" s="498"/>
    </row>
    <row r="285" spans="3:159">
      <c r="C285" s="4" t="s">
        <v>751</v>
      </c>
      <c r="J285" s="287">
        <f>'Balance Sheet'!H53*J284/SUM('Balance Sheet'!H49:H52)</f>
        <v>290.05017941045077</v>
      </c>
      <c r="K285" s="287">
        <f>'Balance Sheet'!I53*K284/SUM('Balance Sheet'!I49:I52)</f>
        <v>275.31422497630939</v>
      </c>
      <c r="L285" s="287">
        <f>'Balance Sheet'!J53*L284/SUM('Balance Sheet'!J49:J52)</f>
        <v>182.31904326449401</v>
      </c>
      <c r="M285" s="287">
        <f>'Balance Sheet'!K53*M284/SUM('Balance Sheet'!K49:K52)</f>
        <v>139.68559080656098</v>
      </c>
      <c r="N285" s="287">
        <f>'Balance Sheet'!L53*N284/SUM('Balance Sheet'!L49:L52)</f>
        <v>313.33592677704189</v>
      </c>
      <c r="O285" s="287">
        <f>'Balance Sheet'!M53*O284/SUM('Balance Sheet'!M49:M52)</f>
        <v>319.92676234842997</v>
      </c>
      <c r="P285" s="287">
        <f>'Balance Sheet'!N53*P284/SUM('Balance Sheet'!N49:N52)</f>
        <v>322.55802792876239</v>
      </c>
      <c r="Q285" s="287">
        <f>'Balance Sheet'!O53*Q284/SUM('Balance Sheet'!O49:O52)</f>
        <v>466.52741941096093</v>
      </c>
      <c r="R285" s="287">
        <f>'Balance Sheet'!P53*R284/SUM('Balance Sheet'!P49:P52)</f>
        <v>912.50666480409404</v>
      </c>
      <c r="S285" s="287">
        <f>'Balance Sheet'!Q53*S284/SUM('Balance Sheet'!Q49:Q52)</f>
        <v>1279.1103382869733</v>
      </c>
      <c r="T285" s="287">
        <f>'Balance Sheet'!R53*T284/SUM('Balance Sheet'!R49:R52)</f>
        <v>1258.0386132779145</v>
      </c>
      <c r="U285" s="287">
        <f>'Balance Sheet'!S53*U284/SUM('Balance Sheet'!S49:S52)</f>
        <v>1125.5711560868299</v>
      </c>
      <c r="V285" s="287">
        <f>'Balance Sheet'!T53*V284/SUM('Balance Sheet'!T49:T52)</f>
        <v>1380.5830471754077</v>
      </c>
      <c r="W285" s="287">
        <f>'Balance Sheet'!U53*W284/SUM('Balance Sheet'!U49:U52)</f>
        <v>1730.5840062157142</v>
      </c>
      <c r="X285" s="287">
        <f>'Balance Sheet'!V53*X284/SUM('Balance Sheet'!V49:V52)</f>
        <v>1353.6906751037491</v>
      </c>
      <c r="Y285" s="287">
        <f>'Balance Sheet'!W53*Y284/SUM('Balance Sheet'!W49:W52)</f>
        <v>1534.5639950244918</v>
      </c>
      <c r="Z285" s="287">
        <f>'Balance Sheet'!X53*Z284/SUM('Balance Sheet'!X49:X52)</f>
        <v>1963.587580237777</v>
      </c>
      <c r="AA285" s="287">
        <f>'Balance Sheet'!Y53*AA284/SUM('Balance Sheet'!Y49:Y52)</f>
        <v>2631.8125960409029</v>
      </c>
      <c r="AB285" s="287">
        <f>'Balance Sheet'!Z53*AB284/SUM('Balance Sheet'!Z49:Z52)</f>
        <v>4516.0364615506141</v>
      </c>
      <c r="AC285" s="287">
        <f>'Balance Sheet'!AA53*AC284/SUM('Balance Sheet'!AA49:AA52)</f>
        <v>6736.7261315437381</v>
      </c>
      <c r="AD285" s="287">
        <f>'Balance Sheet'!AB53*AD284/SUM('Balance Sheet'!AB49:AB52)</f>
        <v>6885.6685464096799</v>
      </c>
      <c r="AE285" s="287">
        <f>'Balance Sheet'!AC53*AE284/SUM('Balance Sheet'!AC49:AC52)</f>
        <v>6851.2672196118356</v>
      </c>
      <c r="AF285" s="287">
        <f>'Balance Sheet'!AD53*AF284/SUM('Balance Sheet'!AD49:AD52)</f>
        <v>6747.7600393767043</v>
      </c>
      <c r="AG285" s="287">
        <f>'Balance Sheet'!AE53*AG284/SUM('Balance Sheet'!AE49:AE52)</f>
        <v>6318.8925526214198</v>
      </c>
      <c r="AH285" s="287">
        <f>'Balance Sheet'!AF53*AH284/SUM('Balance Sheet'!AF49:AF52)</f>
        <v>5999.0280159681261</v>
      </c>
      <c r="AO285" s="338"/>
      <c r="AP285" s="449"/>
      <c r="AR285" s="449"/>
      <c r="AS285" s="449"/>
      <c r="BA285" s="498"/>
      <c r="BB285" s="498"/>
      <c r="BC285" s="498"/>
      <c r="BD285" s="498"/>
      <c r="BE285" s="498"/>
      <c r="BF285" s="498"/>
      <c r="BG285" s="498"/>
      <c r="BH285" s="498"/>
      <c r="BI285" s="498"/>
      <c r="BJ285" s="498"/>
      <c r="BK285" s="498"/>
      <c r="BL285" s="498"/>
      <c r="BM285" s="498"/>
      <c r="BN285" s="498"/>
      <c r="BO285" s="498"/>
      <c r="BP285" s="498"/>
      <c r="BQ285" s="498"/>
      <c r="BR285" s="498"/>
      <c r="BS285" s="498"/>
      <c r="BT285" s="498"/>
      <c r="BU285" s="498"/>
      <c r="BV285" s="498"/>
      <c r="BW285" s="498"/>
      <c r="BX285" s="498"/>
      <c r="BY285" s="498"/>
      <c r="BZ285" s="498"/>
      <c r="CA285" s="498"/>
      <c r="CB285" s="498"/>
      <c r="CC285" s="498"/>
      <c r="CD285" s="498"/>
      <c r="CE285" s="498"/>
      <c r="CF285" s="498"/>
      <c r="CG285" s="287"/>
      <c r="CH285" s="287"/>
      <c r="CI285" s="287"/>
      <c r="CJ285" s="287"/>
      <c r="CK285" s="287"/>
      <c r="CL285" s="287"/>
      <c r="CM285" s="287"/>
      <c r="CN285" s="287"/>
      <c r="CO285" s="27"/>
      <c r="CR285" s="498"/>
      <c r="CS285" s="498"/>
      <c r="CT285" s="498"/>
      <c r="CU285" s="498"/>
      <c r="CV285" s="498"/>
      <c r="CW285" s="498"/>
      <c r="CX285" s="498"/>
      <c r="CY285" s="498"/>
      <c r="CZ285" s="498"/>
      <c r="DA285" s="498"/>
      <c r="DB285" s="498"/>
      <c r="DC285" s="498"/>
      <c r="DD285" s="498"/>
      <c r="DE285" s="498"/>
      <c r="DF285" s="498"/>
      <c r="DG285" s="498"/>
      <c r="DH285" s="498"/>
      <c r="DI285" s="498"/>
      <c r="DJ285" s="498"/>
      <c r="DK285" s="498"/>
      <c r="DL285" s="498"/>
      <c r="DM285" s="498"/>
      <c r="DN285" s="498"/>
      <c r="DO285" s="498"/>
      <c r="DP285" s="498"/>
      <c r="DQ285" s="498"/>
      <c r="DR285" s="498"/>
      <c r="DS285" s="498"/>
      <c r="DT285" s="498"/>
      <c r="DU285" s="498"/>
      <c r="DV285" s="498"/>
      <c r="DW285" s="498"/>
      <c r="DX285" s="498"/>
      <c r="DY285" s="498"/>
      <c r="DZ285" s="498"/>
      <c r="EA285" s="498"/>
      <c r="EB285" s="498"/>
      <c r="EC285" s="498"/>
      <c r="ED285" s="498"/>
      <c r="EE285" s="498"/>
      <c r="EF285" s="498"/>
      <c r="EG285" s="498"/>
      <c r="EH285" s="498"/>
      <c r="EI285" s="498"/>
      <c r="EJ285" s="498"/>
      <c r="EK285" s="498"/>
      <c r="EL285" s="498"/>
      <c r="EM285" s="498"/>
      <c r="EN285" s="498"/>
      <c r="EO285" s="498"/>
      <c r="EP285" s="498"/>
      <c r="EQ285" s="498"/>
      <c r="ER285" s="498"/>
      <c r="ES285" s="498"/>
      <c r="ET285" s="498"/>
      <c r="EU285" s="498"/>
      <c r="EV285" s="498"/>
      <c r="EW285" s="498"/>
      <c r="EX285" s="498"/>
      <c r="EY285" s="498"/>
      <c r="EZ285" s="498"/>
      <c r="FA285" s="498"/>
      <c r="FB285" s="498"/>
      <c r="FC285" s="498"/>
    </row>
    <row r="286" spans="3:159">
      <c r="C286" s="4" t="s">
        <v>1084</v>
      </c>
      <c r="J286" s="287">
        <f t="shared" ref="J286:O286" si="91">J273</f>
        <v>419</v>
      </c>
      <c r="K286" s="287">
        <f t="shared" si="91"/>
        <v>169</v>
      </c>
      <c r="L286" s="287">
        <f t="shared" si="91"/>
        <v>635</v>
      </c>
      <c r="M286" s="287">
        <f t="shared" si="91"/>
        <v>498</v>
      </c>
      <c r="N286" s="287">
        <f t="shared" si="91"/>
        <v>-24</v>
      </c>
      <c r="O286" s="287">
        <f t="shared" si="91"/>
        <v>997</v>
      </c>
      <c r="P286" s="293">
        <v>932</v>
      </c>
      <c r="Q286" s="293">
        <v>1220</v>
      </c>
      <c r="R286" s="287">
        <f t="shared" ref="R286:AH286" si="92">R273</f>
        <v>1503</v>
      </c>
      <c r="S286" s="287">
        <f t="shared" si="92"/>
        <v>748</v>
      </c>
      <c r="T286" s="287">
        <f t="shared" si="92"/>
        <v>1376</v>
      </c>
      <c r="U286" s="287">
        <f t="shared" si="92"/>
        <v>-313</v>
      </c>
      <c r="V286" s="287">
        <f t="shared" si="92"/>
        <v>3269</v>
      </c>
      <c r="W286" s="287">
        <f t="shared" si="92"/>
        <v>4114</v>
      </c>
      <c r="X286" s="287">
        <f t="shared" si="92"/>
        <v>2792</v>
      </c>
      <c r="Y286" s="287">
        <f t="shared" si="92"/>
        <v>1544</v>
      </c>
      <c r="Z286" s="287">
        <f t="shared" si="92"/>
        <v>-14</v>
      </c>
      <c r="AA286" s="287">
        <f t="shared" si="92"/>
        <v>-374</v>
      </c>
      <c r="AB286" s="287">
        <f t="shared" si="92"/>
        <v>-1738</v>
      </c>
      <c r="AC286" s="287">
        <f t="shared" si="92"/>
        <v>-2455.7677021781838</v>
      </c>
      <c r="AD286" s="287">
        <f t="shared" si="92"/>
        <v>-3669.4906324987242</v>
      </c>
      <c r="AE286" s="287">
        <f t="shared" si="92"/>
        <v>-5154.261274494409</v>
      </c>
      <c r="AF286" s="287">
        <f t="shared" si="92"/>
        <v>-6963.913080364604</v>
      </c>
      <c r="AG286" s="287">
        <f t="shared" si="92"/>
        <v>-10449.360331352229</v>
      </c>
      <c r="AH286" s="287">
        <f t="shared" si="92"/>
        <v>-14272.147557994624</v>
      </c>
      <c r="AO286" s="338"/>
      <c r="AP286" s="449"/>
      <c r="AR286" s="449"/>
      <c r="AS286" s="449"/>
      <c r="BA286" s="498"/>
      <c r="BB286" s="498"/>
      <c r="BC286" s="498"/>
      <c r="BD286" s="498"/>
      <c r="BE286" s="498"/>
      <c r="BF286" s="498"/>
      <c r="BG286" s="498"/>
      <c r="BH286" s="498"/>
      <c r="BI286" s="498"/>
      <c r="BJ286" s="498"/>
      <c r="BK286" s="498"/>
      <c r="BL286" s="498"/>
      <c r="BM286" s="498"/>
      <c r="BN286" s="498"/>
      <c r="BO286" s="498"/>
      <c r="BP286" s="498"/>
      <c r="BQ286" s="498"/>
      <c r="BR286" s="498"/>
      <c r="BS286" s="498"/>
      <c r="BT286" s="498"/>
      <c r="BU286" s="498"/>
      <c r="BV286" s="498"/>
      <c r="BW286" s="498"/>
      <c r="BX286" s="498"/>
      <c r="BY286" s="498"/>
      <c r="BZ286" s="498"/>
      <c r="CA286" s="498"/>
      <c r="CB286" s="498"/>
      <c r="CC286" s="498"/>
      <c r="CD286" s="498"/>
      <c r="CE286" s="498"/>
      <c r="CF286" s="498"/>
      <c r="CG286" s="287"/>
      <c r="CH286" s="287"/>
      <c r="CI286" s="287"/>
      <c r="CJ286" s="287"/>
      <c r="CK286" s="287"/>
      <c r="CL286" s="287"/>
      <c r="CM286" s="287"/>
      <c r="CN286" s="287"/>
      <c r="CO286" s="27"/>
      <c r="CR286" s="498"/>
      <c r="CS286" s="498"/>
      <c r="CT286" s="498"/>
      <c r="CU286" s="498"/>
      <c r="CV286" s="498"/>
      <c r="CW286" s="498"/>
      <c r="CX286" s="498"/>
      <c r="CY286" s="498"/>
      <c r="CZ286" s="498"/>
      <c r="DA286" s="498"/>
      <c r="DB286" s="498"/>
      <c r="DC286" s="498"/>
      <c r="DD286" s="498"/>
      <c r="DE286" s="498"/>
      <c r="DF286" s="498"/>
      <c r="DG286" s="498"/>
      <c r="DH286" s="498"/>
      <c r="DI286" s="498"/>
      <c r="DJ286" s="498"/>
      <c r="DK286" s="498"/>
      <c r="DL286" s="498"/>
      <c r="DM286" s="498"/>
      <c r="DN286" s="498"/>
      <c r="DO286" s="498"/>
      <c r="DP286" s="498"/>
      <c r="DQ286" s="498"/>
      <c r="DR286" s="498"/>
      <c r="DS286" s="498"/>
      <c r="DT286" s="498"/>
      <c r="DU286" s="498"/>
      <c r="DV286" s="498"/>
      <c r="DW286" s="498"/>
      <c r="DX286" s="498"/>
      <c r="DY286" s="498"/>
      <c r="DZ286" s="498"/>
      <c r="EA286" s="498"/>
      <c r="EB286" s="498"/>
      <c r="EC286" s="498"/>
      <c r="ED286" s="498"/>
      <c r="EE286" s="498"/>
      <c r="EF286" s="498"/>
      <c r="EG286" s="498"/>
      <c r="EH286" s="498"/>
      <c r="EI286" s="498"/>
      <c r="EJ286" s="498"/>
      <c r="EK286" s="498"/>
      <c r="EL286" s="498"/>
      <c r="EM286" s="498"/>
      <c r="EN286" s="498"/>
      <c r="EO286" s="498"/>
      <c r="EP286" s="498"/>
      <c r="EQ286" s="498"/>
      <c r="ER286" s="498"/>
      <c r="ES286" s="498"/>
      <c r="ET286" s="498"/>
      <c r="EU286" s="498"/>
      <c r="EV286" s="498"/>
      <c r="EW286" s="498"/>
      <c r="EX286" s="498"/>
      <c r="EY286" s="498"/>
      <c r="EZ286" s="498"/>
      <c r="FA286" s="498"/>
      <c r="FB286" s="498"/>
      <c r="FC286" s="498"/>
    </row>
    <row r="287" spans="3:159">
      <c r="C287" s="4" t="s">
        <v>1322</v>
      </c>
      <c r="J287" s="260">
        <v>475</v>
      </c>
      <c r="K287" s="260">
        <v>452</v>
      </c>
      <c r="L287" s="260">
        <v>427</v>
      </c>
      <c r="M287" s="260">
        <v>387</v>
      </c>
      <c r="N287" s="260">
        <v>366</v>
      </c>
      <c r="O287" s="260">
        <v>418</v>
      </c>
      <c r="P287" s="260">
        <v>798</v>
      </c>
      <c r="Q287" s="260">
        <v>739</v>
      </c>
      <c r="R287" s="260">
        <v>918</v>
      </c>
      <c r="S287" s="260">
        <v>855</v>
      </c>
      <c r="T287" s="260">
        <v>867</v>
      </c>
      <c r="U287" s="260">
        <v>813</v>
      </c>
      <c r="V287" s="260">
        <v>876</v>
      </c>
      <c r="W287" s="260">
        <v>990</v>
      </c>
      <c r="X287" s="260">
        <v>994</v>
      </c>
      <c r="Y287" s="260">
        <v>778</v>
      </c>
      <c r="Z287" s="260">
        <v>622</v>
      </c>
      <c r="AA287" s="260">
        <v>690</v>
      </c>
      <c r="AB287" s="260">
        <v>673</v>
      </c>
      <c r="AC287" s="259">
        <f t="shared" ref="AC287:AH287" si="93">AB287</f>
        <v>673</v>
      </c>
      <c r="AD287" s="259">
        <f t="shared" si="93"/>
        <v>673</v>
      </c>
      <c r="AE287" s="259">
        <f t="shared" si="93"/>
        <v>673</v>
      </c>
      <c r="AF287" s="259">
        <f t="shared" si="93"/>
        <v>673</v>
      </c>
      <c r="AG287" s="259">
        <f t="shared" si="93"/>
        <v>673</v>
      </c>
      <c r="AH287" s="259">
        <f t="shared" si="93"/>
        <v>673</v>
      </c>
      <c r="AO287" s="338"/>
      <c r="AP287" s="449"/>
      <c r="AR287" s="449"/>
      <c r="AS287" s="449"/>
      <c r="BA287" s="498"/>
      <c r="BB287" s="498"/>
      <c r="BC287" s="498"/>
      <c r="BD287" s="498"/>
      <c r="BE287" s="498"/>
      <c r="BF287" s="498"/>
      <c r="BG287" s="498"/>
      <c r="BH287" s="498"/>
      <c r="BI287" s="498"/>
      <c r="BJ287" s="498"/>
      <c r="BK287" s="498"/>
      <c r="BL287" s="498"/>
      <c r="BM287" s="498"/>
      <c r="BN287" s="498"/>
      <c r="BO287" s="498"/>
      <c r="BP287" s="498"/>
      <c r="BQ287" s="498"/>
      <c r="BR287" s="498"/>
      <c r="BS287" s="498"/>
      <c r="BT287" s="498"/>
      <c r="BU287" s="498"/>
      <c r="BV287" s="498"/>
      <c r="BW287" s="498"/>
      <c r="BX287" s="498"/>
      <c r="BY287" s="498"/>
      <c r="BZ287" s="498"/>
      <c r="CA287" s="498"/>
      <c r="CB287" s="498"/>
      <c r="CC287" s="498"/>
      <c r="CD287" s="498"/>
      <c r="CE287" s="498"/>
      <c r="CF287" s="498"/>
      <c r="CG287" s="260"/>
      <c r="CH287" s="260"/>
      <c r="CI287" s="260"/>
      <c r="CJ287" s="260"/>
      <c r="CK287" s="260"/>
      <c r="CL287" s="260"/>
      <c r="CM287" s="260"/>
      <c r="CN287" s="260"/>
      <c r="CO287" s="260"/>
      <c r="CR287" s="498"/>
      <c r="CS287" s="498"/>
      <c r="CT287" s="498"/>
      <c r="CU287" s="498"/>
      <c r="CV287" s="498"/>
      <c r="CW287" s="498"/>
      <c r="CX287" s="498"/>
      <c r="CY287" s="498"/>
      <c r="CZ287" s="498"/>
      <c r="DA287" s="498"/>
      <c r="DB287" s="498"/>
      <c r="DC287" s="498"/>
      <c r="DD287" s="498"/>
      <c r="DE287" s="498"/>
      <c r="DF287" s="498"/>
      <c r="DG287" s="498"/>
      <c r="DH287" s="498"/>
      <c r="DI287" s="498"/>
      <c r="DJ287" s="498"/>
      <c r="DK287" s="498"/>
      <c r="DL287" s="498"/>
      <c r="DM287" s="498"/>
      <c r="DN287" s="498"/>
      <c r="DO287" s="498"/>
      <c r="DP287" s="498"/>
      <c r="DQ287" s="498"/>
      <c r="DR287" s="498"/>
      <c r="DS287" s="498"/>
      <c r="DT287" s="498"/>
      <c r="DU287" s="498"/>
      <c r="DV287" s="498"/>
      <c r="DW287" s="498"/>
      <c r="DX287" s="498"/>
      <c r="DY287" s="498"/>
      <c r="DZ287" s="498"/>
      <c r="EA287" s="498"/>
      <c r="EB287" s="498"/>
      <c r="EC287" s="498"/>
      <c r="ED287" s="498"/>
      <c r="EE287" s="498"/>
      <c r="EF287" s="498"/>
      <c r="EG287" s="498"/>
      <c r="EH287" s="498"/>
      <c r="EI287" s="498"/>
      <c r="EJ287" s="498"/>
      <c r="EK287" s="498"/>
      <c r="EL287" s="498"/>
      <c r="EM287" s="498"/>
      <c r="EN287" s="498"/>
      <c r="EO287" s="498"/>
      <c r="EP287" s="498"/>
      <c r="EQ287" s="498"/>
      <c r="ER287" s="498"/>
      <c r="ES287" s="498"/>
      <c r="ET287" s="498"/>
      <c r="EU287" s="498"/>
      <c r="EV287" s="498"/>
      <c r="EW287" s="498"/>
      <c r="EX287" s="498"/>
      <c r="EY287" s="498"/>
      <c r="EZ287" s="498"/>
      <c r="FA287" s="498"/>
      <c r="FB287" s="498"/>
      <c r="FC287" s="498"/>
    </row>
    <row r="288" spans="3:159">
      <c r="C288" s="19" t="s">
        <v>1085</v>
      </c>
      <c r="J288" s="287">
        <f t="shared" ref="J288:AH288" si="94">SUM(J289:J295)</f>
        <v>-1077</v>
      </c>
      <c r="K288" s="287">
        <f t="shared" si="94"/>
        <v>-1015</v>
      </c>
      <c r="L288" s="287">
        <f t="shared" si="94"/>
        <v>-1253</v>
      </c>
      <c r="M288" s="287">
        <f t="shared" si="94"/>
        <v>-1116</v>
      </c>
      <c r="N288" s="287">
        <f t="shared" si="94"/>
        <v>-987</v>
      </c>
      <c r="O288" s="287">
        <f t="shared" si="94"/>
        <v>-877</v>
      </c>
      <c r="P288" s="287">
        <f t="shared" si="94"/>
        <v>-1389</v>
      </c>
      <c r="Q288" s="287">
        <f t="shared" si="94"/>
        <v>-1932</v>
      </c>
      <c r="R288" s="287">
        <f t="shared" si="94"/>
        <v>-2151</v>
      </c>
      <c r="S288" s="287">
        <f t="shared" si="94"/>
        <v>-2139</v>
      </c>
      <c r="T288" s="287">
        <f t="shared" si="94"/>
        <v>-3287</v>
      </c>
      <c r="U288" s="27">
        <f t="shared" si="94"/>
        <v>-4482</v>
      </c>
      <c r="V288" s="287">
        <f t="shared" si="94"/>
        <v>-3439</v>
      </c>
      <c r="W288" s="287">
        <f t="shared" si="94"/>
        <v>-3127</v>
      </c>
      <c r="X288" s="287">
        <f t="shared" si="94"/>
        <v>-2900</v>
      </c>
      <c r="Y288" s="287">
        <f t="shared" si="94"/>
        <v>-2858</v>
      </c>
      <c r="Z288" s="287">
        <f t="shared" si="94"/>
        <v>-2240</v>
      </c>
      <c r="AA288" s="287">
        <f t="shared" si="94"/>
        <v>-2194</v>
      </c>
      <c r="AB288" s="287">
        <f t="shared" si="94"/>
        <v>-2211</v>
      </c>
      <c r="AC288" s="287">
        <f t="shared" si="94"/>
        <v>-3537</v>
      </c>
      <c r="AD288" s="287">
        <f t="shared" si="94"/>
        <v>-3537</v>
      </c>
      <c r="AE288" s="287">
        <f t="shared" si="94"/>
        <v>-3537</v>
      </c>
      <c r="AF288" s="287">
        <f t="shared" si="94"/>
        <v>-3537</v>
      </c>
      <c r="AG288" s="287">
        <f t="shared" si="94"/>
        <v>-3537</v>
      </c>
      <c r="AH288" s="287">
        <f t="shared" si="94"/>
        <v>-3536</v>
      </c>
      <c r="AO288" s="338"/>
      <c r="AP288" s="449"/>
      <c r="AR288" s="449"/>
      <c r="AS288" s="449"/>
      <c r="BA288" s="498"/>
      <c r="BB288" s="498"/>
      <c r="BC288" s="498"/>
      <c r="BD288" s="498"/>
      <c r="BE288" s="498"/>
      <c r="BF288" s="498"/>
      <c r="BG288" s="498"/>
      <c r="BH288" s="498"/>
      <c r="BI288" s="498"/>
      <c r="BJ288" s="498"/>
      <c r="BK288" s="498"/>
      <c r="BL288" s="498"/>
      <c r="BM288" s="498"/>
      <c r="BN288" s="498"/>
      <c r="BO288" s="498"/>
      <c r="BP288" s="498"/>
      <c r="BQ288" s="498"/>
      <c r="BR288" s="498"/>
      <c r="BS288" s="498"/>
      <c r="BT288" s="498"/>
      <c r="BU288" s="498"/>
      <c r="BV288" s="498"/>
      <c r="BW288" s="498"/>
      <c r="BX288" s="498"/>
      <c r="BY288" s="498"/>
      <c r="BZ288" s="498"/>
      <c r="CA288" s="498"/>
      <c r="CB288" s="498"/>
      <c r="CC288" s="498"/>
      <c r="CD288" s="498"/>
      <c r="CE288" s="498"/>
      <c r="CF288" s="498"/>
      <c r="CG288" s="287"/>
      <c r="CH288" s="287"/>
      <c r="CI288" s="287"/>
      <c r="CJ288" s="287"/>
      <c r="CK288" s="287"/>
      <c r="CL288" s="287"/>
      <c r="CM288" s="287"/>
      <c r="CN288" s="287"/>
      <c r="CO288" s="27"/>
      <c r="CR288" s="498"/>
      <c r="CS288" s="498"/>
      <c r="CT288" s="498"/>
      <c r="CU288" s="498"/>
      <c r="CV288" s="498"/>
      <c r="CW288" s="498"/>
      <c r="CX288" s="498"/>
      <c r="CY288" s="498"/>
      <c r="CZ288" s="498"/>
      <c r="DA288" s="498"/>
      <c r="DB288" s="498"/>
      <c r="DC288" s="498"/>
      <c r="DD288" s="498"/>
      <c r="DE288" s="498"/>
      <c r="DF288" s="498"/>
      <c r="DG288" s="498"/>
      <c r="DH288" s="498"/>
      <c r="DI288" s="498"/>
      <c r="DJ288" s="498"/>
      <c r="DK288" s="498"/>
      <c r="DL288" s="498"/>
      <c r="DM288" s="498"/>
      <c r="DN288" s="498"/>
      <c r="DO288" s="498"/>
      <c r="DP288" s="498"/>
      <c r="DQ288" s="498"/>
      <c r="DR288" s="498"/>
      <c r="DS288" s="498"/>
      <c r="DT288" s="498"/>
      <c r="DU288" s="498"/>
      <c r="DV288" s="498"/>
      <c r="DW288" s="498"/>
      <c r="DX288" s="498"/>
      <c r="DY288" s="498"/>
      <c r="DZ288" s="498"/>
      <c r="EA288" s="498"/>
      <c r="EB288" s="498"/>
      <c r="EC288" s="498"/>
      <c r="ED288" s="498"/>
      <c r="EE288" s="498"/>
      <c r="EF288" s="498"/>
      <c r="EG288" s="498"/>
      <c r="EH288" s="498"/>
      <c r="EI288" s="498"/>
      <c r="EJ288" s="498"/>
      <c r="EK288" s="498"/>
      <c r="EL288" s="498"/>
      <c r="EM288" s="498"/>
      <c r="EN288" s="498"/>
      <c r="EO288" s="498"/>
      <c r="EP288" s="498"/>
      <c r="EQ288" s="498"/>
      <c r="ER288" s="498"/>
      <c r="ES288" s="498"/>
      <c r="ET288" s="498"/>
      <c r="EU288" s="498"/>
      <c r="EV288" s="498"/>
      <c r="EW288" s="498"/>
      <c r="EX288" s="498"/>
      <c r="EY288" s="498"/>
      <c r="EZ288" s="498"/>
      <c r="FA288" s="498"/>
      <c r="FB288" s="498"/>
      <c r="FC288" s="498"/>
    </row>
    <row r="289" spans="3:159">
      <c r="C289" s="291" t="s">
        <v>750</v>
      </c>
      <c r="J289" s="287">
        <f t="shared" ref="J289:AH289" si="95">MAX(0,J298)</f>
        <v>0</v>
      </c>
      <c r="K289" s="287">
        <f t="shared" si="95"/>
        <v>2</v>
      </c>
      <c r="L289" s="287">
        <f t="shared" si="95"/>
        <v>0</v>
      </c>
      <c r="M289" s="287">
        <f t="shared" si="95"/>
        <v>113</v>
      </c>
      <c r="N289" s="287">
        <f t="shared" si="95"/>
        <v>275</v>
      </c>
      <c r="O289" s="287">
        <f t="shared" si="95"/>
        <v>405</v>
      </c>
      <c r="P289" s="287">
        <f t="shared" si="95"/>
        <v>19</v>
      </c>
      <c r="Q289" s="287">
        <f t="shared" si="95"/>
        <v>0</v>
      </c>
      <c r="R289" s="287">
        <f t="shared" si="95"/>
        <v>0</v>
      </c>
      <c r="S289" s="287">
        <f t="shared" si="95"/>
        <v>0</v>
      </c>
      <c r="T289" s="287">
        <f t="shared" si="95"/>
        <v>116</v>
      </c>
      <c r="U289" s="27">
        <f t="shared" si="95"/>
        <v>651</v>
      </c>
      <c r="V289" s="287">
        <f t="shared" si="95"/>
        <v>0</v>
      </c>
      <c r="W289" s="287">
        <f t="shared" si="95"/>
        <v>161</v>
      </c>
      <c r="X289" s="287">
        <f t="shared" si="95"/>
        <v>209</v>
      </c>
      <c r="Y289" s="287">
        <f t="shared" si="95"/>
        <v>230</v>
      </c>
      <c r="Z289" s="287">
        <f t="shared" si="95"/>
        <v>1030</v>
      </c>
      <c r="AA289" s="287">
        <f t="shared" si="95"/>
        <v>1293</v>
      </c>
      <c r="AB289" s="287">
        <f t="shared" si="95"/>
        <v>1286</v>
      </c>
      <c r="AC289" s="287">
        <f t="shared" si="95"/>
        <v>0</v>
      </c>
      <c r="AD289" s="287">
        <f t="shared" si="95"/>
        <v>0</v>
      </c>
      <c r="AE289" s="287">
        <f t="shared" si="95"/>
        <v>0</v>
      </c>
      <c r="AF289" s="287">
        <f t="shared" si="95"/>
        <v>0</v>
      </c>
      <c r="AG289" s="287">
        <f t="shared" si="95"/>
        <v>0</v>
      </c>
      <c r="AH289" s="287">
        <f t="shared" si="95"/>
        <v>0</v>
      </c>
      <c r="AO289" s="338"/>
      <c r="AP289" s="449"/>
      <c r="AR289" s="449"/>
      <c r="AS289" s="449"/>
      <c r="BA289" s="498"/>
      <c r="BB289" s="498"/>
      <c r="BC289" s="498"/>
      <c r="BD289" s="498"/>
      <c r="BE289" s="498"/>
      <c r="BF289" s="498"/>
      <c r="BG289" s="498"/>
      <c r="BH289" s="498"/>
      <c r="BI289" s="498"/>
      <c r="BJ289" s="498"/>
      <c r="BK289" s="498"/>
      <c r="BL289" s="498"/>
      <c r="BM289" s="498"/>
      <c r="BN289" s="498"/>
      <c r="BO289" s="498"/>
      <c r="BP289" s="498"/>
      <c r="BQ289" s="498"/>
      <c r="BR289" s="498"/>
      <c r="BS289" s="498"/>
      <c r="BT289" s="498"/>
      <c r="BU289" s="498"/>
      <c r="BV289" s="498"/>
      <c r="BW289" s="498"/>
      <c r="BX289" s="498"/>
      <c r="BY289" s="498"/>
      <c r="BZ289" s="498"/>
      <c r="CA289" s="498"/>
      <c r="CB289" s="498"/>
      <c r="CC289" s="498"/>
      <c r="CD289" s="498"/>
      <c r="CE289" s="498"/>
      <c r="CF289" s="498"/>
      <c r="CG289" s="287"/>
      <c r="CH289" s="287"/>
      <c r="CI289" s="287"/>
      <c r="CJ289" s="287"/>
      <c r="CK289" s="287"/>
      <c r="CL289" s="287"/>
      <c r="CM289" s="287"/>
      <c r="CN289" s="287"/>
      <c r="CO289" s="27"/>
      <c r="CR289" s="498"/>
      <c r="CS289" s="498"/>
      <c r="CT289" s="498"/>
      <c r="CU289" s="498"/>
      <c r="CV289" s="498"/>
      <c r="CW289" s="498"/>
      <c r="CX289" s="498"/>
      <c r="CY289" s="498"/>
      <c r="CZ289" s="498"/>
      <c r="DA289" s="498"/>
      <c r="DB289" s="498"/>
      <c r="DC289" s="498"/>
      <c r="DD289" s="498"/>
      <c r="DE289" s="498"/>
      <c r="DF289" s="498"/>
      <c r="DG289" s="498"/>
      <c r="DH289" s="498"/>
      <c r="DI289" s="498"/>
      <c r="DJ289" s="498"/>
      <c r="DK289" s="498"/>
      <c r="DL289" s="498"/>
      <c r="DM289" s="498"/>
      <c r="DN289" s="498"/>
      <c r="DO289" s="498"/>
      <c r="DP289" s="498"/>
      <c r="DQ289" s="498"/>
      <c r="DR289" s="498"/>
      <c r="DS289" s="498"/>
      <c r="DT289" s="498"/>
      <c r="DU289" s="498"/>
      <c r="DV289" s="498"/>
      <c r="DW289" s="498"/>
      <c r="DX289" s="498"/>
      <c r="DY289" s="498"/>
      <c r="DZ289" s="498"/>
      <c r="EA289" s="498"/>
      <c r="EB289" s="498"/>
      <c r="EC289" s="498"/>
      <c r="ED289" s="498"/>
      <c r="EE289" s="498"/>
      <c r="EF289" s="498"/>
      <c r="EG289" s="498"/>
      <c r="EH289" s="498"/>
      <c r="EI289" s="498"/>
      <c r="EJ289" s="498"/>
      <c r="EK289" s="498"/>
      <c r="EL289" s="498"/>
      <c r="EM289" s="498"/>
      <c r="EN289" s="498"/>
      <c r="EO289" s="498"/>
      <c r="EP289" s="498"/>
      <c r="EQ289" s="498"/>
      <c r="ER289" s="498"/>
      <c r="ES289" s="498"/>
      <c r="ET289" s="498"/>
      <c r="EU289" s="498"/>
      <c r="EV289" s="498"/>
      <c r="EW289" s="498"/>
      <c r="EX289" s="498"/>
      <c r="EY289" s="498"/>
      <c r="EZ289" s="498"/>
      <c r="FA289" s="498"/>
      <c r="FB289" s="498"/>
      <c r="FC289" s="498"/>
    </row>
    <row r="290" spans="3:159">
      <c r="C290" s="291" t="s">
        <v>1086</v>
      </c>
      <c r="J290" s="259">
        <v>-573</v>
      </c>
      <c r="K290" s="259">
        <v>-590</v>
      </c>
      <c r="L290" s="259">
        <v>-698</v>
      </c>
      <c r="M290" s="259">
        <v>-696</v>
      </c>
      <c r="N290" s="259">
        <v>-701</v>
      </c>
      <c r="O290" s="259">
        <v>-682</v>
      </c>
      <c r="P290" s="259">
        <v>-670</v>
      </c>
      <c r="Q290" s="259">
        <v>-670</v>
      </c>
      <c r="R290" s="259">
        <v>-713</v>
      </c>
      <c r="S290" s="259">
        <v>-708</v>
      </c>
      <c r="T290" s="259">
        <v>-699</v>
      </c>
      <c r="U290" s="259">
        <v>-569</v>
      </c>
      <c r="V290" s="259">
        <f>'Balance Sheet'!T30</f>
        <v>-585</v>
      </c>
      <c r="W290" s="259">
        <f>'Balance Sheet'!U30</f>
        <v>-505</v>
      </c>
      <c r="X290" s="259">
        <f>'Balance Sheet'!V30</f>
        <v>-426</v>
      </c>
      <c r="Y290" s="259">
        <f>'Balance Sheet'!W30</f>
        <v>-327</v>
      </c>
      <c r="Z290" s="259">
        <f>'Balance Sheet'!X30</f>
        <v>-302</v>
      </c>
      <c r="AA290" s="259">
        <f>'Balance Sheet'!Y30</f>
        <v>-292</v>
      </c>
      <c r="AB290" s="259">
        <f>'Balance Sheet'!Z30</f>
        <v>-287</v>
      </c>
      <c r="AC290" s="259">
        <v>-327</v>
      </c>
      <c r="AD290" s="259">
        <v>-327</v>
      </c>
      <c r="AE290" s="259">
        <v>-327</v>
      </c>
      <c r="AF290" s="259">
        <v>-327</v>
      </c>
      <c r="AG290" s="259">
        <v>-327</v>
      </c>
      <c r="AH290" s="259">
        <v>-326</v>
      </c>
      <c r="AO290" s="338"/>
      <c r="AP290" s="449"/>
      <c r="AR290" s="449"/>
      <c r="AS290" s="449"/>
      <c r="BA290" s="498"/>
      <c r="BB290" s="498"/>
      <c r="BC290" s="498"/>
      <c r="BD290" s="498"/>
      <c r="BE290" s="498"/>
      <c r="BF290" s="498"/>
      <c r="BG290" s="498"/>
      <c r="BH290" s="498"/>
      <c r="BI290" s="498"/>
      <c r="BJ290" s="498"/>
      <c r="BK290" s="498"/>
      <c r="BL290" s="498"/>
      <c r="BM290" s="498"/>
      <c r="BN290" s="498"/>
      <c r="BO290" s="498"/>
      <c r="BP290" s="498"/>
      <c r="BQ290" s="498"/>
      <c r="BR290" s="498"/>
      <c r="BS290" s="498"/>
      <c r="BT290" s="498"/>
      <c r="BU290" s="498"/>
      <c r="BV290" s="498"/>
      <c r="BW290" s="498"/>
      <c r="BX290" s="498"/>
      <c r="BY290" s="498"/>
      <c r="BZ290" s="498"/>
      <c r="CA290" s="498"/>
      <c r="CB290" s="498"/>
      <c r="CC290" s="498"/>
      <c r="CD290" s="498"/>
      <c r="CE290" s="498"/>
      <c r="CF290" s="498"/>
      <c r="CG290" s="259"/>
      <c r="CH290" s="259"/>
      <c r="CI290" s="259"/>
      <c r="CJ290" s="259"/>
      <c r="CK290" s="259"/>
      <c r="CL290" s="259"/>
      <c r="CM290" s="259"/>
      <c r="CN290" s="259"/>
      <c r="CO290" s="259"/>
      <c r="CR290" s="498"/>
      <c r="CS290" s="498"/>
      <c r="CT290" s="498"/>
      <c r="CU290" s="498"/>
      <c r="CV290" s="498"/>
      <c r="CW290" s="498"/>
      <c r="CX290" s="498"/>
      <c r="CY290" s="498"/>
      <c r="CZ290" s="498"/>
      <c r="DA290" s="498"/>
      <c r="DB290" s="498"/>
      <c r="DC290" s="498"/>
      <c r="DD290" s="498"/>
      <c r="DE290" s="498"/>
      <c r="DF290" s="498"/>
      <c r="DG290" s="498"/>
      <c r="DH290" s="498"/>
      <c r="DI290" s="498"/>
      <c r="DJ290" s="498"/>
      <c r="DK290" s="498"/>
      <c r="DL290" s="498"/>
      <c r="DM290" s="498"/>
      <c r="DN290" s="498"/>
      <c r="DO290" s="498"/>
      <c r="DP290" s="498"/>
      <c r="DQ290" s="498"/>
      <c r="DR290" s="498"/>
      <c r="DS290" s="498"/>
      <c r="DT290" s="498"/>
      <c r="DU290" s="498"/>
      <c r="DV290" s="498"/>
      <c r="DW290" s="498"/>
      <c r="DX290" s="498"/>
      <c r="DY290" s="498"/>
      <c r="DZ290" s="498"/>
      <c r="EA290" s="498"/>
      <c r="EB290" s="498"/>
      <c r="EC290" s="498"/>
      <c r="ED290" s="498"/>
      <c r="EE290" s="498"/>
      <c r="EF290" s="498"/>
      <c r="EG290" s="498"/>
      <c r="EH290" s="498"/>
      <c r="EI290" s="498"/>
      <c r="EJ290" s="498"/>
      <c r="EK290" s="498"/>
      <c r="EL290" s="498"/>
      <c r="EM290" s="498"/>
      <c r="EN290" s="498"/>
      <c r="EO290" s="498"/>
      <c r="EP290" s="498"/>
      <c r="EQ290" s="498"/>
      <c r="ER290" s="498"/>
      <c r="ES290" s="498"/>
      <c r="ET290" s="498"/>
      <c r="EU290" s="498"/>
      <c r="EV290" s="498"/>
      <c r="EW290" s="498"/>
      <c r="EX290" s="498"/>
      <c r="EY290" s="498"/>
      <c r="EZ290" s="498"/>
      <c r="FA290" s="498"/>
      <c r="FB290" s="498"/>
      <c r="FC290" s="498"/>
    </row>
    <row r="291" spans="3:159">
      <c r="C291" s="291" t="s">
        <v>1087</v>
      </c>
      <c r="J291" s="259"/>
      <c r="K291" s="259"/>
      <c r="L291" s="259"/>
      <c r="M291" s="259"/>
      <c r="N291" s="259"/>
      <c r="O291" s="259"/>
      <c r="P291" s="259"/>
      <c r="Q291" s="259"/>
      <c r="R291" s="259"/>
      <c r="S291" s="259"/>
      <c r="T291" s="259"/>
      <c r="U291" s="259"/>
      <c r="V291" s="259"/>
      <c r="W291" s="259"/>
      <c r="X291" s="259"/>
      <c r="Y291" s="259"/>
      <c r="AO291" s="338"/>
      <c r="AP291" s="449"/>
      <c r="AR291" s="449"/>
      <c r="AS291" s="449"/>
      <c r="BA291" s="498"/>
      <c r="BB291" s="498"/>
      <c r="BC291" s="498"/>
      <c r="BD291" s="498"/>
      <c r="BE291" s="498"/>
      <c r="BF291" s="498"/>
      <c r="BG291" s="498"/>
      <c r="BH291" s="498"/>
      <c r="BI291" s="498"/>
      <c r="BJ291" s="498"/>
      <c r="BK291" s="498"/>
      <c r="BL291" s="498"/>
      <c r="BM291" s="498"/>
      <c r="BN291" s="498"/>
      <c r="BO291" s="498"/>
      <c r="BP291" s="498"/>
      <c r="BQ291" s="498"/>
      <c r="BR291" s="498"/>
      <c r="BS291" s="498"/>
      <c r="BT291" s="498"/>
      <c r="BU291" s="498"/>
      <c r="BV291" s="498"/>
      <c r="BW291" s="498"/>
      <c r="BX291" s="498"/>
      <c r="BY291" s="498"/>
      <c r="BZ291" s="498"/>
      <c r="CA291" s="498"/>
      <c r="CB291" s="498"/>
      <c r="CC291" s="498"/>
      <c r="CD291" s="498"/>
      <c r="CE291" s="498"/>
      <c r="CF291" s="498"/>
      <c r="CG291" s="259"/>
      <c r="CH291" s="259"/>
      <c r="CI291" s="259"/>
      <c r="CJ291" s="259"/>
      <c r="CK291" s="259"/>
      <c r="CL291" s="259"/>
      <c r="CM291" s="259"/>
      <c r="CN291" s="259"/>
      <c r="CO291" s="259"/>
      <c r="CR291" s="498"/>
      <c r="CS291" s="498"/>
      <c r="CT291" s="498"/>
      <c r="CU291" s="498"/>
      <c r="CV291" s="498"/>
      <c r="CW291" s="498"/>
      <c r="CX291" s="498"/>
      <c r="CY291" s="498"/>
      <c r="CZ291" s="498"/>
      <c r="DA291" s="498"/>
      <c r="DB291" s="498"/>
      <c r="DC291" s="498"/>
      <c r="DD291" s="498"/>
      <c r="DE291" s="498"/>
      <c r="DF291" s="498"/>
      <c r="DG291" s="498"/>
      <c r="DH291" s="498"/>
      <c r="DI291" s="498"/>
      <c r="DJ291" s="498"/>
      <c r="DK291" s="498"/>
      <c r="DL291" s="498"/>
      <c r="DM291" s="498"/>
      <c r="DN291" s="498"/>
      <c r="DO291" s="498"/>
      <c r="DP291" s="498"/>
      <c r="DQ291" s="498"/>
      <c r="DR291" s="498"/>
      <c r="DS291" s="498"/>
      <c r="DT291" s="498"/>
      <c r="DU291" s="498"/>
      <c r="DV291" s="498"/>
      <c r="DW291" s="498"/>
      <c r="DX291" s="498"/>
      <c r="DY291" s="498"/>
      <c r="DZ291" s="498"/>
      <c r="EA291" s="498"/>
      <c r="EB291" s="498"/>
      <c r="EC291" s="498"/>
      <c r="ED291" s="498"/>
      <c r="EE291" s="498"/>
      <c r="EF291" s="498"/>
      <c r="EG291" s="498"/>
      <c r="EH291" s="498"/>
      <c r="EI291" s="498"/>
      <c r="EJ291" s="498"/>
      <c r="EK291" s="498"/>
      <c r="EL291" s="498"/>
      <c r="EM291" s="498"/>
      <c r="EN291" s="498"/>
      <c r="EO291" s="498"/>
      <c r="EP291" s="498"/>
      <c r="EQ291" s="498"/>
      <c r="ER291" s="498"/>
      <c r="ES291" s="498"/>
      <c r="ET291" s="498"/>
      <c r="EU291" s="498"/>
      <c r="EV291" s="498"/>
      <c r="EW291" s="498"/>
      <c r="EX291" s="498"/>
      <c r="EY291" s="498"/>
      <c r="EZ291" s="498"/>
      <c r="FA291" s="498"/>
      <c r="FB291" s="498"/>
      <c r="FC291" s="498"/>
    </row>
    <row r="292" spans="3:159">
      <c r="C292" s="291" t="s">
        <v>1088</v>
      </c>
      <c r="J292" s="259"/>
      <c r="K292" s="259"/>
      <c r="L292" s="259"/>
      <c r="M292" s="259"/>
      <c r="N292" s="259"/>
      <c r="O292" s="259"/>
      <c r="P292" s="259"/>
      <c r="Q292" s="259"/>
      <c r="R292" s="259"/>
      <c r="S292" s="259"/>
      <c r="T292" s="259"/>
      <c r="U292" s="259"/>
      <c r="V292" s="259"/>
      <c r="W292" s="259"/>
      <c r="X292" s="259"/>
      <c r="Y292" s="259"/>
      <c r="AO292" s="338"/>
      <c r="AP292" s="449"/>
      <c r="AR292" s="449"/>
      <c r="AS292" s="449"/>
      <c r="BA292" s="498"/>
      <c r="BB292" s="498"/>
      <c r="BC292" s="498"/>
      <c r="BD292" s="498"/>
      <c r="BE292" s="498"/>
      <c r="BF292" s="498"/>
      <c r="BG292" s="498"/>
      <c r="BH292" s="498"/>
      <c r="BI292" s="498"/>
      <c r="BJ292" s="498"/>
      <c r="BK292" s="498"/>
      <c r="BL292" s="498"/>
      <c r="BM292" s="498"/>
      <c r="BN292" s="498"/>
      <c r="BO292" s="498"/>
      <c r="BP292" s="498"/>
      <c r="BQ292" s="498"/>
      <c r="BR292" s="498"/>
      <c r="BS292" s="498"/>
      <c r="BT292" s="498"/>
      <c r="BU292" s="498"/>
      <c r="BV292" s="498"/>
      <c r="BW292" s="498"/>
      <c r="BX292" s="498"/>
      <c r="BY292" s="498"/>
      <c r="BZ292" s="498"/>
      <c r="CA292" s="498"/>
      <c r="CB292" s="498"/>
      <c r="CC292" s="498"/>
      <c r="CD292" s="498"/>
      <c r="CE292" s="498"/>
      <c r="CF292" s="498"/>
      <c r="CG292" s="259"/>
      <c r="CH292" s="259"/>
      <c r="CI292" s="259"/>
      <c r="CJ292" s="259"/>
      <c r="CK292" s="259"/>
      <c r="CL292" s="259"/>
      <c r="CM292" s="259"/>
      <c r="CN292" s="259"/>
      <c r="CO292" s="259"/>
      <c r="CR292" s="498"/>
      <c r="CS292" s="498"/>
      <c r="CT292" s="498"/>
      <c r="CU292" s="498"/>
      <c r="CV292" s="498"/>
      <c r="CW292" s="498"/>
      <c r="CX292" s="498"/>
      <c r="CY292" s="498"/>
      <c r="CZ292" s="498"/>
      <c r="DA292" s="498"/>
      <c r="DB292" s="498"/>
      <c r="DC292" s="498"/>
      <c r="DD292" s="498"/>
      <c r="DE292" s="498"/>
      <c r="DF292" s="498"/>
      <c r="DG292" s="498"/>
      <c r="DH292" s="498"/>
      <c r="DI292" s="498"/>
      <c r="DJ292" s="498"/>
      <c r="DK292" s="498"/>
      <c r="DL292" s="498"/>
      <c r="DM292" s="498"/>
      <c r="DN292" s="498"/>
      <c r="DO292" s="498"/>
      <c r="DP292" s="498"/>
      <c r="DQ292" s="498"/>
      <c r="DR292" s="498"/>
      <c r="DS292" s="498"/>
      <c r="DT292" s="498"/>
      <c r="DU292" s="498"/>
      <c r="DV292" s="498"/>
      <c r="DW292" s="498"/>
      <c r="DX292" s="498"/>
      <c r="DY292" s="498"/>
      <c r="DZ292" s="498"/>
      <c r="EA292" s="498"/>
      <c r="EB292" s="498"/>
      <c r="EC292" s="498"/>
      <c r="ED292" s="498"/>
      <c r="EE292" s="498"/>
      <c r="EF292" s="498"/>
      <c r="EG292" s="498"/>
      <c r="EH292" s="498"/>
      <c r="EI292" s="498"/>
      <c r="EJ292" s="498"/>
      <c r="EK292" s="498"/>
      <c r="EL292" s="498"/>
      <c r="EM292" s="498"/>
      <c r="EN292" s="498"/>
      <c r="EO292" s="498"/>
      <c r="EP292" s="498"/>
      <c r="EQ292" s="498"/>
      <c r="ER292" s="498"/>
      <c r="ES292" s="498"/>
      <c r="ET292" s="498"/>
      <c r="EU292" s="498"/>
      <c r="EV292" s="498"/>
      <c r="EW292" s="498"/>
      <c r="EX292" s="498"/>
      <c r="EY292" s="498"/>
      <c r="EZ292" s="498"/>
      <c r="FA292" s="498"/>
      <c r="FB292" s="498"/>
      <c r="FC292" s="498"/>
    </row>
    <row r="293" spans="3:159">
      <c r="C293" s="291" t="s">
        <v>1089</v>
      </c>
      <c r="J293" s="287">
        <f>-SUM('Balance Sheet'!H7:H8,'Balance Sheet'!H16)</f>
        <v>-504</v>
      </c>
      <c r="K293" s="287">
        <f>-SUM('Balance Sheet'!I7:I8,'Balance Sheet'!I16)</f>
        <v>-427</v>
      </c>
      <c r="L293" s="287">
        <f>-SUM('Balance Sheet'!J7:J8,'Balance Sheet'!J16)</f>
        <v>-555</v>
      </c>
      <c r="M293" s="287">
        <f>-SUM('Balance Sheet'!K7:K8,'Balance Sheet'!K16)</f>
        <v>-533</v>
      </c>
      <c r="N293" s="287">
        <f>-SUM('Balance Sheet'!L7:L8,'Balance Sheet'!L16)</f>
        <v>-561</v>
      </c>
      <c r="O293" s="287">
        <f>-SUM('Balance Sheet'!M7:M8,'Balance Sheet'!M16)</f>
        <v>-600</v>
      </c>
      <c r="P293" s="287">
        <f>-SUM('Balance Sheet'!N7:N8,'Balance Sheet'!N16)</f>
        <v>-738</v>
      </c>
      <c r="Q293" s="287">
        <f>-SUM('Balance Sheet'!O7:O8,'Balance Sheet'!O16)</f>
        <v>-1262</v>
      </c>
      <c r="R293" s="287">
        <f>-SUM('Balance Sheet'!P7:P8,'Balance Sheet'!P16)</f>
        <v>-1438</v>
      </c>
      <c r="S293" s="287">
        <f>-SUM('Balance Sheet'!Q7:Q8,'Balance Sheet'!Q16)</f>
        <v>-1431</v>
      </c>
      <c r="T293" s="287">
        <f>-SUM('Balance Sheet'!R7:R8,'Balance Sheet'!R16)</f>
        <v>-2704</v>
      </c>
      <c r="U293" s="287">
        <f>-SUM('Balance Sheet'!S7:S8,'Balance Sheet'!S16)</f>
        <v>-4564</v>
      </c>
      <c r="V293" s="287">
        <f>-SUM('Balance Sheet'!T7:T8,'Balance Sheet'!T16)</f>
        <v>-2854</v>
      </c>
      <c r="W293" s="287">
        <f>-SUM('Balance Sheet'!U7:U8,'Balance Sheet'!U16)</f>
        <v>-2783</v>
      </c>
      <c r="X293" s="287">
        <f>-SUM('Balance Sheet'!V7:V8,'Balance Sheet'!V16)</f>
        <v>-2683</v>
      </c>
      <c r="Y293" s="287">
        <f>-SUM('Balance Sheet'!W7:W8,'Balance Sheet'!W16)</f>
        <v>-2761</v>
      </c>
      <c r="Z293" s="287">
        <f>-SUM('Balance Sheet'!X7:X8,'Balance Sheet'!X16)</f>
        <v>-2968</v>
      </c>
      <c r="AA293" s="287">
        <f>-SUM('Balance Sheet'!Y7:Y8,'Balance Sheet'!Y16)</f>
        <v>-3195</v>
      </c>
      <c r="AB293" s="287">
        <f>-SUM('Balance Sheet'!Z7:Z8,'Balance Sheet'!Z16)</f>
        <v>-3210</v>
      </c>
      <c r="AC293" s="287">
        <f>-SUM('Balance Sheet'!AA7:AA8,'Balance Sheet'!AA16)</f>
        <v>-3210</v>
      </c>
      <c r="AD293" s="287">
        <f>-SUM('Balance Sheet'!AB7:AB8,'Balance Sheet'!AB16)</f>
        <v>-3210</v>
      </c>
      <c r="AE293" s="287">
        <f>-SUM('Balance Sheet'!AC7:AC8,'Balance Sheet'!AC16)</f>
        <v>-3210</v>
      </c>
      <c r="AF293" s="287">
        <f>-SUM('Balance Sheet'!AD7:AD8,'Balance Sheet'!AD16)</f>
        <v>-3210</v>
      </c>
      <c r="AG293" s="287">
        <f>-SUM('Balance Sheet'!AE7:AE8,'Balance Sheet'!AE16)</f>
        <v>-3210</v>
      </c>
      <c r="AH293" s="287">
        <f>-SUM('Balance Sheet'!AF7:AF8,'Balance Sheet'!AF16)</f>
        <v>-3210</v>
      </c>
      <c r="AO293" s="338"/>
      <c r="AP293" s="449"/>
      <c r="AR293" s="449"/>
      <c r="AS293" s="449"/>
      <c r="BA293" s="498"/>
      <c r="BB293" s="498"/>
      <c r="BC293" s="498"/>
      <c r="BD293" s="498"/>
      <c r="BE293" s="498"/>
      <c r="BF293" s="498"/>
      <c r="BG293" s="498"/>
      <c r="BH293" s="498"/>
      <c r="BI293" s="498"/>
      <c r="BJ293" s="498"/>
      <c r="BK293" s="498"/>
      <c r="BL293" s="498"/>
      <c r="BM293" s="498"/>
      <c r="BN293" s="498"/>
      <c r="BO293" s="498"/>
      <c r="BP293" s="498"/>
      <c r="BQ293" s="498"/>
      <c r="BR293" s="498"/>
      <c r="BS293" s="498"/>
      <c r="BT293" s="498"/>
      <c r="BU293" s="498"/>
      <c r="BV293" s="498"/>
      <c r="BW293" s="498"/>
      <c r="BX293" s="498"/>
      <c r="BY293" s="498"/>
      <c r="BZ293" s="498"/>
      <c r="CA293" s="498"/>
      <c r="CB293" s="498"/>
      <c r="CC293" s="498"/>
      <c r="CD293" s="498"/>
      <c r="CE293" s="498"/>
      <c r="CF293" s="498"/>
      <c r="CG293" s="287"/>
      <c r="CH293" s="287"/>
      <c r="CI293" s="287"/>
      <c r="CJ293" s="287"/>
      <c r="CK293" s="287"/>
      <c r="CL293" s="287"/>
      <c r="CM293" s="287"/>
      <c r="CN293" s="287"/>
      <c r="CO293" s="27"/>
      <c r="CR293" s="498"/>
      <c r="CS293" s="498"/>
      <c r="CT293" s="498"/>
      <c r="CU293" s="498"/>
      <c r="CV293" s="498"/>
      <c r="CW293" s="498"/>
      <c r="CX293" s="498"/>
      <c r="CY293" s="498"/>
      <c r="CZ293" s="498"/>
      <c r="DA293" s="498"/>
      <c r="DB293" s="498"/>
      <c r="DC293" s="498"/>
      <c r="DD293" s="498"/>
      <c r="DE293" s="498"/>
      <c r="DF293" s="498"/>
      <c r="DG293" s="498"/>
      <c r="DH293" s="498"/>
      <c r="DI293" s="498"/>
      <c r="DJ293" s="498"/>
      <c r="DK293" s="498"/>
      <c r="DL293" s="498"/>
      <c r="DM293" s="498"/>
      <c r="DN293" s="498"/>
      <c r="DO293" s="498"/>
      <c r="DP293" s="498"/>
      <c r="DQ293" s="498"/>
      <c r="DR293" s="498"/>
      <c r="DS293" s="498"/>
      <c r="DT293" s="498"/>
      <c r="DU293" s="498"/>
      <c r="DV293" s="498"/>
      <c r="DW293" s="498"/>
      <c r="DX293" s="498"/>
      <c r="DY293" s="498"/>
      <c r="DZ293" s="498"/>
      <c r="EA293" s="498"/>
      <c r="EB293" s="498"/>
      <c r="EC293" s="498"/>
      <c r="ED293" s="498"/>
      <c r="EE293" s="498"/>
      <c r="EF293" s="498"/>
      <c r="EG293" s="498"/>
      <c r="EH293" s="498"/>
      <c r="EI293" s="498"/>
      <c r="EJ293" s="498"/>
      <c r="EK293" s="498"/>
      <c r="EL293" s="498"/>
      <c r="EM293" s="498"/>
      <c r="EN293" s="498"/>
      <c r="EO293" s="498"/>
      <c r="EP293" s="498"/>
      <c r="EQ293" s="498"/>
      <c r="ER293" s="498"/>
      <c r="ES293" s="498"/>
      <c r="ET293" s="498"/>
      <c r="EU293" s="498"/>
      <c r="EV293" s="498"/>
      <c r="EW293" s="498"/>
      <c r="EX293" s="498"/>
      <c r="EY293" s="498"/>
      <c r="EZ293" s="498"/>
      <c r="FA293" s="498"/>
      <c r="FB293" s="498"/>
      <c r="FC293" s="498"/>
    </row>
    <row r="294" spans="3:159">
      <c r="C294" s="291" t="s">
        <v>1090</v>
      </c>
      <c r="J294" s="259"/>
      <c r="K294" s="259"/>
      <c r="L294" s="259"/>
      <c r="M294" s="259"/>
      <c r="N294" s="259"/>
      <c r="O294" s="259"/>
      <c r="P294" s="259"/>
      <c r="Q294" s="259"/>
      <c r="R294" s="259"/>
      <c r="S294" s="259"/>
      <c r="T294" s="259"/>
      <c r="U294" s="259"/>
      <c r="V294" s="259"/>
      <c r="W294" s="259"/>
      <c r="X294" s="259"/>
      <c r="Y294" s="259"/>
      <c r="Z294" s="259"/>
      <c r="AA294" s="259"/>
      <c r="AB294" s="259"/>
      <c r="AC294" s="259"/>
      <c r="AD294" s="259"/>
      <c r="AE294" s="259"/>
      <c r="AF294" s="259"/>
      <c r="AG294" s="259"/>
      <c r="AH294" s="259"/>
      <c r="AO294" s="338"/>
      <c r="AP294" s="449"/>
      <c r="AR294" s="449"/>
      <c r="AS294" s="449"/>
      <c r="BA294" s="498"/>
      <c r="BB294" s="498"/>
      <c r="BC294" s="498"/>
      <c r="BD294" s="498"/>
      <c r="BE294" s="498"/>
      <c r="BF294" s="498"/>
      <c r="BG294" s="498"/>
      <c r="BH294" s="498"/>
      <c r="BI294" s="498"/>
      <c r="BJ294" s="498"/>
      <c r="BK294" s="498"/>
      <c r="BL294" s="498"/>
      <c r="BM294" s="498"/>
      <c r="BN294" s="498"/>
      <c r="BO294" s="498"/>
      <c r="BP294" s="498"/>
      <c r="BQ294" s="498"/>
      <c r="BR294" s="498"/>
      <c r="BS294" s="498"/>
      <c r="BT294" s="498"/>
      <c r="BU294" s="498"/>
      <c r="BV294" s="498"/>
      <c r="BW294" s="498"/>
      <c r="BX294" s="498"/>
      <c r="BY294" s="498"/>
      <c r="BZ294" s="498"/>
      <c r="CA294" s="498"/>
      <c r="CB294" s="498"/>
      <c r="CC294" s="498"/>
      <c r="CD294" s="498"/>
      <c r="CE294" s="498"/>
      <c r="CF294" s="498"/>
      <c r="CG294" s="259"/>
      <c r="CH294" s="259"/>
      <c r="CI294" s="259"/>
      <c r="CJ294" s="259"/>
      <c r="CK294" s="259"/>
      <c r="CL294" s="259"/>
      <c r="CM294" s="259"/>
      <c r="CN294" s="259"/>
      <c r="CO294" s="259"/>
      <c r="CR294" s="498"/>
      <c r="CS294" s="498"/>
      <c r="CT294" s="498"/>
      <c r="CU294" s="498"/>
      <c r="CV294" s="498"/>
      <c r="CW294" s="498"/>
      <c r="CX294" s="498"/>
      <c r="CY294" s="498"/>
      <c r="CZ294" s="498"/>
      <c r="DA294" s="498"/>
      <c r="DB294" s="498"/>
      <c r="DC294" s="498"/>
      <c r="DD294" s="498"/>
      <c r="DE294" s="498"/>
      <c r="DF294" s="498"/>
      <c r="DG294" s="498"/>
      <c r="DH294" s="498"/>
      <c r="DI294" s="498"/>
      <c r="DJ294" s="498"/>
      <c r="DK294" s="498"/>
      <c r="DL294" s="498"/>
      <c r="DM294" s="498"/>
      <c r="DN294" s="498"/>
      <c r="DO294" s="498"/>
      <c r="DP294" s="498"/>
      <c r="DQ294" s="498"/>
      <c r="DR294" s="498"/>
      <c r="DS294" s="498"/>
      <c r="DT294" s="498"/>
      <c r="DU294" s="498"/>
      <c r="DV294" s="498"/>
      <c r="DW294" s="498"/>
      <c r="DX294" s="498"/>
      <c r="DY294" s="498"/>
      <c r="DZ294" s="498"/>
      <c r="EA294" s="498"/>
      <c r="EB294" s="498"/>
      <c r="EC294" s="498"/>
      <c r="ED294" s="498"/>
      <c r="EE294" s="498"/>
      <c r="EF294" s="498"/>
      <c r="EG294" s="498"/>
      <c r="EH294" s="498"/>
      <c r="EI294" s="498"/>
      <c r="EJ294" s="498"/>
      <c r="EK294" s="498"/>
      <c r="EL294" s="498"/>
      <c r="EM294" s="498"/>
      <c r="EN294" s="498"/>
      <c r="EO294" s="498"/>
      <c r="EP294" s="498"/>
      <c r="EQ294" s="498"/>
      <c r="ER294" s="498"/>
      <c r="ES294" s="498"/>
      <c r="ET294" s="498"/>
      <c r="EU294" s="498"/>
      <c r="EV294" s="498"/>
      <c r="EW294" s="498"/>
      <c r="EX294" s="498"/>
      <c r="EY294" s="498"/>
      <c r="EZ294" s="498"/>
      <c r="FA294" s="498"/>
      <c r="FB294" s="498"/>
      <c r="FC294" s="498"/>
    </row>
    <row r="295" spans="3:159">
      <c r="C295" s="291" t="s">
        <v>1091</v>
      </c>
      <c r="J295" s="259"/>
      <c r="K295" s="259"/>
      <c r="L295" s="259"/>
      <c r="M295" s="259"/>
      <c r="N295" s="259"/>
      <c r="O295" s="259"/>
      <c r="P295" s="259"/>
      <c r="Q295" s="259"/>
      <c r="R295" s="259"/>
      <c r="S295" s="259"/>
      <c r="T295" s="259"/>
      <c r="U295" s="259"/>
      <c r="V295" s="259"/>
      <c r="W295" s="259"/>
      <c r="X295" s="259"/>
      <c r="Y295" s="259"/>
      <c r="Z295" s="259"/>
      <c r="AA295" s="259"/>
      <c r="AB295" s="259"/>
      <c r="AC295" s="259"/>
      <c r="AD295" s="259"/>
      <c r="AE295" s="259"/>
      <c r="AF295" s="259"/>
      <c r="AG295" s="259"/>
      <c r="AH295" s="259"/>
      <c r="AO295" s="338"/>
      <c r="AP295" s="449"/>
      <c r="AR295" s="449"/>
      <c r="AS295" s="449"/>
      <c r="BA295" s="498"/>
      <c r="BB295" s="498"/>
      <c r="BC295" s="498"/>
      <c r="BD295" s="498"/>
      <c r="BE295" s="498"/>
      <c r="BF295" s="498"/>
      <c r="BG295" s="498"/>
      <c r="BH295" s="498"/>
      <c r="BI295" s="498"/>
      <c r="BJ295" s="498"/>
      <c r="BK295" s="498"/>
      <c r="BL295" s="498"/>
      <c r="BM295" s="498"/>
      <c r="BN295" s="498"/>
      <c r="BO295" s="498"/>
      <c r="BP295" s="498"/>
      <c r="BQ295" s="498"/>
      <c r="BR295" s="498"/>
      <c r="BS295" s="498"/>
      <c r="BT295" s="498"/>
      <c r="BU295" s="498"/>
      <c r="BV295" s="498"/>
      <c r="BW295" s="498"/>
      <c r="BX295" s="498"/>
      <c r="BY295" s="498"/>
      <c r="BZ295" s="498"/>
      <c r="CA295" s="498"/>
      <c r="CB295" s="498"/>
      <c r="CC295" s="498"/>
      <c r="CD295" s="498"/>
      <c r="CE295" s="498"/>
      <c r="CF295" s="498"/>
      <c r="CG295" s="259"/>
      <c r="CH295" s="259"/>
      <c r="CI295" s="259"/>
      <c r="CJ295" s="259"/>
      <c r="CK295" s="259"/>
      <c r="CL295" s="259"/>
      <c r="CM295" s="259"/>
      <c r="CN295" s="259"/>
      <c r="CO295" s="259"/>
      <c r="CR295" s="498"/>
      <c r="CS295" s="498"/>
      <c r="CT295" s="498"/>
      <c r="CU295" s="498"/>
      <c r="CV295" s="498"/>
      <c r="CW295" s="498"/>
      <c r="CX295" s="498"/>
      <c r="CY295" s="498"/>
      <c r="CZ295" s="498"/>
      <c r="DA295" s="498"/>
      <c r="DB295" s="498"/>
      <c r="DC295" s="498"/>
      <c r="DD295" s="498"/>
      <c r="DE295" s="498"/>
      <c r="DF295" s="498"/>
      <c r="DG295" s="498"/>
      <c r="DH295" s="498"/>
      <c r="DI295" s="498"/>
      <c r="DJ295" s="498"/>
      <c r="DK295" s="498"/>
      <c r="DL295" s="498"/>
      <c r="DM295" s="498"/>
      <c r="DN295" s="498"/>
      <c r="DO295" s="498"/>
      <c r="DP295" s="498"/>
      <c r="DQ295" s="498"/>
      <c r="DR295" s="498"/>
      <c r="DS295" s="498"/>
      <c r="DT295" s="498"/>
      <c r="DU295" s="498"/>
      <c r="DV295" s="498"/>
      <c r="DW295" s="498"/>
      <c r="DX295" s="498"/>
      <c r="DY295" s="498"/>
      <c r="DZ295" s="498"/>
      <c r="EA295" s="498"/>
      <c r="EB295" s="498"/>
      <c r="EC295" s="498"/>
      <c r="ED295" s="498"/>
      <c r="EE295" s="498"/>
      <c r="EF295" s="498"/>
      <c r="EG295" s="498"/>
      <c r="EH295" s="498"/>
      <c r="EI295" s="498"/>
      <c r="EJ295" s="498"/>
      <c r="EK295" s="498"/>
      <c r="EL295" s="498"/>
      <c r="EM295" s="498"/>
      <c r="EN295" s="498"/>
      <c r="EO295" s="498"/>
      <c r="EP295" s="498"/>
      <c r="EQ295" s="498"/>
      <c r="ER295" s="498"/>
      <c r="ES295" s="498"/>
      <c r="ET295" s="498"/>
      <c r="EU295" s="498"/>
      <c r="EV295" s="498"/>
      <c r="EW295" s="498"/>
      <c r="EX295" s="498"/>
      <c r="EY295" s="498"/>
      <c r="EZ295" s="498"/>
      <c r="FA295" s="498"/>
      <c r="FB295" s="498"/>
      <c r="FC295" s="498"/>
    </row>
    <row r="296" spans="3:159">
      <c r="C296" s="214" t="s">
        <v>749</v>
      </c>
      <c r="D296" s="57"/>
      <c r="E296" s="57"/>
      <c r="F296" s="57"/>
      <c r="G296" s="57"/>
      <c r="H296" s="57"/>
      <c r="I296" s="57"/>
      <c r="J296" s="289">
        <f t="shared" ref="J296:AH296" si="96">SUM(J284:J288)</f>
        <v>7509.1978215904528</v>
      </c>
      <c r="K296" s="289">
        <f t="shared" si="96"/>
        <v>7032.8897216663099</v>
      </c>
      <c r="L296" s="289">
        <f t="shared" si="96"/>
        <v>4859.6254112844945</v>
      </c>
      <c r="M296" s="289">
        <f t="shared" si="96"/>
        <v>4017.140839326561</v>
      </c>
      <c r="N296" s="289">
        <f t="shared" si="96"/>
        <v>7779.2602027770408</v>
      </c>
      <c r="O296" s="289">
        <f t="shared" si="96"/>
        <v>11178.68101784843</v>
      </c>
      <c r="P296" s="289">
        <f t="shared" si="96"/>
        <v>12208.364990728762</v>
      </c>
      <c r="Q296" s="289">
        <f t="shared" si="96"/>
        <v>17540.124811820457</v>
      </c>
      <c r="R296" s="289">
        <f t="shared" si="96"/>
        <v>26542.080776004095</v>
      </c>
      <c r="S296" s="289">
        <f t="shared" si="96"/>
        <v>27801.583547086972</v>
      </c>
      <c r="T296" s="289">
        <f t="shared" si="96"/>
        <v>28699.003186837916</v>
      </c>
      <c r="U296" s="289">
        <f t="shared" si="96"/>
        <v>32096.108019686828</v>
      </c>
      <c r="V296" s="289">
        <f t="shared" si="96"/>
        <v>49788.520414175407</v>
      </c>
      <c r="W296" s="289">
        <f t="shared" si="96"/>
        <v>60495.527616015715</v>
      </c>
      <c r="X296" s="289">
        <f t="shared" si="96"/>
        <v>43927.287051303741</v>
      </c>
      <c r="Y296" s="289">
        <f t="shared" si="96"/>
        <v>46931.748750524494</v>
      </c>
      <c r="Z296" s="289">
        <f t="shared" si="96"/>
        <v>45261.060762337773</v>
      </c>
      <c r="AA296" s="289">
        <f t="shared" si="96"/>
        <v>60379.046303214156</v>
      </c>
      <c r="AB296" s="289">
        <f t="shared" si="96"/>
        <v>84947.116666904069</v>
      </c>
      <c r="AC296" s="289">
        <f t="shared" si="96"/>
        <v>116106.21748736557</v>
      </c>
      <c r="AD296" s="289">
        <f t="shared" si="96"/>
        <v>113791.43697191098</v>
      </c>
      <c r="AE296" s="289">
        <f t="shared" si="96"/>
        <v>111022.26500311747</v>
      </c>
      <c r="AF296" s="289">
        <f t="shared" si="96"/>
        <v>107859.10601701215</v>
      </c>
      <c r="AG296" s="289">
        <f t="shared" si="96"/>
        <v>103944.79127926922</v>
      </c>
      <c r="AH296" s="289">
        <f t="shared" si="96"/>
        <v>99803.13951597354</v>
      </c>
      <c r="AO296" s="338"/>
      <c r="AP296" s="449"/>
      <c r="AR296" s="449"/>
      <c r="AS296" s="449"/>
      <c r="BA296" s="498"/>
      <c r="BB296" s="498"/>
      <c r="BC296" s="498"/>
      <c r="BD296" s="498"/>
      <c r="BE296" s="498"/>
      <c r="BF296" s="498"/>
      <c r="BG296" s="498"/>
      <c r="BH296" s="498"/>
      <c r="BI296" s="498"/>
      <c r="BJ296" s="498"/>
      <c r="BK296" s="498"/>
      <c r="BL296" s="498"/>
      <c r="BM296" s="498"/>
      <c r="BN296" s="498"/>
      <c r="BO296" s="498"/>
      <c r="BP296" s="498"/>
      <c r="BQ296" s="498"/>
      <c r="BR296" s="498"/>
      <c r="BS296" s="498"/>
      <c r="BT296" s="498"/>
      <c r="BU296" s="498"/>
      <c r="BV296" s="498"/>
      <c r="BW296" s="498"/>
      <c r="BX296" s="498"/>
      <c r="BY296" s="498"/>
      <c r="BZ296" s="498"/>
      <c r="CA296" s="498"/>
      <c r="CB296" s="498"/>
      <c r="CC296" s="498"/>
      <c r="CD296" s="498"/>
      <c r="CE296" s="498"/>
      <c r="CF296" s="498"/>
      <c r="CG296" s="289"/>
      <c r="CH296" s="289"/>
      <c r="CI296" s="289"/>
      <c r="CJ296" s="289"/>
      <c r="CK296" s="289"/>
      <c r="CL296" s="289"/>
      <c r="CM296" s="289"/>
      <c r="CN296" s="289"/>
      <c r="CO296" s="281"/>
      <c r="CR296" s="498"/>
      <c r="CS296" s="498"/>
      <c r="CT296" s="498"/>
      <c r="CU296" s="498"/>
      <c r="CV296" s="498"/>
      <c r="CW296" s="498"/>
      <c r="CX296" s="498"/>
      <c r="CY296" s="498"/>
      <c r="CZ296" s="498"/>
      <c r="DA296" s="498"/>
      <c r="DB296" s="498"/>
      <c r="DC296" s="498"/>
      <c r="DD296" s="498"/>
      <c r="DE296" s="498"/>
      <c r="DF296" s="498"/>
      <c r="DG296" s="498"/>
      <c r="DH296" s="498"/>
      <c r="DI296" s="498"/>
      <c r="DJ296" s="498"/>
      <c r="DK296" s="498"/>
      <c r="DL296" s="498"/>
      <c r="DM296" s="498"/>
      <c r="DN296" s="498"/>
      <c r="DO296" s="498"/>
      <c r="DP296" s="498"/>
      <c r="DQ296" s="498"/>
      <c r="DR296" s="498"/>
      <c r="DS296" s="498"/>
      <c r="DT296" s="498"/>
      <c r="DU296" s="498"/>
      <c r="DV296" s="498"/>
      <c r="DW296" s="498"/>
      <c r="DX296" s="498"/>
      <c r="DY296" s="498"/>
      <c r="DZ296" s="498"/>
      <c r="EA296" s="498"/>
      <c r="EB296" s="498"/>
      <c r="EC296" s="498"/>
      <c r="ED296" s="498"/>
      <c r="EE296" s="498"/>
      <c r="EF296" s="498"/>
      <c r="EG296" s="498"/>
      <c r="EH296" s="498"/>
      <c r="EI296" s="498"/>
      <c r="EJ296" s="498"/>
      <c r="EK296" s="498"/>
      <c r="EL296" s="498"/>
      <c r="EM296" s="498"/>
      <c r="EN296" s="498"/>
      <c r="EO296" s="498"/>
      <c r="EP296" s="498"/>
      <c r="EQ296" s="498"/>
      <c r="ER296" s="498"/>
      <c r="ES296" s="498"/>
      <c r="ET296" s="498"/>
      <c r="EU296" s="498"/>
      <c r="EV296" s="498"/>
      <c r="EW296" s="498"/>
      <c r="EX296" s="498"/>
      <c r="EY296" s="498"/>
      <c r="EZ296" s="498"/>
      <c r="FA296" s="498"/>
      <c r="FB296" s="498"/>
      <c r="FC296" s="498"/>
    </row>
    <row r="297" spans="3:159">
      <c r="C297" s="19"/>
      <c r="AO297" s="338"/>
      <c r="AP297" s="449"/>
      <c r="AR297" s="449"/>
      <c r="AS297" s="449"/>
      <c r="BA297" s="498"/>
      <c r="BB297" s="498"/>
      <c r="BC297" s="498"/>
      <c r="BD297" s="498"/>
      <c r="BE297" s="498"/>
      <c r="BF297" s="498"/>
      <c r="BG297" s="498"/>
      <c r="BH297" s="498"/>
      <c r="BI297" s="498"/>
      <c r="BJ297" s="498"/>
      <c r="BK297" s="498"/>
      <c r="BL297" s="498"/>
      <c r="BM297" s="498"/>
      <c r="BN297" s="498"/>
      <c r="BO297" s="498"/>
      <c r="BP297" s="498"/>
      <c r="BQ297" s="498"/>
      <c r="BR297" s="498"/>
      <c r="BS297" s="498"/>
      <c r="BT297" s="498"/>
      <c r="BU297" s="498"/>
      <c r="BV297" s="498"/>
      <c r="BW297" s="498"/>
      <c r="BX297" s="498"/>
      <c r="BY297" s="498"/>
      <c r="BZ297" s="498"/>
      <c r="CA297" s="498"/>
      <c r="CB297" s="498"/>
      <c r="CC297" s="498"/>
      <c r="CD297" s="498"/>
      <c r="CE297" s="498"/>
      <c r="CF297" s="498"/>
      <c r="CR297" s="498"/>
      <c r="CS297" s="498"/>
      <c r="CT297" s="498"/>
      <c r="CU297" s="498"/>
      <c r="CV297" s="498"/>
      <c r="CW297" s="498"/>
      <c r="CX297" s="498"/>
      <c r="CY297" s="498"/>
      <c r="CZ297" s="498"/>
      <c r="DA297" s="498"/>
      <c r="DB297" s="498"/>
      <c r="DC297" s="498"/>
      <c r="DD297" s="498"/>
      <c r="DE297" s="498"/>
      <c r="DF297" s="498"/>
      <c r="DG297" s="498"/>
      <c r="DH297" s="498"/>
      <c r="DI297" s="498"/>
      <c r="DJ297" s="498"/>
      <c r="DK297" s="498"/>
      <c r="DL297" s="498"/>
      <c r="DM297" s="498"/>
      <c r="DN297" s="498"/>
      <c r="DO297" s="498"/>
      <c r="DP297" s="498"/>
      <c r="DQ297" s="498"/>
      <c r="DR297" s="498"/>
      <c r="DS297" s="498"/>
      <c r="DT297" s="498"/>
      <c r="DU297" s="498"/>
      <c r="DV297" s="498"/>
      <c r="DW297" s="498"/>
      <c r="DX297" s="498"/>
      <c r="DY297" s="498"/>
      <c r="DZ297" s="498"/>
      <c r="EA297" s="498"/>
      <c r="EB297" s="498"/>
      <c r="EC297" s="498"/>
      <c r="ED297" s="498"/>
      <c r="EE297" s="498"/>
      <c r="EF297" s="498"/>
      <c r="EG297" s="498"/>
      <c r="EH297" s="498"/>
      <c r="EI297" s="498"/>
      <c r="EJ297" s="498"/>
      <c r="EK297" s="498"/>
      <c r="EL297" s="498"/>
      <c r="EM297" s="498"/>
      <c r="EN297" s="498"/>
      <c r="EO297" s="498"/>
      <c r="EP297" s="498"/>
      <c r="EQ297" s="498"/>
      <c r="ER297" s="498"/>
      <c r="ES297" s="498"/>
      <c r="ET297" s="498"/>
      <c r="EU297" s="498"/>
      <c r="EV297" s="498"/>
      <c r="EW297" s="498"/>
      <c r="EX297" s="498"/>
      <c r="EY297" s="498"/>
      <c r="EZ297" s="498"/>
      <c r="FA297" s="498"/>
      <c r="FB297" s="498"/>
      <c r="FC297" s="498"/>
    </row>
    <row r="298" spans="3:159">
      <c r="C298" s="19" t="s">
        <v>1112</v>
      </c>
      <c r="J298" s="287">
        <f t="shared" ref="J298:AH298" si="97">(-J305-SUM(J301:J302))</f>
        <v>-167</v>
      </c>
      <c r="K298" s="287">
        <f t="shared" si="97"/>
        <v>2</v>
      </c>
      <c r="L298" s="287">
        <f t="shared" si="97"/>
        <v>-153</v>
      </c>
      <c r="M298" s="287">
        <f t="shared" si="97"/>
        <v>113</v>
      </c>
      <c r="N298" s="287">
        <f t="shared" si="97"/>
        <v>275</v>
      </c>
      <c r="O298" s="287">
        <f t="shared" si="97"/>
        <v>405</v>
      </c>
      <c r="P298" s="287">
        <f t="shared" si="97"/>
        <v>19</v>
      </c>
      <c r="Q298" s="287">
        <f t="shared" si="97"/>
        <v>-4</v>
      </c>
      <c r="R298" s="287">
        <f t="shared" si="97"/>
        <v>-489</v>
      </c>
      <c r="S298" s="287">
        <f t="shared" si="97"/>
        <v>-51</v>
      </c>
      <c r="T298" s="287">
        <f t="shared" si="97"/>
        <v>116</v>
      </c>
      <c r="U298" s="287">
        <f t="shared" si="97"/>
        <v>651</v>
      </c>
      <c r="V298" s="287">
        <f t="shared" si="97"/>
        <v>-2105.044434304587</v>
      </c>
      <c r="W298" s="287">
        <f t="shared" si="97"/>
        <v>161</v>
      </c>
      <c r="X298" s="287">
        <f t="shared" si="97"/>
        <v>209</v>
      </c>
      <c r="Y298" s="287">
        <f t="shared" si="97"/>
        <v>230</v>
      </c>
      <c r="Z298" s="287">
        <f t="shared" si="97"/>
        <v>1030</v>
      </c>
      <c r="AA298" s="287">
        <f t="shared" si="97"/>
        <v>1293</v>
      </c>
      <c r="AB298" s="287">
        <f t="shared" si="97"/>
        <v>1286</v>
      </c>
      <c r="AC298" s="287">
        <f t="shared" si="97"/>
        <v>-165.30701342159591</v>
      </c>
      <c r="AD298" s="287">
        <f t="shared" si="97"/>
        <v>-232.12041711664278</v>
      </c>
      <c r="AE298" s="287">
        <f t="shared" si="97"/>
        <v>-819.38489406880217</v>
      </c>
      <c r="AF298" s="287">
        <f t="shared" si="97"/>
        <v>-1578.3349082624754</v>
      </c>
      <c r="AG298" s="287">
        <f t="shared" si="97"/>
        <v>-2169.4584835635324</v>
      </c>
      <c r="AH298" s="287">
        <f t="shared" si="97"/>
        <v>-2728.4278546963833</v>
      </c>
      <c r="AO298" s="338"/>
      <c r="AP298" s="449"/>
      <c r="AR298" s="449"/>
      <c r="AS298" s="449"/>
      <c r="BA298" s="498"/>
      <c r="BB298" s="498"/>
      <c r="BC298" s="498"/>
      <c r="BD298" s="498"/>
      <c r="BE298" s="498"/>
      <c r="BF298" s="498"/>
      <c r="BG298" s="498"/>
      <c r="BH298" s="498"/>
      <c r="BI298" s="498"/>
      <c r="BJ298" s="498"/>
      <c r="BK298" s="498"/>
      <c r="BL298" s="498"/>
      <c r="BM298" s="498"/>
      <c r="BN298" s="498"/>
      <c r="BO298" s="498"/>
      <c r="BP298" s="498"/>
      <c r="BQ298" s="498"/>
      <c r="BR298" s="498"/>
      <c r="BS298" s="498"/>
      <c r="BT298" s="498"/>
      <c r="BU298" s="498"/>
      <c r="BV298" s="498"/>
      <c r="BW298" s="498"/>
      <c r="BX298" s="498"/>
      <c r="BY298" s="498"/>
      <c r="BZ298" s="498"/>
      <c r="CA298" s="498"/>
      <c r="CB298" s="498"/>
      <c r="CC298" s="498"/>
      <c r="CD298" s="498"/>
      <c r="CE298" s="498"/>
      <c r="CF298" s="498"/>
      <c r="CG298" s="287"/>
      <c r="CH298" s="287"/>
      <c r="CI298" s="287"/>
      <c r="CJ298" s="287"/>
      <c r="CK298" s="287"/>
      <c r="CL298" s="287"/>
      <c r="CM298" s="287"/>
      <c r="CN298" s="287"/>
      <c r="CO298" s="27"/>
      <c r="CR298" s="498"/>
      <c r="CS298" s="498"/>
      <c r="CT298" s="498"/>
      <c r="CU298" s="498"/>
      <c r="CV298" s="498"/>
      <c r="CW298" s="498"/>
      <c r="CX298" s="498"/>
      <c r="CY298" s="498"/>
      <c r="CZ298" s="498"/>
      <c r="DA298" s="498"/>
      <c r="DB298" s="498"/>
      <c r="DC298" s="498"/>
      <c r="DD298" s="498"/>
      <c r="DE298" s="498"/>
      <c r="DF298" s="498"/>
      <c r="DG298" s="498"/>
      <c r="DH298" s="498"/>
      <c r="DI298" s="498"/>
      <c r="DJ298" s="498"/>
      <c r="DK298" s="498"/>
      <c r="DL298" s="498"/>
      <c r="DM298" s="498"/>
      <c r="DN298" s="498"/>
      <c r="DO298" s="498"/>
      <c r="DP298" s="498"/>
      <c r="DQ298" s="498"/>
      <c r="DR298" s="498"/>
      <c r="DS298" s="498"/>
      <c r="DT298" s="498"/>
      <c r="DU298" s="498"/>
      <c r="DV298" s="498"/>
      <c r="DW298" s="498"/>
      <c r="DX298" s="498"/>
      <c r="DY298" s="498"/>
      <c r="DZ298" s="498"/>
      <c r="EA298" s="498"/>
      <c r="EB298" s="498"/>
      <c r="EC298" s="498"/>
      <c r="ED298" s="498"/>
      <c r="EE298" s="498"/>
      <c r="EF298" s="498"/>
      <c r="EG298" s="498"/>
      <c r="EH298" s="498"/>
      <c r="EI298" s="498"/>
      <c r="EJ298" s="498"/>
      <c r="EK298" s="498"/>
      <c r="EL298" s="498"/>
      <c r="EM298" s="498"/>
      <c r="EN298" s="498"/>
      <c r="EO298" s="498"/>
      <c r="EP298" s="498"/>
      <c r="EQ298" s="498"/>
      <c r="ER298" s="498"/>
      <c r="ES298" s="498"/>
      <c r="ET298" s="498"/>
      <c r="EU298" s="498"/>
      <c r="EV298" s="498"/>
      <c r="EW298" s="498"/>
      <c r="EX298" s="498"/>
      <c r="EY298" s="498"/>
      <c r="EZ298" s="498"/>
      <c r="FA298" s="498"/>
      <c r="FB298" s="498"/>
      <c r="FC298" s="498"/>
    </row>
    <row r="299" spans="3:159">
      <c r="C299" s="291" t="s">
        <v>648</v>
      </c>
      <c r="J299" s="287">
        <f>'Balance Sheet'!H18</f>
        <v>3240</v>
      </c>
      <c r="K299" s="287">
        <f>'Balance Sheet'!I18</f>
        <v>3240</v>
      </c>
      <c r="L299" s="287">
        <f>'Balance Sheet'!J18</f>
        <v>3673</v>
      </c>
      <c r="M299" s="287">
        <f>'Balance Sheet'!K18</f>
        <v>3382</v>
      </c>
      <c r="N299" s="287">
        <f>'Balance Sheet'!L18</f>
        <v>3508</v>
      </c>
      <c r="O299" s="287">
        <f>'Balance Sheet'!M18</f>
        <v>3799</v>
      </c>
      <c r="P299" s="287">
        <f>'Balance Sheet'!N18</f>
        <v>4131</v>
      </c>
      <c r="Q299" s="287">
        <f>'Balance Sheet'!O18</f>
        <v>3998</v>
      </c>
      <c r="R299" s="287">
        <f>'Balance Sheet'!P18</f>
        <v>4265</v>
      </c>
      <c r="S299" s="287">
        <f>'Balance Sheet'!Q18</f>
        <v>4518</v>
      </c>
      <c r="T299" s="287">
        <f>'Balance Sheet'!R18</f>
        <v>4247</v>
      </c>
      <c r="U299" s="27">
        <f>'Balance Sheet'!S18</f>
        <v>3954</v>
      </c>
      <c r="V299" s="287">
        <f>'Balance Sheet'!T18</f>
        <v>5558</v>
      </c>
      <c r="W299" s="287">
        <f>'Balance Sheet'!U18</f>
        <v>6312</v>
      </c>
      <c r="X299" s="287">
        <f>'Balance Sheet'!V18</f>
        <v>5190</v>
      </c>
      <c r="Y299" s="287">
        <f>'Balance Sheet'!W18</f>
        <v>5063</v>
      </c>
      <c r="Z299" s="287">
        <f>'Balance Sheet'!X18</f>
        <v>6408</v>
      </c>
      <c r="AA299" s="287">
        <f>'Balance Sheet'!Y18</f>
        <v>7903</v>
      </c>
      <c r="AB299" s="287">
        <f>'Balance Sheet'!Z18</f>
        <v>9491</v>
      </c>
      <c r="AC299" s="287">
        <f>'Balance Sheet'!AA18</f>
        <v>10049.084193765748</v>
      </c>
      <c r="AD299" s="287">
        <f>'Balance Sheet'!AB18</f>
        <v>10129.828478723583</v>
      </c>
      <c r="AE299" s="287">
        <f>'Balance Sheet'!AC18</f>
        <v>10839.540118158493</v>
      </c>
      <c r="AF299" s="287">
        <f>'Balance Sheet'!AD18</f>
        <v>11756.734465785312</v>
      </c>
      <c r="AG299" s="287">
        <f>'Balance Sheet'!AE18</f>
        <v>12471.109842128253</v>
      </c>
      <c r="AH299" s="287">
        <f>'Balance Sheet'!AF18</f>
        <v>13146.626724810252</v>
      </c>
      <c r="AO299" s="338"/>
      <c r="AP299" s="449"/>
      <c r="AR299" s="449"/>
      <c r="AS299" s="449"/>
      <c r="BA299" s="498"/>
      <c r="BB299" s="498"/>
      <c r="BC299" s="498"/>
      <c r="BD299" s="498"/>
      <c r="BE299" s="498"/>
      <c r="BF299" s="498"/>
      <c r="BG299" s="498"/>
      <c r="BH299" s="498"/>
      <c r="BI299" s="498"/>
      <c r="BJ299" s="498"/>
      <c r="BK299" s="498"/>
      <c r="BL299" s="498"/>
      <c r="BM299" s="498"/>
      <c r="BN299" s="498"/>
      <c r="BO299" s="498"/>
      <c r="BP299" s="498"/>
      <c r="BQ299" s="498"/>
      <c r="BR299" s="498"/>
      <c r="BS299" s="498"/>
      <c r="BT299" s="498"/>
      <c r="BU299" s="498"/>
      <c r="BV299" s="498"/>
      <c r="BW299" s="498"/>
      <c r="BX299" s="498"/>
      <c r="BY299" s="498"/>
      <c r="BZ299" s="498"/>
      <c r="CA299" s="498"/>
      <c r="CB299" s="498"/>
      <c r="CC299" s="498"/>
      <c r="CD299" s="498"/>
      <c r="CE299" s="498"/>
      <c r="CF299" s="498"/>
      <c r="CG299" s="287"/>
      <c r="CH299" s="287"/>
      <c r="CI299" s="287"/>
      <c r="CJ299" s="287"/>
      <c r="CK299" s="287"/>
      <c r="CL299" s="287"/>
      <c r="CM299" s="287"/>
      <c r="CN299" s="287"/>
      <c r="CO299" s="27"/>
      <c r="CR299" s="498"/>
      <c r="CS299" s="498"/>
      <c r="CT299" s="498"/>
      <c r="CU299" s="498"/>
      <c r="CV299" s="498"/>
      <c r="CW299" s="498"/>
      <c r="CX299" s="498"/>
      <c r="CY299" s="498"/>
      <c r="CZ299" s="498"/>
      <c r="DA299" s="498"/>
      <c r="DB299" s="498"/>
      <c r="DC299" s="498"/>
      <c r="DD299" s="498"/>
      <c r="DE299" s="498"/>
      <c r="DF299" s="498"/>
      <c r="DG299" s="498"/>
      <c r="DH299" s="498"/>
      <c r="DI299" s="498"/>
      <c r="DJ299" s="498"/>
      <c r="DK299" s="498"/>
      <c r="DL299" s="498"/>
      <c r="DM299" s="498"/>
      <c r="DN299" s="498"/>
      <c r="DO299" s="498"/>
      <c r="DP299" s="498"/>
      <c r="DQ299" s="498"/>
      <c r="DR299" s="498"/>
      <c r="DS299" s="498"/>
      <c r="DT299" s="498"/>
      <c r="DU299" s="498"/>
      <c r="DV299" s="498"/>
      <c r="DW299" s="498"/>
      <c r="DX299" s="498"/>
      <c r="DY299" s="498"/>
      <c r="DZ299" s="498"/>
      <c r="EA299" s="498"/>
      <c r="EB299" s="498"/>
      <c r="EC299" s="498"/>
      <c r="ED299" s="498"/>
      <c r="EE299" s="498"/>
      <c r="EF299" s="498"/>
      <c r="EG299" s="498"/>
      <c r="EH299" s="498"/>
      <c r="EI299" s="498"/>
      <c r="EJ299" s="498"/>
      <c r="EK299" s="498"/>
      <c r="EL299" s="498"/>
      <c r="EM299" s="498"/>
      <c r="EN299" s="498"/>
      <c r="EO299" s="498"/>
      <c r="EP299" s="498"/>
      <c r="EQ299" s="498"/>
      <c r="ER299" s="498"/>
      <c r="ES299" s="498"/>
      <c r="ET299" s="498"/>
      <c r="EU299" s="498"/>
      <c r="EV299" s="498"/>
      <c r="EW299" s="498"/>
      <c r="EX299" s="498"/>
      <c r="EY299" s="498"/>
      <c r="EZ299" s="498"/>
      <c r="FA299" s="498"/>
      <c r="FB299" s="498"/>
      <c r="FC299" s="498"/>
    </row>
    <row r="300" spans="3:159">
      <c r="C300" s="370" t="s">
        <v>1116</v>
      </c>
      <c r="J300" s="293">
        <v>558</v>
      </c>
      <c r="K300" s="293">
        <v>590</v>
      </c>
      <c r="L300" s="293">
        <v>615</v>
      </c>
      <c r="M300" s="293">
        <v>466</v>
      </c>
      <c r="N300" s="293">
        <v>535</v>
      </c>
      <c r="O300" s="293">
        <v>604</v>
      </c>
      <c r="P300" s="293">
        <v>597</v>
      </c>
      <c r="Q300" s="293">
        <v>594</v>
      </c>
      <c r="R300" s="293">
        <v>541</v>
      </c>
      <c r="S300" s="293">
        <v>602</v>
      </c>
      <c r="T300" s="293">
        <v>519</v>
      </c>
      <c r="U300" s="227">
        <v>532</v>
      </c>
      <c r="V300" s="293">
        <v>1221</v>
      </c>
      <c r="W300" s="293">
        <v>1432</v>
      </c>
      <c r="X300" s="293">
        <v>1276</v>
      </c>
      <c r="Y300" s="293">
        <v>1208</v>
      </c>
      <c r="Z300" s="293">
        <v>1543</v>
      </c>
      <c r="AA300" s="293">
        <v>1934</v>
      </c>
      <c r="AB300" s="293">
        <v>2448</v>
      </c>
      <c r="AC300" s="287">
        <f t="shared" ref="AC300:AH300" si="98">SUM($F300:$K300)/SUM($F299:$K299)*AC299</f>
        <v>1780.3007182782528</v>
      </c>
      <c r="AD300" s="287">
        <f t="shared" si="98"/>
        <v>1794.6054156751036</v>
      </c>
      <c r="AE300" s="287">
        <f t="shared" si="98"/>
        <v>1920.338280192276</v>
      </c>
      <c r="AF300" s="287">
        <f t="shared" si="98"/>
        <v>2082.8288837533237</v>
      </c>
      <c r="AG300" s="287">
        <f t="shared" si="98"/>
        <v>2209.3879782042027</v>
      </c>
      <c r="AH300" s="287">
        <f t="shared" si="98"/>
        <v>2329.0628827287296</v>
      </c>
      <c r="AO300" s="338"/>
      <c r="AP300" s="449"/>
      <c r="AR300" s="449"/>
      <c r="AS300" s="449"/>
      <c r="BA300" s="498"/>
      <c r="BB300" s="498"/>
      <c r="BC300" s="498"/>
      <c r="BD300" s="498"/>
      <c r="BE300" s="498"/>
      <c r="BF300" s="498"/>
      <c r="BG300" s="498"/>
      <c r="BH300" s="498"/>
      <c r="BI300" s="498"/>
      <c r="BJ300" s="498"/>
      <c r="BK300" s="498"/>
      <c r="BL300" s="498"/>
      <c r="BM300" s="498"/>
      <c r="BN300" s="498"/>
      <c r="BO300" s="498"/>
      <c r="BP300" s="498"/>
      <c r="BQ300" s="498"/>
      <c r="BR300" s="498"/>
      <c r="BS300" s="498"/>
      <c r="BT300" s="498"/>
      <c r="BU300" s="498"/>
      <c r="BV300" s="498"/>
      <c r="BW300" s="498"/>
      <c r="BX300" s="498"/>
      <c r="BY300" s="498"/>
      <c r="BZ300" s="498"/>
      <c r="CA300" s="498"/>
      <c r="CB300" s="498"/>
      <c r="CC300" s="498"/>
      <c r="CD300" s="498"/>
      <c r="CE300" s="498"/>
      <c r="CF300" s="498"/>
      <c r="CG300" s="293"/>
      <c r="CH300" s="293"/>
      <c r="CI300" s="293"/>
      <c r="CJ300" s="293"/>
      <c r="CK300" s="293"/>
      <c r="CL300" s="293"/>
      <c r="CM300" s="293"/>
      <c r="CN300" s="293"/>
      <c r="CO300" s="227"/>
      <c r="CR300" s="498"/>
      <c r="CS300" s="498"/>
      <c r="CT300" s="498"/>
      <c r="CU300" s="498"/>
      <c r="CV300" s="498"/>
      <c r="CW300" s="498"/>
      <c r="CX300" s="498"/>
      <c r="CY300" s="498"/>
      <c r="CZ300" s="498"/>
      <c r="DA300" s="498"/>
      <c r="DB300" s="498"/>
      <c r="DC300" s="498"/>
      <c r="DD300" s="498"/>
      <c r="DE300" s="498"/>
      <c r="DF300" s="498"/>
      <c r="DG300" s="498"/>
      <c r="DH300" s="498"/>
      <c r="DI300" s="498"/>
      <c r="DJ300" s="498"/>
      <c r="DK300" s="498"/>
      <c r="DL300" s="498"/>
      <c r="DM300" s="498"/>
      <c r="DN300" s="498"/>
      <c r="DO300" s="498"/>
      <c r="DP300" s="498"/>
      <c r="DQ300" s="498"/>
      <c r="DR300" s="498"/>
      <c r="DS300" s="498"/>
      <c r="DT300" s="498"/>
      <c r="DU300" s="498"/>
      <c r="DV300" s="498"/>
      <c r="DW300" s="498"/>
      <c r="DX300" s="498"/>
      <c r="DY300" s="498"/>
      <c r="DZ300" s="498"/>
      <c r="EA300" s="498"/>
      <c r="EB300" s="498"/>
      <c r="EC300" s="498"/>
      <c r="ED300" s="498"/>
      <c r="EE300" s="498"/>
      <c r="EF300" s="498"/>
      <c r="EG300" s="498"/>
      <c r="EH300" s="498"/>
      <c r="EI300" s="498"/>
      <c r="EJ300" s="498"/>
      <c r="EK300" s="498"/>
      <c r="EL300" s="498"/>
      <c r="EM300" s="498"/>
      <c r="EN300" s="498"/>
      <c r="EO300" s="498"/>
      <c r="EP300" s="498"/>
      <c r="EQ300" s="498"/>
      <c r="ER300" s="498"/>
      <c r="ES300" s="498"/>
      <c r="ET300" s="498"/>
      <c r="EU300" s="498"/>
      <c r="EV300" s="498"/>
      <c r="EW300" s="498"/>
      <c r="EX300" s="498"/>
      <c r="EY300" s="498"/>
      <c r="EZ300" s="498"/>
      <c r="FA300" s="498"/>
      <c r="FB300" s="498"/>
      <c r="FC300" s="498"/>
    </row>
    <row r="301" spans="3:159">
      <c r="C301" s="370" t="s">
        <v>1117</v>
      </c>
      <c r="J301" s="293">
        <v>1182</v>
      </c>
      <c r="K301" s="293">
        <v>1295</v>
      </c>
      <c r="L301" s="293">
        <v>1293</v>
      </c>
      <c r="M301" s="293">
        <v>1677</v>
      </c>
      <c r="N301" s="293">
        <v>1400</v>
      </c>
      <c r="O301" s="293">
        <v>1477</v>
      </c>
      <c r="P301" s="293">
        <v>1656</v>
      </c>
      <c r="Q301" s="293">
        <v>1690</v>
      </c>
      <c r="R301" s="293">
        <v>1883</v>
      </c>
      <c r="S301" s="293">
        <v>2140</v>
      </c>
      <c r="T301" s="293">
        <v>1995</v>
      </c>
      <c r="U301" s="227">
        <v>2127</v>
      </c>
      <c r="V301" s="293">
        <v>2662</v>
      </c>
      <c r="W301" s="293">
        <v>2970</v>
      </c>
      <c r="X301" s="293">
        <v>2556</v>
      </c>
      <c r="Y301" s="293">
        <v>2391</v>
      </c>
      <c r="Z301" s="293">
        <v>2953</v>
      </c>
      <c r="AA301" s="293">
        <v>3429</v>
      </c>
      <c r="AB301" s="293">
        <v>4048</v>
      </c>
      <c r="AC301" s="287">
        <f t="shared" ref="AC301:AH301" si="99">SUM($F301:$K301)/SUM($F299:$K299)*AC299</f>
        <v>3841.2934487589132</v>
      </c>
      <c r="AD301" s="287">
        <f t="shared" si="99"/>
        <v>3872.1582008948017</v>
      </c>
      <c r="AE301" s="287">
        <f t="shared" si="99"/>
        <v>4143.4476655368189</v>
      </c>
      <c r="AF301" s="287">
        <f t="shared" si="99"/>
        <v>4494.0480357639226</v>
      </c>
      <c r="AG301" s="287">
        <f t="shared" si="99"/>
        <v>4767.1202282332843</v>
      </c>
      <c r="AH301" s="287">
        <f t="shared" si="99"/>
        <v>5025.3386415671284</v>
      </c>
      <c r="AO301" s="338"/>
      <c r="AP301" s="449"/>
      <c r="AR301" s="449"/>
      <c r="AS301" s="449"/>
      <c r="BA301" s="498"/>
      <c r="BB301" s="498"/>
      <c r="BC301" s="498"/>
      <c r="BD301" s="498"/>
      <c r="BE301" s="498"/>
      <c r="BF301" s="498"/>
      <c r="BG301" s="498"/>
      <c r="BH301" s="498"/>
      <c r="BI301" s="498"/>
      <c r="BJ301" s="498"/>
      <c r="BK301" s="498"/>
      <c r="BL301" s="498"/>
      <c r="BM301" s="498"/>
      <c r="BN301" s="498"/>
      <c r="BO301" s="498"/>
      <c r="BP301" s="498"/>
      <c r="BQ301" s="498"/>
      <c r="BR301" s="498"/>
      <c r="BS301" s="498"/>
      <c r="BT301" s="498"/>
      <c r="BU301" s="498"/>
      <c r="BV301" s="498"/>
      <c r="BW301" s="498"/>
      <c r="BX301" s="498"/>
      <c r="BY301" s="498"/>
      <c r="BZ301" s="498"/>
      <c r="CA301" s="498"/>
      <c r="CB301" s="498"/>
      <c r="CC301" s="498"/>
      <c r="CD301" s="498"/>
      <c r="CE301" s="498"/>
      <c r="CF301" s="498"/>
      <c r="CG301" s="293"/>
      <c r="CH301" s="293"/>
      <c r="CI301" s="293"/>
      <c r="CJ301" s="293"/>
      <c r="CK301" s="293"/>
      <c r="CL301" s="293"/>
      <c r="CM301" s="293"/>
      <c r="CN301" s="293"/>
      <c r="CO301" s="227"/>
      <c r="CR301" s="498"/>
      <c r="CS301" s="498"/>
      <c r="CT301" s="498"/>
      <c r="CU301" s="498"/>
      <c r="CV301" s="498"/>
      <c r="CW301" s="498"/>
      <c r="CX301" s="498"/>
      <c r="CY301" s="498"/>
      <c r="CZ301" s="498"/>
      <c r="DA301" s="498"/>
      <c r="DB301" s="498"/>
      <c r="DC301" s="498"/>
      <c r="DD301" s="498"/>
      <c r="DE301" s="498"/>
      <c r="DF301" s="498"/>
      <c r="DG301" s="498"/>
      <c r="DH301" s="498"/>
      <c r="DI301" s="498"/>
      <c r="DJ301" s="498"/>
      <c r="DK301" s="498"/>
      <c r="DL301" s="498"/>
      <c r="DM301" s="498"/>
      <c r="DN301" s="498"/>
      <c r="DO301" s="498"/>
      <c r="DP301" s="498"/>
      <c r="DQ301" s="498"/>
      <c r="DR301" s="498"/>
      <c r="DS301" s="498"/>
      <c r="DT301" s="498"/>
      <c r="DU301" s="498"/>
      <c r="DV301" s="498"/>
      <c r="DW301" s="498"/>
      <c r="DX301" s="498"/>
      <c r="DY301" s="498"/>
      <c r="DZ301" s="498"/>
      <c r="EA301" s="498"/>
      <c r="EB301" s="498"/>
      <c r="EC301" s="498"/>
      <c r="ED301" s="498"/>
      <c r="EE301" s="498"/>
      <c r="EF301" s="498"/>
      <c r="EG301" s="498"/>
      <c r="EH301" s="498"/>
      <c r="EI301" s="498"/>
      <c r="EJ301" s="498"/>
      <c r="EK301" s="498"/>
      <c r="EL301" s="498"/>
      <c r="EM301" s="498"/>
      <c r="EN301" s="498"/>
      <c r="EO301" s="498"/>
      <c r="EP301" s="498"/>
      <c r="EQ301" s="498"/>
      <c r="ER301" s="498"/>
      <c r="ES301" s="498"/>
      <c r="ET301" s="498"/>
      <c r="EU301" s="498"/>
      <c r="EV301" s="498"/>
      <c r="EW301" s="498"/>
      <c r="EX301" s="498"/>
      <c r="EY301" s="498"/>
      <c r="EZ301" s="498"/>
      <c r="FA301" s="498"/>
      <c r="FB301" s="498"/>
      <c r="FC301" s="498"/>
    </row>
    <row r="302" spans="3:159">
      <c r="C302" s="370" t="s">
        <v>1118</v>
      </c>
      <c r="J302" s="293">
        <v>1433</v>
      </c>
      <c r="K302" s="293">
        <v>1452</v>
      </c>
      <c r="L302" s="293">
        <v>1683</v>
      </c>
      <c r="M302" s="293">
        <v>1227</v>
      </c>
      <c r="N302" s="293">
        <v>1540</v>
      </c>
      <c r="O302" s="293">
        <v>1680</v>
      </c>
      <c r="P302" s="293">
        <v>1834</v>
      </c>
      <c r="Q302" s="293">
        <v>1814</v>
      </c>
      <c r="R302" s="293">
        <v>1825</v>
      </c>
      <c r="S302" s="293">
        <v>1756</v>
      </c>
      <c r="T302" s="293">
        <v>1721</v>
      </c>
      <c r="U302" s="227">
        <v>1782</v>
      </c>
      <c r="V302" s="293">
        <v>1608</v>
      </c>
      <c r="W302" s="293">
        <v>1839</v>
      </c>
      <c r="X302" s="293">
        <v>1344</v>
      </c>
      <c r="Y302" s="293">
        <v>1444</v>
      </c>
      <c r="Z302" s="293">
        <v>1895</v>
      </c>
      <c r="AA302" s="293">
        <v>2410</v>
      </c>
      <c r="AB302" s="293">
        <v>2816</v>
      </c>
      <c r="AC302" s="287">
        <f t="shared" ref="AC302:AH302" si="100">SUM($F302:$K302)/SUM($F299:$K299)*AC299</f>
        <v>4474.0135646626823</v>
      </c>
      <c r="AD302" s="287">
        <f t="shared" si="100"/>
        <v>4509.962216221842</v>
      </c>
      <c r="AE302" s="287">
        <f t="shared" si="100"/>
        <v>4825.9372285319832</v>
      </c>
      <c r="AF302" s="287">
        <f t="shared" si="100"/>
        <v>5234.2868724985528</v>
      </c>
      <c r="AG302" s="287">
        <f t="shared" si="100"/>
        <v>5552.3382553302481</v>
      </c>
      <c r="AH302" s="287">
        <f t="shared" si="100"/>
        <v>5853.0892131292558</v>
      </c>
      <c r="AO302" s="338"/>
      <c r="AP302" s="449"/>
      <c r="AR302" s="449"/>
      <c r="AS302" s="449"/>
      <c r="BA302" s="498"/>
      <c r="BB302" s="498"/>
      <c r="BC302" s="498"/>
      <c r="BD302" s="498"/>
      <c r="BE302" s="498"/>
      <c r="BF302" s="498"/>
      <c r="BG302" s="498"/>
      <c r="BH302" s="498"/>
      <c r="BI302" s="498"/>
      <c r="BJ302" s="498"/>
      <c r="BK302" s="498"/>
      <c r="BL302" s="498"/>
      <c r="BM302" s="498"/>
      <c r="BN302" s="498"/>
      <c r="BO302" s="498"/>
      <c r="BP302" s="498"/>
      <c r="BQ302" s="498"/>
      <c r="BR302" s="498"/>
      <c r="BS302" s="498"/>
      <c r="BT302" s="498"/>
      <c r="BU302" s="498"/>
      <c r="BV302" s="498"/>
      <c r="BW302" s="498"/>
      <c r="BX302" s="498"/>
      <c r="BY302" s="498"/>
      <c r="BZ302" s="498"/>
      <c r="CA302" s="498"/>
      <c r="CB302" s="498"/>
      <c r="CC302" s="498"/>
      <c r="CD302" s="498"/>
      <c r="CE302" s="498"/>
      <c r="CF302" s="498"/>
      <c r="CG302" s="293"/>
      <c r="CH302" s="293"/>
      <c r="CI302" s="293"/>
      <c r="CJ302" s="293"/>
      <c r="CK302" s="293"/>
      <c r="CL302" s="293"/>
      <c r="CM302" s="293"/>
      <c r="CN302" s="293"/>
      <c r="CO302" s="227"/>
      <c r="CR302" s="498"/>
      <c r="CS302" s="498"/>
      <c r="CT302" s="498"/>
      <c r="CU302" s="498"/>
      <c r="CV302" s="498"/>
      <c r="CW302" s="498"/>
      <c r="CX302" s="498"/>
      <c r="CY302" s="498"/>
      <c r="CZ302" s="498"/>
      <c r="DA302" s="498"/>
      <c r="DB302" s="498"/>
      <c r="DC302" s="498"/>
      <c r="DD302" s="498"/>
      <c r="DE302" s="498"/>
      <c r="DF302" s="498"/>
      <c r="DG302" s="498"/>
      <c r="DH302" s="498"/>
      <c r="DI302" s="498"/>
      <c r="DJ302" s="498"/>
      <c r="DK302" s="498"/>
      <c r="DL302" s="498"/>
      <c r="DM302" s="498"/>
      <c r="DN302" s="498"/>
      <c r="DO302" s="498"/>
      <c r="DP302" s="498"/>
      <c r="DQ302" s="498"/>
      <c r="DR302" s="498"/>
      <c r="DS302" s="498"/>
      <c r="DT302" s="498"/>
      <c r="DU302" s="498"/>
      <c r="DV302" s="498"/>
      <c r="DW302" s="498"/>
      <c r="DX302" s="498"/>
      <c r="DY302" s="498"/>
      <c r="DZ302" s="498"/>
      <c r="EA302" s="498"/>
      <c r="EB302" s="498"/>
      <c r="EC302" s="498"/>
      <c r="ED302" s="498"/>
      <c r="EE302" s="498"/>
      <c r="EF302" s="498"/>
      <c r="EG302" s="498"/>
      <c r="EH302" s="498"/>
      <c r="EI302" s="498"/>
      <c r="EJ302" s="498"/>
      <c r="EK302" s="498"/>
      <c r="EL302" s="498"/>
      <c r="EM302" s="498"/>
      <c r="EN302" s="498"/>
      <c r="EO302" s="498"/>
      <c r="EP302" s="498"/>
      <c r="EQ302" s="498"/>
      <c r="ER302" s="498"/>
      <c r="ES302" s="498"/>
      <c r="ET302" s="498"/>
      <c r="EU302" s="498"/>
      <c r="EV302" s="498"/>
      <c r="EW302" s="498"/>
      <c r="EX302" s="498"/>
      <c r="EY302" s="498"/>
      <c r="EZ302" s="498"/>
      <c r="FA302" s="498"/>
      <c r="FB302" s="498"/>
      <c r="FC302" s="498"/>
    </row>
    <row r="303" spans="3:159">
      <c r="C303" s="370" t="s">
        <v>1119</v>
      </c>
      <c r="J303" s="293">
        <v>67</v>
      </c>
      <c r="K303" s="293">
        <v>83</v>
      </c>
      <c r="L303" s="293">
        <v>82</v>
      </c>
      <c r="M303" s="293">
        <v>12</v>
      </c>
      <c r="N303" s="293">
        <v>33</v>
      </c>
      <c r="O303" s="293">
        <v>38</v>
      </c>
      <c r="P303" s="293">
        <v>44</v>
      </c>
      <c r="Q303" s="293">
        <v>37</v>
      </c>
      <c r="R303" s="293">
        <v>16</v>
      </c>
      <c r="S303" s="293">
        <v>20</v>
      </c>
      <c r="T303" s="293">
        <v>12</v>
      </c>
      <c r="U303" s="227">
        <v>55</v>
      </c>
      <c r="V303" s="293">
        <v>67</v>
      </c>
      <c r="W303" s="293">
        <v>71</v>
      </c>
      <c r="X303" s="293">
        <v>14</v>
      </c>
      <c r="Y303" s="293">
        <v>20</v>
      </c>
      <c r="Z303" s="293">
        <v>17</v>
      </c>
      <c r="AA303" s="293">
        <v>130</v>
      </c>
      <c r="AB303" s="293">
        <v>179</v>
      </c>
      <c r="AC303" s="287">
        <f t="shared" ref="AC303:AH303" si="101">SUM($F303:$K303)/SUM($F299:$K299)*AC299</f>
        <v>232.61768967050341</v>
      </c>
      <c r="AD303" s="287">
        <f t="shared" si="101"/>
        <v>234.48677034082365</v>
      </c>
      <c r="AE303" s="287">
        <f t="shared" si="101"/>
        <v>250.91528051292806</v>
      </c>
      <c r="AF303" s="287">
        <f t="shared" si="101"/>
        <v>272.14663115243775</v>
      </c>
      <c r="AG303" s="287">
        <f t="shared" si="101"/>
        <v>288.68309819741324</v>
      </c>
      <c r="AH303" s="287">
        <f t="shared" si="101"/>
        <v>304.32006307431135</v>
      </c>
      <c r="AO303" s="338"/>
      <c r="AP303" s="449"/>
      <c r="AR303" s="449"/>
      <c r="AS303" s="449"/>
      <c r="BA303" s="498"/>
      <c r="BB303" s="498"/>
      <c r="BC303" s="498"/>
      <c r="BD303" s="498"/>
      <c r="BE303" s="498"/>
      <c r="BF303" s="498"/>
      <c r="BG303" s="498"/>
      <c r="BH303" s="498"/>
      <c r="BI303" s="498"/>
      <c r="BJ303" s="498"/>
      <c r="BK303" s="498"/>
      <c r="BL303" s="498"/>
      <c r="BM303" s="498"/>
      <c r="BN303" s="498"/>
      <c r="BO303" s="498"/>
      <c r="BP303" s="498"/>
      <c r="BQ303" s="498"/>
      <c r="BR303" s="498"/>
      <c r="BS303" s="498"/>
      <c r="BT303" s="498"/>
      <c r="BU303" s="498"/>
      <c r="BV303" s="498"/>
      <c r="BW303" s="498"/>
      <c r="BX303" s="498"/>
      <c r="BY303" s="498"/>
      <c r="BZ303" s="498"/>
      <c r="CA303" s="498"/>
      <c r="CB303" s="498"/>
      <c r="CC303" s="498"/>
      <c r="CD303" s="498"/>
      <c r="CE303" s="498"/>
      <c r="CF303" s="498"/>
      <c r="CG303" s="293"/>
      <c r="CH303" s="293"/>
      <c r="CI303" s="293"/>
      <c r="CJ303" s="293"/>
      <c r="CK303" s="293"/>
      <c r="CL303" s="293"/>
      <c r="CM303" s="293"/>
      <c r="CN303" s="293"/>
      <c r="CO303" s="227"/>
      <c r="CR303" s="498"/>
      <c r="CS303" s="498"/>
      <c r="CT303" s="498"/>
      <c r="CU303" s="498"/>
      <c r="CV303" s="498"/>
      <c r="CW303" s="498"/>
      <c r="CX303" s="498"/>
      <c r="CY303" s="498"/>
      <c r="CZ303" s="498"/>
      <c r="DA303" s="498"/>
      <c r="DB303" s="498"/>
      <c r="DC303" s="498"/>
      <c r="DD303" s="498"/>
      <c r="DE303" s="498"/>
      <c r="DF303" s="498"/>
      <c r="DG303" s="498"/>
      <c r="DH303" s="498"/>
      <c r="DI303" s="498"/>
      <c r="DJ303" s="498"/>
      <c r="DK303" s="498"/>
      <c r="DL303" s="498"/>
      <c r="DM303" s="498"/>
      <c r="DN303" s="498"/>
      <c r="DO303" s="498"/>
      <c r="DP303" s="498"/>
      <c r="DQ303" s="498"/>
      <c r="DR303" s="498"/>
      <c r="DS303" s="498"/>
      <c r="DT303" s="498"/>
      <c r="DU303" s="498"/>
      <c r="DV303" s="498"/>
      <c r="DW303" s="498"/>
      <c r="DX303" s="498"/>
      <c r="DY303" s="498"/>
      <c r="DZ303" s="498"/>
      <c r="EA303" s="498"/>
      <c r="EB303" s="498"/>
      <c r="EC303" s="498"/>
      <c r="ED303" s="498"/>
      <c r="EE303" s="498"/>
      <c r="EF303" s="498"/>
      <c r="EG303" s="498"/>
      <c r="EH303" s="498"/>
      <c r="EI303" s="498"/>
      <c r="EJ303" s="498"/>
      <c r="EK303" s="498"/>
      <c r="EL303" s="498"/>
      <c r="EM303" s="498"/>
      <c r="EN303" s="498"/>
      <c r="EO303" s="498"/>
      <c r="EP303" s="498"/>
      <c r="EQ303" s="498"/>
      <c r="ER303" s="498"/>
      <c r="ES303" s="498"/>
      <c r="ET303" s="498"/>
      <c r="EU303" s="498"/>
      <c r="EV303" s="498"/>
      <c r="EW303" s="498"/>
      <c r="EX303" s="498"/>
      <c r="EY303" s="498"/>
      <c r="EZ303" s="498"/>
      <c r="FA303" s="498"/>
      <c r="FB303" s="498"/>
      <c r="FC303" s="498"/>
    </row>
    <row r="304" spans="3:159">
      <c r="C304" s="370"/>
      <c r="J304" s="287"/>
      <c r="K304" s="287"/>
      <c r="L304" s="287"/>
      <c r="M304" s="287"/>
      <c r="N304" s="287"/>
      <c r="O304" s="287"/>
      <c r="P304" s="287"/>
      <c r="Q304" s="287"/>
      <c r="R304" s="287"/>
      <c r="S304" s="287"/>
      <c r="T304" s="287"/>
      <c r="U304" s="27"/>
      <c r="V304" s="287"/>
      <c r="W304" s="287"/>
      <c r="X304" s="287"/>
      <c r="Y304" s="287"/>
      <c r="AO304" s="338"/>
      <c r="AP304" s="449"/>
      <c r="AR304" s="449"/>
      <c r="AS304" s="449"/>
      <c r="BA304" s="498"/>
      <c r="BB304" s="498"/>
      <c r="BC304" s="498"/>
      <c r="BD304" s="498"/>
      <c r="BE304" s="498"/>
      <c r="BF304" s="498"/>
      <c r="BG304" s="498"/>
      <c r="BH304" s="498"/>
      <c r="BI304" s="498"/>
      <c r="BJ304" s="498"/>
      <c r="BK304" s="498"/>
      <c r="BL304" s="498"/>
      <c r="BM304" s="498"/>
      <c r="BN304" s="498"/>
      <c r="BO304" s="498"/>
      <c r="BP304" s="498"/>
      <c r="BQ304" s="498"/>
      <c r="BR304" s="498"/>
      <c r="BS304" s="498"/>
      <c r="BT304" s="498"/>
      <c r="BU304" s="498"/>
      <c r="BV304" s="498"/>
      <c r="BW304" s="498"/>
      <c r="BX304" s="498"/>
      <c r="BY304" s="498"/>
      <c r="BZ304" s="498"/>
      <c r="CA304" s="498"/>
      <c r="CB304" s="498"/>
      <c r="CC304" s="498"/>
      <c r="CD304" s="498"/>
      <c r="CE304" s="498"/>
      <c r="CF304" s="498"/>
      <c r="CG304" s="287"/>
      <c r="CH304" s="287"/>
      <c r="CI304" s="287"/>
      <c r="CJ304" s="287"/>
      <c r="CK304" s="287"/>
      <c r="CL304" s="287"/>
      <c r="CM304" s="287"/>
      <c r="CN304" s="287"/>
      <c r="CO304" s="27"/>
      <c r="CR304" s="498"/>
      <c r="CS304" s="498"/>
      <c r="CT304" s="498"/>
      <c r="CU304" s="498"/>
      <c r="CV304" s="498"/>
      <c r="CW304" s="498"/>
      <c r="CX304" s="498"/>
      <c r="CY304" s="498"/>
      <c r="CZ304" s="498"/>
      <c r="DA304" s="498"/>
      <c r="DB304" s="498"/>
      <c r="DC304" s="498"/>
      <c r="DD304" s="498"/>
      <c r="DE304" s="498"/>
      <c r="DF304" s="498"/>
      <c r="DG304" s="498"/>
      <c r="DH304" s="498"/>
      <c r="DI304" s="498"/>
      <c r="DJ304" s="498"/>
      <c r="DK304" s="498"/>
      <c r="DL304" s="498"/>
      <c r="DM304" s="498"/>
      <c r="DN304" s="498"/>
      <c r="DO304" s="498"/>
      <c r="DP304" s="498"/>
      <c r="DQ304" s="498"/>
      <c r="DR304" s="498"/>
      <c r="DS304" s="498"/>
      <c r="DT304" s="498"/>
      <c r="DU304" s="498"/>
      <c r="DV304" s="498"/>
      <c r="DW304" s="498"/>
      <c r="DX304" s="498"/>
      <c r="DY304" s="498"/>
      <c r="DZ304" s="498"/>
      <c r="EA304" s="498"/>
      <c r="EB304" s="498"/>
      <c r="EC304" s="498"/>
      <c r="ED304" s="498"/>
      <c r="EE304" s="498"/>
      <c r="EF304" s="498"/>
      <c r="EG304" s="498"/>
      <c r="EH304" s="498"/>
      <c r="EI304" s="498"/>
      <c r="EJ304" s="498"/>
      <c r="EK304" s="498"/>
      <c r="EL304" s="498"/>
      <c r="EM304" s="498"/>
      <c r="EN304" s="498"/>
      <c r="EO304" s="498"/>
      <c r="EP304" s="498"/>
      <c r="EQ304" s="498"/>
      <c r="ER304" s="498"/>
      <c r="ES304" s="498"/>
      <c r="ET304" s="498"/>
      <c r="EU304" s="498"/>
      <c r="EV304" s="498"/>
      <c r="EW304" s="498"/>
      <c r="EX304" s="498"/>
      <c r="EY304" s="498"/>
      <c r="EZ304" s="498"/>
      <c r="FA304" s="498"/>
      <c r="FB304" s="498"/>
      <c r="FC304" s="498"/>
    </row>
    <row r="305" spans="3:159">
      <c r="C305" s="295" t="s">
        <v>1113</v>
      </c>
      <c r="D305" s="57"/>
      <c r="E305" s="57"/>
      <c r="F305" s="57"/>
      <c r="G305" s="57"/>
      <c r="H305" s="57"/>
      <c r="I305" s="57"/>
      <c r="J305" s="281">
        <f t="shared" ref="J305:AH305" si="102">J307</f>
        <v>-2448</v>
      </c>
      <c r="K305" s="281">
        <f t="shared" si="102"/>
        <v>-2749</v>
      </c>
      <c r="L305" s="281">
        <f t="shared" si="102"/>
        <v>-2823</v>
      </c>
      <c r="M305" s="281">
        <f t="shared" si="102"/>
        <v>-3017</v>
      </c>
      <c r="N305" s="281">
        <f t="shared" si="102"/>
        <v>-3215</v>
      </c>
      <c r="O305" s="281">
        <f t="shared" si="102"/>
        <v>-3562</v>
      </c>
      <c r="P305" s="281">
        <f t="shared" si="102"/>
        <v>-3509</v>
      </c>
      <c r="Q305" s="281">
        <f t="shared" si="102"/>
        <v>-3500</v>
      </c>
      <c r="R305" s="281">
        <f t="shared" si="102"/>
        <v>-3219</v>
      </c>
      <c r="S305" s="281">
        <f t="shared" si="102"/>
        <v>-3845</v>
      </c>
      <c r="T305" s="281">
        <f t="shared" si="102"/>
        <v>-3832</v>
      </c>
      <c r="U305" s="281">
        <f t="shared" si="102"/>
        <v>-4560</v>
      </c>
      <c r="V305" s="281">
        <f t="shared" si="102"/>
        <v>-2164.955565695413</v>
      </c>
      <c r="W305" s="281">
        <f t="shared" si="102"/>
        <v>-4970</v>
      </c>
      <c r="X305" s="281">
        <f t="shared" si="102"/>
        <v>-4109</v>
      </c>
      <c r="Y305" s="281">
        <f t="shared" si="102"/>
        <v>-4065</v>
      </c>
      <c r="Z305" s="281">
        <f t="shared" si="102"/>
        <v>-5878</v>
      </c>
      <c r="AA305" s="281">
        <f t="shared" si="102"/>
        <v>-7132</v>
      </c>
      <c r="AB305" s="281">
        <f t="shared" si="102"/>
        <v>-8150</v>
      </c>
      <c r="AC305" s="281">
        <f t="shared" si="102"/>
        <v>-8150</v>
      </c>
      <c r="AD305" s="281">
        <f t="shared" si="102"/>
        <v>-8150</v>
      </c>
      <c r="AE305" s="281">
        <f t="shared" si="102"/>
        <v>-8150</v>
      </c>
      <c r="AF305" s="281">
        <f t="shared" si="102"/>
        <v>-8150</v>
      </c>
      <c r="AG305" s="281">
        <f t="shared" si="102"/>
        <v>-8150</v>
      </c>
      <c r="AH305" s="281">
        <f t="shared" si="102"/>
        <v>-8150</v>
      </c>
      <c r="AO305" s="338"/>
      <c r="AP305" s="449"/>
      <c r="AR305" s="449"/>
      <c r="AS305" s="449"/>
      <c r="BA305" s="498"/>
      <c r="BB305" s="498"/>
      <c r="BC305" s="498"/>
      <c r="BD305" s="498"/>
      <c r="BE305" s="498"/>
      <c r="BF305" s="498"/>
      <c r="BG305" s="498"/>
      <c r="BH305" s="498"/>
      <c r="BI305" s="498"/>
      <c r="BJ305" s="498"/>
      <c r="BK305" s="498"/>
      <c r="BL305" s="498"/>
      <c r="BM305" s="498"/>
      <c r="BN305" s="498"/>
      <c r="BO305" s="498"/>
      <c r="BP305" s="498"/>
      <c r="BQ305" s="498"/>
      <c r="BR305" s="498"/>
      <c r="BS305" s="498"/>
      <c r="BT305" s="498"/>
      <c r="BU305" s="498"/>
      <c r="BV305" s="498"/>
      <c r="BW305" s="498"/>
      <c r="BX305" s="498"/>
      <c r="BY305" s="498"/>
      <c r="BZ305" s="498"/>
      <c r="CA305" s="498"/>
      <c r="CB305" s="498"/>
      <c r="CC305" s="498"/>
      <c r="CD305" s="498"/>
      <c r="CE305" s="498"/>
      <c r="CF305" s="498"/>
      <c r="CG305" s="281"/>
      <c r="CH305" s="281"/>
      <c r="CI305" s="281"/>
      <c r="CJ305" s="281"/>
      <c r="CK305" s="281"/>
      <c r="CL305" s="281"/>
      <c r="CM305" s="281"/>
      <c r="CN305" s="281"/>
      <c r="CO305" s="281"/>
      <c r="CR305" s="498"/>
      <c r="CS305" s="498"/>
      <c r="CT305" s="498"/>
      <c r="CU305" s="498"/>
      <c r="CV305" s="498"/>
      <c r="CW305" s="498"/>
      <c r="CX305" s="498"/>
      <c r="CY305" s="498"/>
      <c r="CZ305" s="498"/>
      <c r="DA305" s="498"/>
      <c r="DB305" s="498"/>
      <c r="DC305" s="498"/>
      <c r="DD305" s="498"/>
      <c r="DE305" s="498"/>
      <c r="DF305" s="498"/>
      <c r="DG305" s="498"/>
      <c r="DH305" s="498"/>
      <c r="DI305" s="498"/>
      <c r="DJ305" s="498"/>
      <c r="DK305" s="498"/>
      <c r="DL305" s="498"/>
      <c r="DM305" s="498"/>
      <c r="DN305" s="498"/>
      <c r="DO305" s="498"/>
      <c r="DP305" s="498"/>
      <c r="DQ305" s="498"/>
      <c r="DR305" s="498"/>
      <c r="DS305" s="498"/>
      <c r="DT305" s="498"/>
      <c r="DU305" s="498"/>
      <c r="DV305" s="498"/>
      <c r="DW305" s="498"/>
      <c r="DX305" s="498"/>
      <c r="DY305" s="498"/>
      <c r="DZ305" s="498"/>
      <c r="EA305" s="498"/>
      <c r="EB305" s="498"/>
      <c r="EC305" s="498"/>
      <c r="ED305" s="498"/>
      <c r="EE305" s="498"/>
      <c r="EF305" s="498"/>
      <c r="EG305" s="498"/>
      <c r="EH305" s="498"/>
      <c r="EI305" s="498"/>
      <c r="EJ305" s="498"/>
      <c r="EK305" s="498"/>
      <c r="EL305" s="498"/>
      <c r="EM305" s="498"/>
      <c r="EN305" s="498"/>
      <c r="EO305" s="498"/>
      <c r="EP305" s="498"/>
      <c r="EQ305" s="498"/>
      <c r="ER305" s="498"/>
      <c r="ES305" s="498"/>
      <c r="ET305" s="498"/>
      <c r="EU305" s="498"/>
      <c r="EV305" s="498"/>
      <c r="EW305" s="498"/>
      <c r="EX305" s="498"/>
      <c r="EY305" s="498"/>
      <c r="EZ305" s="498"/>
      <c r="FA305" s="498"/>
      <c r="FB305" s="498"/>
      <c r="FC305" s="498"/>
    </row>
    <row r="306" spans="3:159">
      <c r="C306" s="291" t="s">
        <v>1114</v>
      </c>
      <c r="J306" s="287">
        <f>'Balance Sheet'!H40</f>
        <v>-6390</v>
      </c>
      <c r="K306" s="287">
        <f>'Balance Sheet'!I40</f>
        <v>-6517</v>
      </c>
      <c r="L306" s="287">
        <f>'Balance Sheet'!J40</f>
        <v>-6786</v>
      </c>
      <c r="M306" s="287">
        <f>'Balance Sheet'!K40</f>
        <v>-6936</v>
      </c>
      <c r="N306" s="287">
        <f>'Balance Sheet'!L40</f>
        <v>-7236</v>
      </c>
      <c r="O306" s="287">
        <f>'Balance Sheet'!M40</f>
        <v>-8348</v>
      </c>
      <c r="P306" s="287">
        <f>'Balance Sheet'!N40</f>
        <v>-8767</v>
      </c>
      <c r="Q306" s="287">
        <f>'Balance Sheet'!O40</f>
        <v>-8668</v>
      </c>
      <c r="R306" s="287">
        <f>'Balance Sheet'!P40</f>
        <v>-9638</v>
      </c>
      <c r="S306" s="287">
        <f>'Balance Sheet'!Q40</f>
        <v>-10602</v>
      </c>
      <c r="T306" s="287">
        <f>'Balance Sheet'!R40</f>
        <v>-10242</v>
      </c>
      <c r="U306" s="287">
        <f>'Balance Sheet'!S40</f>
        <v>-4409</v>
      </c>
      <c r="V306" s="287">
        <f>'Balance Sheet'!T40</f>
        <v>-5650</v>
      </c>
      <c r="W306" s="287">
        <f>'Balance Sheet'!U44</f>
        <v>-10923</v>
      </c>
      <c r="X306" s="287">
        <f>'Balance Sheet'!V44</f>
        <v>-9838</v>
      </c>
      <c r="Y306" s="287">
        <f>'Balance Sheet'!W44</f>
        <v>-10141</v>
      </c>
      <c r="Z306" s="287">
        <f>'Balance Sheet'!X44</f>
        <v>-12756</v>
      </c>
      <c r="AA306" s="287">
        <f>'Balance Sheet'!Y44</f>
        <v>-15029</v>
      </c>
      <c r="AB306" s="287">
        <f>'Balance Sheet'!Z44</f>
        <v>-16421</v>
      </c>
      <c r="AC306" s="287">
        <f>'Balance Sheet'!AA44</f>
        <v>-16421</v>
      </c>
      <c r="AD306" s="287">
        <f>'Balance Sheet'!AB44</f>
        <v>-16421</v>
      </c>
      <c r="AE306" s="287">
        <f>'Balance Sheet'!AC44</f>
        <v>-16421</v>
      </c>
      <c r="AF306" s="287">
        <f>'Balance Sheet'!AD44</f>
        <v>-16421</v>
      </c>
      <c r="AG306" s="287">
        <f>'Balance Sheet'!AE44</f>
        <v>-16421</v>
      </c>
      <c r="AH306" s="287">
        <f>'Balance Sheet'!AF44</f>
        <v>-16421</v>
      </c>
      <c r="AO306" s="338"/>
      <c r="AP306" s="449"/>
      <c r="AR306" s="449"/>
      <c r="AS306" s="449"/>
      <c r="BA306" s="498"/>
      <c r="BB306" s="498"/>
      <c r="BC306" s="498"/>
      <c r="BD306" s="498"/>
      <c r="BE306" s="498"/>
      <c r="BF306" s="498"/>
      <c r="BG306" s="498"/>
      <c r="BH306" s="498"/>
      <c r="BI306" s="498"/>
      <c r="BJ306" s="498"/>
      <c r="BK306" s="498"/>
      <c r="BL306" s="498"/>
      <c r="BM306" s="498"/>
      <c r="BN306" s="498"/>
      <c r="BO306" s="498"/>
      <c r="BP306" s="498"/>
      <c r="BQ306" s="498"/>
      <c r="BR306" s="498"/>
      <c r="BS306" s="498"/>
      <c r="BT306" s="498"/>
      <c r="BU306" s="498"/>
      <c r="BV306" s="498"/>
      <c r="BW306" s="498"/>
      <c r="BX306" s="498"/>
      <c r="BY306" s="498"/>
      <c r="BZ306" s="498"/>
      <c r="CA306" s="498"/>
      <c r="CB306" s="498"/>
      <c r="CC306" s="498"/>
      <c r="CD306" s="498"/>
      <c r="CE306" s="498"/>
      <c r="CF306" s="498"/>
      <c r="CG306" s="287"/>
      <c r="CH306" s="287"/>
      <c r="CI306" s="287"/>
      <c r="CJ306" s="287"/>
      <c r="CK306" s="287"/>
      <c r="CL306" s="287"/>
      <c r="CM306" s="287"/>
      <c r="CN306" s="287"/>
      <c r="CO306" s="27"/>
      <c r="CR306" s="498"/>
      <c r="CS306" s="498"/>
      <c r="CT306" s="498"/>
      <c r="CU306" s="498"/>
      <c r="CV306" s="498"/>
      <c r="CW306" s="498"/>
      <c r="CX306" s="498"/>
      <c r="CY306" s="498"/>
      <c r="CZ306" s="498"/>
      <c r="DA306" s="498"/>
      <c r="DB306" s="498"/>
      <c r="DC306" s="498"/>
      <c r="DD306" s="498"/>
      <c r="DE306" s="498"/>
      <c r="DF306" s="498"/>
      <c r="DG306" s="498"/>
      <c r="DH306" s="498"/>
      <c r="DI306" s="498"/>
      <c r="DJ306" s="498"/>
      <c r="DK306" s="498"/>
      <c r="DL306" s="498"/>
      <c r="DM306" s="498"/>
      <c r="DN306" s="498"/>
      <c r="DO306" s="498"/>
      <c r="DP306" s="498"/>
      <c r="DQ306" s="498"/>
      <c r="DR306" s="498"/>
      <c r="DS306" s="498"/>
      <c r="DT306" s="498"/>
      <c r="DU306" s="498"/>
      <c r="DV306" s="498"/>
      <c r="DW306" s="498"/>
      <c r="DX306" s="498"/>
      <c r="DY306" s="498"/>
      <c r="DZ306" s="498"/>
      <c r="EA306" s="498"/>
      <c r="EB306" s="498"/>
      <c r="EC306" s="498"/>
      <c r="ED306" s="498"/>
      <c r="EE306" s="498"/>
      <c r="EF306" s="498"/>
      <c r="EG306" s="498"/>
      <c r="EH306" s="498"/>
      <c r="EI306" s="498"/>
      <c r="EJ306" s="498"/>
      <c r="EK306" s="498"/>
      <c r="EL306" s="498"/>
      <c r="EM306" s="498"/>
      <c r="EN306" s="498"/>
      <c r="EO306" s="498"/>
      <c r="EP306" s="498"/>
      <c r="EQ306" s="498"/>
      <c r="ER306" s="498"/>
      <c r="ES306" s="498"/>
      <c r="ET306" s="498"/>
      <c r="EU306" s="498"/>
      <c r="EV306" s="498"/>
      <c r="EW306" s="498"/>
      <c r="EX306" s="498"/>
      <c r="EY306" s="498"/>
      <c r="EZ306" s="498"/>
      <c r="FA306" s="498"/>
      <c r="FB306" s="498"/>
      <c r="FC306" s="498"/>
    </row>
    <row r="307" spans="3:159">
      <c r="C307" s="370" t="s">
        <v>1115</v>
      </c>
      <c r="J307" s="260">
        <v>-2448</v>
      </c>
      <c r="K307" s="260">
        <v>-2749</v>
      </c>
      <c r="L307" s="260">
        <v>-2823</v>
      </c>
      <c r="M307" s="260">
        <v>-3017</v>
      </c>
      <c r="N307" s="260">
        <v>-3215</v>
      </c>
      <c r="O307" s="260">
        <v>-3562</v>
      </c>
      <c r="P307" s="260">
        <v>-3509</v>
      </c>
      <c r="Q307" s="260">
        <v>-3500</v>
      </c>
      <c r="R307" s="260">
        <v>-3219</v>
      </c>
      <c r="S307" s="260">
        <v>-3845</v>
      </c>
      <c r="T307" s="260">
        <v>-3832</v>
      </c>
      <c r="U307" s="260">
        <v>-4560</v>
      </c>
      <c r="V307" s="260">
        <v>-2164.955565695413</v>
      </c>
      <c r="W307" s="260">
        <v>-4970</v>
      </c>
      <c r="X307" s="260">
        <v>-4109</v>
      </c>
      <c r="Y307" s="260">
        <v>-4065</v>
      </c>
      <c r="Z307" s="260">
        <v>-5878</v>
      </c>
      <c r="AA307" s="260">
        <v>-7132</v>
      </c>
      <c r="AB307" s="260">
        <v>-8150</v>
      </c>
      <c r="AC307" s="327">
        <f t="shared" ref="AC307:AH307" si="103">AB307/AB306*AC306</f>
        <v>-8150</v>
      </c>
      <c r="AD307" s="327">
        <f t="shared" si="103"/>
        <v>-8150</v>
      </c>
      <c r="AE307" s="327">
        <f t="shared" si="103"/>
        <v>-8150</v>
      </c>
      <c r="AF307" s="327">
        <f t="shared" si="103"/>
        <v>-8150</v>
      </c>
      <c r="AG307" s="327">
        <f t="shared" si="103"/>
        <v>-8150</v>
      </c>
      <c r="AH307" s="327">
        <f t="shared" si="103"/>
        <v>-8150</v>
      </c>
      <c r="AO307" s="338"/>
      <c r="AP307" s="449"/>
      <c r="AR307" s="449"/>
      <c r="AS307" s="449"/>
      <c r="BA307" s="498"/>
      <c r="BB307" s="498"/>
      <c r="BC307" s="498"/>
      <c r="BD307" s="498"/>
      <c r="BE307" s="498"/>
      <c r="BF307" s="498"/>
      <c r="BG307" s="498"/>
      <c r="BH307" s="498"/>
      <c r="BI307" s="498"/>
      <c r="BJ307" s="498"/>
      <c r="BK307" s="498"/>
      <c r="BL307" s="498"/>
      <c r="BM307" s="498"/>
      <c r="BN307" s="498"/>
      <c r="BO307" s="498"/>
      <c r="BP307" s="498"/>
      <c r="BQ307" s="498"/>
      <c r="BR307" s="498"/>
      <c r="BS307" s="498"/>
      <c r="BT307" s="498"/>
      <c r="BU307" s="498"/>
      <c r="BV307" s="498"/>
      <c r="BW307" s="498"/>
      <c r="BX307" s="498"/>
      <c r="BY307" s="498"/>
      <c r="BZ307" s="498"/>
      <c r="CA307" s="498"/>
      <c r="CB307" s="498"/>
      <c r="CC307" s="498"/>
      <c r="CD307" s="498"/>
      <c r="CE307" s="498"/>
      <c r="CF307" s="498"/>
      <c r="CG307" s="260"/>
      <c r="CH307" s="260"/>
      <c r="CI307" s="260"/>
      <c r="CJ307" s="260"/>
      <c r="CK307" s="260"/>
      <c r="CL307" s="260"/>
      <c r="CM307" s="260"/>
      <c r="CN307" s="260"/>
      <c r="CO307" s="260"/>
      <c r="CR307" s="498"/>
      <c r="CS307" s="498"/>
      <c r="CT307" s="498"/>
      <c r="CU307" s="498"/>
      <c r="CV307" s="498"/>
      <c r="CW307" s="498"/>
      <c r="CX307" s="498"/>
      <c r="CY307" s="498"/>
      <c r="CZ307" s="498"/>
      <c r="DA307" s="498"/>
      <c r="DB307" s="498"/>
      <c r="DC307" s="498"/>
      <c r="DD307" s="498"/>
      <c r="DE307" s="498"/>
      <c r="DF307" s="498"/>
      <c r="DG307" s="498"/>
      <c r="DH307" s="498"/>
      <c r="DI307" s="498"/>
      <c r="DJ307" s="498"/>
      <c r="DK307" s="498"/>
      <c r="DL307" s="498"/>
      <c r="DM307" s="498"/>
      <c r="DN307" s="498"/>
      <c r="DO307" s="498"/>
      <c r="DP307" s="498"/>
      <c r="DQ307" s="498"/>
      <c r="DR307" s="498"/>
      <c r="DS307" s="498"/>
      <c r="DT307" s="498"/>
      <c r="DU307" s="498"/>
      <c r="DV307" s="498"/>
      <c r="DW307" s="498"/>
      <c r="DX307" s="498"/>
      <c r="DY307" s="498"/>
      <c r="DZ307" s="498"/>
      <c r="EA307" s="498"/>
      <c r="EB307" s="498"/>
      <c r="EC307" s="498"/>
      <c r="ED307" s="498"/>
      <c r="EE307" s="498"/>
      <c r="EF307" s="498"/>
      <c r="EG307" s="498"/>
      <c r="EH307" s="498"/>
      <c r="EI307" s="498"/>
      <c r="EJ307" s="498"/>
      <c r="EK307" s="498"/>
      <c r="EL307" s="498"/>
      <c r="EM307" s="498"/>
      <c r="EN307" s="498"/>
      <c r="EO307" s="498"/>
      <c r="EP307" s="498"/>
      <c r="EQ307" s="498"/>
      <c r="ER307" s="498"/>
      <c r="ES307" s="498"/>
      <c r="ET307" s="498"/>
      <c r="EU307" s="498"/>
      <c r="EV307" s="498"/>
      <c r="EW307" s="498"/>
      <c r="EX307" s="498"/>
      <c r="EY307" s="498"/>
      <c r="EZ307" s="498"/>
      <c r="FA307" s="498"/>
      <c r="FB307" s="498"/>
      <c r="FC307" s="498"/>
    </row>
    <row r="308" spans="3:159">
      <c r="C308" s="370" t="s">
        <v>781</v>
      </c>
      <c r="J308" s="30">
        <f>-J307/'Income Statement'!H9</f>
        <v>0.21608261982522728</v>
      </c>
      <c r="K308" s="30">
        <f>-K307/'Income Statement'!I9</f>
        <v>0.26892975934259439</v>
      </c>
      <c r="L308" s="30">
        <f>-L307/'Income Statement'!J9</f>
        <v>0.27330816148707521</v>
      </c>
      <c r="M308" s="30">
        <f>-M307/'Income Statement'!K9</f>
        <v>0.28876339969372128</v>
      </c>
      <c r="N308" s="30">
        <f>-N307/'Income Statement'!L9</f>
        <v>0.29879182156133827</v>
      </c>
      <c r="O308" s="30">
        <f>-O307/'Income Statement'!M9</f>
        <v>0.30351056578050445</v>
      </c>
      <c r="P308" s="30">
        <f>-P307/'Income Statement'!N9</f>
        <v>0.25877581120943954</v>
      </c>
      <c r="Q308" s="30">
        <f>-Q307/'Income Statement'!O9</f>
        <v>0.24368168209983987</v>
      </c>
      <c r="R308" s="30">
        <f>-R307/'Income Statement'!P9</f>
        <v>0.20963855421686747</v>
      </c>
      <c r="S308" s="30">
        <f>-S307/'Income Statement'!Q9</f>
        <v>0.22079935683932467</v>
      </c>
      <c r="T308" s="30">
        <f>-T307/'Income Statement'!R9</f>
        <v>0.24282364869146442</v>
      </c>
      <c r="U308" s="30">
        <f>-U307/'Income Statement'!S9</f>
        <v>0.28583965398357675</v>
      </c>
      <c r="V308" s="30">
        <f>-V307/'Income Statement'!T9</f>
        <v>0.10284824540120727</v>
      </c>
      <c r="W308" s="30">
        <f>-W307/'Income Statement'!U9</f>
        <v>0.20170454545454544</v>
      </c>
      <c r="X308" s="30">
        <f>-X307/'Income Statement'!V9</f>
        <v>0.2490604921808704</v>
      </c>
      <c r="Y308" s="30">
        <f>-Y307/'Income Statement'!W9</f>
        <v>0.26643507898014024</v>
      </c>
      <c r="Z308" s="30">
        <f>-Z307/'Income Statement'!X9</f>
        <v>0.30879957972156552</v>
      </c>
      <c r="AA308" s="30">
        <f>-AA307/'Income Statement'!Y9</f>
        <v>0.30742704426914952</v>
      </c>
      <c r="AB308" s="30">
        <f>-AB307/'Income Statement'!Z9</f>
        <v>0.29834901343485742</v>
      </c>
      <c r="AC308" s="30">
        <f>-AC307/'Income Statement'!AA9</f>
        <v>0.2629374337765637</v>
      </c>
      <c r="AD308" s="30">
        <f>-AD307/'Income Statement'!AB9</f>
        <v>0.23609018421077527</v>
      </c>
      <c r="AE308" s="30">
        <f>-AE307/'Income Statement'!AC9</f>
        <v>0.21351516513251248</v>
      </c>
      <c r="AF308" s="30">
        <f>-AF307/'Income Statement'!AD9</f>
        <v>0.19685791195034102</v>
      </c>
      <c r="AG308" s="30">
        <f>-AG307/'Income Statement'!AE9</f>
        <v>0.18764342968173123</v>
      </c>
      <c r="AH308" s="30">
        <f>-AH307/'Income Statement'!AF9</f>
        <v>0.1789797249272107</v>
      </c>
      <c r="AO308" s="338"/>
      <c r="AP308" s="449"/>
      <c r="AR308" s="449"/>
      <c r="AS308" s="449"/>
      <c r="BA308" s="498"/>
      <c r="BB308" s="498"/>
      <c r="BC308" s="498"/>
      <c r="BD308" s="498"/>
      <c r="BE308" s="498"/>
      <c r="BF308" s="498"/>
      <c r="BG308" s="498"/>
      <c r="BH308" s="498"/>
      <c r="BI308" s="498"/>
      <c r="BJ308" s="498"/>
      <c r="BK308" s="498"/>
      <c r="BL308" s="498"/>
      <c r="BM308" s="498"/>
      <c r="BN308" s="498"/>
      <c r="BO308" s="498"/>
      <c r="BP308" s="498"/>
      <c r="BQ308" s="498"/>
      <c r="BR308" s="498"/>
      <c r="BS308" s="498"/>
      <c r="BT308" s="498"/>
      <c r="BU308" s="498"/>
      <c r="BV308" s="498"/>
      <c r="BW308" s="498"/>
      <c r="BX308" s="498"/>
      <c r="BY308" s="498"/>
      <c r="BZ308" s="498"/>
      <c r="CA308" s="498"/>
      <c r="CB308" s="498"/>
      <c r="CC308" s="498"/>
      <c r="CD308" s="498"/>
      <c r="CE308" s="498"/>
      <c r="CF308" s="498"/>
      <c r="CG308" s="30"/>
      <c r="CH308" s="30"/>
      <c r="CI308" s="30"/>
      <c r="CJ308" s="30"/>
      <c r="CK308" s="30"/>
      <c r="CL308" s="30"/>
      <c r="CM308" s="30"/>
      <c r="CN308" s="30"/>
      <c r="CO308" s="355"/>
      <c r="CR308" s="498"/>
      <c r="CS308" s="498"/>
      <c r="CT308" s="498"/>
      <c r="CU308" s="498"/>
      <c r="CV308" s="498"/>
      <c r="CW308" s="498"/>
      <c r="CX308" s="498"/>
      <c r="CY308" s="498"/>
      <c r="CZ308" s="498"/>
      <c r="DA308" s="498"/>
      <c r="DB308" s="498"/>
      <c r="DC308" s="498"/>
      <c r="DD308" s="498"/>
      <c r="DE308" s="498"/>
      <c r="DF308" s="498"/>
      <c r="DG308" s="498"/>
      <c r="DH308" s="498"/>
      <c r="DI308" s="498"/>
      <c r="DJ308" s="498"/>
      <c r="DK308" s="498"/>
      <c r="DL308" s="498"/>
      <c r="DM308" s="498"/>
      <c r="DN308" s="498"/>
      <c r="DO308" s="498"/>
      <c r="DP308" s="498"/>
      <c r="DQ308" s="498"/>
      <c r="DR308" s="498"/>
      <c r="DS308" s="498"/>
      <c r="DT308" s="498"/>
      <c r="DU308" s="498"/>
      <c r="DV308" s="498"/>
      <c r="DW308" s="498"/>
      <c r="DX308" s="498"/>
      <c r="DY308" s="498"/>
      <c r="DZ308" s="498"/>
      <c r="EA308" s="498"/>
      <c r="EB308" s="498"/>
      <c r="EC308" s="498"/>
      <c r="ED308" s="498"/>
      <c r="EE308" s="498"/>
      <c r="EF308" s="498"/>
      <c r="EG308" s="498"/>
      <c r="EH308" s="498"/>
      <c r="EI308" s="498"/>
      <c r="EJ308" s="498"/>
      <c r="EK308" s="498"/>
      <c r="EL308" s="498"/>
      <c r="EM308" s="498"/>
      <c r="EN308" s="498"/>
      <c r="EO308" s="498"/>
      <c r="EP308" s="498"/>
      <c r="EQ308" s="498"/>
      <c r="ER308" s="498"/>
      <c r="ES308" s="498"/>
      <c r="ET308" s="498"/>
      <c r="EU308" s="498"/>
      <c r="EV308" s="498"/>
      <c r="EW308" s="498"/>
      <c r="EX308" s="498"/>
      <c r="EY308" s="498"/>
      <c r="EZ308" s="498"/>
      <c r="FA308" s="498"/>
      <c r="FB308" s="498"/>
      <c r="FC308" s="498"/>
    </row>
    <row r="309" spans="3:159">
      <c r="C309" s="19"/>
      <c r="AO309" s="338"/>
      <c r="AP309" s="449"/>
      <c r="AR309" s="449"/>
      <c r="AS309" s="449"/>
    </row>
    <row r="310" spans="3:159">
      <c r="C310" s="282" t="s">
        <v>1093</v>
      </c>
      <c r="D310" s="282"/>
      <c r="E310" s="282"/>
      <c r="F310" s="282"/>
      <c r="G310" s="282"/>
      <c r="H310" s="282"/>
      <c r="I310" s="282"/>
      <c r="J310" s="282"/>
      <c r="K310" s="282"/>
      <c r="L310" s="282"/>
      <c r="M310" s="282"/>
      <c r="N310" s="282"/>
      <c r="O310" s="282"/>
      <c r="P310" s="282"/>
      <c r="Q310" s="282"/>
      <c r="R310" s="282"/>
      <c r="S310" s="282"/>
      <c r="T310" s="282"/>
      <c r="U310" s="282"/>
      <c r="V310" s="282"/>
      <c r="W310" s="282"/>
      <c r="X310" s="282"/>
      <c r="Y310" s="282"/>
      <c r="Z310" s="282"/>
      <c r="AA310" s="282"/>
      <c r="AB310" s="282"/>
      <c r="AC310" s="195"/>
      <c r="AD310" s="195"/>
      <c r="AE310" s="195"/>
      <c r="AF310" s="195"/>
      <c r="AG310" s="195"/>
      <c r="AH310" s="195"/>
      <c r="AO310" s="338"/>
      <c r="AP310" s="449"/>
      <c r="AR310" s="449"/>
      <c r="AS310" s="449"/>
      <c r="BA310" s="282"/>
      <c r="BB310" s="282"/>
      <c r="BC310" s="282"/>
      <c r="BD310" s="282"/>
      <c r="BE310" s="282"/>
      <c r="BF310" s="282"/>
      <c r="BG310" s="282"/>
      <c r="BH310" s="282"/>
      <c r="BI310" s="282"/>
      <c r="BJ310" s="282"/>
      <c r="BK310" s="282"/>
      <c r="BL310" s="282"/>
      <c r="BM310" s="282"/>
      <c r="BN310" s="282"/>
      <c r="BO310" s="282"/>
      <c r="BP310" s="282"/>
      <c r="BQ310" s="282"/>
      <c r="BR310" s="282"/>
      <c r="BS310" s="282"/>
      <c r="BT310" s="282"/>
      <c r="BU310" s="282"/>
      <c r="BV310" s="282"/>
      <c r="BW310" s="282"/>
      <c r="BX310" s="282"/>
      <c r="BY310" s="282"/>
      <c r="BZ310" s="282"/>
      <c r="CA310" s="282"/>
      <c r="CB310" s="282"/>
      <c r="CC310" s="337"/>
      <c r="CD310" s="337"/>
      <c r="CE310" s="337"/>
      <c r="CF310" s="337"/>
      <c r="CG310" s="337"/>
      <c r="CH310" s="337"/>
      <c r="CI310" s="337"/>
      <c r="CJ310" s="337"/>
      <c r="CK310" s="337"/>
      <c r="CL310" s="337"/>
      <c r="CM310" s="337"/>
      <c r="CN310" s="337"/>
      <c r="CO310" s="483"/>
      <c r="CR310" s="282"/>
      <c r="CS310" s="282"/>
      <c r="CT310" s="282"/>
      <c r="CU310" s="282"/>
      <c r="CV310" s="282"/>
      <c r="CW310" s="282"/>
      <c r="CX310" s="282"/>
      <c r="CY310" s="282"/>
      <c r="CZ310" s="282"/>
      <c r="DA310" s="282"/>
      <c r="DB310" s="282"/>
      <c r="DC310" s="282"/>
      <c r="DD310" s="282"/>
      <c r="DE310" s="282"/>
      <c r="DF310" s="282"/>
      <c r="DG310" s="282"/>
      <c r="DH310" s="282"/>
      <c r="DI310" s="282"/>
      <c r="DJ310" s="282"/>
      <c r="DK310" s="282"/>
      <c r="DL310" s="282"/>
      <c r="DM310" s="282"/>
      <c r="DN310" s="282"/>
      <c r="DO310" s="282"/>
      <c r="DP310" s="282"/>
      <c r="DQ310" s="282"/>
      <c r="DR310" s="282"/>
      <c r="DS310" s="282"/>
      <c r="DT310" s="282"/>
      <c r="DU310" s="282"/>
      <c r="DV310" s="282"/>
      <c r="DW310" s="282"/>
      <c r="DX310" s="282"/>
      <c r="DY310" s="282"/>
      <c r="DZ310" s="282"/>
      <c r="EA310" s="282"/>
      <c r="EB310" s="282"/>
      <c r="EC310" s="282"/>
      <c r="ED310" s="282"/>
      <c r="EE310" s="282"/>
      <c r="EF310" s="282"/>
      <c r="EG310" s="282"/>
      <c r="EH310" s="282"/>
      <c r="EI310" s="282"/>
      <c r="EJ310" s="282"/>
      <c r="EK310" s="282"/>
      <c r="EL310" s="282"/>
      <c r="EM310" s="282"/>
      <c r="EN310" s="282"/>
      <c r="EO310" s="282"/>
      <c r="EP310" s="282"/>
      <c r="EQ310" s="282"/>
      <c r="ER310" s="282"/>
      <c r="ES310" s="282"/>
      <c r="ET310" s="282"/>
      <c r="EU310" s="282"/>
      <c r="EV310" s="282"/>
      <c r="EW310" s="337"/>
      <c r="EX310" s="337"/>
      <c r="EY310" s="337"/>
      <c r="EZ310" s="337"/>
      <c r="FA310" s="337"/>
      <c r="FB310" s="337"/>
      <c r="FC310" s="337"/>
    </row>
    <row r="311" spans="3:159">
      <c r="C311" s="19" t="s">
        <v>1106</v>
      </c>
      <c r="J311" s="287" t="e">
        <f t="shared" ref="J311:AH311" si="104">J251</f>
        <v>#REF!</v>
      </c>
      <c r="K311" s="287" t="e">
        <f t="shared" si="104"/>
        <v>#REF!</v>
      </c>
      <c r="L311" s="287" t="e">
        <f t="shared" si="104"/>
        <v>#REF!</v>
      </c>
      <c r="M311" s="287" t="e">
        <f t="shared" si="104"/>
        <v>#REF!</v>
      </c>
      <c r="N311" s="287" t="e">
        <f t="shared" si="104"/>
        <v>#REF!</v>
      </c>
      <c r="O311" s="287" t="e">
        <f t="shared" si="104"/>
        <v>#REF!</v>
      </c>
      <c r="P311" s="287" t="e">
        <f t="shared" si="104"/>
        <v>#REF!</v>
      </c>
      <c r="Q311" s="287">
        <f t="shared" si="104"/>
        <v>-312</v>
      </c>
      <c r="R311" s="287">
        <f t="shared" si="104"/>
        <v>-429</v>
      </c>
      <c r="S311" s="287">
        <f t="shared" si="104"/>
        <v>-1005</v>
      </c>
      <c r="T311" s="287">
        <f t="shared" si="104"/>
        <v>-187</v>
      </c>
      <c r="U311" s="287">
        <f t="shared" si="104"/>
        <v>2128</v>
      </c>
      <c r="V311" s="287">
        <f t="shared" si="104"/>
        <v>2697</v>
      </c>
      <c r="W311" s="287">
        <f t="shared" si="104"/>
        <v>3744</v>
      </c>
      <c r="X311" s="287">
        <f t="shared" si="104"/>
        <v>1213</v>
      </c>
      <c r="Y311" s="287">
        <f t="shared" si="104"/>
        <v>1196</v>
      </c>
      <c r="Z311" s="287">
        <f t="shared" si="104"/>
        <v>1772</v>
      </c>
      <c r="AA311" s="287">
        <f t="shared" si="104"/>
        <v>2829</v>
      </c>
      <c r="AB311" s="287">
        <f t="shared" si="104"/>
        <v>4148</v>
      </c>
      <c r="AC311" s="287">
        <f t="shared" si="104"/>
        <v>5265.0467839715911</v>
      </c>
      <c r="AD311" s="287">
        <f t="shared" si="104"/>
        <v>6113.8410754136939</v>
      </c>
      <c r="AE311" s="287">
        <f t="shared" si="104"/>
        <v>6960.8329117547246</v>
      </c>
      <c r="AF311" s="287">
        <f t="shared" si="104"/>
        <v>7744.5100254779372</v>
      </c>
      <c r="AG311" s="287">
        <f t="shared" si="104"/>
        <v>8218.1537357796697</v>
      </c>
      <c r="AH311" s="287">
        <f t="shared" si="104"/>
        <v>8704.7953183892223</v>
      </c>
      <c r="AO311" s="338"/>
      <c r="AP311" s="449"/>
      <c r="AR311" s="449"/>
      <c r="AS311" s="449"/>
      <c r="BA311" s="498"/>
      <c r="BB311" s="498"/>
      <c r="BC311" s="498"/>
      <c r="BD311" s="498"/>
      <c r="BE311" s="498"/>
      <c r="BF311" s="498"/>
      <c r="BG311" s="498"/>
      <c r="BH311" s="498"/>
      <c r="BI311" s="498"/>
      <c r="BJ311" s="498"/>
      <c r="BK311" s="498"/>
      <c r="BL311" s="498"/>
      <c r="BM311" s="498"/>
      <c r="BN311" s="498"/>
      <c r="BO311" s="498"/>
      <c r="BP311" s="498"/>
      <c r="BQ311" s="498"/>
      <c r="BR311" s="498"/>
      <c r="BS311" s="498"/>
      <c r="BT311" s="498"/>
      <c r="BU311" s="498"/>
      <c r="BV311" s="498"/>
      <c r="BW311" s="498"/>
      <c r="BX311" s="498"/>
      <c r="BY311" s="498"/>
      <c r="BZ311" s="498"/>
      <c r="CA311" s="498"/>
      <c r="CB311" s="498"/>
      <c r="CC311" s="498"/>
      <c r="CD311" s="498"/>
      <c r="CE311" s="498"/>
      <c r="CF311" s="498"/>
      <c r="CG311" s="287"/>
      <c r="CH311" s="287"/>
      <c r="CI311" s="287"/>
      <c r="CJ311" s="287"/>
      <c r="CK311" s="287"/>
      <c r="CL311" s="287"/>
      <c r="CM311" s="287"/>
      <c r="CN311" s="287"/>
      <c r="CO311" s="27"/>
      <c r="CR311" s="498"/>
      <c r="CS311" s="498"/>
      <c r="CT311" s="498"/>
      <c r="CU311" s="498"/>
      <c r="CV311" s="498"/>
      <c r="CW311" s="498"/>
      <c r="CX311" s="498"/>
      <c r="CY311" s="498"/>
      <c r="CZ311" s="498"/>
      <c r="DA311" s="498"/>
      <c r="DB311" s="498"/>
      <c r="DC311" s="498"/>
      <c r="DD311" s="498"/>
      <c r="DE311" s="498"/>
      <c r="DF311" s="498"/>
      <c r="DG311" s="498"/>
      <c r="DH311" s="498"/>
      <c r="DI311" s="498"/>
      <c r="DJ311" s="498"/>
      <c r="DK311" s="498"/>
      <c r="DL311" s="498"/>
      <c r="DM311" s="498"/>
      <c r="DN311" s="498"/>
      <c r="DO311" s="498"/>
      <c r="DP311" s="498"/>
      <c r="DQ311" s="498"/>
      <c r="DR311" s="498"/>
      <c r="DS311" s="498"/>
      <c r="DT311" s="498"/>
      <c r="DU311" s="498"/>
      <c r="DV311" s="498"/>
      <c r="DW311" s="498"/>
      <c r="DX311" s="498"/>
      <c r="DY311" s="498"/>
      <c r="DZ311" s="498"/>
      <c r="EA311" s="498"/>
      <c r="EB311" s="498"/>
      <c r="EC311" s="498"/>
      <c r="ED311" s="498"/>
      <c r="EE311" s="498"/>
      <c r="EF311" s="498"/>
      <c r="EG311" s="498"/>
      <c r="EH311" s="498"/>
      <c r="EI311" s="498"/>
      <c r="EJ311" s="498"/>
      <c r="EK311" s="498"/>
      <c r="EL311" s="498"/>
      <c r="EM311" s="498"/>
      <c r="EN311" s="498"/>
      <c r="EO311" s="498"/>
      <c r="EP311" s="498"/>
      <c r="EQ311" s="498"/>
      <c r="ER311" s="498"/>
      <c r="ES311" s="498"/>
      <c r="ET311" s="498"/>
      <c r="EU311" s="498"/>
      <c r="EV311" s="498"/>
      <c r="EW311" s="498"/>
      <c r="EX311" s="498"/>
      <c r="EY311" s="498"/>
      <c r="EZ311" s="498"/>
      <c r="FA311" s="498"/>
      <c r="FB311" s="498"/>
      <c r="FC311" s="498"/>
    </row>
    <row r="312" spans="3:159">
      <c r="C312" s="214" t="s">
        <v>1094</v>
      </c>
      <c r="D312" s="57"/>
      <c r="E312" s="57"/>
      <c r="F312" s="57"/>
      <c r="G312" s="57"/>
      <c r="H312" s="57"/>
      <c r="I312" s="57"/>
      <c r="J312" s="299" t="e">
        <f t="shared" ref="J312:AH312" si="105">J268</f>
        <v>#REF!</v>
      </c>
      <c r="K312" s="299" t="e">
        <f t="shared" si="105"/>
        <v>#REF!</v>
      </c>
      <c r="L312" s="299" t="e">
        <f t="shared" si="105"/>
        <v>#REF!</v>
      </c>
      <c r="M312" s="299" t="e">
        <f t="shared" si="105"/>
        <v>#REF!</v>
      </c>
      <c r="N312" s="299" t="e">
        <f t="shared" si="105"/>
        <v>#REF!</v>
      </c>
      <c r="O312" s="299" t="e">
        <f t="shared" si="105"/>
        <v>#REF!</v>
      </c>
      <c r="P312" s="299" t="e">
        <f t="shared" si="105"/>
        <v>#REF!</v>
      </c>
      <c r="Q312" s="299">
        <f t="shared" si="105"/>
        <v>-1.8088232988048103</v>
      </c>
      <c r="R312" s="299">
        <f t="shared" si="105"/>
        <v>-2.4398832460152908</v>
      </c>
      <c r="S312" s="299">
        <f t="shared" si="105"/>
        <v>-2.4834217171627366</v>
      </c>
      <c r="T312" s="299">
        <f t="shared" si="105"/>
        <v>-1.7774570113735004</v>
      </c>
      <c r="U312" s="299">
        <f t="shared" si="105"/>
        <v>3.7100139685438545</v>
      </c>
      <c r="V312" s="299">
        <f t="shared" si="105"/>
        <v>4.5972283748732714</v>
      </c>
      <c r="W312" s="299">
        <f t="shared" si="105"/>
        <v>6.2016640789088857</v>
      </c>
      <c r="X312" s="299">
        <f t="shared" si="105"/>
        <v>1.9810544905186496</v>
      </c>
      <c r="Y312" s="299">
        <f t="shared" si="105"/>
        <v>1.7813178083673538</v>
      </c>
      <c r="Z312" s="299">
        <f t="shared" si="105"/>
        <v>2.760846972259162</v>
      </c>
      <c r="AA312" s="299">
        <f t="shared" si="105"/>
        <v>4.8540495022861565</v>
      </c>
      <c r="AB312" s="299">
        <f t="shared" si="105"/>
        <v>7.3723500300480929</v>
      </c>
      <c r="AC312" s="299">
        <f t="shared" si="105"/>
        <v>8.1631379446287493</v>
      </c>
      <c r="AD312" s="299">
        <f t="shared" si="105"/>
        <v>10.212721701231809</v>
      </c>
      <c r="AE312" s="299">
        <f t="shared" si="105"/>
        <v>12.4768963857899</v>
      </c>
      <c r="AF312" s="299">
        <f t="shared" si="105"/>
        <v>14.046901904032515</v>
      </c>
      <c r="AG312" s="299">
        <f t="shared" si="105"/>
        <v>14.910150710574953</v>
      </c>
      <c r="AH312" s="299">
        <f t="shared" si="105"/>
        <v>15.796975445230922</v>
      </c>
      <c r="AO312" s="338"/>
      <c r="AP312" s="449"/>
      <c r="AR312" s="449"/>
      <c r="AS312" s="449"/>
      <c r="BA312" s="498"/>
      <c r="BB312" s="498"/>
      <c r="BC312" s="498"/>
      <c r="BD312" s="498"/>
      <c r="BE312" s="498"/>
      <c r="BF312" s="498"/>
      <c r="BG312" s="498"/>
      <c r="BH312" s="498"/>
      <c r="BI312" s="498"/>
      <c r="BJ312" s="498"/>
      <c r="BK312" s="498"/>
      <c r="BL312" s="498"/>
      <c r="BM312" s="498"/>
      <c r="BN312" s="498"/>
      <c r="BO312" s="498"/>
      <c r="BP312" s="498"/>
      <c r="BQ312" s="498"/>
      <c r="BR312" s="498"/>
      <c r="BS312" s="498"/>
      <c r="BT312" s="498"/>
      <c r="BU312" s="498"/>
      <c r="BV312" s="498"/>
      <c r="BW312" s="498"/>
      <c r="BX312" s="498"/>
      <c r="BY312" s="498"/>
      <c r="BZ312" s="498"/>
      <c r="CA312" s="498"/>
      <c r="CB312" s="498"/>
      <c r="CC312" s="498"/>
      <c r="CD312" s="498"/>
      <c r="CE312" s="498"/>
      <c r="CF312" s="498"/>
      <c r="CG312" s="299"/>
      <c r="CH312" s="299"/>
      <c r="CI312" s="299"/>
      <c r="CJ312" s="299"/>
      <c r="CK312" s="299"/>
      <c r="CL312" s="299"/>
      <c r="CM312" s="299"/>
      <c r="CN312" s="299"/>
      <c r="CO312" s="487"/>
      <c r="CR312" s="498"/>
      <c r="CS312" s="498"/>
      <c r="CT312" s="498"/>
      <c r="CU312" s="498"/>
      <c r="CV312" s="498"/>
      <c r="CW312" s="498"/>
      <c r="CX312" s="498"/>
      <c r="CY312" s="498"/>
      <c r="CZ312" s="498"/>
      <c r="DA312" s="498"/>
      <c r="DB312" s="498"/>
      <c r="DC312" s="498"/>
      <c r="DD312" s="498"/>
      <c r="DE312" s="498"/>
      <c r="DF312" s="498"/>
      <c r="DG312" s="498"/>
      <c r="DH312" s="498"/>
      <c r="DI312" s="498"/>
      <c r="DJ312" s="498"/>
      <c r="DK312" s="498"/>
      <c r="DL312" s="498"/>
      <c r="DM312" s="498"/>
      <c r="DN312" s="498"/>
      <c r="DO312" s="498"/>
      <c r="DP312" s="498"/>
      <c r="DQ312" s="498"/>
      <c r="DR312" s="498"/>
      <c r="DS312" s="498"/>
      <c r="DT312" s="498"/>
      <c r="DU312" s="498"/>
      <c r="DV312" s="498"/>
      <c r="DW312" s="498"/>
      <c r="DX312" s="498"/>
      <c r="DY312" s="498"/>
      <c r="DZ312" s="498"/>
      <c r="EA312" s="498"/>
      <c r="EB312" s="498"/>
      <c r="EC312" s="498"/>
      <c r="ED312" s="498"/>
      <c r="EE312" s="498"/>
      <c r="EF312" s="498"/>
      <c r="EG312" s="498"/>
      <c r="EH312" s="498"/>
      <c r="EI312" s="498"/>
      <c r="EJ312" s="498"/>
      <c r="EK312" s="498"/>
      <c r="EL312" s="498"/>
      <c r="EM312" s="498"/>
      <c r="EN312" s="498"/>
      <c r="EO312" s="498"/>
      <c r="EP312" s="498"/>
      <c r="EQ312" s="498"/>
      <c r="ER312" s="498"/>
      <c r="ES312" s="498"/>
      <c r="ET312" s="498"/>
      <c r="EU312" s="498"/>
      <c r="EV312" s="498"/>
      <c r="EW312" s="498"/>
      <c r="EX312" s="498"/>
      <c r="EY312" s="498"/>
      <c r="EZ312" s="498"/>
      <c r="FA312" s="498"/>
      <c r="FB312" s="498"/>
      <c r="FC312" s="498"/>
    </row>
    <row r="313" spans="3:159">
      <c r="C313" s="19" t="s">
        <v>1095</v>
      </c>
      <c r="J313" s="19" t="e">
        <f t="shared" ref="J313:AH313" si="106">J312*J265/1000</f>
        <v>#REF!</v>
      </c>
      <c r="K313" s="19" t="e">
        <f t="shared" si="106"/>
        <v>#REF!</v>
      </c>
      <c r="L313" s="19" t="e">
        <f t="shared" si="106"/>
        <v>#REF!</v>
      </c>
      <c r="M313" s="300" t="e">
        <f t="shared" si="106"/>
        <v>#REF!</v>
      </c>
      <c r="N313" s="300" t="e">
        <f t="shared" si="106"/>
        <v>#REF!</v>
      </c>
      <c r="O313" s="300" t="e">
        <f t="shared" si="106"/>
        <v>#REF!</v>
      </c>
      <c r="P313" s="300" t="e">
        <f t="shared" si="106"/>
        <v>#REF!</v>
      </c>
      <c r="Q313" s="300">
        <f t="shared" si="106"/>
        <v>-753</v>
      </c>
      <c r="R313" s="300">
        <f t="shared" si="106"/>
        <v>-1015.9999999999999</v>
      </c>
      <c r="S313" s="300">
        <f t="shared" si="106"/>
        <v>-1037</v>
      </c>
      <c r="T313" s="300">
        <f t="shared" si="106"/>
        <v>-739.99999999999989</v>
      </c>
      <c r="U313" s="287">
        <f t="shared" si="106"/>
        <v>1522</v>
      </c>
      <c r="V313" s="287">
        <f t="shared" si="106"/>
        <v>1981</v>
      </c>
      <c r="W313" s="287">
        <f t="shared" si="106"/>
        <v>2665.0000000000005</v>
      </c>
      <c r="X313" s="287">
        <f t="shared" si="106"/>
        <v>844</v>
      </c>
      <c r="Y313" s="287">
        <f t="shared" si="106"/>
        <v>760</v>
      </c>
      <c r="Z313" s="287">
        <f t="shared" si="106"/>
        <v>1178</v>
      </c>
      <c r="AA313" s="287">
        <f t="shared" si="106"/>
        <v>2028</v>
      </c>
      <c r="AB313" s="287">
        <f t="shared" si="106"/>
        <v>3068</v>
      </c>
      <c r="AC313" s="287">
        <f t="shared" si="106"/>
        <v>3360.4603103292043</v>
      </c>
      <c r="AD313" s="287">
        <f t="shared" si="106"/>
        <v>4158.3761046421168</v>
      </c>
      <c r="AE313" s="287">
        <f t="shared" si="106"/>
        <v>5024.3135709447497</v>
      </c>
      <c r="AF313" s="287">
        <f t="shared" si="106"/>
        <v>5593.5136011980512</v>
      </c>
      <c r="AG313" s="300">
        <f t="shared" si="106"/>
        <v>5937.2615659522544</v>
      </c>
      <c r="AH313" s="300">
        <f t="shared" si="106"/>
        <v>6290.3975278224643</v>
      </c>
      <c r="AO313" s="338"/>
      <c r="AP313" s="449"/>
      <c r="AR313" s="449"/>
      <c r="AS313" s="449"/>
      <c r="BA313" s="498"/>
      <c r="BB313" s="498"/>
      <c r="BC313" s="498"/>
      <c r="BD313" s="498"/>
      <c r="BE313" s="498"/>
      <c r="BF313" s="498"/>
      <c r="BG313" s="498"/>
      <c r="BH313" s="498"/>
      <c r="BI313" s="498"/>
      <c r="BJ313" s="498"/>
      <c r="BK313" s="498"/>
      <c r="BL313" s="498"/>
      <c r="BM313" s="498"/>
      <c r="BN313" s="498"/>
      <c r="BO313" s="498"/>
      <c r="BP313" s="498"/>
      <c r="BQ313" s="498"/>
      <c r="BR313" s="498"/>
      <c r="BS313" s="498"/>
      <c r="BT313" s="498"/>
      <c r="BU313" s="498"/>
      <c r="BV313" s="498"/>
      <c r="BW313" s="498"/>
      <c r="BX313" s="498"/>
      <c r="BY313" s="498"/>
      <c r="BZ313" s="498"/>
      <c r="CA313" s="498"/>
      <c r="CB313" s="498"/>
      <c r="CC313" s="498"/>
      <c r="CD313" s="498"/>
      <c r="CE313" s="498"/>
      <c r="CF313" s="498"/>
      <c r="CG313" s="300"/>
      <c r="CH313" s="300"/>
      <c r="CI313" s="300"/>
      <c r="CJ313" s="300"/>
      <c r="CK313" s="300"/>
      <c r="CL313" s="300"/>
      <c r="CM313" s="300"/>
      <c r="CN313" s="300"/>
      <c r="CO313" s="357"/>
      <c r="CR313" s="498"/>
      <c r="CS313" s="498"/>
      <c r="CT313" s="498"/>
      <c r="CU313" s="498"/>
      <c r="CV313" s="498"/>
      <c r="CW313" s="498"/>
      <c r="CX313" s="498"/>
      <c r="CY313" s="498"/>
      <c r="CZ313" s="498"/>
      <c r="DA313" s="498"/>
      <c r="DB313" s="498"/>
      <c r="DC313" s="498"/>
      <c r="DD313" s="498"/>
      <c r="DE313" s="498"/>
      <c r="DF313" s="498"/>
      <c r="DG313" s="498"/>
      <c r="DH313" s="498"/>
      <c r="DI313" s="498"/>
      <c r="DJ313" s="498"/>
      <c r="DK313" s="498"/>
      <c r="DL313" s="498"/>
      <c r="DM313" s="498"/>
      <c r="DN313" s="498"/>
      <c r="DO313" s="498"/>
      <c r="DP313" s="498"/>
      <c r="DQ313" s="498"/>
      <c r="DR313" s="498"/>
      <c r="DS313" s="498"/>
      <c r="DT313" s="498"/>
      <c r="DU313" s="498"/>
      <c r="DV313" s="498"/>
      <c r="DW313" s="498"/>
      <c r="DX313" s="498"/>
      <c r="DY313" s="498"/>
      <c r="DZ313" s="498"/>
      <c r="EA313" s="498"/>
      <c r="EB313" s="498"/>
      <c r="EC313" s="498"/>
      <c r="ED313" s="498"/>
      <c r="EE313" s="498"/>
      <c r="EF313" s="498"/>
      <c r="EG313" s="498"/>
      <c r="EH313" s="498"/>
      <c r="EI313" s="498"/>
      <c r="EJ313" s="498"/>
      <c r="EK313" s="498"/>
      <c r="EL313" s="498"/>
      <c r="EM313" s="498"/>
      <c r="EN313" s="498"/>
      <c r="EO313" s="498"/>
      <c r="EP313" s="498"/>
      <c r="EQ313" s="498"/>
      <c r="ER313" s="498"/>
      <c r="ES313" s="498"/>
      <c r="ET313" s="498"/>
      <c r="EU313" s="498"/>
      <c r="EV313" s="498"/>
      <c r="EW313" s="498"/>
      <c r="EX313" s="498"/>
      <c r="EY313" s="498"/>
      <c r="EZ313" s="498"/>
      <c r="FA313" s="498"/>
      <c r="FB313" s="498"/>
      <c r="FC313" s="498"/>
    </row>
    <row r="314" spans="3:159">
      <c r="C314" s="291" t="s">
        <v>1096</v>
      </c>
      <c r="J314" s="19"/>
      <c r="K314" s="19"/>
      <c r="L314" s="19"/>
      <c r="M314" s="292">
        <v>31</v>
      </c>
      <c r="N314" s="19"/>
      <c r="O314" s="19"/>
      <c r="P314" s="19"/>
      <c r="Q314" s="19"/>
      <c r="R314" s="19"/>
      <c r="S314" s="19"/>
      <c r="T314" s="19"/>
      <c r="U314" s="19"/>
      <c r="V314" s="19"/>
      <c r="W314" s="19"/>
      <c r="X314" s="19"/>
      <c r="Y314" s="19"/>
      <c r="Z314" s="19"/>
      <c r="AA314" s="19"/>
      <c r="AB314" s="19"/>
      <c r="AC314" s="19"/>
      <c r="AD314" s="19"/>
      <c r="AE314" s="19"/>
      <c r="AF314" s="19"/>
      <c r="AG314" s="19"/>
      <c r="AH314" s="19"/>
      <c r="AO314" s="338"/>
      <c r="AP314" s="449"/>
      <c r="AR314" s="449"/>
      <c r="AS314" s="449"/>
      <c r="BA314" s="498"/>
      <c r="BB314" s="498"/>
      <c r="BC314" s="498"/>
      <c r="BD314" s="498"/>
      <c r="BE314" s="498"/>
      <c r="BF314" s="498"/>
      <c r="BG314" s="498"/>
      <c r="BH314" s="498"/>
      <c r="BI314" s="498"/>
      <c r="BJ314" s="498"/>
      <c r="BK314" s="498"/>
      <c r="BL314" s="498"/>
      <c r="BM314" s="498"/>
      <c r="BN314" s="498"/>
      <c r="BO314" s="498"/>
      <c r="BP314" s="498"/>
      <c r="BQ314" s="498"/>
      <c r="BR314" s="498"/>
      <c r="BS314" s="498"/>
      <c r="BT314" s="498"/>
      <c r="BU314" s="498"/>
      <c r="BV314" s="498"/>
      <c r="BW314" s="498"/>
      <c r="BX314" s="498"/>
      <c r="BY314" s="498"/>
      <c r="BZ314" s="498"/>
      <c r="CA314" s="498"/>
      <c r="CB314" s="498"/>
      <c r="CC314" s="498"/>
      <c r="CD314" s="498"/>
      <c r="CE314" s="498"/>
      <c r="CF314" s="498"/>
      <c r="CG314" s="19"/>
      <c r="CH314" s="19"/>
      <c r="CI314" s="19"/>
      <c r="CJ314" s="19"/>
      <c r="CK314" s="19"/>
      <c r="CL314" s="19"/>
      <c r="CM314" s="19"/>
      <c r="CN314" s="19"/>
      <c r="CO314" s="4"/>
      <c r="CR314" s="498"/>
      <c r="CS314" s="498"/>
      <c r="CT314" s="498"/>
      <c r="CU314" s="498"/>
      <c r="CV314" s="498"/>
      <c r="CW314" s="498"/>
      <c r="CX314" s="498"/>
      <c r="CY314" s="498"/>
      <c r="CZ314" s="498"/>
      <c r="DA314" s="498"/>
      <c r="DB314" s="498"/>
      <c r="DC314" s="498"/>
      <c r="DD314" s="498"/>
      <c r="DE314" s="498"/>
      <c r="DF314" s="498"/>
      <c r="DG314" s="498"/>
      <c r="DH314" s="498"/>
      <c r="DI314" s="498"/>
      <c r="DJ314" s="498"/>
      <c r="DK314" s="498"/>
      <c r="DL314" s="498"/>
      <c r="DM314" s="498"/>
      <c r="DN314" s="498"/>
      <c r="DO314" s="498"/>
      <c r="DP314" s="498"/>
      <c r="DQ314" s="498"/>
      <c r="DR314" s="498"/>
      <c r="DS314" s="498"/>
      <c r="DT314" s="498"/>
      <c r="DU314" s="498"/>
      <c r="DV314" s="498"/>
      <c r="DW314" s="498"/>
      <c r="DX314" s="498"/>
      <c r="DY314" s="498"/>
      <c r="DZ314" s="498"/>
      <c r="EA314" s="498"/>
      <c r="EB314" s="498"/>
      <c r="EC314" s="498"/>
      <c r="ED314" s="498"/>
      <c r="EE314" s="498"/>
      <c r="EF314" s="498"/>
      <c r="EG314" s="498"/>
      <c r="EH314" s="498"/>
      <c r="EI314" s="498"/>
      <c r="EJ314" s="498"/>
      <c r="EK314" s="498"/>
      <c r="EL314" s="498"/>
      <c r="EM314" s="498"/>
      <c r="EN314" s="498"/>
      <c r="EO314" s="498"/>
      <c r="EP314" s="498"/>
      <c r="EQ314" s="498"/>
      <c r="ER314" s="498"/>
      <c r="ES314" s="498"/>
      <c r="ET314" s="498"/>
      <c r="EU314" s="498"/>
      <c r="EV314" s="498"/>
      <c r="EW314" s="498"/>
      <c r="EX314" s="498"/>
      <c r="EY314" s="498"/>
      <c r="EZ314" s="498"/>
      <c r="FA314" s="498"/>
      <c r="FB314" s="498"/>
      <c r="FC314" s="498"/>
    </row>
    <row r="315" spans="3:159">
      <c r="C315" s="291" t="s">
        <v>1097</v>
      </c>
      <c r="J315" s="19"/>
      <c r="K315" s="19"/>
      <c r="L315" s="19"/>
      <c r="M315" s="19"/>
      <c r="N315" s="19"/>
      <c r="O315" s="19"/>
      <c r="P315" s="19"/>
      <c r="Q315" s="19"/>
      <c r="R315" s="19"/>
      <c r="S315" s="19"/>
      <c r="T315" s="19"/>
      <c r="U315" s="19"/>
      <c r="V315" s="19"/>
      <c r="W315" s="19"/>
      <c r="X315" s="19"/>
      <c r="Y315" s="19"/>
      <c r="Z315" s="19"/>
      <c r="AA315" s="19"/>
      <c r="AB315" s="19"/>
      <c r="AC315" s="19"/>
      <c r="AD315" s="19"/>
      <c r="AE315" s="19"/>
      <c r="AF315" s="19"/>
      <c r="AG315" s="19"/>
      <c r="AH315" s="19"/>
      <c r="AO315" s="338"/>
      <c r="AP315" s="449"/>
      <c r="AR315" s="449"/>
      <c r="AS315" s="449"/>
      <c r="BA315" s="498"/>
      <c r="BB315" s="498"/>
      <c r="BC315" s="498"/>
      <c r="BD315" s="498"/>
      <c r="BE315" s="498"/>
      <c r="BF315" s="498"/>
      <c r="BG315" s="498"/>
      <c r="BH315" s="498"/>
      <c r="BI315" s="498"/>
      <c r="BJ315" s="498"/>
      <c r="BK315" s="498"/>
      <c r="BL315" s="498"/>
      <c r="BM315" s="498"/>
      <c r="BN315" s="498"/>
      <c r="BO315" s="498"/>
      <c r="BP315" s="498"/>
      <c r="BQ315" s="498"/>
      <c r="BR315" s="498"/>
      <c r="BS315" s="498"/>
      <c r="BT315" s="498"/>
      <c r="BU315" s="498"/>
      <c r="BV315" s="498"/>
      <c r="BW315" s="498"/>
      <c r="BX315" s="498"/>
      <c r="BY315" s="498"/>
      <c r="BZ315" s="498"/>
      <c r="CA315" s="498"/>
      <c r="CB315" s="498"/>
      <c r="CC315" s="498"/>
      <c r="CD315" s="498"/>
      <c r="CE315" s="498"/>
      <c r="CF315" s="498"/>
      <c r="CG315" s="19"/>
      <c r="CH315" s="19"/>
      <c r="CI315" s="19"/>
      <c r="CJ315" s="19"/>
      <c r="CK315" s="19"/>
      <c r="CL315" s="19"/>
      <c r="CM315" s="19"/>
      <c r="CN315" s="19"/>
      <c r="CO315" s="4"/>
      <c r="CR315" s="498"/>
      <c r="CS315" s="498"/>
      <c r="CT315" s="498"/>
      <c r="CU315" s="498"/>
      <c r="CV315" s="498"/>
      <c r="CW315" s="498"/>
      <c r="CX315" s="498"/>
      <c r="CY315" s="498"/>
      <c r="CZ315" s="498"/>
      <c r="DA315" s="498"/>
      <c r="DB315" s="498"/>
      <c r="DC315" s="498"/>
      <c r="DD315" s="498"/>
      <c r="DE315" s="498"/>
      <c r="DF315" s="498"/>
      <c r="DG315" s="498"/>
      <c r="DH315" s="498"/>
      <c r="DI315" s="498"/>
      <c r="DJ315" s="498"/>
      <c r="DK315" s="498"/>
      <c r="DL315" s="498"/>
      <c r="DM315" s="498"/>
      <c r="DN315" s="498"/>
      <c r="DO315" s="498"/>
      <c r="DP315" s="498"/>
      <c r="DQ315" s="498"/>
      <c r="DR315" s="498"/>
      <c r="DS315" s="498"/>
      <c r="DT315" s="498"/>
      <c r="DU315" s="498"/>
      <c r="DV315" s="498"/>
      <c r="DW315" s="498"/>
      <c r="DX315" s="498"/>
      <c r="DY315" s="498"/>
      <c r="DZ315" s="498"/>
      <c r="EA315" s="498"/>
      <c r="EB315" s="498"/>
      <c r="EC315" s="498"/>
      <c r="ED315" s="498"/>
      <c r="EE315" s="498"/>
      <c r="EF315" s="498"/>
      <c r="EG315" s="498"/>
      <c r="EH315" s="498"/>
      <c r="EI315" s="498"/>
      <c r="EJ315" s="498"/>
      <c r="EK315" s="498"/>
      <c r="EL315" s="498"/>
      <c r="EM315" s="498"/>
      <c r="EN315" s="498"/>
      <c r="EO315" s="498"/>
      <c r="EP315" s="498"/>
      <c r="EQ315" s="498"/>
      <c r="ER315" s="498"/>
      <c r="ES315" s="498"/>
      <c r="ET315" s="498"/>
      <c r="EU315" s="498"/>
      <c r="EV315" s="498"/>
      <c r="EW315" s="498"/>
      <c r="EX315" s="498"/>
      <c r="EY315" s="498"/>
      <c r="EZ315" s="498"/>
      <c r="FA315" s="498"/>
      <c r="FB315" s="498"/>
      <c r="FC315" s="498"/>
    </row>
    <row r="316" spans="3:159">
      <c r="C316" s="291" t="s">
        <v>1098</v>
      </c>
      <c r="J316" s="19"/>
      <c r="K316" s="19"/>
      <c r="L316" s="19"/>
      <c r="M316" s="19"/>
      <c r="N316" s="19"/>
      <c r="O316" s="19"/>
      <c r="P316" s="19"/>
      <c r="Q316" s="19"/>
      <c r="R316" s="19"/>
      <c r="S316" s="19"/>
      <c r="T316" s="19"/>
      <c r="U316" s="19"/>
      <c r="V316" s="19"/>
      <c r="W316" s="19"/>
      <c r="X316" s="19"/>
      <c r="Y316" s="19"/>
      <c r="Z316" s="19"/>
      <c r="AA316" s="19"/>
      <c r="AB316" s="19"/>
      <c r="AC316" s="19"/>
      <c r="AD316" s="19"/>
      <c r="AE316" s="19"/>
      <c r="AF316" s="19"/>
      <c r="AG316" s="19"/>
      <c r="AH316" s="19"/>
      <c r="AO316" s="338"/>
      <c r="AP316" s="449"/>
      <c r="AR316" s="449"/>
      <c r="AS316" s="449"/>
      <c r="BA316" s="498"/>
      <c r="BB316" s="498"/>
      <c r="BC316" s="498"/>
      <c r="BD316" s="498"/>
      <c r="BE316" s="498"/>
      <c r="BF316" s="498"/>
      <c r="BG316" s="498"/>
      <c r="BH316" s="498"/>
      <c r="BI316" s="498"/>
      <c r="BJ316" s="498"/>
      <c r="BK316" s="498"/>
      <c r="BL316" s="498"/>
      <c r="BM316" s="498"/>
      <c r="BN316" s="498"/>
      <c r="BO316" s="498"/>
      <c r="BP316" s="498"/>
      <c r="BQ316" s="498"/>
      <c r="BR316" s="498"/>
      <c r="BS316" s="498"/>
      <c r="BT316" s="498"/>
      <c r="BU316" s="498"/>
      <c r="BV316" s="498"/>
      <c r="BW316" s="498"/>
      <c r="BX316" s="498"/>
      <c r="BY316" s="498"/>
      <c r="BZ316" s="498"/>
      <c r="CA316" s="498"/>
      <c r="CB316" s="498"/>
      <c r="CC316" s="498"/>
      <c r="CD316" s="498"/>
      <c r="CE316" s="498"/>
      <c r="CF316" s="498"/>
      <c r="CG316" s="19"/>
      <c r="CH316" s="19"/>
      <c r="CI316" s="19"/>
      <c r="CJ316" s="19"/>
      <c r="CK316" s="19"/>
      <c r="CL316" s="19"/>
      <c r="CM316" s="19"/>
      <c r="CN316" s="19"/>
      <c r="CO316" s="4"/>
      <c r="CR316" s="498"/>
      <c r="CS316" s="498"/>
      <c r="CT316" s="498"/>
      <c r="CU316" s="498"/>
      <c r="CV316" s="498"/>
      <c r="CW316" s="498"/>
      <c r="CX316" s="498"/>
      <c r="CY316" s="498"/>
      <c r="CZ316" s="498"/>
      <c r="DA316" s="498"/>
      <c r="DB316" s="498"/>
      <c r="DC316" s="498"/>
      <c r="DD316" s="498"/>
      <c r="DE316" s="498"/>
      <c r="DF316" s="498"/>
      <c r="DG316" s="498"/>
      <c r="DH316" s="498"/>
      <c r="DI316" s="498"/>
      <c r="DJ316" s="498"/>
      <c r="DK316" s="498"/>
      <c r="DL316" s="498"/>
      <c r="DM316" s="498"/>
      <c r="DN316" s="498"/>
      <c r="DO316" s="498"/>
      <c r="DP316" s="498"/>
      <c r="DQ316" s="498"/>
      <c r="DR316" s="498"/>
      <c r="DS316" s="498"/>
      <c r="DT316" s="498"/>
      <c r="DU316" s="498"/>
      <c r="DV316" s="498"/>
      <c r="DW316" s="498"/>
      <c r="DX316" s="498"/>
      <c r="DY316" s="498"/>
      <c r="DZ316" s="498"/>
      <c r="EA316" s="498"/>
      <c r="EB316" s="498"/>
      <c r="EC316" s="498"/>
      <c r="ED316" s="498"/>
      <c r="EE316" s="498"/>
      <c r="EF316" s="498"/>
      <c r="EG316" s="498"/>
      <c r="EH316" s="498"/>
      <c r="EI316" s="498"/>
      <c r="EJ316" s="498"/>
      <c r="EK316" s="498"/>
      <c r="EL316" s="498"/>
      <c r="EM316" s="498"/>
      <c r="EN316" s="498"/>
      <c r="EO316" s="498"/>
      <c r="EP316" s="498"/>
      <c r="EQ316" s="498"/>
      <c r="ER316" s="498"/>
      <c r="ES316" s="498"/>
      <c r="ET316" s="498"/>
      <c r="EU316" s="498"/>
      <c r="EV316" s="498"/>
      <c r="EW316" s="498"/>
      <c r="EX316" s="498"/>
      <c r="EY316" s="498"/>
      <c r="EZ316" s="498"/>
      <c r="FA316" s="498"/>
      <c r="FB316" s="498"/>
      <c r="FC316" s="498"/>
    </row>
    <row r="317" spans="3:159">
      <c r="C317" s="291" t="s">
        <v>992</v>
      </c>
      <c r="J317" s="19">
        <f>-('Income Statement'!H166-'Income Statement'!H165)</f>
        <v>-119</v>
      </c>
      <c r="K317" s="19">
        <f>-('Income Statement'!I166-'Income Statement'!I165)</f>
        <v>-98</v>
      </c>
      <c r="L317" s="19">
        <f>-('Income Statement'!J166-'Income Statement'!J165)</f>
        <v>-170</v>
      </c>
      <c r="M317" s="19">
        <f>-('Income Statement'!K166-'Income Statement'!K165)</f>
        <v>-98</v>
      </c>
      <c r="N317" s="19">
        <f>-('Income Statement'!L166-'Income Statement'!L165)</f>
        <v>-107</v>
      </c>
      <c r="O317" s="19">
        <f>-('Income Statement'!M166-'Income Statement'!M165)</f>
        <v>-192</v>
      </c>
      <c r="P317" s="19">
        <f>-('Income Statement'!N166-'Income Statement'!N165)</f>
        <v>-436</v>
      </c>
      <c r="Q317" s="300">
        <f>-('Income Statement'!O166-'Income Statement'!O165)</f>
        <v>-618</v>
      </c>
      <c r="R317" s="300">
        <f>-('Income Statement'!P166-'Income Statement'!P165)</f>
        <v>-566</v>
      </c>
      <c r="S317" s="300">
        <f>-('Income Statement'!Q166-'Income Statement'!Q165)</f>
        <v>-400</v>
      </c>
      <c r="T317" s="300">
        <f>-('Income Statement'!R166-'Income Statement'!R165)</f>
        <v>-239</v>
      </c>
      <c r="U317" s="300">
        <f>-('Income Statement'!S166-'Income Statement'!S165)</f>
        <v>-143</v>
      </c>
      <c r="V317" s="300">
        <f>-('Income Statement'!T166-'Income Statement'!T165)</f>
        <v>-102</v>
      </c>
      <c r="W317" s="300">
        <f>-('Income Statement'!U166-'Income Statement'!U165)</f>
        <v>-55</v>
      </c>
      <c r="X317" s="300">
        <f>-('Income Statement'!V166-'Income Statement'!V165)</f>
        <v>41</v>
      </c>
      <c r="Y317" s="300">
        <f>-('Income Statement'!W166-'Income Statement'!W165)</f>
        <v>-86</v>
      </c>
      <c r="Z317" s="300">
        <f>-('Income Statement'!X166-'Income Statement'!X165)</f>
        <v>-47</v>
      </c>
      <c r="AA317" s="300">
        <f>-('Income Statement'!Y166-'Income Statement'!Y165)</f>
        <v>-68</v>
      </c>
      <c r="AB317" s="300">
        <f>-('Income Statement'!Z166-'Income Statement'!Z165)</f>
        <v>-45</v>
      </c>
      <c r="AC317" s="300">
        <f>-('Income Statement'!AA166-'Income Statement'!AA165)</f>
        <v>-55.683213212559963</v>
      </c>
      <c r="AD317" s="300">
        <f>-('Income Statement'!AB166-'Income Statement'!AB165)</f>
        <v>-62.01528977364211</v>
      </c>
      <c r="AE317" s="300">
        <f>-('Income Statement'!AC166-'Income Statement'!AC165)</f>
        <v>-68.572183982608863</v>
      </c>
      <c r="AF317" s="300">
        <f>-('Income Statement'!AD166-'Income Statement'!AD165)</f>
        <v>-74.374461465572836</v>
      </c>
      <c r="AG317" s="300">
        <f>-('Income Statement'!AE166-'Income Statement'!AE165)</f>
        <v>-78.026719141604019</v>
      </c>
      <c r="AH317" s="300">
        <f>-('Income Statement'!AF166-'Income Statement'!AF165)</f>
        <v>-81.803685822504178</v>
      </c>
      <c r="AO317" s="338"/>
      <c r="AP317" s="449"/>
      <c r="AR317" s="449"/>
      <c r="AS317" s="449"/>
      <c r="BA317" s="498"/>
      <c r="BB317" s="498"/>
      <c r="BC317" s="498"/>
      <c r="BD317" s="498"/>
      <c r="BE317" s="498"/>
      <c r="BF317" s="498"/>
      <c r="BG317" s="498"/>
      <c r="BH317" s="498"/>
      <c r="BI317" s="498"/>
      <c r="BJ317" s="498"/>
      <c r="BK317" s="498"/>
      <c r="BL317" s="498"/>
      <c r="BM317" s="498"/>
      <c r="BN317" s="498"/>
      <c r="BO317" s="498"/>
      <c r="BP317" s="498"/>
      <c r="BQ317" s="498"/>
      <c r="BR317" s="498"/>
      <c r="BS317" s="498"/>
      <c r="BT317" s="498"/>
      <c r="BU317" s="498"/>
      <c r="BV317" s="498"/>
      <c r="BW317" s="498"/>
      <c r="BX317" s="498"/>
      <c r="BY317" s="498"/>
      <c r="BZ317" s="498"/>
      <c r="CA317" s="498"/>
      <c r="CB317" s="498"/>
      <c r="CC317" s="498"/>
      <c r="CD317" s="498"/>
      <c r="CE317" s="498"/>
      <c r="CF317" s="498"/>
      <c r="CG317" s="300"/>
      <c r="CH317" s="300"/>
      <c r="CI317" s="300"/>
      <c r="CJ317" s="300"/>
      <c r="CK317" s="300"/>
      <c r="CL317" s="300"/>
      <c r="CM317" s="300"/>
      <c r="CN317" s="300"/>
      <c r="CO317" s="357"/>
      <c r="CR317" s="498"/>
      <c r="CS317" s="498"/>
      <c r="CT317" s="498"/>
      <c r="CU317" s="498"/>
      <c r="CV317" s="498"/>
      <c r="CW317" s="498"/>
      <c r="CX317" s="498"/>
      <c r="CY317" s="498"/>
      <c r="CZ317" s="498"/>
      <c r="DA317" s="498"/>
      <c r="DB317" s="498"/>
      <c r="DC317" s="498"/>
      <c r="DD317" s="498"/>
      <c r="DE317" s="498"/>
      <c r="DF317" s="498"/>
      <c r="DG317" s="498"/>
      <c r="DH317" s="498"/>
      <c r="DI317" s="498"/>
      <c r="DJ317" s="498"/>
      <c r="DK317" s="498"/>
      <c r="DL317" s="498"/>
      <c r="DM317" s="498"/>
      <c r="DN317" s="498"/>
      <c r="DO317" s="498"/>
      <c r="DP317" s="498"/>
      <c r="DQ317" s="498"/>
      <c r="DR317" s="498"/>
      <c r="DS317" s="498"/>
      <c r="DT317" s="498"/>
      <c r="DU317" s="498"/>
      <c r="DV317" s="498"/>
      <c r="DW317" s="498"/>
      <c r="DX317" s="498"/>
      <c r="DY317" s="498"/>
      <c r="DZ317" s="498"/>
      <c r="EA317" s="498"/>
      <c r="EB317" s="498"/>
      <c r="EC317" s="498"/>
      <c r="ED317" s="498"/>
      <c r="EE317" s="498"/>
      <c r="EF317" s="498"/>
      <c r="EG317" s="498"/>
      <c r="EH317" s="498"/>
      <c r="EI317" s="498"/>
      <c r="EJ317" s="498"/>
      <c r="EK317" s="498"/>
      <c r="EL317" s="498"/>
      <c r="EM317" s="498"/>
      <c r="EN317" s="498"/>
      <c r="EO317" s="498"/>
      <c r="EP317" s="498"/>
      <c r="EQ317" s="498"/>
      <c r="ER317" s="498"/>
      <c r="ES317" s="498"/>
      <c r="ET317" s="498"/>
      <c r="EU317" s="498"/>
      <c r="EV317" s="498"/>
      <c r="EW317" s="498"/>
      <c r="EX317" s="498"/>
      <c r="EY317" s="498"/>
      <c r="EZ317" s="498"/>
      <c r="FA317" s="498"/>
      <c r="FB317" s="498"/>
      <c r="FC317" s="498"/>
    </row>
    <row r="318" spans="3:159">
      <c r="C318" s="291" t="s">
        <v>1099</v>
      </c>
      <c r="J318" s="300">
        <f t="shared" ref="J318:AH318" si="107">J349</f>
        <v>0</v>
      </c>
      <c r="K318" s="300">
        <f t="shared" si="107"/>
        <v>0</v>
      </c>
      <c r="L318" s="300">
        <f t="shared" si="107"/>
        <v>-7</v>
      </c>
      <c r="M318" s="300">
        <f t="shared" si="107"/>
        <v>-7.4000000000000021</v>
      </c>
      <c r="N318" s="300">
        <f t="shared" si="107"/>
        <v>-7.8450000000000024</v>
      </c>
      <c r="O318" s="300">
        <f t="shared" si="107"/>
        <v>-8.3372500000000045</v>
      </c>
      <c r="P318" s="300">
        <f t="shared" si="107"/>
        <v>-8.8791125000000051</v>
      </c>
      <c r="Q318" s="300">
        <f t="shared" si="107"/>
        <v>-9.4730681250000046</v>
      </c>
      <c r="R318" s="300">
        <f t="shared" si="107"/>
        <v>-10.121721531250007</v>
      </c>
      <c r="S318" s="300">
        <f t="shared" si="107"/>
        <v>-10.82780760781251</v>
      </c>
      <c r="T318" s="300">
        <f t="shared" si="107"/>
        <v>-11.594197988203135</v>
      </c>
      <c r="U318" s="300">
        <f t="shared" si="107"/>
        <v>-12.423907887613293</v>
      </c>
      <c r="V318" s="300">
        <f t="shared" si="107"/>
        <v>-13.320103281993958</v>
      </c>
      <c r="W318" s="300">
        <f t="shared" si="107"/>
        <v>-14.286108446093657</v>
      </c>
      <c r="X318" s="300">
        <f t="shared" si="107"/>
        <v>-15.325413868398343</v>
      </c>
      <c r="Y318" s="300">
        <f t="shared" si="107"/>
        <v>-16.441684561818263</v>
      </c>
      <c r="Z318" s="300">
        <f t="shared" si="107"/>
        <v>-17.638768789909179</v>
      </c>
      <c r="AA318" s="300">
        <f t="shared" si="107"/>
        <v>-18.920707229404641</v>
      </c>
      <c r="AB318" s="300">
        <f t="shared" si="107"/>
        <v>-20.291742590874875</v>
      </c>
      <c r="AC318" s="300">
        <f t="shared" si="107"/>
        <v>-21.75632972041862</v>
      </c>
      <c r="AD318" s="300">
        <f t="shared" si="107"/>
        <v>-23.319146206439555</v>
      </c>
      <c r="AE318" s="300">
        <f t="shared" si="107"/>
        <v>-24.985103516761534</v>
      </c>
      <c r="AF318" s="300">
        <f t="shared" si="107"/>
        <v>-26.759358692599612</v>
      </c>
      <c r="AG318" s="300">
        <f t="shared" si="107"/>
        <v>-28.647326627229596</v>
      </c>
      <c r="AH318" s="300">
        <f t="shared" si="107"/>
        <v>-30.654692958591077</v>
      </c>
      <c r="AO318" s="338"/>
      <c r="AP318" s="449"/>
      <c r="AR318" s="449"/>
      <c r="AS318" s="449"/>
      <c r="BA318" s="498"/>
      <c r="BB318" s="498"/>
      <c r="BC318" s="498"/>
      <c r="BD318" s="498"/>
      <c r="BE318" s="498"/>
      <c r="BF318" s="498"/>
      <c r="BG318" s="498"/>
      <c r="BH318" s="498"/>
      <c r="BI318" s="498"/>
      <c r="BJ318" s="498"/>
      <c r="BK318" s="498"/>
      <c r="BL318" s="498"/>
      <c r="BM318" s="498"/>
      <c r="BN318" s="498"/>
      <c r="BO318" s="498"/>
      <c r="BP318" s="498"/>
      <c r="BQ318" s="498"/>
      <c r="BR318" s="498"/>
      <c r="BS318" s="498"/>
      <c r="BT318" s="498"/>
      <c r="BU318" s="498"/>
      <c r="BV318" s="498"/>
      <c r="BW318" s="498"/>
      <c r="BX318" s="498"/>
      <c r="BY318" s="498"/>
      <c r="BZ318" s="498"/>
      <c r="CA318" s="498"/>
      <c r="CB318" s="498"/>
      <c r="CC318" s="498"/>
      <c r="CD318" s="498"/>
      <c r="CE318" s="498"/>
      <c r="CF318" s="498"/>
      <c r="CG318" s="300"/>
      <c r="CH318" s="300"/>
      <c r="CI318" s="300"/>
      <c r="CJ318" s="300"/>
      <c r="CK318" s="300"/>
      <c r="CL318" s="300"/>
      <c r="CM318" s="300"/>
      <c r="CN318" s="300"/>
      <c r="CO318" s="357"/>
      <c r="CR318" s="498"/>
      <c r="CS318" s="498"/>
      <c r="CT318" s="498"/>
      <c r="CU318" s="498"/>
      <c r="CV318" s="498"/>
      <c r="CW318" s="498"/>
      <c r="CX318" s="498"/>
      <c r="CY318" s="498"/>
      <c r="CZ318" s="498"/>
      <c r="DA318" s="498"/>
      <c r="DB318" s="498"/>
      <c r="DC318" s="498"/>
      <c r="DD318" s="498"/>
      <c r="DE318" s="498"/>
      <c r="DF318" s="498"/>
      <c r="DG318" s="498"/>
      <c r="DH318" s="498"/>
      <c r="DI318" s="498"/>
      <c r="DJ318" s="498"/>
      <c r="DK318" s="498"/>
      <c r="DL318" s="498"/>
      <c r="DM318" s="498"/>
      <c r="DN318" s="498"/>
      <c r="DO318" s="498"/>
      <c r="DP318" s="498"/>
      <c r="DQ318" s="498"/>
      <c r="DR318" s="498"/>
      <c r="DS318" s="498"/>
      <c r="DT318" s="498"/>
      <c r="DU318" s="498"/>
      <c r="DV318" s="498"/>
      <c r="DW318" s="498"/>
      <c r="DX318" s="498"/>
      <c r="DY318" s="498"/>
      <c r="DZ318" s="498"/>
      <c r="EA318" s="498"/>
      <c r="EB318" s="498"/>
      <c r="EC318" s="498"/>
      <c r="ED318" s="498"/>
      <c r="EE318" s="498"/>
      <c r="EF318" s="498"/>
      <c r="EG318" s="498"/>
      <c r="EH318" s="498"/>
      <c r="EI318" s="498"/>
      <c r="EJ318" s="498"/>
      <c r="EK318" s="498"/>
      <c r="EL318" s="498"/>
      <c r="EM318" s="498"/>
      <c r="EN318" s="498"/>
      <c r="EO318" s="498"/>
      <c r="EP318" s="498"/>
      <c r="EQ318" s="498"/>
      <c r="ER318" s="498"/>
      <c r="ES318" s="498"/>
      <c r="ET318" s="498"/>
      <c r="EU318" s="498"/>
      <c r="EV318" s="498"/>
      <c r="EW318" s="498"/>
      <c r="EX318" s="498"/>
      <c r="EY318" s="498"/>
      <c r="EZ318" s="498"/>
      <c r="FA318" s="498"/>
      <c r="FB318" s="498"/>
      <c r="FC318" s="498"/>
    </row>
    <row r="319" spans="3:159">
      <c r="C319" s="291" t="s">
        <v>1100</v>
      </c>
      <c r="J319" s="19"/>
      <c r="K319" s="19"/>
      <c r="L319" s="19"/>
      <c r="M319" s="19"/>
      <c r="N319" s="19"/>
      <c r="O319" s="19"/>
      <c r="P319" s="19"/>
      <c r="Q319" s="19"/>
      <c r="R319" s="19"/>
      <c r="S319" s="19"/>
      <c r="T319" s="19"/>
      <c r="U319" s="19"/>
      <c r="V319" s="19"/>
      <c r="W319" s="19"/>
      <c r="X319" s="19"/>
      <c r="Y319" s="19"/>
      <c r="Z319" s="19"/>
      <c r="AA319" s="19"/>
      <c r="AB319" s="19"/>
      <c r="AC319" s="19"/>
      <c r="AD319" s="19"/>
      <c r="AE319" s="19"/>
      <c r="AF319" s="19"/>
      <c r="AG319" s="19"/>
      <c r="AH319" s="19"/>
      <c r="AO319" s="338"/>
      <c r="AP319" s="449"/>
      <c r="AR319" s="449"/>
      <c r="AS319" s="449"/>
      <c r="BA319" s="498"/>
      <c r="BB319" s="498"/>
      <c r="BC319" s="498"/>
      <c r="BD319" s="498"/>
      <c r="BE319" s="498"/>
      <c r="BF319" s="498"/>
      <c r="BG319" s="498"/>
      <c r="BH319" s="498"/>
      <c r="BI319" s="498"/>
      <c r="BJ319" s="498"/>
      <c r="BK319" s="498"/>
      <c r="BL319" s="498"/>
      <c r="BM319" s="498"/>
      <c r="BN319" s="498"/>
      <c r="BO319" s="498"/>
      <c r="BP319" s="498"/>
      <c r="BQ319" s="498"/>
      <c r="BR319" s="498"/>
      <c r="BS319" s="498"/>
      <c r="BT319" s="498"/>
      <c r="BU319" s="498"/>
      <c r="BV319" s="498"/>
      <c r="BW319" s="498"/>
      <c r="BX319" s="498"/>
      <c r="BY319" s="498"/>
      <c r="BZ319" s="498"/>
      <c r="CA319" s="498"/>
      <c r="CB319" s="498"/>
      <c r="CC319" s="498"/>
      <c r="CD319" s="498"/>
      <c r="CE319" s="498"/>
      <c r="CF319" s="498"/>
      <c r="CG319" s="19"/>
      <c r="CH319" s="19"/>
      <c r="CI319" s="19"/>
      <c r="CJ319" s="19"/>
      <c r="CK319" s="19"/>
      <c r="CL319" s="19"/>
      <c r="CM319" s="19"/>
      <c r="CN319" s="19"/>
      <c r="CO319" s="4"/>
      <c r="CR319" s="498"/>
      <c r="CS319" s="498"/>
      <c r="CT319" s="498"/>
      <c r="CU319" s="498"/>
      <c r="CV319" s="498"/>
      <c r="CW319" s="498"/>
      <c r="CX319" s="498"/>
      <c r="CY319" s="498"/>
      <c r="CZ319" s="498"/>
      <c r="DA319" s="498"/>
      <c r="DB319" s="498"/>
      <c r="DC319" s="498"/>
      <c r="DD319" s="498"/>
      <c r="DE319" s="498"/>
      <c r="DF319" s="498"/>
      <c r="DG319" s="498"/>
      <c r="DH319" s="498"/>
      <c r="DI319" s="498"/>
      <c r="DJ319" s="498"/>
      <c r="DK319" s="498"/>
      <c r="DL319" s="498"/>
      <c r="DM319" s="498"/>
      <c r="DN319" s="498"/>
      <c r="DO319" s="498"/>
      <c r="DP319" s="498"/>
      <c r="DQ319" s="498"/>
      <c r="DR319" s="498"/>
      <c r="DS319" s="498"/>
      <c r="DT319" s="498"/>
      <c r="DU319" s="498"/>
      <c r="DV319" s="498"/>
      <c r="DW319" s="498"/>
      <c r="DX319" s="498"/>
      <c r="DY319" s="498"/>
      <c r="DZ319" s="498"/>
      <c r="EA319" s="498"/>
      <c r="EB319" s="498"/>
      <c r="EC319" s="498"/>
      <c r="ED319" s="498"/>
      <c r="EE319" s="498"/>
      <c r="EF319" s="498"/>
      <c r="EG319" s="498"/>
      <c r="EH319" s="498"/>
      <c r="EI319" s="498"/>
      <c r="EJ319" s="498"/>
      <c r="EK319" s="498"/>
      <c r="EL319" s="498"/>
      <c r="EM319" s="498"/>
      <c r="EN319" s="498"/>
      <c r="EO319" s="498"/>
      <c r="EP319" s="498"/>
      <c r="EQ319" s="498"/>
      <c r="ER319" s="498"/>
      <c r="ES319" s="498"/>
      <c r="ET319" s="498"/>
      <c r="EU319" s="498"/>
      <c r="EV319" s="498"/>
      <c r="EW319" s="498"/>
      <c r="EX319" s="498"/>
      <c r="EY319" s="498"/>
      <c r="EZ319" s="498"/>
      <c r="FA319" s="498"/>
      <c r="FB319" s="498"/>
      <c r="FC319" s="498"/>
    </row>
    <row r="320" spans="3:159">
      <c r="C320" s="214" t="s">
        <v>969</v>
      </c>
      <c r="D320" s="57"/>
      <c r="E320" s="57"/>
      <c r="F320" s="57"/>
      <c r="G320" s="57"/>
      <c r="H320" s="57"/>
      <c r="I320" s="57"/>
      <c r="J320" s="289" t="e">
        <f t="shared" ref="J320:AH320" si="108">J311+SUM(J314:J319)</f>
        <v>#REF!</v>
      </c>
      <c r="K320" s="289" t="e">
        <f t="shared" si="108"/>
        <v>#REF!</v>
      </c>
      <c r="L320" s="289" t="e">
        <f t="shared" si="108"/>
        <v>#REF!</v>
      </c>
      <c r="M320" s="289" t="e">
        <f t="shared" si="108"/>
        <v>#REF!</v>
      </c>
      <c r="N320" s="289" t="e">
        <f t="shared" si="108"/>
        <v>#REF!</v>
      </c>
      <c r="O320" s="289" t="e">
        <f t="shared" si="108"/>
        <v>#REF!</v>
      </c>
      <c r="P320" s="289" t="e">
        <f t="shared" si="108"/>
        <v>#REF!</v>
      </c>
      <c r="Q320" s="289">
        <f t="shared" si="108"/>
        <v>-939.47306812500005</v>
      </c>
      <c r="R320" s="289">
        <f t="shared" si="108"/>
        <v>-1005.12172153125</v>
      </c>
      <c r="S320" s="289">
        <f t="shared" si="108"/>
        <v>-1415.8278076078125</v>
      </c>
      <c r="T320" s="289">
        <f t="shared" si="108"/>
        <v>-437.59419798820312</v>
      </c>
      <c r="U320" s="289">
        <f t="shared" si="108"/>
        <v>1972.5760921123867</v>
      </c>
      <c r="V320" s="289">
        <f t="shared" si="108"/>
        <v>2581.6798967180061</v>
      </c>
      <c r="W320" s="289">
        <f t="shared" si="108"/>
        <v>3674.7138915539063</v>
      </c>
      <c r="X320" s="289">
        <f t="shared" si="108"/>
        <v>1238.6745861316017</v>
      </c>
      <c r="Y320" s="289">
        <f t="shared" si="108"/>
        <v>1093.5583154381818</v>
      </c>
      <c r="Z320" s="289">
        <f t="shared" si="108"/>
        <v>1707.3612312100909</v>
      </c>
      <c r="AA320" s="289">
        <f t="shared" si="108"/>
        <v>2742.0792927705952</v>
      </c>
      <c r="AB320" s="289">
        <f t="shared" si="108"/>
        <v>4082.7082574091251</v>
      </c>
      <c r="AC320" s="289">
        <f t="shared" si="108"/>
        <v>5187.6072410386123</v>
      </c>
      <c r="AD320" s="289">
        <f t="shared" si="108"/>
        <v>6028.5066394336127</v>
      </c>
      <c r="AE320" s="289">
        <f t="shared" si="108"/>
        <v>6867.2756242553542</v>
      </c>
      <c r="AF320" s="289">
        <f t="shared" si="108"/>
        <v>7643.3762053197652</v>
      </c>
      <c r="AG320" s="289">
        <f t="shared" si="108"/>
        <v>8111.4796900108358</v>
      </c>
      <c r="AH320" s="289">
        <f t="shared" si="108"/>
        <v>8592.3369396081271</v>
      </c>
      <c r="AO320" s="338"/>
      <c r="AP320" s="449"/>
      <c r="AR320" s="449"/>
      <c r="AS320" s="449"/>
      <c r="BA320" s="498"/>
      <c r="BB320" s="498"/>
      <c r="BC320" s="498"/>
      <c r="BD320" s="498"/>
      <c r="BE320" s="498"/>
      <c r="BF320" s="498"/>
      <c r="BG320" s="498"/>
      <c r="BH320" s="498"/>
      <c r="BI320" s="498"/>
      <c r="BJ320" s="498"/>
      <c r="BK320" s="498"/>
      <c r="BL320" s="498"/>
      <c r="BM320" s="498"/>
      <c r="BN320" s="498"/>
      <c r="BO320" s="498"/>
      <c r="BP320" s="498"/>
      <c r="BQ320" s="498"/>
      <c r="BR320" s="498"/>
      <c r="BS320" s="498"/>
      <c r="BT320" s="498"/>
      <c r="BU320" s="498"/>
      <c r="BV320" s="498"/>
      <c r="BW320" s="498"/>
      <c r="BX320" s="498"/>
      <c r="BY320" s="498"/>
      <c r="BZ320" s="498"/>
      <c r="CA320" s="498"/>
      <c r="CB320" s="498"/>
      <c r="CC320" s="498"/>
      <c r="CD320" s="498"/>
      <c r="CE320" s="498"/>
      <c r="CF320" s="498"/>
      <c r="CG320" s="289"/>
      <c r="CH320" s="289"/>
      <c r="CI320" s="289"/>
      <c r="CJ320" s="289"/>
      <c r="CK320" s="289"/>
      <c r="CL320" s="289"/>
      <c r="CM320" s="289"/>
      <c r="CN320" s="289"/>
      <c r="CO320" s="281"/>
      <c r="CR320" s="498"/>
      <c r="CS320" s="498"/>
      <c r="CT320" s="498"/>
      <c r="CU320" s="498"/>
      <c r="CV320" s="498"/>
      <c r="CW320" s="498"/>
      <c r="CX320" s="498"/>
      <c r="CY320" s="498"/>
      <c r="CZ320" s="498"/>
      <c r="DA320" s="498"/>
      <c r="DB320" s="498"/>
      <c r="DC320" s="498"/>
      <c r="DD320" s="498"/>
      <c r="DE320" s="498"/>
      <c r="DF320" s="498"/>
      <c r="DG320" s="498"/>
      <c r="DH320" s="498"/>
      <c r="DI320" s="498"/>
      <c r="DJ320" s="498"/>
      <c r="DK320" s="498"/>
      <c r="DL320" s="498"/>
      <c r="DM320" s="498"/>
      <c r="DN320" s="498"/>
      <c r="DO320" s="498"/>
      <c r="DP320" s="498"/>
      <c r="DQ320" s="498"/>
      <c r="DR320" s="498"/>
      <c r="DS320" s="498"/>
      <c r="DT320" s="498"/>
      <c r="DU320" s="498"/>
      <c r="DV320" s="498"/>
      <c r="DW320" s="498"/>
      <c r="DX320" s="498"/>
      <c r="DY320" s="498"/>
      <c r="DZ320" s="498"/>
      <c r="EA320" s="498"/>
      <c r="EB320" s="498"/>
      <c r="EC320" s="498"/>
      <c r="ED320" s="498"/>
      <c r="EE320" s="498"/>
      <c r="EF320" s="498"/>
      <c r="EG320" s="498"/>
      <c r="EH320" s="498"/>
      <c r="EI320" s="498"/>
      <c r="EJ320" s="498"/>
      <c r="EK320" s="498"/>
      <c r="EL320" s="498"/>
      <c r="EM320" s="498"/>
      <c r="EN320" s="498"/>
      <c r="EO320" s="498"/>
      <c r="EP320" s="498"/>
      <c r="EQ320" s="498"/>
      <c r="ER320" s="498"/>
      <c r="ES320" s="498"/>
      <c r="ET320" s="498"/>
      <c r="EU320" s="498"/>
      <c r="EV320" s="498"/>
      <c r="EW320" s="498"/>
      <c r="EX320" s="498"/>
      <c r="EY320" s="498"/>
      <c r="EZ320" s="498"/>
      <c r="FA320" s="498"/>
      <c r="FB320" s="498"/>
      <c r="FC320" s="498"/>
    </row>
    <row r="321" spans="3:159">
      <c r="C321" s="19" t="s">
        <v>1101</v>
      </c>
      <c r="J321" s="285" t="e">
        <f t="shared" ref="J321:AH321" si="109">J256</f>
        <v>#REF!</v>
      </c>
      <c r="K321" s="285" t="e">
        <f t="shared" si="109"/>
        <v>#REF!</v>
      </c>
      <c r="L321" s="285" t="e">
        <f t="shared" si="109"/>
        <v>#REF!</v>
      </c>
      <c r="M321" s="285" t="e">
        <f t="shared" si="109"/>
        <v>#REF!</v>
      </c>
      <c r="N321" s="285" t="e">
        <f t="shared" si="109"/>
        <v>#REF!</v>
      </c>
      <c r="O321" s="285" t="e">
        <f t="shared" si="109"/>
        <v>#REF!</v>
      </c>
      <c r="P321" s="285" t="e">
        <f t="shared" si="109"/>
        <v>#REF!</v>
      </c>
      <c r="Q321" s="285">
        <f t="shared" si="109"/>
        <v>1.7307692307692308</v>
      </c>
      <c r="R321" s="285">
        <f t="shared" si="109"/>
        <v>1.2167832167832169</v>
      </c>
      <c r="S321" s="285">
        <f t="shared" si="109"/>
        <v>0.40099502487562189</v>
      </c>
      <c r="T321" s="285">
        <f t="shared" si="109"/>
        <v>2.6631016042780749</v>
      </c>
      <c r="U321" s="285">
        <f t="shared" si="109"/>
        <v>-0.25469924812030076</v>
      </c>
      <c r="V321" s="285">
        <f t="shared" si="109"/>
        <v>-0.23655913978494625</v>
      </c>
      <c r="W321" s="285">
        <f t="shared" si="109"/>
        <v>-0.27029914529914528</v>
      </c>
      <c r="X321" s="285">
        <f t="shared" si="109"/>
        <v>-0.27535037098103876</v>
      </c>
      <c r="Y321" s="285">
        <f t="shared" si="109"/>
        <v>-0.34448160535117056</v>
      </c>
      <c r="Z321" s="285">
        <f t="shared" si="109"/>
        <v>-0.31433408577878102</v>
      </c>
      <c r="AA321" s="285">
        <f t="shared" si="109"/>
        <v>-0.25592082007776601</v>
      </c>
      <c r="AB321" s="285">
        <f t="shared" si="109"/>
        <v>-0.23794599807135969</v>
      </c>
      <c r="AC321" s="285">
        <f t="shared" si="109"/>
        <v>-0.3422</v>
      </c>
      <c r="AD321" s="285">
        <f t="shared" si="109"/>
        <v>-0.30110000000000003</v>
      </c>
      <c r="AE321" s="285">
        <f t="shared" si="109"/>
        <v>-0.26</v>
      </c>
      <c r="AF321" s="285">
        <f t="shared" si="109"/>
        <v>-0.26</v>
      </c>
      <c r="AG321" s="285">
        <f t="shared" si="109"/>
        <v>-0.26</v>
      </c>
      <c r="AH321" s="285">
        <f t="shared" si="109"/>
        <v>-0.26</v>
      </c>
      <c r="AO321" s="338"/>
      <c r="AP321" s="449"/>
      <c r="AR321" s="449"/>
      <c r="AS321" s="449"/>
      <c r="BA321" s="498"/>
      <c r="BB321" s="498"/>
      <c r="BC321" s="498"/>
      <c r="BD321" s="498"/>
      <c r="BE321" s="498"/>
      <c r="BF321" s="498"/>
      <c r="BG321" s="498"/>
      <c r="BH321" s="498"/>
      <c r="BI321" s="498"/>
      <c r="BJ321" s="498"/>
      <c r="BK321" s="498"/>
      <c r="BL321" s="498"/>
      <c r="BM321" s="498"/>
      <c r="BN321" s="498"/>
      <c r="BO321" s="498"/>
      <c r="BP321" s="498"/>
      <c r="BQ321" s="498"/>
      <c r="BR321" s="498"/>
      <c r="BS321" s="498"/>
      <c r="BT321" s="498"/>
      <c r="BU321" s="498"/>
      <c r="BV321" s="498"/>
      <c r="BW321" s="498"/>
      <c r="BX321" s="498"/>
      <c r="BY321" s="498"/>
      <c r="BZ321" s="498"/>
      <c r="CA321" s="498"/>
      <c r="CB321" s="498"/>
      <c r="CC321" s="498"/>
      <c r="CD321" s="498"/>
      <c r="CE321" s="498"/>
      <c r="CF321" s="498"/>
      <c r="CG321" s="285"/>
      <c r="CH321" s="285"/>
      <c r="CI321" s="285"/>
      <c r="CJ321" s="285"/>
      <c r="CK321" s="285"/>
      <c r="CL321" s="285"/>
      <c r="CM321" s="285"/>
      <c r="CN321" s="285"/>
      <c r="CO321" s="473"/>
      <c r="CR321" s="498"/>
      <c r="CS321" s="498"/>
      <c r="CT321" s="498"/>
      <c r="CU321" s="498"/>
      <c r="CV321" s="498"/>
      <c r="CW321" s="498"/>
      <c r="CX321" s="498"/>
      <c r="CY321" s="498"/>
      <c r="CZ321" s="498"/>
      <c r="DA321" s="498"/>
      <c r="DB321" s="498"/>
      <c r="DC321" s="498"/>
      <c r="DD321" s="498"/>
      <c r="DE321" s="498"/>
      <c r="DF321" s="498"/>
      <c r="DG321" s="498"/>
      <c r="DH321" s="498"/>
      <c r="DI321" s="498"/>
      <c r="DJ321" s="498"/>
      <c r="DK321" s="498"/>
      <c r="DL321" s="498"/>
      <c r="DM321" s="498"/>
      <c r="DN321" s="498"/>
      <c r="DO321" s="498"/>
      <c r="DP321" s="498"/>
      <c r="DQ321" s="498"/>
      <c r="DR321" s="498"/>
      <c r="DS321" s="498"/>
      <c r="DT321" s="498"/>
      <c r="DU321" s="498"/>
      <c r="DV321" s="498"/>
      <c r="DW321" s="498"/>
      <c r="DX321" s="498"/>
      <c r="DY321" s="498"/>
      <c r="DZ321" s="498"/>
      <c r="EA321" s="498"/>
      <c r="EB321" s="498"/>
      <c r="EC321" s="498"/>
      <c r="ED321" s="498"/>
      <c r="EE321" s="498"/>
      <c r="EF321" s="498"/>
      <c r="EG321" s="498"/>
      <c r="EH321" s="498"/>
      <c r="EI321" s="498"/>
      <c r="EJ321" s="498"/>
      <c r="EK321" s="498"/>
      <c r="EL321" s="498"/>
      <c r="EM321" s="498"/>
      <c r="EN321" s="498"/>
      <c r="EO321" s="498"/>
      <c r="EP321" s="498"/>
      <c r="EQ321" s="498"/>
      <c r="ER321" s="498"/>
      <c r="ES321" s="498"/>
      <c r="ET321" s="498"/>
      <c r="EU321" s="498"/>
      <c r="EV321" s="498"/>
      <c r="EW321" s="498"/>
      <c r="EX321" s="498"/>
      <c r="EY321" s="498"/>
      <c r="EZ321" s="498"/>
      <c r="FA321" s="498"/>
      <c r="FB321" s="498"/>
      <c r="FC321" s="498"/>
    </row>
    <row r="322" spans="3:159">
      <c r="C322" s="19" t="s">
        <v>1102</v>
      </c>
      <c r="J322" s="300" t="e">
        <f t="shared" ref="J322:AH322" si="110">J331</f>
        <v>#REF!</v>
      </c>
      <c r="K322" s="300" t="e">
        <f t="shared" si="110"/>
        <v>#REF!</v>
      </c>
      <c r="L322" s="300" t="e">
        <f t="shared" si="110"/>
        <v>#REF!</v>
      </c>
      <c r="M322" s="300" t="e">
        <f t="shared" si="110"/>
        <v>#REF!</v>
      </c>
      <c r="N322" s="300" t="e">
        <f t="shared" si="110"/>
        <v>#REF!</v>
      </c>
      <c r="O322" s="300" t="e">
        <f t="shared" si="110"/>
        <v>#REF!</v>
      </c>
      <c r="P322" s="300" t="e">
        <f t="shared" si="110"/>
        <v>#REF!</v>
      </c>
      <c r="Q322" s="300">
        <f t="shared" si="110"/>
        <v>-1086.0110794471154</v>
      </c>
      <c r="R322" s="300">
        <f t="shared" si="110"/>
        <v>-701.01524158347911</v>
      </c>
      <c r="S322" s="300">
        <f t="shared" si="110"/>
        <v>-164.73990693129201</v>
      </c>
      <c r="T322" s="300">
        <f t="shared" si="110"/>
        <v>-667.35781068516121</v>
      </c>
      <c r="U322" s="300">
        <f t="shared" si="110"/>
        <v>39.586352478893957</v>
      </c>
      <c r="V322" s="300">
        <f t="shared" si="110"/>
        <v>27.28002443229957</v>
      </c>
      <c r="W322" s="300">
        <f t="shared" si="110"/>
        <v>18.727975894083102</v>
      </c>
      <c r="X322" s="300">
        <f t="shared" si="110"/>
        <v>-7.0695068161211907</v>
      </c>
      <c r="Y322" s="300">
        <f t="shared" si="110"/>
        <v>35.289275952733362</v>
      </c>
      <c r="Z322" s="300">
        <f t="shared" si="110"/>
        <v>20.318168293442113</v>
      </c>
      <c r="AA322" s="300">
        <f t="shared" si="110"/>
        <v>22.24481867588861</v>
      </c>
      <c r="AB322" s="300">
        <f t="shared" si="110"/>
        <v>15.53590885660401</v>
      </c>
      <c r="AC322" s="300">
        <f t="shared" si="110"/>
        <v>26.499811591665321</v>
      </c>
      <c r="AD322" s="300">
        <f t="shared" si="110"/>
        <v>25.694198673602386</v>
      </c>
      <c r="AE322" s="300">
        <f t="shared" si="110"/>
        <v>24.324894749836403</v>
      </c>
      <c r="AF322" s="300">
        <f t="shared" si="110"/>
        <v>26.29479324112458</v>
      </c>
      <c r="AG322" s="300">
        <f t="shared" si="110"/>
        <v>27.735251899896866</v>
      </c>
      <c r="AH322" s="300">
        <f t="shared" si="110"/>
        <v>29.239178483084743</v>
      </c>
      <c r="AO322" s="338"/>
      <c r="AP322" s="449"/>
      <c r="AR322" s="449"/>
      <c r="AS322" s="449"/>
      <c r="BA322" s="498"/>
      <c r="BB322" s="498"/>
      <c r="BC322" s="498"/>
      <c r="BD322" s="498"/>
      <c r="BE322" s="498"/>
      <c r="BF322" s="498"/>
      <c r="BG322" s="498"/>
      <c r="BH322" s="498"/>
      <c r="BI322" s="498"/>
      <c r="BJ322" s="498"/>
      <c r="BK322" s="498"/>
      <c r="BL322" s="498"/>
      <c r="BM322" s="498"/>
      <c r="BN322" s="498"/>
      <c r="BO322" s="498"/>
      <c r="BP322" s="498"/>
      <c r="BQ322" s="498"/>
      <c r="BR322" s="498"/>
      <c r="BS322" s="498"/>
      <c r="BT322" s="498"/>
      <c r="BU322" s="498"/>
      <c r="BV322" s="498"/>
      <c r="BW322" s="498"/>
      <c r="BX322" s="498"/>
      <c r="BY322" s="498"/>
      <c r="BZ322" s="498"/>
      <c r="CA322" s="498"/>
      <c r="CB322" s="498"/>
      <c r="CC322" s="498"/>
      <c r="CD322" s="498"/>
      <c r="CE322" s="498"/>
      <c r="CF322" s="498"/>
      <c r="CG322" s="300"/>
      <c r="CH322" s="300"/>
      <c r="CI322" s="300"/>
      <c r="CJ322" s="300"/>
      <c r="CK322" s="300"/>
      <c r="CL322" s="300"/>
      <c r="CM322" s="300"/>
      <c r="CN322" s="300"/>
      <c r="CO322" s="357"/>
      <c r="CR322" s="498"/>
      <c r="CS322" s="498"/>
      <c r="CT322" s="498"/>
      <c r="CU322" s="498"/>
      <c r="CV322" s="498"/>
      <c r="CW322" s="498"/>
      <c r="CX322" s="498"/>
      <c r="CY322" s="498"/>
      <c r="CZ322" s="498"/>
      <c r="DA322" s="498"/>
      <c r="DB322" s="498"/>
      <c r="DC322" s="498"/>
      <c r="DD322" s="498"/>
      <c r="DE322" s="498"/>
      <c r="DF322" s="498"/>
      <c r="DG322" s="498"/>
      <c r="DH322" s="498"/>
      <c r="DI322" s="498"/>
      <c r="DJ322" s="498"/>
      <c r="DK322" s="498"/>
      <c r="DL322" s="498"/>
      <c r="DM322" s="498"/>
      <c r="DN322" s="498"/>
      <c r="DO322" s="498"/>
      <c r="DP322" s="498"/>
      <c r="DQ322" s="498"/>
      <c r="DR322" s="498"/>
      <c r="DS322" s="498"/>
      <c r="DT322" s="498"/>
      <c r="DU322" s="498"/>
      <c r="DV322" s="498"/>
      <c r="DW322" s="498"/>
      <c r="DX322" s="498"/>
      <c r="DY322" s="498"/>
      <c r="DZ322" s="498"/>
      <c r="EA322" s="498"/>
      <c r="EB322" s="498"/>
      <c r="EC322" s="498"/>
      <c r="ED322" s="498"/>
      <c r="EE322" s="498"/>
      <c r="EF322" s="498"/>
      <c r="EG322" s="498"/>
      <c r="EH322" s="498"/>
      <c r="EI322" s="498"/>
      <c r="EJ322" s="498"/>
      <c r="EK322" s="498"/>
      <c r="EL322" s="498"/>
      <c r="EM322" s="498"/>
      <c r="EN322" s="498"/>
      <c r="EO322" s="498"/>
      <c r="EP322" s="498"/>
      <c r="EQ322" s="498"/>
      <c r="ER322" s="498"/>
      <c r="ES322" s="498"/>
      <c r="ET322" s="498"/>
      <c r="EU322" s="498"/>
      <c r="EV322" s="498"/>
      <c r="EW322" s="498"/>
      <c r="EX322" s="498"/>
      <c r="EY322" s="498"/>
      <c r="EZ322" s="498"/>
      <c r="FA322" s="498"/>
      <c r="FB322" s="498"/>
      <c r="FC322" s="498"/>
    </row>
    <row r="323" spans="3:159">
      <c r="C323" s="19" t="s">
        <v>1104</v>
      </c>
      <c r="J323" s="300" t="e">
        <f t="shared" ref="J323:AH323" si="111">J320*J321</f>
        <v>#REF!</v>
      </c>
      <c r="K323" s="300" t="e">
        <f t="shared" si="111"/>
        <v>#REF!</v>
      </c>
      <c r="L323" s="300" t="e">
        <f t="shared" si="111"/>
        <v>#REF!</v>
      </c>
      <c r="M323" s="300" t="e">
        <f t="shared" si="111"/>
        <v>#REF!</v>
      </c>
      <c r="N323" s="300" t="e">
        <f t="shared" si="111"/>
        <v>#REF!</v>
      </c>
      <c r="O323" s="300" t="e">
        <f t="shared" si="111"/>
        <v>#REF!</v>
      </c>
      <c r="P323" s="300" t="e">
        <f t="shared" si="111"/>
        <v>#REF!</v>
      </c>
      <c r="Q323" s="300">
        <f t="shared" si="111"/>
        <v>-1626.0110794471154</v>
      </c>
      <c r="R323" s="300">
        <f t="shared" si="111"/>
        <v>-1223.0152415834791</v>
      </c>
      <c r="S323" s="300">
        <f t="shared" si="111"/>
        <v>-567.73990693129201</v>
      </c>
      <c r="T323" s="300">
        <f t="shared" si="111"/>
        <v>-1165.3578106851612</v>
      </c>
      <c r="U323" s="300">
        <f t="shared" si="111"/>
        <v>-502.41364752110604</v>
      </c>
      <c r="V323" s="300">
        <f t="shared" si="111"/>
        <v>-610.71997556770043</v>
      </c>
      <c r="W323" s="300">
        <f t="shared" si="111"/>
        <v>-993.2720241059169</v>
      </c>
      <c r="X323" s="300">
        <f t="shared" si="111"/>
        <v>-341.06950681612119</v>
      </c>
      <c r="Y323" s="300">
        <f t="shared" si="111"/>
        <v>-376.71072404726664</v>
      </c>
      <c r="Z323" s="300">
        <f t="shared" si="111"/>
        <v>-536.68183170655789</v>
      </c>
      <c r="AA323" s="300">
        <f t="shared" si="111"/>
        <v>-701.75518132411139</v>
      </c>
      <c r="AB323" s="300">
        <f t="shared" si="111"/>
        <v>-971.46409114339599</v>
      </c>
      <c r="AC323" s="300">
        <f t="shared" si="111"/>
        <v>-1775.1991978834133</v>
      </c>
      <c r="AD323" s="300">
        <f t="shared" si="111"/>
        <v>-1815.183349133461</v>
      </c>
      <c r="AE323" s="300">
        <f t="shared" si="111"/>
        <v>-1785.4916623063921</v>
      </c>
      <c r="AF323" s="300">
        <f t="shared" si="111"/>
        <v>-1987.2778133831391</v>
      </c>
      <c r="AG323" s="300">
        <f t="shared" si="111"/>
        <v>-2108.9847194028175</v>
      </c>
      <c r="AH323" s="300">
        <f t="shared" si="111"/>
        <v>-2234.0076042981132</v>
      </c>
      <c r="AO323" s="338"/>
      <c r="AP323" s="449"/>
      <c r="AR323" s="449"/>
      <c r="AS323" s="449"/>
      <c r="BA323" s="498"/>
      <c r="BB323" s="498"/>
      <c r="BC323" s="498"/>
      <c r="BD323" s="498"/>
      <c r="BE323" s="498"/>
      <c r="BF323" s="498"/>
      <c r="BG323" s="498"/>
      <c r="BH323" s="498"/>
      <c r="BI323" s="498"/>
      <c r="BJ323" s="498"/>
      <c r="BK323" s="498"/>
      <c r="BL323" s="498"/>
      <c r="BM323" s="498"/>
      <c r="BN323" s="498"/>
      <c r="BO323" s="498"/>
      <c r="BP323" s="498"/>
      <c r="BQ323" s="498"/>
      <c r="BR323" s="498"/>
      <c r="BS323" s="498"/>
      <c r="BT323" s="498"/>
      <c r="BU323" s="498"/>
      <c r="BV323" s="498"/>
      <c r="BW323" s="498"/>
      <c r="BX323" s="498"/>
      <c r="BY323" s="498"/>
      <c r="BZ323" s="498"/>
      <c r="CA323" s="498"/>
      <c r="CB323" s="498"/>
      <c r="CC323" s="498"/>
      <c r="CD323" s="498"/>
      <c r="CE323" s="498"/>
      <c r="CF323" s="498"/>
      <c r="CG323" s="300"/>
      <c r="CH323" s="300"/>
      <c r="CI323" s="300"/>
      <c r="CJ323" s="300"/>
      <c r="CK323" s="300"/>
      <c r="CL323" s="300"/>
      <c r="CM323" s="300"/>
      <c r="CN323" s="300"/>
      <c r="CO323" s="357"/>
      <c r="CR323" s="498"/>
      <c r="CS323" s="498"/>
      <c r="CT323" s="498"/>
      <c r="CU323" s="498"/>
      <c r="CV323" s="498"/>
      <c r="CW323" s="498"/>
      <c r="CX323" s="498"/>
      <c r="CY323" s="498"/>
      <c r="CZ323" s="498"/>
      <c r="DA323" s="498"/>
      <c r="DB323" s="498"/>
      <c r="DC323" s="498"/>
      <c r="DD323" s="498"/>
      <c r="DE323" s="498"/>
      <c r="DF323" s="498"/>
      <c r="DG323" s="498"/>
      <c r="DH323" s="498"/>
      <c r="DI323" s="498"/>
      <c r="DJ323" s="498"/>
      <c r="DK323" s="498"/>
      <c r="DL323" s="498"/>
      <c r="DM323" s="498"/>
      <c r="DN323" s="498"/>
      <c r="DO323" s="498"/>
      <c r="DP323" s="498"/>
      <c r="DQ323" s="498"/>
      <c r="DR323" s="498"/>
      <c r="DS323" s="498"/>
      <c r="DT323" s="498"/>
      <c r="DU323" s="498"/>
      <c r="DV323" s="498"/>
      <c r="DW323" s="498"/>
      <c r="DX323" s="498"/>
      <c r="DY323" s="498"/>
      <c r="DZ323" s="498"/>
      <c r="EA323" s="498"/>
      <c r="EB323" s="498"/>
      <c r="EC323" s="498"/>
      <c r="ED323" s="498"/>
      <c r="EE323" s="498"/>
      <c r="EF323" s="498"/>
      <c r="EG323" s="498"/>
      <c r="EH323" s="498"/>
      <c r="EI323" s="498"/>
      <c r="EJ323" s="498"/>
      <c r="EK323" s="498"/>
      <c r="EL323" s="498"/>
      <c r="EM323" s="498"/>
      <c r="EN323" s="498"/>
      <c r="EO323" s="498"/>
      <c r="EP323" s="498"/>
      <c r="EQ323" s="498"/>
      <c r="ER323" s="498"/>
      <c r="ES323" s="498"/>
      <c r="ET323" s="498"/>
      <c r="EU323" s="498"/>
      <c r="EV323" s="498"/>
      <c r="EW323" s="498"/>
      <c r="EX323" s="498"/>
      <c r="EY323" s="498"/>
      <c r="EZ323" s="498"/>
      <c r="FA323" s="498"/>
      <c r="FB323" s="498"/>
      <c r="FC323" s="498"/>
    </row>
    <row r="324" spans="3:159">
      <c r="C324" s="19" t="s">
        <v>968</v>
      </c>
      <c r="J324" s="300">
        <f t="shared" ref="J324:AH324" si="112">J260</f>
        <v>0</v>
      </c>
      <c r="K324" s="300">
        <f t="shared" si="112"/>
        <v>0</v>
      </c>
      <c r="L324" s="300">
        <f t="shared" si="112"/>
        <v>-233</v>
      </c>
      <c r="M324" s="300">
        <f t="shared" si="112"/>
        <v>-4</v>
      </c>
      <c r="N324" s="300">
        <f t="shared" si="112"/>
        <v>-5</v>
      </c>
      <c r="O324" s="300">
        <f t="shared" si="112"/>
        <v>3</v>
      </c>
      <c r="P324" s="300">
        <f t="shared" si="112"/>
        <v>0</v>
      </c>
      <c r="Q324" s="300">
        <f t="shared" si="112"/>
        <v>131</v>
      </c>
      <c r="R324" s="300">
        <f t="shared" si="112"/>
        <v>0</v>
      </c>
      <c r="S324" s="300">
        <f t="shared" si="112"/>
        <v>421</v>
      </c>
      <c r="T324" s="300">
        <f t="shared" si="112"/>
        <v>0</v>
      </c>
      <c r="U324" s="300">
        <f t="shared" si="112"/>
        <v>0</v>
      </c>
      <c r="V324" s="300">
        <f t="shared" si="112"/>
        <v>0</v>
      </c>
      <c r="W324" s="300">
        <f t="shared" si="112"/>
        <v>0</v>
      </c>
      <c r="X324" s="300">
        <f t="shared" si="112"/>
        <v>0</v>
      </c>
      <c r="Y324" s="300">
        <f t="shared" si="112"/>
        <v>0</v>
      </c>
      <c r="Z324" s="300">
        <f t="shared" si="112"/>
        <v>0</v>
      </c>
      <c r="AA324" s="300">
        <f t="shared" si="112"/>
        <v>0</v>
      </c>
      <c r="AB324" s="300">
        <f t="shared" si="112"/>
        <v>0</v>
      </c>
      <c r="AC324" s="300">
        <f t="shared" si="112"/>
        <v>0</v>
      </c>
      <c r="AD324" s="300">
        <f t="shared" si="112"/>
        <v>0</v>
      </c>
      <c r="AE324" s="300">
        <f t="shared" si="112"/>
        <v>0</v>
      </c>
      <c r="AF324" s="300">
        <f t="shared" si="112"/>
        <v>0</v>
      </c>
      <c r="AG324" s="300">
        <f t="shared" si="112"/>
        <v>0</v>
      </c>
      <c r="AH324" s="300">
        <f t="shared" si="112"/>
        <v>0</v>
      </c>
      <c r="AO324" s="338"/>
      <c r="AP324" s="449"/>
      <c r="AR324" s="449"/>
      <c r="AS324" s="449"/>
      <c r="BA324" s="498"/>
      <c r="BB324" s="498"/>
      <c r="BC324" s="498"/>
      <c r="BD324" s="498"/>
      <c r="BE324" s="498"/>
      <c r="BF324" s="498"/>
      <c r="BG324" s="498"/>
      <c r="BH324" s="498"/>
      <c r="BI324" s="498"/>
      <c r="BJ324" s="498"/>
      <c r="BK324" s="498"/>
      <c r="BL324" s="498"/>
      <c r="BM324" s="498"/>
      <c r="BN324" s="498"/>
      <c r="BO324" s="498"/>
      <c r="BP324" s="498"/>
      <c r="BQ324" s="498"/>
      <c r="BR324" s="498"/>
      <c r="BS324" s="498"/>
      <c r="BT324" s="498"/>
      <c r="BU324" s="498"/>
      <c r="BV324" s="498"/>
      <c r="BW324" s="498"/>
      <c r="BX324" s="498"/>
      <c r="BY324" s="498"/>
      <c r="BZ324" s="498"/>
      <c r="CA324" s="498"/>
      <c r="CB324" s="498"/>
      <c r="CC324" s="498"/>
      <c r="CD324" s="498"/>
      <c r="CE324" s="498"/>
      <c r="CF324" s="498"/>
      <c r="CG324" s="300"/>
      <c r="CH324" s="300"/>
      <c r="CI324" s="300"/>
      <c r="CJ324" s="300"/>
      <c r="CK324" s="300"/>
      <c r="CL324" s="300"/>
      <c r="CM324" s="300"/>
      <c r="CN324" s="300"/>
      <c r="CO324" s="357"/>
      <c r="CR324" s="498"/>
      <c r="CS324" s="498"/>
      <c r="CT324" s="498"/>
      <c r="CU324" s="498"/>
      <c r="CV324" s="498"/>
      <c r="CW324" s="498"/>
      <c r="CX324" s="498"/>
      <c r="CY324" s="498"/>
      <c r="CZ324" s="498"/>
      <c r="DA324" s="498"/>
      <c r="DB324" s="498"/>
      <c r="DC324" s="498"/>
      <c r="DD324" s="498"/>
      <c r="DE324" s="498"/>
      <c r="DF324" s="498"/>
      <c r="DG324" s="498"/>
      <c r="DH324" s="498"/>
      <c r="DI324" s="498"/>
      <c r="DJ324" s="498"/>
      <c r="DK324" s="498"/>
      <c r="DL324" s="498"/>
      <c r="DM324" s="498"/>
      <c r="DN324" s="498"/>
      <c r="DO324" s="498"/>
      <c r="DP324" s="498"/>
      <c r="DQ324" s="498"/>
      <c r="DR324" s="498"/>
      <c r="DS324" s="498"/>
      <c r="DT324" s="498"/>
      <c r="DU324" s="498"/>
      <c r="DV324" s="498"/>
      <c r="DW324" s="498"/>
      <c r="DX324" s="498"/>
      <c r="DY324" s="498"/>
      <c r="DZ324" s="498"/>
      <c r="EA324" s="498"/>
      <c r="EB324" s="498"/>
      <c r="EC324" s="498"/>
      <c r="ED324" s="498"/>
      <c r="EE324" s="498"/>
      <c r="EF324" s="498"/>
      <c r="EG324" s="498"/>
      <c r="EH324" s="498"/>
      <c r="EI324" s="498"/>
      <c r="EJ324" s="498"/>
      <c r="EK324" s="498"/>
      <c r="EL324" s="498"/>
      <c r="EM324" s="498"/>
      <c r="EN324" s="498"/>
      <c r="EO324" s="498"/>
      <c r="EP324" s="498"/>
      <c r="EQ324" s="498"/>
      <c r="ER324" s="498"/>
      <c r="ES324" s="498"/>
      <c r="ET324" s="498"/>
      <c r="EU324" s="498"/>
      <c r="EV324" s="498"/>
      <c r="EW324" s="498"/>
      <c r="EX324" s="498"/>
      <c r="EY324" s="498"/>
      <c r="EZ324" s="498"/>
      <c r="FA324" s="498"/>
      <c r="FB324" s="498"/>
      <c r="FC324" s="498"/>
    </row>
    <row r="325" spans="3:159">
      <c r="C325" s="19" t="s">
        <v>769</v>
      </c>
      <c r="J325" s="300">
        <f t="shared" ref="J325:AH325" si="113">J259</f>
        <v>-15</v>
      </c>
      <c r="K325" s="300">
        <f t="shared" si="113"/>
        <v>-15</v>
      </c>
      <c r="L325" s="300">
        <f t="shared" si="113"/>
        <v>-15</v>
      </c>
      <c r="M325" s="300">
        <f t="shared" si="113"/>
        <v>-16</v>
      </c>
      <c r="N325" s="300">
        <f t="shared" si="113"/>
        <v>-20</v>
      </c>
      <c r="O325" s="300">
        <f t="shared" si="113"/>
        <v>-25</v>
      </c>
      <c r="P325" s="300">
        <f t="shared" si="113"/>
        <v>-26</v>
      </c>
      <c r="Q325" s="300">
        <f t="shared" si="113"/>
        <v>-32</v>
      </c>
      <c r="R325" s="300">
        <f t="shared" si="113"/>
        <v>-65</v>
      </c>
      <c r="S325" s="300">
        <f t="shared" si="113"/>
        <v>-50</v>
      </c>
      <c r="T325" s="300">
        <f t="shared" si="113"/>
        <v>-55</v>
      </c>
      <c r="U325" s="300">
        <f t="shared" si="113"/>
        <v>-64</v>
      </c>
      <c r="V325" s="300">
        <f t="shared" si="113"/>
        <v>-78</v>
      </c>
      <c r="W325" s="300">
        <f t="shared" si="113"/>
        <v>-67</v>
      </c>
      <c r="X325" s="300">
        <f t="shared" si="113"/>
        <v>-35</v>
      </c>
      <c r="Y325" s="300">
        <f t="shared" si="113"/>
        <v>-24</v>
      </c>
      <c r="Z325" s="300">
        <f t="shared" si="113"/>
        <v>-37</v>
      </c>
      <c r="AA325" s="300">
        <f t="shared" si="113"/>
        <v>-77</v>
      </c>
      <c r="AB325" s="300">
        <f t="shared" si="113"/>
        <v>-93</v>
      </c>
      <c r="AC325" s="300">
        <f t="shared" si="113"/>
        <v>-102.88746416730811</v>
      </c>
      <c r="AD325" s="300">
        <f t="shared" si="113"/>
        <v>-114.58742296451408</v>
      </c>
      <c r="AE325" s="300">
        <f t="shared" si="113"/>
        <v>-126.70278375374625</v>
      </c>
      <c r="AF325" s="300">
        <f t="shared" si="113"/>
        <v>-137.42381765562197</v>
      </c>
      <c r="AG325" s="300">
        <f t="shared" si="113"/>
        <v>-144.17219852470006</v>
      </c>
      <c r="AH325" s="300">
        <f t="shared" si="113"/>
        <v>-151.15100778555964</v>
      </c>
      <c r="AO325" s="338"/>
      <c r="AP325" s="449"/>
      <c r="AR325" s="449"/>
      <c r="AS325" s="449"/>
      <c r="BA325" s="498"/>
      <c r="BB325" s="498"/>
      <c r="BC325" s="498"/>
      <c r="BD325" s="498"/>
      <c r="BE325" s="498"/>
      <c r="BF325" s="498"/>
      <c r="BG325" s="498"/>
      <c r="BH325" s="498"/>
      <c r="BI325" s="498"/>
      <c r="BJ325" s="498"/>
      <c r="BK325" s="498"/>
      <c r="BL325" s="498"/>
      <c r="BM325" s="498"/>
      <c r="BN325" s="498"/>
      <c r="BO325" s="498"/>
      <c r="BP325" s="498"/>
      <c r="BQ325" s="498"/>
      <c r="BR325" s="498"/>
      <c r="BS325" s="498"/>
      <c r="BT325" s="498"/>
      <c r="BU325" s="498"/>
      <c r="BV325" s="498"/>
      <c r="BW325" s="498"/>
      <c r="BX325" s="498"/>
      <c r="BY325" s="498"/>
      <c r="BZ325" s="498"/>
      <c r="CA325" s="498"/>
      <c r="CB325" s="498"/>
      <c r="CC325" s="498"/>
      <c r="CD325" s="498"/>
      <c r="CE325" s="498"/>
      <c r="CF325" s="498"/>
      <c r="CG325" s="300"/>
      <c r="CH325" s="300"/>
      <c r="CI325" s="300"/>
      <c r="CJ325" s="300"/>
      <c r="CK325" s="300"/>
      <c r="CL325" s="300"/>
      <c r="CM325" s="300"/>
      <c r="CN325" s="300"/>
      <c r="CO325" s="357"/>
      <c r="CR325" s="498"/>
      <c r="CS325" s="498"/>
      <c r="CT325" s="498"/>
      <c r="CU325" s="498"/>
      <c r="CV325" s="498"/>
      <c r="CW325" s="498"/>
      <c r="CX325" s="498"/>
      <c r="CY325" s="498"/>
      <c r="CZ325" s="498"/>
      <c r="DA325" s="498"/>
      <c r="DB325" s="498"/>
      <c r="DC325" s="498"/>
      <c r="DD325" s="498"/>
      <c r="DE325" s="498"/>
      <c r="DF325" s="498"/>
      <c r="DG325" s="498"/>
      <c r="DH325" s="498"/>
      <c r="DI325" s="498"/>
      <c r="DJ325" s="498"/>
      <c r="DK325" s="498"/>
      <c r="DL325" s="498"/>
      <c r="DM325" s="498"/>
      <c r="DN325" s="498"/>
      <c r="DO325" s="498"/>
      <c r="DP325" s="498"/>
      <c r="DQ325" s="498"/>
      <c r="DR325" s="498"/>
      <c r="DS325" s="498"/>
      <c r="DT325" s="498"/>
      <c r="DU325" s="498"/>
      <c r="DV325" s="498"/>
      <c r="DW325" s="498"/>
      <c r="DX325" s="498"/>
      <c r="DY325" s="498"/>
      <c r="DZ325" s="498"/>
      <c r="EA325" s="498"/>
      <c r="EB325" s="498"/>
      <c r="EC325" s="498"/>
      <c r="ED325" s="498"/>
      <c r="EE325" s="498"/>
      <c r="EF325" s="498"/>
      <c r="EG325" s="498"/>
      <c r="EH325" s="498"/>
      <c r="EI325" s="498"/>
      <c r="EJ325" s="498"/>
      <c r="EK325" s="498"/>
      <c r="EL325" s="498"/>
      <c r="EM325" s="498"/>
      <c r="EN325" s="498"/>
      <c r="EO325" s="498"/>
      <c r="EP325" s="498"/>
      <c r="EQ325" s="498"/>
      <c r="ER325" s="498"/>
      <c r="ES325" s="498"/>
      <c r="ET325" s="498"/>
      <c r="EU325" s="498"/>
      <c r="EV325" s="498"/>
      <c r="EW325" s="498"/>
      <c r="EX325" s="498"/>
      <c r="EY325" s="498"/>
      <c r="EZ325" s="498"/>
      <c r="FA325" s="498"/>
      <c r="FB325" s="498"/>
      <c r="FC325" s="498"/>
    </row>
    <row r="326" spans="3:159">
      <c r="C326" s="19" t="s">
        <v>967</v>
      </c>
      <c r="J326" s="300" t="e">
        <f t="shared" ref="J326:AH326" si="114">J320+SUM(J323:J325)</f>
        <v>#REF!</v>
      </c>
      <c r="K326" s="300" t="e">
        <f t="shared" si="114"/>
        <v>#REF!</v>
      </c>
      <c r="L326" s="300" t="e">
        <f t="shared" si="114"/>
        <v>#REF!</v>
      </c>
      <c r="M326" s="300" t="e">
        <f t="shared" si="114"/>
        <v>#REF!</v>
      </c>
      <c r="N326" s="300" t="e">
        <f t="shared" si="114"/>
        <v>#REF!</v>
      </c>
      <c r="O326" s="300" t="e">
        <f t="shared" si="114"/>
        <v>#REF!</v>
      </c>
      <c r="P326" s="300" t="e">
        <f t="shared" si="114"/>
        <v>#REF!</v>
      </c>
      <c r="Q326" s="300">
        <f t="shared" si="114"/>
        <v>-2466.4841475721155</v>
      </c>
      <c r="R326" s="300">
        <f t="shared" si="114"/>
        <v>-2293.136963114729</v>
      </c>
      <c r="S326" s="300">
        <f t="shared" si="114"/>
        <v>-1612.5677145391046</v>
      </c>
      <c r="T326" s="300">
        <f t="shared" si="114"/>
        <v>-1657.9520086733644</v>
      </c>
      <c r="U326" s="300">
        <f t="shared" si="114"/>
        <v>1406.1624445912807</v>
      </c>
      <c r="V326" s="300">
        <f t="shared" si="114"/>
        <v>1892.9599211503057</v>
      </c>
      <c r="W326" s="300">
        <f t="shared" si="114"/>
        <v>2614.4418674479894</v>
      </c>
      <c r="X326" s="300">
        <f t="shared" si="114"/>
        <v>862.60507931548045</v>
      </c>
      <c r="Y326" s="300">
        <f t="shared" si="114"/>
        <v>692.84759139091511</v>
      </c>
      <c r="Z326" s="300">
        <f t="shared" si="114"/>
        <v>1133.679399503533</v>
      </c>
      <c r="AA326" s="300">
        <f t="shared" si="114"/>
        <v>1963.3241114464838</v>
      </c>
      <c r="AB326" s="300">
        <f t="shared" si="114"/>
        <v>3018.2441662657293</v>
      </c>
      <c r="AC326" s="300">
        <f t="shared" si="114"/>
        <v>3309.520578987891</v>
      </c>
      <c r="AD326" s="300">
        <f t="shared" si="114"/>
        <v>4098.7358673356375</v>
      </c>
      <c r="AE326" s="300">
        <f t="shared" si="114"/>
        <v>4955.0811781952161</v>
      </c>
      <c r="AF326" s="300">
        <f t="shared" si="114"/>
        <v>5518.6745742810035</v>
      </c>
      <c r="AG326" s="300">
        <f t="shared" si="114"/>
        <v>5858.3227720833183</v>
      </c>
      <c r="AH326" s="300">
        <f t="shared" si="114"/>
        <v>6207.1783275244543</v>
      </c>
      <c r="AO326" s="338"/>
      <c r="AP326" s="449"/>
      <c r="AR326" s="449"/>
      <c r="AS326" s="449"/>
      <c r="BA326" s="498"/>
      <c r="BB326" s="498"/>
      <c r="BC326" s="498"/>
      <c r="BD326" s="498"/>
      <c r="BE326" s="498"/>
      <c r="BF326" s="498"/>
      <c r="BG326" s="498"/>
      <c r="BH326" s="498"/>
      <c r="BI326" s="498"/>
      <c r="BJ326" s="498"/>
      <c r="BK326" s="498"/>
      <c r="BL326" s="498"/>
      <c r="BM326" s="498"/>
      <c r="BN326" s="498"/>
      <c r="BO326" s="498"/>
      <c r="BP326" s="498"/>
      <c r="BQ326" s="498"/>
      <c r="BR326" s="498"/>
      <c r="BS326" s="498"/>
      <c r="BT326" s="498"/>
      <c r="BU326" s="498"/>
      <c r="BV326" s="498"/>
      <c r="BW326" s="498"/>
      <c r="BX326" s="498"/>
      <c r="BY326" s="498"/>
      <c r="BZ326" s="498"/>
      <c r="CA326" s="498"/>
      <c r="CB326" s="498"/>
      <c r="CC326" s="498"/>
      <c r="CD326" s="498"/>
      <c r="CE326" s="498"/>
      <c r="CF326" s="498"/>
      <c r="CG326" s="300"/>
      <c r="CH326" s="300"/>
      <c r="CI326" s="300"/>
      <c r="CJ326" s="300"/>
      <c r="CK326" s="300"/>
      <c r="CL326" s="300"/>
      <c r="CM326" s="300"/>
      <c r="CN326" s="300"/>
      <c r="CO326" s="357"/>
      <c r="CR326" s="498"/>
      <c r="CS326" s="498"/>
      <c r="CT326" s="498"/>
      <c r="CU326" s="498"/>
      <c r="CV326" s="498"/>
      <c r="CW326" s="498"/>
      <c r="CX326" s="498"/>
      <c r="CY326" s="498"/>
      <c r="CZ326" s="498"/>
      <c r="DA326" s="498"/>
      <c r="DB326" s="498"/>
      <c r="DC326" s="498"/>
      <c r="DD326" s="498"/>
      <c r="DE326" s="498"/>
      <c r="DF326" s="498"/>
      <c r="DG326" s="498"/>
      <c r="DH326" s="498"/>
      <c r="DI326" s="498"/>
      <c r="DJ326" s="498"/>
      <c r="DK326" s="498"/>
      <c r="DL326" s="498"/>
      <c r="DM326" s="498"/>
      <c r="DN326" s="498"/>
      <c r="DO326" s="498"/>
      <c r="DP326" s="498"/>
      <c r="DQ326" s="498"/>
      <c r="DR326" s="498"/>
      <c r="DS326" s="498"/>
      <c r="DT326" s="498"/>
      <c r="DU326" s="498"/>
      <c r="DV326" s="498"/>
      <c r="DW326" s="498"/>
      <c r="DX326" s="498"/>
      <c r="DY326" s="498"/>
      <c r="DZ326" s="498"/>
      <c r="EA326" s="498"/>
      <c r="EB326" s="498"/>
      <c r="EC326" s="498"/>
      <c r="ED326" s="498"/>
      <c r="EE326" s="498"/>
      <c r="EF326" s="498"/>
      <c r="EG326" s="498"/>
      <c r="EH326" s="498"/>
      <c r="EI326" s="498"/>
      <c r="EJ326" s="498"/>
      <c r="EK326" s="498"/>
      <c r="EL326" s="498"/>
      <c r="EM326" s="498"/>
      <c r="EN326" s="498"/>
      <c r="EO326" s="498"/>
      <c r="EP326" s="498"/>
      <c r="EQ326" s="498"/>
      <c r="ER326" s="498"/>
      <c r="ES326" s="498"/>
      <c r="ET326" s="498"/>
      <c r="EU326" s="498"/>
      <c r="EV326" s="498"/>
      <c r="EW326" s="498"/>
      <c r="EX326" s="498"/>
      <c r="EY326" s="498"/>
      <c r="EZ326" s="498"/>
      <c r="FA326" s="498"/>
      <c r="FB326" s="498"/>
      <c r="FC326" s="498"/>
    </row>
    <row r="327" spans="3:159">
      <c r="C327" s="214" t="s">
        <v>1560</v>
      </c>
      <c r="D327" s="57"/>
      <c r="E327" s="57"/>
      <c r="F327" s="57"/>
      <c r="G327" s="57"/>
      <c r="H327" s="57"/>
      <c r="I327" s="57"/>
      <c r="J327" s="299" t="e">
        <f t="shared" ref="J327:AH327" si="115">J326/J265*1000</f>
        <v>#REF!</v>
      </c>
      <c r="K327" s="299" t="e">
        <f t="shared" si="115"/>
        <v>#REF!</v>
      </c>
      <c r="L327" s="299" t="e">
        <f t="shared" si="115"/>
        <v>#REF!</v>
      </c>
      <c r="M327" s="299" t="e">
        <f t="shared" si="115"/>
        <v>#REF!</v>
      </c>
      <c r="N327" s="299" t="e">
        <f t="shared" si="115"/>
        <v>#REF!</v>
      </c>
      <c r="O327" s="299" t="e">
        <f t="shared" si="115"/>
        <v>#REF!</v>
      </c>
      <c r="P327" s="299" t="e">
        <f t="shared" si="115"/>
        <v>#REF!</v>
      </c>
      <c r="Q327" s="299">
        <f t="shared" si="115"/>
        <v>-5.9248791397890628</v>
      </c>
      <c r="R327" s="299">
        <f t="shared" si="115"/>
        <v>-5.5068764341752088</v>
      </c>
      <c r="S327" s="299">
        <f t="shared" si="115"/>
        <v>-3.8617991154116611</v>
      </c>
      <c r="T327" s="299">
        <f t="shared" si="115"/>
        <v>-3.982349219374663</v>
      </c>
      <c r="U327" s="299">
        <f t="shared" si="115"/>
        <v>3.4276493505094781</v>
      </c>
      <c r="V327" s="299">
        <f t="shared" si="115"/>
        <v>4.3929172448309215</v>
      </c>
      <c r="W327" s="299">
        <f t="shared" si="115"/>
        <v>6.0840113379916172</v>
      </c>
      <c r="X327" s="299">
        <f t="shared" si="115"/>
        <v>2.0247247226565506</v>
      </c>
      <c r="Y327" s="299">
        <f t="shared" si="115"/>
        <v>1.6239233592487694</v>
      </c>
      <c r="Z327" s="299">
        <f t="shared" si="115"/>
        <v>2.6569739708250539</v>
      </c>
      <c r="AA327" s="299">
        <f t="shared" si="115"/>
        <v>4.6992467583792976</v>
      </c>
      <c r="AB327" s="299">
        <f t="shared" si="115"/>
        <v>7.2527876368519006</v>
      </c>
      <c r="AC327" s="299">
        <f t="shared" si="115"/>
        <v>8.0393965474983275</v>
      </c>
      <c r="AD327" s="299">
        <f t="shared" si="115"/>
        <v>10.066248864124422</v>
      </c>
      <c r="AE327" s="299">
        <f t="shared" si="115"/>
        <v>12.304971330022767</v>
      </c>
      <c r="AF327" s="299">
        <f t="shared" si="115"/>
        <v>13.858959843880582</v>
      </c>
      <c r="AG327" s="299">
        <f t="shared" si="115"/>
        <v>14.711912970764669</v>
      </c>
      <c r="AH327" s="299">
        <f t="shared" si="115"/>
        <v>15.587988388711063</v>
      </c>
      <c r="AO327" s="338"/>
      <c r="AP327" s="449"/>
      <c r="AR327" s="449"/>
      <c r="AS327" s="449"/>
      <c r="BA327" s="498"/>
      <c r="BB327" s="498"/>
      <c r="BC327" s="498"/>
      <c r="BD327" s="498"/>
      <c r="BE327" s="498"/>
      <c r="BF327" s="498"/>
      <c r="BG327" s="498"/>
      <c r="BH327" s="498"/>
      <c r="BI327" s="498"/>
      <c r="BJ327" s="498"/>
      <c r="BK327" s="498"/>
      <c r="BL327" s="498"/>
      <c r="BM327" s="498"/>
      <c r="BN327" s="498"/>
      <c r="BO327" s="498"/>
      <c r="BP327" s="498"/>
      <c r="BQ327" s="498"/>
      <c r="BR327" s="498"/>
      <c r="BS327" s="498"/>
      <c r="BT327" s="498"/>
      <c r="BU327" s="498"/>
      <c r="BV327" s="498"/>
      <c r="BW327" s="498"/>
      <c r="BX327" s="498"/>
      <c r="BY327" s="498"/>
      <c r="BZ327" s="498"/>
      <c r="CA327" s="498"/>
      <c r="CB327" s="498"/>
      <c r="CC327" s="498"/>
      <c r="CD327" s="498"/>
      <c r="CE327" s="498"/>
      <c r="CF327" s="498"/>
      <c r="CG327" s="299"/>
      <c r="CH327" s="299"/>
      <c r="CI327" s="299"/>
      <c r="CJ327" s="299"/>
      <c r="CK327" s="299"/>
      <c r="CL327" s="299"/>
      <c r="CM327" s="299"/>
      <c r="CN327" s="299"/>
      <c r="CO327" s="487"/>
      <c r="CR327" s="498"/>
      <c r="CS327" s="498"/>
      <c r="CT327" s="498"/>
      <c r="CU327" s="498"/>
      <c r="CV327" s="498"/>
      <c r="CW327" s="498"/>
      <c r="CX327" s="498"/>
      <c r="CY327" s="498"/>
      <c r="CZ327" s="498"/>
      <c r="DA327" s="498"/>
      <c r="DB327" s="498"/>
      <c r="DC327" s="498"/>
      <c r="DD327" s="498"/>
      <c r="DE327" s="498"/>
      <c r="DF327" s="498"/>
      <c r="DG327" s="498"/>
      <c r="DH327" s="498"/>
      <c r="DI327" s="498"/>
      <c r="DJ327" s="498"/>
      <c r="DK327" s="498"/>
      <c r="DL327" s="498"/>
      <c r="DM327" s="498"/>
      <c r="DN327" s="498"/>
      <c r="DO327" s="498"/>
      <c r="DP327" s="498"/>
      <c r="DQ327" s="498"/>
      <c r="DR327" s="498"/>
      <c r="DS327" s="498"/>
      <c r="DT327" s="498"/>
      <c r="DU327" s="498"/>
      <c r="DV327" s="498"/>
      <c r="DW327" s="498"/>
      <c r="DX327" s="498"/>
      <c r="DY327" s="498"/>
      <c r="DZ327" s="498"/>
      <c r="EA327" s="498"/>
      <c r="EB327" s="498"/>
      <c r="EC327" s="498"/>
      <c r="ED327" s="498"/>
      <c r="EE327" s="498"/>
      <c r="EF327" s="498"/>
      <c r="EG327" s="498"/>
      <c r="EH327" s="498"/>
      <c r="EI327" s="498"/>
      <c r="EJ327" s="498"/>
      <c r="EK327" s="498"/>
      <c r="EL327" s="498"/>
      <c r="EM327" s="498"/>
      <c r="EN327" s="498"/>
      <c r="EO327" s="498"/>
      <c r="EP327" s="498"/>
      <c r="EQ327" s="498"/>
      <c r="ER327" s="498"/>
      <c r="ES327" s="498"/>
      <c r="ET327" s="498"/>
      <c r="EU327" s="498"/>
      <c r="EV327" s="498"/>
      <c r="EW327" s="498"/>
      <c r="EX327" s="498"/>
      <c r="EY327" s="498"/>
      <c r="EZ327" s="498"/>
      <c r="FA327" s="498"/>
      <c r="FB327" s="498"/>
      <c r="FC327" s="498"/>
    </row>
    <row r="328" spans="3:159">
      <c r="C328" s="19" t="s">
        <v>1103</v>
      </c>
      <c r="J328" s="30" t="e">
        <f t="shared" ref="J328:AH328" si="116">J327/J312</f>
        <v>#REF!</v>
      </c>
      <c r="K328" s="30" t="e">
        <f t="shared" si="116"/>
        <v>#REF!</v>
      </c>
      <c r="L328" s="30" t="e">
        <f t="shared" si="116"/>
        <v>#REF!</v>
      </c>
      <c r="M328" s="30" t="e">
        <f t="shared" si="116"/>
        <v>#REF!</v>
      </c>
      <c r="N328" s="30" t="e">
        <f t="shared" si="116"/>
        <v>#REF!</v>
      </c>
      <c r="O328" s="30" t="e">
        <f t="shared" si="116"/>
        <v>#REF!</v>
      </c>
      <c r="P328" s="30" t="e">
        <f t="shared" si="116"/>
        <v>#REF!</v>
      </c>
      <c r="Q328" s="30">
        <f t="shared" si="116"/>
        <v>3.275543356669476</v>
      </c>
      <c r="R328" s="30">
        <f t="shared" si="116"/>
        <v>2.2570245699948122</v>
      </c>
      <c r="S328" s="30">
        <f t="shared" si="116"/>
        <v>1.5550315472893967</v>
      </c>
      <c r="T328" s="30">
        <f t="shared" si="116"/>
        <v>2.2404756873964389</v>
      </c>
      <c r="U328" s="30">
        <f t="shared" si="116"/>
        <v>0.92389122509282573</v>
      </c>
      <c r="V328" s="30">
        <f t="shared" si="116"/>
        <v>0.95555775928839259</v>
      </c>
      <c r="W328" s="30">
        <f t="shared" si="116"/>
        <v>0.9810288433200709</v>
      </c>
      <c r="X328" s="30">
        <f t="shared" si="116"/>
        <v>1.0220439328382471</v>
      </c>
      <c r="Y328" s="30">
        <f t="shared" si="116"/>
        <v>0.91164156761962511</v>
      </c>
      <c r="Z328" s="30">
        <f t="shared" si="116"/>
        <v>0.96237640025766791</v>
      </c>
      <c r="AA328" s="30">
        <f t="shared" si="116"/>
        <v>0.96810853621621495</v>
      </c>
      <c r="AB328" s="30">
        <f t="shared" si="116"/>
        <v>0.98378232277240207</v>
      </c>
      <c r="AC328" s="30">
        <f t="shared" si="116"/>
        <v>0.98484144235099658</v>
      </c>
      <c r="AD328" s="30">
        <f t="shared" si="116"/>
        <v>0.9856578058824691</v>
      </c>
      <c r="AE328" s="30">
        <f t="shared" si="116"/>
        <v>0.98622052708853614</v>
      </c>
      <c r="AF328" s="30">
        <f t="shared" si="116"/>
        <v>0.98662039064300866</v>
      </c>
      <c r="AG328" s="30">
        <f t="shared" si="116"/>
        <v>0.98670451133202253</v>
      </c>
      <c r="AH328" s="30">
        <f t="shared" si="116"/>
        <v>0.98677043860424862</v>
      </c>
      <c r="AO328" s="338"/>
      <c r="AP328" s="449"/>
      <c r="AR328" s="449"/>
      <c r="AS328" s="449"/>
      <c r="BA328" s="498"/>
      <c r="BB328" s="498"/>
      <c r="BC328" s="498"/>
      <c r="BD328" s="498"/>
      <c r="BE328" s="498"/>
      <c r="BF328" s="498"/>
      <c r="BG328" s="498"/>
      <c r="BH328" s="498"/>
      <c r="BI328" s="498"/>
      <c r="BJ328" s="498"/>
      <c r="BK328" s="498"/>
      <c r="BL328" s="498"/>
      <c r="BM328" s="498"/>
      <c r="BN328" s="498"/>
      <c r="BO328" s="498"/>
      <c r="BP328" s="498"/>
      <c r="BQ328" s="498"/>
      <c r="BR328" s="498"/>
      <c r="BS328" s="498"/>
      <c r="BT328" s="498"/>
      <c r="BU328" s="498"/>
      <c r="BV328" s="498"/>
      <c r="BW328" s="498"/>
      <c r="BX328" s="498"/>
      <c r="BY328" s="498"/>
      <c r="BZ328" s="498"/>
      <c r="CA328" s="498"/>
      <c r="CB328" s="498"/>
      <c r="CC328" s="498"/>
      <c r="CD328" s="498"/>
      <c r="CE328" s="498"/>
      <c r="CF328" s="498"/>
      <c r="CG328" s="30"/>
      <c r="CH328" s="30"/>
      <c r="CI328" s="30"/>
      <c r="CJ328" s="30"/>
      <c r="CK328" s="30"/>
      <c r="CL328" s="30"/>
      <c r="CM328" s="30"/>
      <c r="CN328" s="30"/>
      <c r="CO328" s="355"/>
      <c r="CR328" s="498"/>
      <c r="CS328" s="498"/>
      <c r="CT328" s="498"/>
      <c r="CU328" s="498"/>
      <c r="CV328" s="498"/>
      <c r="CW328" s="498"/>
      <c r="CX328" s="498"/>
      <c r="CY328" s="498"/>
      <c r="CZ328" s="498"/>
      <c r="DA328" s="498"/>
      <c r="DB328" s="498"/>
      <c r="DC328" s="498"/>
      <c r="DD328" s="498"/>
      <c r="DE328" s="498"/>
      <c r="DF328" s="498"/>
      <c r="DG328" s="498"/>
      <c r="DH328" s="498"/>
      <c r="DI328" s="498"/>
      <c r="DJ328" s="498"/>
      <c r="DK328" s="498"/>
      <c r="DL328" s="498"/>
      <c r="DM328" s="498"/>
      <c r="DN328" s="498"/>
      <c r="DO328" s="498"/>
      <c r="DP328" s="498"/>
      <c r="DQ328" s="498"/>
      <c r="DR328" s="498"/>
      <c r="DS328" s="498"/>
      <c r="DT328" s="498"/>
      <c r="DU328" s="498"/>
      <c r="DV328" s="498"/>
      <c r="DW328" s="498"/>
      <c r="DX328" s="498"/>
      <c r="DY328" s="498"/>
      <c r="DZ328" s="498"/>
      <c r="EA328" s="498"/>
      <c r="EB328" s="498"/>
      <c r="EC328" s="498"/>
      <c r="ED328" s="498"/>
      <c r="EE328" s="498"/>
      <c r="EF328" s="498"/>
      <c r="EG328" s="498"/>
      <c r="EH328" s="498"/>
      <c r="EI328" s="498"/>
      <c r="EJ328" s="498"/>
      <c r="EK328" s="498"/>
      <c r="EL328" s="498"/>
      <c r="EM328" s="498"/>
      <c r="EN328" s="498"/>
      <c r="EO328" s="498"/>
      <c r="EP328" s="498"/>
      <c r="EQ328" s="498"/>
      <c r="ER328" s="498"/>
      <c r="ES328" s="498"/>
      <c r="ET328" s="498"/>
      <c r="EU328" s="498"/>
      <c r="EV328" s="498"/>
      <c r="EW328" s="498"/>
      <c r="EX328" s="498"/>
      <c r="EY328" s="498"/>
      <c r="EZ328" s="498"/>
      <c r="FA328" s="498"/>
      <c r="FB328" s="498"/>
      <c r="FC328" s="498"/>
    </row>
    <row r="329" spans="3:159">
      <c r="C329" s="378" t="s">
        <v>1140</v>
      </c>
      <c r="J329" s="379" t="e">
        <f t="shared" ref="J329:AH329" si="117">SUM(J313:J319,J322)-J326</f>
        <v>#REF!</v>
      </c>
      <c r="K329" s="379" t="e">
        <f t="shared" si="117"/>
        <v>#REF!</v>
      </c>
      <c r="L329" s="379" t="e">
        <f t="shared" si="117"/>
        <v>#REF!</v>
      </c>
      <c r="M329" s="379" t="e">
        <f t="shared" si="117"/>
        <v>#REF!</v>
      </c>
      <c r="N329" s="379" t="e">
        <f t="shared" si="117"/>
        <v>#REF!</v>
      </c>
      <c r="O329" s="379" t="e">
        <f t="shared" si="117"/>
        <v>#REF!</v>
      </c>
      <c r="P329" s="379" t="e">
        <f t="shared" si="117"/>
        <v>#REF!</v>
      </c>
      <c r="Q329" s="379">
        <f t="shared" si="117"/>
        <v>0</v>
      </c>
      <c r="R329" s="379">
        <f t="shared" si="117"/>
        <v>0</v>
      </c>
      <c r="S329" s="379">
        <f t="shared" si="117"/>
        <v>0</v>
      </c>
      <c r="T329" s="379">
        <f t="shared" si="117"/>
        <v>0</v>
      </c>
      <c r="U329" s="379">
        <f t="shared" si="117"/>
        <v>0</v>
      </c>
      <c r="V329" s="379">
        <f t="shared" si="117"/>
        <v>0</v>
      </c>
      <c r="W329" s="379">
        <f t="shared" si="117"/>
        <v>0</v>
      </c>
      <c r="X329" s="379">
        <f t="shared" si="117"/>
        <v>0</v>
      </c>
      <c r="Y329" s="379">
        <f t="shared" si="117"/>
        <v>0</v>
      </c>
      <c r="Z329" s="379">
        <f t="shared" si="117"/>
        <v>0</v>
      </c>
      <c r="AA329" s="379">
        <f t="shared" si="117"/>
        <v>0</v>
      </c>
      <c r="AB329" s="379">
        <f t="shared" si="117"/>
        <v>0</v>
      </c>
      <c r="AC329" s="379">
        <f t="shared" si="117"/>
        <v>0</v>
      </c>
      <c r="AD329" s="379">
        <f t="shared" si="117"/>
        <v>0</v>
      </c>
      <c r="AE329" s="379">
        <f t="shared" si="117"/>
        <v>0</v>
      </c>
      <c r="AF329" s="379">
        <f t="shared" si="117"/>
        <v>0</v>
      </c>
      <c r="AG329" s="379">
        <f t="shared" si="117"/>
        <v>0</v>
      </c>
      <c r="AH329" s="379">
        <f t="shared" si="117"/>
        <v>0</v>
      </c>
      <c r="AO329" s="338"/>
      <c r="AP329" s="449"/>
      <c r="AR329" s="449"/>
      <c r="AS329" s="449"/>
      <c r="BA329" s="498"/>
      <c r="BB329" s="498"/>
      <c r="BC329" s="498"/>
      <c r="BD329" s="498"/>
      <c r="BE329" s="498"/>
      <c r="BF329" s="498"/>
      <c r="BG329" s="498"/>
      <c r="BH329" s="498"/>
      <c r="BI329" s="498"/>
      <c r="BJ329" s="498"/>
      <c r="BK329" s="498"/>
      <c r="BL329" s="498"/>
      <c r="BM329" s="498"/>
      <c r="BN329" s="498"/>
      <c r="BO329" s="498"/>
      <c r="BP329" s="498"/>
      <c r="BQ329" s="498"/>
      <c r="BR329" s="498"/>
      <c r="BS329" s="498"/>
      <c r="BT329" s="498"/>
      <c r="BU329" s="498"/>
      <c r="BV329" s="498"/>
      <c r="BW329" s="498"/>
      <c r="BX329" s="498"/>
      <c r="BY329" s="498"/>
      <c r="BZ329" s="498"/>
      <c r="CA329" s="498"/>
      <c r="CB329" s="498"/>
      <c r="CC329" s="498"/>
      <c r="CD329" s="498"/>
      <c r="CE329" s="498"/>
      <c r="CF329" s="498"/>
      <c r="CG329" s="379"/>
      <c r="CH329" s="379"/>
      <c r="CI329" s="379"/>
      <c r="CJ329" s="379"/>
      <c r="CK329" s="379"/>
      <c r="CL329" s="379"/>
      <c r="CM329" s="379"/>
      <c r="CN329" s="379"/>
      <c r="CO329" s="488"/>
      <c r="CR329" s="498"/>
      <c r="CS329" s="498"/>
      <c r="CT329" s="498"/>
      <c r="CU329" s="498"/>
      <c r="CV329" s="498"/>
      <c r="CW329" s="498"/>
      <c r="CX329" s="498"/>
      <c r="CY329" s="498"/>
      <c r="CZ329" s="498"/>
      <c r="DA329" s="498"/>
      <c r="DB329" s="498"/>
      <c r="DC329" s="498"/>
      <c r="DD329" s="498"/>
      <c r="DE329" s="498"/>
      <c r="DF329" s="498"/>
      <c r="DG329" s="498"/>
      <c r="DH329" s="498"/>
      <c r="DI329" s="498"/>
      <c r="DJ329" s="498"/>
      <c r="DK329" s="498"/>
      <c r="DL329" s="498"/>
      <c r="DM329" s="498"/>
      <c r="DN329" s="498"/>
      <c r="DO329" s="498"/>
      <c r="DP329" s="498"/>
      <c r="DQ329" s="498"/>
      <c r="DR329" s="498"/>
      <c r="DS329" s="498"/>
      <c r="DT329" s="498"/>
      <c r="DU329" s="498"/>
      <c r="DV329" s="498"/>
      <c r="DW329" s="498"/>
      <c r="DX329" s="498"/>
      <c r="DY329" s="498"/>
      <c r="DZ329" s="498"/>
      <c r="EA329" s="498"/>
      <c r="EB329" s="498"/>
      <c r="EC329" s="498"/>
      <c r="ED329" s="498"/>
      <c r="EE329" s="498"/>
      <c r="EF329" s="498"/>
      <c r="EG329" s="498"/>
      <c r="EH329" s="498"/>
      <c r="EI329" s="498"/>
      <c r="EJ329" s="498"/>
      <c r="EK329" s="498"/>
      <c r="EL329" s="498"/>
      <c r="EM329" s="498"/>
      <c r="EN329" s="498"/>
      <c r="EO329" s="498"/>
      <c r="EP329" s="498"/>
      <c r="EQ329" s="498"/>
      <c r="ER329" s="498"/>
      <c r="ES329" s="498"/>
      <c r="ET329" s="498"/>
      <c r="EU329" s="498"/>
      <c r="EV329" s="498"/>
      <c r="EW329" s="498"/>
      <c r="EX329" s="498"/>
      <c r="EY329" s="498"/>
      <c r="EZ329" s="498"/>
      <c r="FA329" s="498"/>
      <c r="FB329" s="498"/>
      <c r="FC329" s="498"/>
    </row>
    <row r="330" spans="3:159">
      <c r="C330" s="19" t="s">
        <v>1092</v>
      </c>
      <c r="J330" s="300"/>
      <c r="K330" s="19"/>
      <c r="L330" s="19"/>
      <c r="M330" s="19"/>
      <c r="N330" s="19"/>
      <c r="O330" s="19"/>
      <c r="P330" s="19"/>
      <c r="Q330" s="19"/>
      <c r="R330" s="19"/>
      <c r="S330" s="19"/>
      <c r="T330" s="19"/>
      <c r="U330" s="19"/>
      <c r="V330" s="19"/>
      <c r="W330" s="19"/>
      <c r="X330" s="19"/>
      <c r="Y330" s="19"/>
      <c r="Z330" s="19"/>
      <c r="AA330" s="19"/>
      <c r="AB330" s="19"/>
      <c r="AC330" s="19"/>
      <c r="AD330" s="19"/>
      <c r="AE330" s="19"/>
      <c r="AF330" s="19"/>
      <c r="AG330" s="19"/>
      <c r="AH330" s="19"/>
      <c r="AO330" s="338"/>
      <c r="AP330" s="449"/>
      <c r="AR330" s="449"/>
      <c r="AS330" s="449"/>
      <c r="BA330" s="498"/>
      <c r="BB330" s="498"/>
      <c r="BC330" s="498"/>
      <c r="BD330" s="498"/>
      <c r="BE330" s="498"/>
      <c r="BF330" s="498"/>
      <c r="BG330" s="498"/>
      <c r="BH330" s="498"/>
      <c r="BI330" s="498"/>
      <c r="BJ330" s="498"/>
      <c r="BK330" s="498"/>
      <c r="BL330" s="498"/>
      <c r="BM330" s="498"/>
      <c r="BN330" s="498"/>
      <c r="BO330" s="498"/>
      <c r="BP330" s="498"/>
      <c r="BQ330" s="498"/>
      <c r="BR330" s="498"/>
      <c r="BS330" s="498"/>
      <c r="BT330" s="498"/>
      <c r="BU330" s="498"/>
      <c r="BV330" s="498"/>
      <c r="BW330" s="498"/>
      <c r="BX330" s="498"/>
      <c r="BY330" s="498"/>
      <c r="BZ330" s="498"/>
      <c r="CA330" s="498"/>
      <c r="CB330" s="498"/>
      <c r="CC330" s="498"/>
      <c r="CD330" s="498"/>
      <c r="CE330" s="498"/>
      <c r="CF330" s="498"/>
      <c r="CG330" s="19"/>
      <c r="CH330" s="19"/>
      <c r="CI330" s="19"/>
      <c r="CJ330" s="19"/>
      <c r="CK330" s="19"/>
      <c r="CL330" s="19"/>
      <c r="CM330" s="19"/>
      <c r="CN330" s="19"/>
      <c r="CO330" s="4"/>
      <c r="CR330" s="498"/>
      <c r="CS330" s="498"/>
      <c r="CT330" s="498"/>
      <c r="CU330" s="498"/>
      <c r="CV330" s="498"/>
      <c r="CW330" s="498"/>
      <c r="CX330" s="498"/>
      <c r="CY330" s="498"/>
      <c r="CZ330" s="498"/>
      <c r="DA330" s="498"/>
      <c r="DB330" s="498"/>
      <c r="DC330" s="498"/>
      <c r="DD330" s="498"/>
      <c r="DE330" s="498"/>
      <c r="DF330" s="498"/>
      <c r="DG330" s="498"/>
      <c r="DH330" s="498"/>
      <c r="DI330" s="498"/>
      <c r="DJ330" s="498"/>
      <c r="DK330" s="498"/>
      <c r="DL330" s="498"/>
      <c r="DM330" s="498"/>
      <c r="DN330" s="498"/>
      <c r="DO330" s="498"/>
      <c r="DP330" s="498"/>
      <c r="DQ330" s="498"/>
      <c r="DR330" s="498"/>
      <c r="DS330" s="498"/>
      <c r="DT330" s="498"/>
      <c r="DU330" s="498"/>
      <c r="DV330" s="498"/>
      <c r="DW330" s="498"/>
      <c r="DX330" s="498"/>
      <c r="DY330" s="498"/>
      <c r="DZ330" s="498"/>
      <c r="EA330" s="498"/>
      <c r="EB330" s="498"/>
      <c r="EC330" s="498"/>
      <c r="ED330" s="498"/>
      <c r="EE330" s="498"/>
      <c r="EF330" s="498"/>
      <c r="EG330" s="498"/>
      <c r="EH330" s="498"/>
      <c r="EI330" s="498"/>
      <c r="EJ330" s="498"/>
      <c r="EK330" s="498"/>
      <c r="EL330" s="498"/>
      <c r="EM330" s="498"/>
      <c r="EN330" s="498"/>
      <c r="EO330" s="498"/>
      <c r="EP330" s="498"/>
      <c r="EQ330" s="498"/>
      <c r="ER330" s="498"/>
      <c r="ES330" s="498"/>
      <c r="ET330" s="498"/>
      <c r="EU330" s="498"/>
      <c r="EV330" s="498"/>
      <c r="EW330" s="498"/>
      <c r="EX330" s="498"/>
      <c r="EY330" s="498"/>
      <c r="EZ330" s="498"/>
      <c r="FA330" s="498"/>
      <c r="FB330" s="498"/>
      <c r="FC330" s="498"/>
    </row>
    <row r="331" spans="3:159">
      <c r="C331" s="19" t="s">
        <v>1102</v>
      </c>
      <c r="J331" s="300" t="e">
        <f t="shared" ref="J331:AH331" si="118">-(J333-J332)</f>
        <v>#REF!</v>
      </c>
      <c r="K331" s="300" t="e">
        <f t="shared" si="118"/>
        <v>#REF!</v>
      </c>
      <c r="L331" s="300" t="e">
        <f t="shared" si="118"/>
        <v>#REF!</v>
      </c>
      <c r="M331" s="300" t="e">
        <f t="shared" si="118"/>
        <v>#REF!</v>
      </c>
      <c r="N331" s="300" t="e">
        <f t="shared" si="118"/>
        <v>#REF!</v>
      </c>
      <c r="O331" s="300" t="e">
        <f t="shared" si="118"/>
        <v>#REF!</v>
      </c>
      <c r="P331" s="300" t="e">
        <f t="shared" si="118"/>
        <v>#REF!</v>
      </c>
      <c r="Q331" s="300">
        <f t="shared" si="118"/>
        <v>-1086.0110794471154</v>
      </c>
      <c r="R331" s="300">
        <f t="shared" si="118"/>
        <v>-701.01524158347911</v>
      </c>
      <c r="S331" s="300">
        <f t="shared" si="118"/>
        <v>-164.73990693129201</v>
      </c>
      <c r="T331" s="300">
        <f t="shared" si="118"/>
        <v>-667.35781068516121</v>
      </c>
      <c r="U331" s="300">
        <f t="shared" si="118"/>
        <v>39.586352478893957</v>
      </c>
      <c r="V331" s="300">
        <f t="shared" si="118"/>
        <v>27.28002443229957</v>
      </c>
      <c r="W331" s="300">
        <f t="shared" si="118"/>
        <v>18.727975894083102</v>
      </c>
      <c r="X331" s="300">
        <f t="shared" si="118"/>
        <v>-7.0695068161211907</v>
      </c>
      <c r="Y331" s="300">
        <f t="shared" si="118"/>
        <v>35.289275952733362</v>
      </c>
      <c r="Z331" s="300">
        <f t="shared" si="118"/>
        <v>20.318168293442113</v>
      </c>
      <c r="AA331" s="300">
        <f t="shared" si="118"/>
        <v>22.24481867588861</v>
      </c>
      <c r="AB331" s="300">
        <f t="shared" si="118"/>
        <v>15.53590885660401</v>
      </c>
      <c r="AC331" s="300">
        <f t="shared" si="118"/>
        <v>26.499811591665321</v>
      </c>
      <c r="AD331" s="300">
        <f t="shared" si="118"/>
        <v>25.694198673602386</v>
      </c>
      <c r="AE331" s="300">
        <f t="shared" si="118"/>
        <v>24.324894749836403</v>
      </c>
      <c r="AF331" s="300">
        <f t="shared" si="118"/>
        <v>26.29479324112458</v>
      </c>
      <c r="AG331" s="300">
        <f t="shared" si="118"/>
        <v>27.735251899896866</v>
      </c>
      <c r="AH331" s="300">
        <f t="shared" si="118"/>
        <v>29.239178483084743</v>
      </c>
      <c r="AO331" s="338"/>
      <c r="AP331" s="449"/>
      <c r="AR331" s="449"/>
      <c r="AS331" s="449"/>
      <c r="BA331" s="498"/>
      <c r="BB331" s="498"/>
      <c r="BC331" s="498"/>
      <c r="BD331" s="498"/>
      <c r="BE331" s="498"/>
      <c r="BF331" s="498"/>
      <c r="BG331" s="498"/>
      <c r="BH331" s="498"/>
      <c r="BI331" s="498"/>
      <c r="BJ331" s="498"/>
      <c r="BK331" s="498"/>
      <c r="BL331" s="498"/>
      <c r="BM331" s="498"/>
      <c r="BN331" s="498"/>
      <c r="BO331" s="498"/>
      <c r="BP331" s="498"/>
      <c r="BQ331" s="498"/>
      <c r="BR331" s="498"/>
      <c r="BS331" s="498"/>
      <c r="BT331" s="498"/>
      <c r="BU331" s="498"/>
      <c r="BV331" s="498"/>
      <c r="BW331" s="498"/>
      <c r="BX331" s="498"/>
      <c r="BY331" s="498"/>
      <c r="BZ331" s="498"/>
      <c r="CA331" s="498"/>
      <c r="CB331" s="498"/>
      <c r="CC331" s="498"/>
      <c r="CD331" s="498"/>
      <c r="CE331" s="498"/>
      <c r="CF331" s="498"/>
      <c r="CG331" s="300"/>
      <c r="CH331" s="300"/>
      <c r="CI331" s="300"/>
      <c r="CJ331" s="300"/>
      <c r="CK331" s="300"/>
      <c r="CL331" s="300"/>
      <c r="CM331" s="300"/>
      <c r="CN331" s="300"/>
      <c r="CO331" s="357"/>
      <c r="CR331" s="498"/>
      <c r="CS331" s="498"/>
      <c r="CT331" s="498"/>
      <c r="CU331" s="498"/>
      <c r="CV331" s="498"/>
      <c r="CW331" s="498"/>
      <c r="CX331" s="498"/>
      <c r="CY331" s="498"/>
      <c r="CZ331" s="498"/>
      <c r="DA331" s="498"/>
      <c r="DB331" s="498"/>
      <c r="DC331" s="498"/>
      <c r="DD331" s="498"/>
      <c r="DE331" s="498"/>
      <c r="DF331" s="498"/>
      <c r="DG331" s="498"/>
      <c r="DH331" s="498"/>
      <c r="DI331" s="498"/>
      <c r="DJ331" s="498"/>
      <c r="DK331" s="498"/>
      <c r="DL331" s="498"/>
      <c r="DM331" s="498"/>
      <c r="DN331" s="498"/>
      <c r="DO331" s="498"/>
      <c r="DP331" s="498"/>
      <c r="DQ331" s="498"/>
      <c r="DR331" s="498"/>
      <c r="DS331" s="498"/>
      <c r="DT331" s="498"/>
      <c r="DU331" s="498"/>
      <c r="DV331" s="498"/>
      <c r="DW331" s="498"/>
      <c r="DX331" s="498"/>
      <c r="DY331" s="498"/>
      <c r="DZ331" s="498"/>
      <c r="EA331" s="498"/>
      <c r="EB331" s="498"/>
      <c r="EC331" s="498"/>
      <c r="ED331" s="498"/>
      <c r="EE331" s="498"/>
      <c r="EF331" s="498"/>
      <c r="EG331" s="498"/>
      <c r="EH331" s="498"/>
      <c r="EI331" s="498"/>
      <c r="EJ331" s="498"/>
      <c r="EK331" s="498"/>
      <c r="EL331" s="498"/>
      <c r="EM331" s="498"/>
      <c r="EN331" s="498"/>
      <c r="EO331" s="498"/>
      <c r="EP331" s="498"/>
      <c r="EQ331" s="498"/>
      <c r="ER331" s="498"/>
      <c r="ES331" s="498"/>
      <c r="ET331" s="498"/>
      <c r="EU331" s="498"/>
      <c r="EV331" s="498"/>
      <c r="EW331" s="498"/>
      <c r="EX331" s="498"/>
      <c r="EY331" s="498"/>
      <c r="EZ331" s="498"/>
      <c r="FA331" s="498"/>
      <c r="FB331" s="498"/>
      <c r="FC331" s="498"/>
    </row>
    <row r="332" spans="3:159">
      <c r="C332" s="291" t="s">
        <v>1104</v>
      </c>
      <c r="J332" s="300" t="e">
        <f t="shared" ref="J332:AH332" si="119">J323</f>
        <v>#REF!</v>
      </c>
      <c r="K332" s="300" t="e">
        <f t="shared" si="119"/>
        <v>#REF!</v>
      </c>
      <c r="L332" s="300" t="e">
        <f t="shared" si="119"/>
        <v>#REF!</v>
      </c>
      <c r="M332" s="300" t="e">
        <f t="shared" si="119"/>
        <v>#REF!</v>
      </c>
      <c r="N332" s="300" t="e">
        <f t="shared" si="119"/>
        <v>#REF!</v>
      </c>
      <c r="O332" s="300" t="e">
        <f t="shared" si="119"/>
        <v>#REF!</v>
      </c>
      <c r="P332" s="300" t="e">
        <f t="shared" si="119"/>
        <v>#REF!</v>
      </c>
      <c r="Q332" s="300">
        <f t="shared" si="119"/>
        <v>-1626.0110794471154</v>
      </c>
      <c r="R332" s="300">
        <f t="shared" si="119"/>
        <v>-1223.0152415834791</v>
      </c>
      <c r="S332" s="300">
        <f t="shared" si="119"/>
        <v>-567.73990693129201</v>
      </c>
      <c r="T332" s="300">
        <f t="shared" si="119"/>
        <v>-1165.3578106851612</v>
      </c>
      <c r="U332" s="300">
        <f t="shared" si="119"/>
        <v>-502.41364752110604</v>
      </c>
      <c r="V332" s="300">
        <f t="shared" si="119"/>
        <v>-610.71997556770043</v>
      </c>
      <c r="W332" s="300">
        <f t="shared" si="119"/>
        <v>-993.2720241059169</v>
      </c>
      <c r="X332" s="300">
        <f t="shared" si="119"/>
        <v>-341.06950681612119</v>
      </c>
      <c r="Y332" s="300">
        <f t="shared" si="119"/>
        <v>-376.71072404726664</v>
      </c>
      <c r="Z332" s="300">
        <f t="shared" si="119"/>
        <v>-536.68183170655789</v>
      </c>
      <c r="AA332" s="300">
        <f t="shared" si="119"/>
        <v>-701.75518132411139</v>
      </c>
      <c r="AB332" s="300">
        <f t="shared" si="119"/>
        <v>-971.46409114339599</v>
      </c>
      <c r="AC332" s="300">
        <f t="shared" si="119"/>
        <v>-1775.1991978834133</v>
      </c>
      <c r="AD332" s="300">
        <f t="shared" si="119"/>
        <v>-1815.183349133461</v>
      </c>
      <c r="AE332" s="300">
        <f t="shared" si="119"/>
        <v>-1785.4916623063921</v>
      </c>
      <c r="AF332" s="300">
        <f t="shared" si="119"/>
        <v>-1987.2778133831391</v>
      </c>
      <c r="AG332" s="300">
        <f t="shared" si="119"/>
        <v>-2108.9847194028175</v>
      </c>
      <c r="AH332" s="300">
        <f t="shared" si="119"/>
        <v>-2234.0076042981132</v>
      </c>
      <c r="AO332" s="338"/>
      <c r="AP332" s="449"/>
      <c r="AR332" s="449"/>
      <c r="AS332" s="449"/>
      <c r="BA332" s="498"/>
      <c r="BB332" s="498"/>
      <c r="BC332" s="498"/>
      <c r="BD332" s="498"/>
      <c r="BE332" s="498"/>
      <c r="BF332" s="498"/>
      <c r="BG332" s="498"/>
      <c r="BH332" s="498"/>
      <c r="BI332" s="498"/>
      <c r="BJ332" s="498"/>
      <c r="BK332" s="498"/>
      <c r="BL332" s="498"/>
      <c r="BM332" s="498"/>
      <c r="BN332" s="498"/>
      <c r="BO332" s="498"/>
      <c r="BP332" s="498"/>
      <c r="BQ332" s="498"/>
      <c r="BR332" s="498"/>
      <c r="BS332" s="498"/>
      <c r="BT332" s="498"/>
      <c r="BU332" s="498"/>
      <c r="BV332" s="498"/>
      <c r="BW332" s="498"/>
      <c r="BX332" s="498"/>
      <c r="BY332" s="498"/>
      <c r="BZ332" s="498"/>
      <c r="CA332" s="498"/>
      <c r="CB332" s="498"/>
      <c r="CC332" s="498"/>
      <c r="CD332" s="498"/>
      <c r="CE332" s="498"/>
      <c r="CF332" s="498"/>
      <c r="CG332" s="300"/>
      <c r="CH332" s="300"/>
      <c r="CI332" s="300"/>
      <c r="CJ332" s="300"/>
      <c r="CK332" s="300"/>
      <c r="CL332" s="300"/>
      <c r="CM332" s="300"/>
      <c r="CN332" s="300"/>
      <c r="CO332" s="357"/>
      <c r="CR332" s="498"/>
      <c r="CS332" s="498"/>
      <c r="CT332" s="498"/>
      <c r="CU332" s="498"/>
      <c r="CV332" s="498"/>
      <c r="CW332" s="498"/>
      <c r="CX332" s="498"/>
      <c r="CY332" s="498"/>
      <c r="CZ332" s="498"/>
      <c r="DA332" s="498"/>
      <c r="DB332" s="498"/>
      <c r="DC332" s="498"/>
      <c r="DD332" s="498"/>
      <c r="DE332" s="498"/>
      <c r="DF332" s="498"/>
      <c r="DG332" s="498"/>
      <c r="DH332" s="498"/>
      <c r="DI332" s="498"/>
      <c r="DJ332" s="498"/>
      <c r="DK332" s="498"/>
      <c r="DL332" s="498"/>
      <c r="DM332" s="498"/>
      <c r="DN332" s="498"/>
      <c r="DO332" s="498"/>
      <c r="DP332" s="498"/>
      <c r="DQ332" s="498"/>
      <c r="DR332" s="498"/>
      <c r="DS332" s="498"/>
      <c r="DT332" s="498"/>
      <c r="DU332" s="498"/>
      <c r="DV332" s="498"/>
      <c r="DW332" s="498"/>
      <c r="DX332" s="498"/>
      <c r="DY332" s="498"/>
      <c r="DZ332" s="498"/>
      <c r="EA332" s="498"/>
      <c r="EB332" s="498"/>
      <c r="EC332" s="498"/>
      <c r="ED332" s="498"/>
      <c r="EE332" s="498"/>
      <c r="EF332" s="498"/>
      <c r="EG332" s="498"/>
      <c r="EH332" s="498"/>
      <c r="EI332" s="498"/>
      <c r="EJ332" s="498"/>
      <c r="EK332" s="498"/>
      <c r="EL332" s="498"/>
      <c r="EM332" s="498"/>
      <c r="EN332" s="498"/>
      <c r="EO332" s="498"/>
      <c r="EP332" s="498"/>
      <c r="EQ332" s="498"/>
      <c r="ER332" s="498"/>
      <c r="ES332" s="498"/>
      <c r="ET332" s="498"/>
      <c r="EU332" s="498"/>
      <c r="EV332" s="498"/>
      <c r="EW332" s="498"/>
      <c r="EX332" s="498"/>
      <c r="EY332" s="498"/>
      <c r="EZ332" s="498"/>
      <c r="FA332" s="498"/>
      <c r="FB332" s="498"/>
      <c r="FC332" s="498"/>
    </row>
    <row r="333" spans="3:159">
      <c r="C333" s="291" t="s">
        <v>1105</v>
      </c>
      <c r="J333" s="19">
        <f t="shared" ref="J333:AH333" si="120">J255</f>
        <v>-199</v>
      </c>
      <c r="K333" s="19">
        <f t="shared" si="120"/>
        <v>-224</v>
      </c>
      <c r="L333" s="19">
        <f t="shared" si="120"/>
        <v>-101</v>
      </c>
      <c r="M333" s="19">
        <f t="shared" si="120"/>
        <v>-108</v>
      </c>
      <c r="N333" s="19">
        <f t="shared" si="120"/>
        <v>-173</v>
      </c>
      <c r="O333" s="19">
        <f t="shared" si="120"/>
        <v>-289</v>
      </c>
      <c r="P333" s="19">
        <f t="shared" si="120"/>
        <v>-263</v>
      </c>
      <c r="Q333" s="300">
        <f t="shared" si="120"/>
        <v>-540</v>
      </c>
      <c r="R333" s="300">
        <f t="shared" si="120"/>
        <v>-522</v>
      </c>
      <c r="S333" s="300">
        <f t="shared" si="120"/>
        <v>-403</v>
      </c>
      <c r="T333" s="300">
        <f t="shared" si="120"/>
        <v>-498</v>
      </c>
      <c r="U333" s="300">
        <f t="shared" si="120"/>
        <v>-542</v>
      </c>
      <c r="V333" s="300">
        <f t="shared" si="120"/>
        <v>-638</v>
      </c>
      <c r="W333" s="300">
        <f t="shared" si="120"/>
        <v>-1012</v>
      </c>
      <c r="X333" s="300">
        <f t="shared" si="120"/>
        <v>-334</v>
      </c>
      <c r="Y333" s="300">
        <f t="shared" si="120"/>
        <v>-412</v>
      </c>
      <c r="Z333" s="300">
        <f t="shared" si="120"/>
        <v>-557</v>
      </c>
      <c r="AA333" s="300">
        <f t="shared" si="120"/>
        <v>-724</v>
      </c>
      <c r="AB333" s="300">
        <f t="shared" si="120"/>
        <v>-987</v>
      </c>
      <c r="AC333" s="300">
        <f t="shared" si="120"/>
        <v>-1801.6990094750786</v>
      </c>
      <c r="AD333" s="300">
        <f t="shared" si="120"/>
        <v>-1840.8775478070634</v>
      </c>
      <c r="AE333" s="300">
        <f t="shared" si="120"/>
        <v>-1809.8165570562285</v>
      </c>
      <c r="AF333" s="300">
        <f t="shared" si="120"/>
        <v>-2013.5726066242637</v>
      </c>
      <c r="AG333" s="300">
        <f t="shared" si="120"/>
        <v>-2136.7199713027144</v>
      </c>
      <c r="AH333" s="300">
        <f t="shared" si="120"/>
        <v>-2263.2467827811979</v>
      </c>
      <c r="AO333" s="338"/>
      <c r="AP333" s="449"/>
      <c r="AR333" s="449"/>
      <c r="AS333" s="449"/>
      <c r="BA333" s="498"/>
      <c r="BB333" s="498"/>
      <c r="BC333" s="498"/>
      <c r="BD333" s="498"/>
      <c r="BE333" s="498"/>
      <c r="BF333" s="498"/>
      <c r="BG333" s="498"/>
      <c r="BH333" s="498"/>
      <c r="BI333" s="498"/>
      <c r="BJ333" s="498"/>
      <c r="BK333" s="498"/>
      <c r="BL333" s="498"/>
      <c r="BM333" s="498"/>
      <c r="BN333" s="498"/>
      <c r="BO333" s="498"/>
      <c r="BP333" s="498"/>
      <c r="BQ333" s="498"/>
      <c r="BR333" s="498"/>
      <c r="BS333" s="498"/>
      <c r="BT333" s="498"/>
      <c r="BU333" s="498"/>
      <c r="BV333" s="498"/>
      <c r="BW333" s="498"/>
      <c r="BX333" s="498"/>
      <c r="BY333" s="498"/>
      <c r="BZ333" s="498"/>
      <c r="CA333" s="498"/>
      <c r="CB333" s="498"/>
      <c r="CC333" s="498"/>
      <c r="CD333" s="498"/>
      <c r="CE333" s="498"/>
      <c r="CF333" s="498"/>
      <c r="CG333" s="300"/>
      <c r="CH333" s="300"/>
      <c r="CI333" s="300"/>
      <c r="CJ333" s="300"/>
      <c r="CK333" s="300"/>
      <c r="CL333" s="300"/>
      <c r="CM333" s="300"/>
      <c r="CN333" s="300"/>
      <c r="CO333" s="357"/>
      <c r="CR333" s="498"/>
      <c r="CS333" s="498"/>
      <c r="CT333" s="498"/>
      <c r="CU333" s="498"/>
      <c r="CV333" s="498"/>
      <c r="CW333" s="498"/>
      <c r="CX333" s="498"/>
      <c r="CY333" s="498"/>
      <c r="CZ333" s="498"/>
      <c r="DA333" s="498"/>
      <c r="DB333" s="498"/>
      <c r="DC333" s="498"/>
      <c r="DD333" s="498"/>
      <c r="DE333" s="498"/>
      <c r="DF333" s="498"/>
      <c r="DG333" s="498"/>
      <c r="DH333" s="498"/>
      <c r="DI333" s="498"/>
      <c r="DJ333" s="498"/>
      <c r="DK333" s="498"/>
      <c r="DL333" s="498"/>
      <c r="DM333" s="498"/>
      <c r="DN333" s="498"/>
      <c r="DO333" s="498"/>
      <c r="DP333" s="498"/>
      <c r="DQ333" s="498"/>
      <c r="DR333" s="498"/>
      <c r="DS333" s="498"/>
      <c r="DT333" s="498"/>
      <c r="DU333" s="498"/>
      <c r="DV333" s="498"/>
      <c r="DW333" s="498"/>
      <c r="DX333" s="498"/>
      <c r="DY333" s="498"/>
      <c r="DZ333" s="498"/>
      <c r="EA333" s="498"/>
      <c r="EB333" s="498"/>
      <c r="EC333" s="498"/>
      <c r="ED333" s="498"/>
      <c r="EE333" s="498"/>
      <c r="EF333" s="498"/>
      <c r="EG333" s="498"/>
      <c r="EH333" s="498"/>
      <c r="EI333" s="498"/>
      <c r="EJ333" s="498"/>
      <c r="EK333" s="498"/>
      <c r="EL333" s="498"/>
      <c r="EM333" s="498"/>
      <c r="EN333" s="498"/>
      <c r="EO333" s="498"/>
      <c r="EP333" s="498"/>
      <c r="EQ333" s="498"/>
      <c r="ER333" s="498"/>
      <c r="ES333" s="498"/>
      <c r="ET333" s="498"/>
      <c r="EU333" s="498"/>
      <c r="EV333" s="498"/>
      <c r="EW333" s="498"/>
      <c r="EX333" s="498"/>
      <c r="EY333" s="498"/>
      <c r="EZ333" s="498"/>
      <c r="FA333" s="498"/>
      <c r="FB333" s="498"/>
      <c r="FC333" s="498"/>
    </row>
    <row r="334" spans="3:159">
      <c r="C334" s="19"/>
      <c r="J334" s="19"/>
      <c r="K334" s="19"/>
      <c r="L334" s="19"/>
      <c r="M334" s="19"/>
      <c r="N334" s="19"/>
      <c r="O334" s="19"/>
      <c r="P334" s="19"/>
      <c r="Q334" s="19"/>
      <c r="R334" s="19"/>
      <c r="S334" s="19"/>
      <c r="T334" s="19"/>
      <c r="U334" s="19"/>
      <c r="V334" s="19"/>
      <c r="W334" s="19"/>
      <c r="X334" s="19"/>
      <c r="Y334" s="19"/>
      <c r="AO334" s="338"/>
      <c r="AP334" s="449"/>
      <c r="AR334" s="449"/>
      <c r="AS334" s="449"/>
      <c r="BA334" s="19"/>
      <c r="BB334" s="19"/>
      <c r="BC334" s="19"/>
      <c r="BD334" s="19"/>
      <c r="BE334" s="19"/>
      <c r="BF334" s="19"/>
      <c r="BG334" s="19"/>
      <c r="BH334" s="19"/>
      <c r="BI334" s="19"/>
      <c r="BJ334" s="19"/>
      <c r="BK334" s="19"/>
      <c r="BL334" s="19"/>
      <c r="BM334" s="19"/>
      <c r="BN334" s="19"/>
      <c r="BO334" s="19"/>
      <c r="BP334" s="19"/>
      <c r="BQ334" s="19"/>
      <c r="BR334" s="19"/>
      <c r="BS334" s="19"/>
      <c r="BT334" s="19"/>
      <c r="BU334" s="19"/>
      <c r="BV334" s="19"/>
      <c r="BW334" s="19"/>
      <c r="BX334" s="19"/>
      <c r="BY334" s="19"/>
      <c r="BZ334" s="19"/>
      <c r="CA334" s="19"/>
      <c r="CB334" s="19"/>
      <c r="CC334" s="19"/>
      <c r="CD334" s="19"/>
      <c r="CE334" s="19"/>
      <c r="CF334" s="19"/>
      <c r="CG334" s="19"/>
      <c r="CH334" s="19"/>
      <c r="CI334" s="19"/>
      <c r="CJ334" s="19"/>
      <c r="CK334" s="19"/>
      <c r="CL334" s="19"/>
      <c r="CM334" s="19"/>
      <c r="CN334" s="19"/>
      <c r="CO334" s="4"/>
      <c r="CR334" s="19"/>
      <c r="CS334" s="19"/>
      <c r="CT334" s="19"/>
      <c r="CU334" s="19"/>
      <c r="CV334" s="19"/>
      <c r="CW334" s="19"/>
      <c r="CX334" s="19"/>
      <c r="CY334" s="19"/>
      <c r="CZ334" s="19"/>
      <c r="DA334" s="19"/>
      <c r="DB334" s="19"/>
      <c r="DC334" s="19"/>
      <c r="DD334" s="19"/>
      <c r="DE334" s="19"/>
      <c r="DF334" s="19"/>
      <c r="DG334" s="19"/>
      <c r="DH334" s="19"/>
      <c r="DI334" s="19"/>
      <c r="DJ334" s="19"/>
      <c r="DK334" s="19"/>
      <c r="DL334" s="19"/>
      <c r="DM334" s="19"/>
      <c r="DN334" s="19"/>
      <c r="DO334" s="19"/>
      <c r="DP334" s="19"/>
      <c r="DQ334" s="19"/>
      <c r="DR334" s="19"/>
      <c r="DS334" s="19"/>
      <c r="DT334" s="19"/>
      <c r="DU334" s="19"/>
      <c r="DV334" s="19"/>
      <c r="DW334" s="19"/>
      <c r="DX334" s="19"/>
      <c r="DY334" s="19"/>
      <c r="DZ334" s="19"/>
      <c r="EA334" s="19"/>
      <c r="EB334" s="19"/>
      <c r="EC334" s="19"/>
      <c r="ED334" s="19"/>
      <c r="EE334" s="19"/>
      <c r="EF334" s="19"/>
      <c r="EG334" s="19"/>
      <c r="EH334" s="19"/>
      <c r="EI334" s="19"/>
      <c r="EJ334" s="19"/>
      <c r="EK334" s="19"/>
      <c r="EL334" s="19"/>
      <c r="EM334" s="19"/>
      <c r="EN334" s="19"/>
      <c r="EO334" s="19"/>
      <c r="EP334" s="19"/>
      <c r="EQ334" s="19"/>
      <c r="ER334" s="19"/>
      <c r="ES334" s="19"/>
      <c r="ET334" s="19"/>
      <c r="EU334" s="19"/>
      <c r="EV334" s="19"/>
      <c r="EW334" s="19"/>
      <c r="EX334" s="19"/>
      <c r="EY334" s="19"/>
      <c r="EZ334" s="19"/>
      <c r="FA334" s="19"/>
      <c r="FB334" s="19"/>
      <c r="FC334" s="19"/>
    </row>
    <row r="335" spans="3:159">
      <c r="C335" s="282" t="s">
        <v>1120</v>
      </c>
      <c r="D335" s="282"/>
      <c r="E335" s="282"/>
      <c r="F335" s="282"/>
      <c r="G335" s="282"/>
      <c r="H335" s="282"/>
      <c r="I335" s="282"/>
      <c r="J335" s="282"/>
      <c r="K335" s="282"/>
      <c r="L335" s="282"/>
      <c r="M335" s="282"/>
      <c r="N335" s="282"/>
      <c r="O335" s="282"/>
      <c r="P335" s="282"/>
      <c r="Q335" s="282"/>
      <c r="R335" s="282"/>
      <c r="S335" s="282"/>
      <c r="T335" s="282"/>
      <c r="U335" s="282"/>
      <c r="V335" s="282"/>
      <c r="W335" s="282"/>
      <c r="X335" s="282"/>
      <c r="Y335" s="282"/>
      <c r="Z335" s="282"/>
      <c r="AA335" s="282"/>
      <c r="AB335" s="282"/>
      <c r="AC335" s="195"/>
      <c r="AD335" s="195"/>
      <c r="AE335" s="195"/>
      <c r="AF335" s="195"/>
      <c r="AG335" s="195"/>
      <c r="AH335" s="195"/>
      <c r="AO335" s="338"/>
      <c r="AP335" s="449"/>
      <c r="AR335" s="449"/>
      <c r="AS335" s="449"/>
      <c r="BA335" s="282"/>
      <c r="BB335" s="282"/>
      <c r="BC335" s="282"/>
      <c r="BD335" s="282"/>
      <c r="BE335" s="282"/>
      <c r="BF335" s="282"/>
      <c r="BG335" s="282"/>
      <c r="BH335" s="282"/>
      <c r="BI335" s="282"/>
      <c r="BJ335" s="282"/>
      <c r="BK335" s="282"/>
      <c r="BL335" s="282"/>
      <c r="BM335" s="282"/>
      <c r="BN335" s="282"/>
      <c r="BO335" s="282"/>
      <c r="BP335" s="282"/>
      <c r="BQ335" s="282"/>
      <c r="BR335" s="282"/>
      <c r="BS335" s="282"/>
      <c r="BT335" s="282"/>
      <c r="BU335" s="282"/>
      <c r="BV335" s="282"/>
      <c r="BW335" s="282"/>
      <c r="BX335" s="282"/>
      <c r="BY335" s="282"/>
      <c r="BZ335" s="282"/>
      <c r="CA335" s="282"/>
      <c r="CB335" s="282"/>
      <c r="CC335" s="337"/>
      <c r="CD335" s="337"/>
      <c r="CE335" s="337"/>
      <c r="CF335" s="337"/>
      <c r="CG335" s="337"/>
      <c r="CH335" s="337"/>
      <c r="CI335" s="337"/>
      <c r="CJ335" s="337"/>
      <c r="CK335" s="337"/>
      <c r="CL335" s="337"/>
      <c r="CM335" s="337"/>
      <c r="CN335" s="337"/>
      <c r="CO335" s="483"/>
      <c r="CR335" s="282"/>
      <c r="CS335" s="282"/>
      <c r="CT335" s="282"/>
      <c r="CU335" s="282"/>
      <c r="CV335" s="282"/>
      <c r="CW335" s="282"/>
      <c r="CX335" s="282"/>
      <c r="CY335" s="282"/>
      <c r="CZ335" s="282"/>
      <c r="DA335" s="282"/>
      <c r="DB335" s="282"/>
      <c r="DC335" s="282"/>
      <c r="DD335" s="282"/>
      <c r="DE335" s="282"/>
      <c r="DF335" s="282"/>
      <c r="DG335" s="282"/>
      <c r="DH335" s="282"/>
      <c r="DI335" s="282"/>
      <c r="DJ335" s="282"/>
      <c r="DK335" s="282"/>
      <c r="DL335" s="282"/>
      <c r="DM335" s="282"/>
      <c r="DN335" s="282"/>
      <c r="DO335" s="282"/>
      <c r="DP335" s="282"/>
      <c r="DQ335" s="282"/>
      <c r="DR335" s="282"/>
      <c r="DS335" s="282"/>
      <c r="DT335" s="282"/>
      <c r="DU335" s="282"/>
      <c r="DV335" s="282"/>
      <c r="DW335" s="282"/>
      <c r="DX335" s="282"/>
      <c r="DY335" s="282"/>
      <c r="DZ335" s="282"/>
      <c r="EA335" s="282"/>
      <c r="EB335" s="282"/>
      <c r="EC335" s="282"/>
      <c r="ED335" s="282"/>
      <c r="EE335" s="282"/>
      <c r="EF335" s="282"/>
      <c r="EG335" s="282"/>
      <c r="EH335" s="282"/>
      <c r="EI335" s="282"/>
      <c r="EJ335" s="282"/>
      <c r="EK335" s="282"/>
      <c r="EL335" s="282"/>
      <c r="EM335" s="282"/>
      <c r="EN335" s="282"/>
      <c r="EO335" s="282"/>
      <c r="EP335" s="282"/>
      <c r="EQ335" s="282"/>
      <c r="ER335" s="282"/>
      <c r="ES335" s="282"/>
      <c r="ET335" s="282"/>
      <c r="EU335" s="282"/>
      <c r="EV335" s="282"/>
      <c r="EW335" s="337"/>
      <c r="EX335" s="337"/>
      <c r="EY335" s="337"/>
      <c r="EZ335" s="337"/>
      <c r="FA335" s="337"/>
      <c r="FB335" s="337"/>
      <c r="FC335" s="337"/>
    </row>
    <row r="336" spans="3:159">
      <c r="C336" s="214" t="s">
        <v>1121</v>
      </c>
      <c r="D336" s="57"/>
      <c r="E336" s="57"/>
      <c r="F336" s="57"/>
      <c r="G336" s="57"/>
      <c r="H336" s="57"/>
      <c r="I336" s="57"/>
      <c r="J336" s="289" t="e">
        <f t="shared" ref="J336:AH336" si="121">J232-J229</f>
        <v>#REF!</v>
      </c>
      <c r="K336" s="289" t="e">
        <f t="shared" si="121"/>
        <v>#REF!</v>
      </c>
      <c r="L336" s="289" t="e">
        <f t="shared" si="121"/>
        <v>#REF!</v>
      </c>
      <c r="M336" s="289" t="e">
        <f t="shared" si="121"/>
        <v>#REF!</v>
      </c>
      <c r="N336" s="289" t="e">
        <f t="shared" si="121"/>
        <v>#REF!</v>
      </c>
      <c r="O336" s="289" t="e">
        <f t="shared" si="121"/>
        <v>#REF!</v>
      </c>
      <c r="P336" s="289" t="e">
        <f t="shared" si="121"/>
        <v>#REF!</v>
      </c>
      <c r="Q336" s="289">
        <f t="shared" si="121"/>
        <v>-36</v>
      </c>
      <c r="R336" s="289">
        <f t="shared" si="121"/>
        <v>-29</v>
      </c>
      <c r="S336" s="289">
        <f t="shared" si="121"/>
        <v>85.452322738386329</v>
      </c>
      <c r="T336" s="289">
        <f t="shared" si="121"/>
        <v>250.16381418092914</v>
      </c>
      <c r="U336" s="289">
        <f t="shared" si="121"/>
        <v>2497.4229828850857</v>
      </c>
      <c r="V336" s="289">
        <f t="shared" si="121"/>
        <v>2957.0537897310514</v>
      </c>
      <c r="W336" s="289">
        <f t="shared" si="121"/>
        <v>4182.4058679706604</v>
      </c>
      <c r="X336" s="289">
        <f t="shared" si="121"/>
        <v>2063.5647921760392</v>
      </c>
      <c r="Y336" s="289">
        <f t="shared" si="121"/>
        <v>2172.5427872860637</v>
      </c>
      <c r="Z336" s="289">
        <f t="shared" si="121"/>
        <v>2776.6748166259172</v>
      </c>
      <c r="AA336" s="289">
        <f t="shared" si="121"/>
        <v>3585.2298288508559</v>
      </c>
      <c r="AB336" s="289">
        <f t="shared" si="121"/>
        <v>4568.9095354523233</v>
      </c>
      <c r="AC336" s="289">
        <f t="shared" si="121"/>
        <v>5720.9123490812744</v>
      </c>
      <c r="AD336" s="289">
        <f t="shared" si="121"/>
        <v>6723.534063193275</v>
      </c>
      <c r="AE336" s="289">
        <f t="shared" si="121"/>
        <v>7586.758921225015</v>
      </c>
      <c r="AF336" s="289">
        <f t="shared" si="121"/>
        <v>8436.4004575604504</v>
      </c>
      <c r="AG336" s="289">
        <f t="shared" si="121"/>
        <v>8939.624776332088</v>
      </c>
      <c r="AH336" s="289">
        <f t="shared" si="121"/>
        <v>9438.614956930418</v>
      </c>
      <c r="AO336" s="338"/>
      <c r="AP336" s="449"/>
      <c r="AR336" s="449"/>
      <c r="AS336" s="449"/>
      <c r="BA336" s="498"/>
      <c r="BB336" s="498"/>
      <c r="BC336" s="498"/>
      <c r="BD336" s="498"/>
      <c r="BE336" s="498"/>
      <c r="BF336" s="498"/>
      <c r="BG336" s="498"/>
      <c r="BH336" s="498"/>
      <c r="BI336" s="498"/>
      <c r="BJ336" s="498"/>
      <c r="BK336" s="498"/>
      <c r="BL336" s="498"/>
      <c r="BM336" s="498"/>
      <c r="BN336" s="498"/>
      <c r="BO336" s="498"/>
      <c r="BP336" s="498"/>
      <c r="BQ336" s="498"/>
      <c r="BR336" s="498"/>
      <c r="BS336" s="498"/>
      <c r="BT336" s="498"/>
      <c r="BU336" s="498"/>
      <c r="BV336" s="498"/>
      <c r="BW336" s="498"/>
      <c r="BX336" s="498"/>
      <c r="BY336" s="498"/>
      <c r="BZ336" s="498"/>
      <c r="CA336" s="498"/>
      <c r="CB336" s="498"/>
      <c r="CC336" s="498"/>
      <c r="CD336" s="498"/>
      <c r="CE336" s="498"/>
      <c r="CF336" s="498"/>
      <c r="CG336" s="289"/>
      <c r="CH336" s="289"/>
      <c r="CI336" s="289"/>
      <c r="CJ336" s="289"/>
      <c r="CK336" s="289"/>
      <c r="CL336" s="289"/>
      <c r="CM336" s="289"/>
      <c r="CN336" s="289"/>
      <c r="CO336" s="281"/>
      <c r="CR336" s="498"/>
      <c r="CS336" s="498"/>
      <c r="CT336" s="498"/>
      <c r="CU336" s="498"/>
      <c r="CV336" s="498"/>
      <c r="CW336" s="498"/>
      <c r="CX336" s="498"/>
      <c r="CY336" s="498"/>
      <c r="CZ336" s="498"/>
      <c r="DA336" s="498"/>
      <c r="DB336" s="498"/>
      <c r="DC336" s="498"/>
      <c r="DD336" s="498"/>
      <c r="DE336" s="498"/>
      <c r="DF336" s="498"/>
      <c r="DG336" s="498"/>
      <c r="DH336" s="498"/>
      <c r="DI336" s="498"/>
      <c r="DJ336" s="498"/>
      <c r="DK336" s="498"/>
      <c r="DL336" s="498"/>
      <c r="DM336" s="498"/>
      <c r="DN336" s="498"/>
      <c r="DO336" s="498"/>
      <c r="DP336" s="498"/>
      <c r="DQ336" s="498"/>
      <c r="DR336" s="498"/>
      <c r="DS336" s="498"/>
      <c r="DT336" s="498"/>
      <c r="DU336" s="498"/>
      <c r="DV336" s="498"/>
      <c r="DW336" s="498"/>
      <c r="DX336" s="498"/>
      <c r="DY336" s="498"/>
      <c r="DZ336" s="498"/>
      <c r="EA336" s="498"/>
      <c r="EB336" s="498"/>
      <c r="EC336" s="498"/>
      <c r="ED336" s="498"/>
      <c r="EE336" s="498"/>
      <c r="EF336" s="498"/>
      <c r="EG336" s="498"/>
      <c r="EH336" s="498"/>
      <c r="EI336" s="498"/>
      <c r="EJ336" s="498"/>
      <c r="EK336" s="498"/>
      <c r="EL336" s="498"/>
      <c r="EM336" s="498"/>
      <c r="EN336" s="498"/>
      <c r="EO336" s="498"/>
      <c r="EP336" s="498"/>
      <c r="EQ336" s="498"/>
      <c r="ER336" s="498"/>
      <c r="ES336" s="498"/>
      <c r="ET336" s="498"/>
      <c r="EU336" s="498"/>
      <c r="EV336" s="498"/>
      <c r="EW336" s="498"/>
      <c r="EX336" s="498"/>
      <c r="EY336" s="498"/>
      <c r="EZ336" s="498"/>
      <c r="FA336" s="498"/>
      <c r="FB336" s="498"/>
      <c r="FC336" s="498"/>
    </row>
    <row r="337" spans="3:159">
      <c r="C337" s="291" t="s">
        <v>1122</v>
      </c>
      <c r="J337" s="301">
        <v>0</v>
      </c>
      <c r="K337" s="301">
        <v>0</v>
      </c>
      <c r="L337" s="301">
        <v>0</v>
      </c>
      <c r="M337" s="301">
        <v>0</v>
      </c>
      <c r="N337" s="301">
        <v>0</v>
      </c>
      <c r="O337" s="301">
        <v>0</v>
      </c>
      <c r="P337" s="301">
        <v>0</v>
      </c>
      <c r="Q337" s="301">
        <v>0</v>
      </c>
      <c r="R337" s="301">
        <v>0</v>
      </c>
      <c r="S337" s="301">
        <v>0</v>
      </c>
      <c r="T337" s="301">
        <v>0</v>
      </c>
      <c r="U337" s="301">
        <v>0</v>
      </c>
      <c r="V337" s="301">
        <v>0</v>
      </c>
      <c r="W337" s="301">
        <v>0</v>
      </c>
      <c r="X337" s="301">
        <v>0</v>
      </c>
      <c r="Y337" s="301">
        <v>0</v>
      </c>
      <c r="Z337" s="301">
        <v>0</v>
      </c>
      <c r="AA337" s="301">
        <v>0</v>
      </c>
      <c r="AB337" s="301">
        <v>0</v>
      </c>
      <c r="AC337" s="301">
        <v>0</v>
      </c>
      <c r="AD337" s="301">
        <v>0</v>
      </c>
      <c r="AE337" s="301">
        <v>0</v>
      </c>
      <c r="AF337" s="301">
        <v>0</v>
      </c>
      <c r="AG337" s="301">
        <v>0</v>
      </c>
      <c r="AH337" s="301">
        <v>1</v>
      </c>
      <c r="AO337" s="338"/>
      <c r="AP337" s="449"/>
      <c r="AR337" s="449"/>
      <c r="AS337" s="449"/>
      <c r="BA337" s="498"/>
      <c r="BB337" s="498"/>
      <c r="BC337" s="498"/>
      <c r="BD337" s="498"/>
      <c r="BE337" s="498"/>
      <c r="BF337" s="498"/>
      <c r="BG337" s="498"/>
      <c r="BH337" s="498"/>
      <c r="BI337" s="498"/>
      <c r="BJ337" s="498"/>
      <c r="BK337" s="498"/>
      <c r="BL337" s="498"/>
      <c r="BM337" s="498"/>
      <c r="BN337" s="498"/>
      <c r="BO337" s="498"/>
      <c r="BP337" s="498"/>
      <c r="BQ337" s="498"/>
      <c r="BR337" s="498"/>
      <c r="BS337" s="498"/>
      <c r="BT337" s="498"/>
      <c r="BU337" s="498"/>
      <c r="BV337" s="498"/>
      <c r="BW337" s="498"/>
      <c r="BX337" s="498"/>
      <c r="BY337" s="498"/>
      <c r="BZ337" s="498"/>
      <c r="CA337" s="498"/>
      <c r="CB337" s="498"/>
      <c r="CC337" s="498"/>
      <c r="CD337" s="498"/>
      <c r="CE337" s="498"/>
      <c r="CF337" s="498"/>
      <c r="CG337" s="301"/>
      <c r="CH337" s="301"/>
      <c r="CI337" s="301"/>
      <c r="CJ337" s="301"/>
      <c r="CK337" s="301"/>
      <c r="CL337" s="301"/>
      <c r="CM337" s="301"/>
      <c r="CN337" s="301"/>
      <c r="CO337" s="301"/>
      <c r="CR337" s="498"/>
      <c r="CS337" s="498"/>
      <c r="CT337" s="498"/>
      <c r="CU337" s="498"/>
      <c r="CV337" s="498"/>
      <c r="CW337" s="498"/>
      <c r="CX337" s="498"/>
      <c r="CY337" s="498"/>
      <c r="CZ337" s="498"/>
      <c r="DA337" s="498"/>
      <c r="DB337" s="498"/>
      <c r="DC337" s="498"/>
      <c r="DD337" s="498"/>
      <c r="DE337" s="498"/>
      <c r="DF337" s="498"/>
      <c r="DG337" s="498"/>
      <c r="DH337" s="498"/>
      <c r="DI337" s="498"/>
      <c r="DJ337" s="498"/>
      <c r="DK337" s="498"/>
      <c r="DL337" s="498"/>
      <c r="DM337" s="498"/>
      <c r="DN337" s="498"/>
      <c r="DO337" s="498"/>
      <c r="DP337" s="498"/>
      <c r="DQ337" s="498"/>
      <c r="DR337" s="498"/>
      <c r="DS337" s="498"/>
      <c r="DT337" s="498"/>
      <c r="DU337" s="498"/>
      <c r="DV337" s="498"/>
      <c r="DW337" s="498"/>
      <c r="DX337" s="498"/>
      <c r="DY337" s="498"/>
      <c r="DZ337" s="498"/>
      <c r="EA337" s="498"/>
      <c r="EB337" s="498"/>
      <c r="EC337" s="498"/>
      <c r="ED337" s="498"/>
      <c r="EE337" s="498"/>
      <c r="EF337" s="498"/>
      <c r="EG337" s="498"/>
      <c r="EH337" s="498"/>
      <c r="EI337" s="498"/>
      <c r="EJ337" s="498"/>
      <c r="EK337" s="498"/>
      <c r="EL337" s="498"/>
      <c r="EM337" s="498"/>
      <c r="EN337" s="498"/>
      <c r="EO337" s="498"/>
      <c r="EP337" s="498"/>
      <c r="EQ337" s="498"/>
      <c r="ER337" s="498"/>
      <c r="ES337" s="498"/>
      <c r="ET337" s="498"/>
      <c r="EU337" s="498"/>
      <c r="EV337" s="498"/>
      <c r="EW337" s="498"/>
      <c r="EX337" s="498"/>
      <c r="EY337" s="498"/>
      <c r="EZ337" s="498"/>
      <c r="FA337" s="498"/>
      <c r="FB337" s="498"/>
      <c r="FC337" s="498"/>
    </row>
    <row r="338" spans="3:159">
      <c r="C338" s="291" t="s">
        <v>1097</v>
      </c>
      <c r="J338" s="302">
        <v>0</v>
      </c>
      <c r="K338" s="302">
        <v>0</v>
      </c>
      <c r="L338" s="302">
        <v>-148</v>
      </c>
      <c r="M338" s="302">
        <v>0</v>
      </c>
      <c r="N338" s="302">
        <v>0</v>
      </c>
      <c r="O338" s="302">
        <v>0</v>
      </c>
      <c r="P338" s="302">
        <v>0</v>
      </c>
      <c r="Q338" s="302">
        <v>-287</v>
      </c>
      <c r="R338" s="302">
        <v>0</v>
      </c>
      <c r="S338" s="302">
        <v>-606</v>
      </c>
      <c r="T338" s="302">
        <v>0</v>
      </c>
      <c r="U338" s="302">
        <v>0</v>
      </c>
      <c r="V338" s="302">
        <v>0</v>
      </c>
      <c r="W338" s="302">
        <v>0</v>
      </c>
      <c r="X338" s="302">
        <v>0</v>
      </c>
      <c r="Y338" s="302">
        <v>0</v>
      </c>
      <c r="Z338" s="27">
        <f t="shared" ref="Z338:AH338" si="122">Y338</f>
        <v>0</v>
      </c>
      <c r="AA338" s="27">
        <f t="shared" si="122"/>
        <v>0</v>
      </c>
      <c r="AB338" s="27">
        <f t="shared" si="122"/>
        <v>0</v>
      </c>
      <c r="AC338" s="27">
        <f t="shared" si="122"/>
        <v>0</v>
      </c>
      <c r="AD338" s="27">
        <f t="shared" si="122"/>
        <v>0</v>
      </c>
      <c r="AE338" s="27">
        <f t="shared" si="122"/>
        <v>0</v>
      </c>
      <c r="AF338" s="27">
        <f t="shared" si="122"/>
        <v>0</v>
      </c>
      <c r="AG338" s="27">
        <f t="shared" si="122"/>
        <v>0</v>
      </c>
      <c r="AH338" s="27">
        <f t="shared" si="122"/>
        <v>0</v>
      </c>
      <c r="AO338" s="338"/>
      <c r="AP338" s="449"/>
      <c r="AR338" s="449"/>
      <c r="AS338" s="449"/>
      <c r="BA338" s="498"/>
      <c r="BB338" s="498"/>
      <c r="BC338" s="498"/>
      <c r="BD338" s="498"/>
      <c r="BE338" s="498"/>
      <c r="BF338" s="498"/>
      <c r="BG338" s="498"/>
      <c r="BH338" s="498"/>
      <c r="BI338" s="498"/>
      <c r="BJ338" s="498"/>
      <c r="BK338" s="498"/>
      <c r="BL338" s="498"/>
      <c r="BM338" s="498"/>
      <c r="BN338" s="498"/>
      <c r="BO338" s="498"/>
      <c r="BP338" s="498"/>
      <c r="BQ338" s="498"/>
      <c r="BR338" s="498"/>
      <c r="BS338" s="498"/>
      <c r="BT338" s="498"/>
      <c r="BU338" s="498"/>
      <c r="BV338" s="498"/>
      <c r="BW338" s="498"/>
      <c r="BX338" s="498"/>
      <c r="BY338" s="498"/>
      <c r="BZ338" s="498"/>
      <c r="CA338" s="498"/>
      <c r="CB338" s="498"/>
      <c r="CC338" s="498"/>
      <c r="CD338" s="498"/>
      <c r="CE338" s="498"/>
      <c r="CF338" s="498"/>
      <c r="CG338" s="302"/>
      <c r="CH338" s="302"/>
      <c r="CI338" s="302"/>
      <c r="CJ338" s="302"/>
      <c r="CK338" s="302"/>
      <c r="CL338" s="302"/>
      <c r="CM338" s="302"/>
      <c r="CN338" s="302"/>
      <c r="CO338" s="302"/>
      <c r="CR338" s="498"/>
      <c r="CS338" s="498"/>
      <c r="CT338" s="498"/>
      <c r="CU338" s="498"/>
      <c r="CV338" s="498"/>
      <c r="CW338" s="498"/>
      <c r="CX338" s="498"/>
      <c r="CY338" s="498"/>
      <c r="CZ338" s="498"/>
      <c r="DA338" s="498"/>
      <c r="DB338" s="498"/>
      <c r="DC338" s="498"/>
      <c r="DD338" s="498"/>
      <c r="DE338" s="498"/>
      <c r="DF338" s="498"/>
      <c r="DG338" s="498"/>
      <c r="DH338" s="498"/>
      <c r="DI338" s="498"/>
      <c r="DJ338" s="498"/>
      <c r="DK338" s="498"/>
      <c r="DL338" s="498"/>
      <c r="DM338" s="498"/>
      <c r="DN338" s="498"/>
      <c r="DO338" s="498"/>
      <c r="DP338" s="498"/>
      <c r="DQ338" s="498"/>
      <c r="DR338" s="498"/>
      <c r="DS338" s="498"/>
      <c r="DT338" s="498"/>
      <c r="DU338" s="498"/>
      <c r="DV338" s="498"/>
      <c r="DW338" s="498"/>
      <c r="DX338" s="498"/>
      <c r="DY338" s="498"/>
      <c r="DZ338" s="498"/>
      <c r="EA338" s="498"/>
      <c r="EB338" s="498"/>
      <c r="EC338" s="498"/>
      <c r="ED338" s="498"/>
      <c r="EE338" s="498"/>
      <c r="EF338" s="498"/>
      <c r="EG338" s="498"/>
      <c r="EH338" s="498"/>
      <c r="EI338" s="498"/>
      <c r="EJ338" s="498"/>
      <c r="EK338" s="498"/>
      <c r="EL338" s="498"/>
      <c r="EM338" s="498"/>
      <c r="EN338" s="498"/>
      <c r="EO338" s="498"/>
      <c r="EP338" s="498"/>
      <c r="EQ338" s="498"/>
      <c r="ER338" s="498"/>
      <c r="ES338" s="498"/>
      <c r="ET338" s="498"/>
      <c r="EU338" s="498"/>
      <c r="EV338" s="498"/>
      <c r="EW338" s="498"/>
      <c r="EX338" s="498"/>
      <c r="EY338" s="498"/>
      <c r="EZ338" s="498"/>
      <c r="FA338" s="498"/>
      <c r="FB338" s="498"/>
      <c r="FC338" s="498"/>
    </row>
    <row r="339" spans="3:159">
      <c r="C339" s="291" t="s">
        <v>992</v>
      </c>
      <c r="J339" s="27">
        <f t="shared" ref="J339:AH339" si="123">J317</f>
        <v>-119</v>
      </c>
      <c r="K339" s="27">
        <f t="shared" si="123"/>
        <v>-98</v>
      </c>
      <c r="L339" s="27">
        <f t="shared" si="123"/>
        <v>-170</v>
      </c>
      <c r="M339" s="27">
        <f t="shared" si="123"/>
        <v>-98</v>
      </c>
      <c r="N339" s="27">
        <f t="shared" si="123"/>
        <v>-107</v>
      </c>
      <c r="O339" s="27">
        <f t="shared" si="123"/>
        <v>-192</v>
      </c>
      <c r="P339" s="27">
        <f t="shared" si="123"/>
        <v>-436</v>
      </c>
      <c r="Q339" s="27">
        <f t="shared" si="123"/>
        <v>-618</v>
      </c>
      <c r="R339" s="27">
        <f t="shared" si="123"/>
        <v>-566</v>
      </c>
      <c r="S339" s="27">
        <f t="shared" si="123"/>
        <v>-400</v>
      </c>
      <c r="T339" s="27">
        <f t="shared" si="123"/>
        <v>-239</v>
      </c>
      <c r="U339" s="27">
        <f t="shared" si="123"/>
        <v>-143</v>
      </c>
      <c r="V339" s="27">
        <f t="shared" si="123"/>
        <v>-102</v>
      </c>
      <c r="W339" s="27">
        <f t="shared" si="123"/>
        <v>-55</v>
      </c>
      <c r="X339" s="27">
        <f t="shared" si="123"/>
        <v>41</v>
      </c>
      <c r="Y339" s="27">
        <f t="shared" si="123"/>
        <v>-86</v>
      </c>
      <c r="Z339" s="27">
        <f t="shared" si="123"/>
        <v>-47</v>
      </c>
      <c r="AA339" s="27">
        <f t="shared" si="123"/>
        <v>-68</v>
      </c>
      <c r="AB339" s="27">
        <f t="shared" si="123"/>
        <v>-45</v>
      </c>
      <c r="AC339" s="27">
        <f t="shared" si="123"/>
        <v>-55.683213212559963</v>
      </c>
      <c r="AD339" s="27">
        <f t="shared" si="123"/>
        <v>-62.01528977364211</v>
      </c>
      <c r="AE339" s="27">
        <f t="shared" si="123"/>
        <v>-68.572183982608863</v>
      </c>
      <c r="AF339" s="27">
        <f t="shared" si="123"/>
        <v>-74.374461465572836</v>
      </c>
      <c r="AG339" s="27">
        <f t="shared" si="123"/>
        <v>-78.026719141604019</v>
      </c>
      <c r="AH339" s="27">
        <f t="shared" si="123"/>
        <v>-81.803685822504178</v>
      </c>
      <c r="AO339" s="338"/>
      <c r="AP339" s="449"/>
      <c r="AR339" s="449"/>
      <c r="AS339" s="449"/>
      <c r="BA339" s="498"/>
      <c r="BB339" s="498"/>
      <c r="BC339" s="498"/>
      <c r="BD339" s="498"/>
      <c r="BE339" s="498"/>
      <c r="BF339" s="498"/>
      <c r="BG339" s="498"/>
      <c r="BH339" s="498"/>
      <c r="BI339" s="498"/>
      <c r="BJ339" s="498"/>
      <c r="BK339" s="498"/>
      <c r="BL339" s="498"/>
      <c r="BM339" s="498"/>
      <c r="BN339" s="498"/>
      <c r="BO339" s="498"/>
      <c r="BP339" s="498"/>
      <c r="BQ339" s="498"/>
      <c r="BR339" s="498"/>
      <c r="BS339" s="498"/>
      <c r="BT339" s="498"/>
      <c r="BU339" s="498"/>
      <c r="BV339" s="498"/>
      <c r="BW339" s="498"/>
      <c r="BX339" s="498"/>
      <c r="BY339" s="498"/>
      <c r="BZ339" s="498"/>
      <c r="CA339" s="498"/>
      <c r="CB339" s="498"/>
      <c r="CC339" s="498"/>
      <c r="CD339" s="498"/>
      <c r="CE339" s="498"/>
      <c r="CF339" s="498"/>
      <c r="CG339" s="27"/>
      <c r="CH339" s="27"/>
      <c r="CI339" s="27"/>
      <c r="CJ339" s="27"/>
      <c r="CK339" s="27"/>
      <c r="CL339" s="27"/>
      <c r="CM339" s="27"/>
      <c r="CN339" s="27"/>
      <c r="CO339" s="27"/>
      <c r="CR339" s="498"/>
      <c r="CS339" s="498"/>
      <c r="CT339" s="498"/>
      <c r="CU339" s="498"/>
      <c r="CV339" s="498"/>
      <c r="CW339" s="498"/>
      <c r="CX339" s="498"/>
      <c r="CY339" s="498"/>
      <c r="CZ339" s="498"/>
      <c r="DA339" s="498"/>
      <c r="DB339" s="498"/>
      <c r="DC339" s="498"/>
      <c r="DD339" s="498"/>
      <c r="DE339" s="498"/>
      <c r="DF339" s="498"/>
      <c r="DG339" s="498"/>
      <c r="DH339" s="498"/>
      <c r="DI339" s="498"/>
      <c r="DJ339" s="498"/>
      <c r="DK339" s="498"/>
      <c r="DL339" s="498"/>
      <c r="DM339" s="498"/>
      <c r="DN339" s="498"/>
      <c r="DO339" s="498"/>
      <c r="DP339" s="498"/>
      <c r="DQ339" s="498"/>
      <c r="DR339" s="498"/>
      <c r="DS339" s="498"/>
      <c r="DT339" s="498"/>
      <c r="DU339" s="498"/>
      <c r="DV339" s="498"/>
      <c r="DW339" s="498"/>
      <c r="DX339" s="498"/>
      <c r="DY339" s="498"/>
      <c r="DZ339" s="498"/>
      <c r="EA339" s="498"/>
      <c r="EB339" s="498"/>
      <c r="EC339" s="498"/>
      <c r="ED339" s="498"/>
      <c r="EE339" s="498"/>
      <c r="EF339" s="498"/>
      <c r="EG339" s="498"/>
      <c r="EH339" s="498"/>
      <c r="EI339" s="498"/>
      <c r="EJ339" s="498"/>
      <c r="EK339" s="498"/>
      <c r="EL339" s="498"/>
      <c r="EM339" s="498"/>
      <c r="EN339" s="498"/>
      <c r="EO339" s="498"/>
      <c r="EP339" s="498"/>
      <c r="EQ339" s="498"/>
      <c r="ER339" s="498"/>
      <c r="ES339" s="498"/>
      <c r="ET339" s="498"/>
      <c r="EU339" s="498"/>
      <c r="EV339" s="498"/>
      <c r="EW339" s="498"/>
      <c r="EX339" s="498"/>
      <c r="EY339" s="498"/>
      <c r="EZ339" s="498"/>
      <c r="FA339" s="498"/>
      <c r="FB339" s="498"/>
      <c r="FC339" s="498"/>
    </row>
    <row r="340" spans="3:159">
      <c r="C340" s="291" t="s">
        <v>1099</v>
      </c>
      <c r="J340" s="27">
        <f t="shared" ref="J340:AH340" si="124">J318</f>
        <v>0</v>
      </c>
      <c r="K340" s="27">
        <f t="shared" si="124"/>
        <v>0</v>
      </c>
      <c r="L340" s="27">
        <f t="shared" si="124"/>
        <v>-7</v>
      </c>
      <c r="M340" s="27">
        <f t="shared" si="124"/>
        <v>-7.4000000000000021</v>
      </c>
      <c r="N340" s="27">
        <f t="shared" si="124"/>
        <v>-7.8450000000000024</v>
      </c>
      <c r="O340" s="27">
        <f t="shared" si="124"/>
        <v>-8.3372500000000045</v>
      </c>
      <c r="P340" s="27">
        <f t="shared" si="124"/>
        <v>-8.8791125000000051</v>
      </c>
      <c r="Q340" s="27">
        <f t="shared" si="124"/>
        <v>-9.4730681250000046</v>
      </c>
      <c r="R340" s="27">
        <f t="shared" si="124"/>
        <v>-10.121721531250007</v>
      </c>
      <c r="S340" s="27">
        <f t="shared" si="124"/>
        <v>-10.82780760781251</v>
      </c>
      <c r="T340" s="27">
        <f t="shared" si="124"/>
        <v>-11.594197988203135</v>
      </c>
      <c r="U340" s="27">
        <f t="shared" si="124"/>
        <v>-12.423907887613293</v>
      </c>
      <c r="V340" s="27">
        <f t="shared" si="124"/>
        <v>-13.320103281993958</v>
      </c>
      <c r="W340" s="27">
        <f t="shared" si="124"/>
        <v>-14.286108446093657</v>
      </c>
      <c r="X340" s="27">
        <f t="shared" si="124"/>
        <v>-15.325413868398343</v>
      </c>
      <c r="Y340" s="27">
        <f t="shared" si="124"/>
        <v>-16.441684561818263</v>
      </c>
      <c r="Z340" s="27">
        <f t="shared" si="124"/>
        <v>-17.638768789909179</v>
      </c>
      <c r="AA340" s="27">
        <f t="shared" si="124"/>
        <v>-18.920707229404641</v>
      </c>
      <c r="AB340" s="27">
        <f t="shared" si="124"/>
        <v>-20.291742590874875</v>
      </c>
      <c r="AC340" s="27">
        <f t="shared" si="124"/>
        <v>-21.75632972041862</v>
      </c>
      <c r="AD340" s="27">
        <f t="shared" si="124"/>
        <v>-23.319146206439555</v>
      </c>
      <c r="AE340" s="27">
        <f t="shared" si="124"/>
        <v>-24.985103516761534</v>
      </c>
      <c r="AF340" s="27">
        <f t="shared" si="124"/>
        <v>-26.759358692599612</v>
      </c>
      <c r="AG340" s="27">
        <f t="shared" si="124"/>
        <v>-28.647326627229596</v>
      </c>
      <c r="AH340" s="27">
        <f t="shared" si="124"/>
        <v>-30.654692958591077</v>
      </c>
      <c r="AO340" s="338"/>
      <c r="AP340" s="449"/>
      <c r="AR340" s="449"/>
      <c r="AS340" s="449"/>
      <c r="BA340" s="498"/>
      <c r="BB340" s="498"/>
      <c r="BC340" s="498"/>
      <c r="BD340" s="498"/>
      <c r="BE340" s="498"/>
      <c r="BF340" s="498"/>
      <c r="BG340" s="498"/>
      <c r="BH340" s="498"/>
      <c r="BI340" s="498"/>
      <c r="BJ340" s="498"/>
      <c r="BK340" s="498"/>
      <c r="BL340" s="498"/>
      <c r="BM340" s="498"/>
      <c r="BN340" s="498"/>
      <c r="BO340" s="498"/>
      <c r="BP340" s="498"/>
      <c r="BQ340" s="498"/>
      <c r="BR340" s="498"/>
      <c r="BS340" s="498"/>
      <c r="BT340" s="498"/>
      <c r="BU340" s="498"/>
      <c r="BV340" s="498"/>
      <c r="BW340" s="498"/>
      <c r="BX340" s="498"/>
      <c r="BY340" s="498"/>
      <c r="BZ340" s="498"/>
      <c r="CA340" s="498"/>
      <c r="CB340" s="498"/>
      <c r="CC340" s="498"/>
      <c r="CD340" s="498"/>
      <c r="CE340" s="498"/>
      <c r="CF340" s="498"/>
      <c r="CG340" s="27"/>
      <c r="CH340" s="27"/>
      <c r="CI340" s="27"/>
      <c r="CJ340" s="27"/>
      <c r="CK340" s="27"/>
      <c r="CL340" s="27"/>
      <c r="CM340" s="27"/>
      <c r="CN340" s="27"/>
      <c r="CO340" s="27"/>
      <c r="CR340" s="498"/>
      <c r="CS340" s="498"/>
      <c r="CT340" s="498"/>
      <c r="CU340" s="498"/>
      <c r="CV340" s="498"/>
      <c r="CW340" s="498"/>
      <c r="CX340" s="498"/>
      <c r="CY340" s="498"/>
      <c r="CZ340" s="498"/>
      <c r="DA340" s="498"/>
      <c r="DB340" s="498"/>
      <c r="DC340" s="498"/>
      <c r="DD340" s="498"/>
      <c r="DE340" s="498"/>
      <c r="DF340" s="498"/>
      <c r="DG340" s="498"/>
      <c r="DH340" s="498"/>
      <c r="DI340" s="498"/>
      <c r="DJ340" s="498"/>
      <c r="DK340" s="498"/>
      <c r="DL340" s="498"/>
      <c r="DM340" s="498"/>
      <c r="DN340" s="498"/>
      <c r="DO340" s="498"/>
      <c r="DP340" s="498"/>
      <c r="DQ340" s="498"/>
      <c r="DR340" s="498"/>
      <c r="DS340" s="498"/>
      <c r="DT340" s="498"/>
      <c r="DU340" s="498"/>
      <c r="DV340" s="498"/>
      <c r="DW340" s="498"/>
      <c r="DX340" s="498"/>
      <c r="DY340" s="498"/>
      <c r="DZ340" s="498"/>
      <c r="EA340" s="498"/>
      <c r="EB340" s="498"/>
      <c r="EC340" s="498"/>
      <c r="ED340" s="498"/>
      <c r="EE340" s="498"/>
      <c r="EF340" s="498"/>
      <c r="EG340" s="498"/>
      <c r="EH340" s="498"/>
      <c r="EI340" s="498"/>
      <c r="EJ340" s="498"/>
      <c r="EK340" s="498"/>
      <c r="EL340" s="498"/>
      <c r="EM340" s="498"/>
      <c r="EN340" s="498"/>
      <c r="EO340" s="498"/>
      <c r="EP340" s="498"/>
      <c r="EQ340" s="498"/>
      <c r="ER340" s="498"/>
      <c r="ES340" s="498"/>
      <c r="ET340" s="498"/>
      <c r="EU340" s="498"/>
      <c r="EV340" s="498"/>
      <c r="EW340" s="498"/>
      <c r="EX340" s="498"/>
      <c r="EY340" s="498"/>
      <c r="EZ340" s="498"/>
      <c r="FA340" s="498"/>
      <c r="FB340" s="498"/>
      <c r="FC340" s="498"/>
    </row>
    <row r="341" spans="3:159">
      <c r="C341" s="291" t="s">
        <v>1123</v>
      </c>
      <c r="J341" s="27">
        <f>J289*'Income Statement'!I145</f>
        <v>0</v>
      </c>
      <c r="K341" s="300">
        <f>K289*'Income Statement'!I145</f>
        <v>0.12491513917175831</v>
      </c>
      <c r="L341" s="300">
        <f>L289*'Income Statement'!J145</f>
        <v>0</v>
      </c>
      <c r="M341" s="300">
        <f>M289*'Income Statement'!K145</f>
        <v>1.3564521507169056</v>
      </c>
      <c r="N341" s="300">
        <f>N289*'Income Statement'!L145</f>
        <v>3.1868662481892804</v>
      </c>
      <c r="O341" s="300">
        <f>O289*'Income Statement'!M145</f>
        <v>6.7248783280847411</v>
      </c>
      <c r="P341" s="300">
        <f>P289*'Income Statement'!N145</f>
        <v>0.45088300220750549</v>
      </c>
      <c r="Q341" s="300">
        <f>Q289*'Income Statement'!O145</f>
        <v>0</v>
      </c>
      <c r="R341" s="300">
        <f>R289*'Income Statement'!P145</f>
        <v>0</v>
      </c>
      <c r="S341" s="300">
        <f>S289*'Income Statement'!Q145</f>
        <v>0</v>
      </c>
      <c r="T341" s="300">
        <f>T289*'Income Statement'!R145</f>
        <v>1.2304428533545479</v>
      </c>
      <c r="U341" s="300">
        <f>U289*'Income Statement'!S145</f>
        <v>4.5684210526315789</v>
      </c>
      <c r="V341" s="300">
        <f>V289*'Income Statement'!T145</f>
        <v>0</v>
      </c>
      <c r="W341" s="300">
        <f>W289*'Income Statement'!U145</f>
        <v>3.1148730350665055</v>
      </c>
      <c r="X341" s="300">
        <f>X289*'Income Statement'!V145</f>
        <v>1.4416052672832733</v>
      </c>
      <c r="Y341" s="300">
        <f>Y289*'Income Statement'!W145</f>
        <v>0.76717811874583053</v>
      </c>
      <c r="Z341" s="300">
        <f>Z289*'Income Statement'!X145</f>
        <v>6.5594100888218536</v>
      </c>
      <c r="AA341" s="300">
        <f>AA289*'Income Statement'!Y145</f>
        <v>44.509466437177274</v>
      </c>
      <c r="AB341" s="300">
        <f>AB289*'Income Statement'!Z145</f>
        <v>48.554056103108415</v>
      </c>
      <c r="AC341" s="300">
        <f>AC289*'Income Statement'!AA145</f>
        <v>0</v>
      </c>
      <c r="AD341" s="300">
        <f>AD289*'Income Statement'!AB145</f>
        <v>0</v>
      </c>
      <c r="AE341" s="300">
        <f>AE289*'Income Statement'!AC145</f>
        <v>0</v>
      </c>
      <c r="AF341" s="300">
        <f>AF289*'Income Statement'!AD145</f>
        <v>0</v>
      </c>
      <c r="AG341" s="300">
        <f>AG289*'Income Statement'!AE145</f>
        <v>0</v>
      </c>
      <c r="AH341" s="300">
        <f>AH289*'Income Statement'!AF145</f>
        <v>0</v>
      </c>
      <c r="AO341" s="338"/>
      <c r="AP341" s="449"/>
      <c r="AR341" s="449"/>
      <c r="AS341" s="449"/>
      <c r="BA341" s="498"/>
      <c r="BB341" s="498"/>
      <c r="BC341" s="498"/>
      <c r="BD341" s="498"/>
      <c r="BE341" s="498"/>
      <c r="BF341" s="498"/>
      <c r="BG341" s="498"/>
      <c r="BH341" s="498"/>
      <c r="BI341" s="498"/>
      <c r="BJ341" s="498"/>
      <c r="BK341" s="498"/>
      <c r="BL341" s="498"/>
      <c r="BM341" s="498"/>
      <c r="BN341" s="498"/>
      <c r="BO341" s="498"/>
      <c r="BP341" s="498"/>
      <c r="BQ341" s="498"/>
      <c r="BR341" s="498"/>
      <c r="BS341" s="498"/>
      <c r="BT341" s="498"/>
      <c r="BU341" s="498"/>
      <c r="BV341" s="498"/>
      <c r="BW341" s="498"/>
      <c r="BX341" s="498"/>
      <c r="BY341" s="498"/>
      <c r="BZ341" s="498"/>
      <c r="CA341" s="498"/>
      <c r="CB341" s="498"/>
      <c r="CC341" s="498"/>
      <c r="CD341" s="498"/>
      <c r="CE341" s="498"/>
      <c r="CF341" s="498"/>
      <c r="CG341" s="300"/>
      <c r="CH341" s="300"/>
      <c r="CI341" s="300"/>
      <c r="CJ341" s="300"/>
      <c r="CK341" s="300"/>
      <c r="CL341" s="300"/>
      <c r="CM341" s="300"/>
      <c r="CN341" s="300"/>
      <c r="CO341" s="357"/>
      <c r="CR341" s="498"/>
      <c r="CS341" s="498"/>
      <c r="CT341" s="498"/>
      <c r="CU341" s="498"/>
      <c r="CV341" s="498"/>
      <c r="CW341" s="498"/>
      <c r="CX341" s="498"/>
      <c r="CY341" s="498"/>
      <c r="CZ341" s="498"/>
      <c r="DA341" s="498"/>
      <c r="DB341" s="498"/>
      <c r="DC341" s="498"/>
      <c r="DD341" s="498"/>
      <c r="DE341" s="498"/>
      <c r="DF341" s="498"/>
      <c r="DG341" s="498"/>
      <c r="DH341" s="498"/>
      <c r="DI341" s="498"/>
      <c r="DJ341" s="498"/>
      <c r="DK341" s="498"/>
      <c r="DL341" s="498"/>
      <c r="DM341" s="498"/>
      <c r="DN341" s="498"/>
      <c r="DO341" s="498"/>
      <c r="DP341" s="498"/>
      <c r="DQ341" s="498"/>
      <c r="DR341" s="498"/>
      <c r="DS341" s="498"/>
      <c r="DT341" s="498"/>
      <c r="DU341" s="498"/>
      <c r="DV341" s="498"/>
      <c r="DW341" s="498"/>
      <c r="DX341" s="498"/>
      <c r="DY341" s="498"/>
      <c r="DZ341" s="498"/>
      <c r="EA341" s="498"/>
      <c r="EB341" s="498"/>
      <c r="EC341" s="498"/>
      <c r="ED341" s="498"/>
      <c r="EE341" s="498"/>
      <c r="EF341" s="498"/>
      <c r="EG341" s="498"/>
      <c r="EH341" s="498"/>
      <c r="EI341" s="498"/>
      <c r="EJ341" s="498"/>
      <c r="EK341" s="498"/>
      <c r="EL341" s="498"/>
      <c r="EM341" s="498"/>
      <c r="EN341" s="498"/>
      <c r="EO341" s="498"/>
      <c r="EP341" s="498"/>
      <c r="EQ341" s="498"/>
      <c r="ER341" s="498"/>
      <c r="ES341" s="498"/>
      <c r="ET341" s="498"/>
      <c r="EU341" s="498"/>
      <c r="EV341" s="498"/>
      <c r="EW341" s="498"/>
      <c r="EX341" s="498"/>
      <c r="EY341" s="498"/>
      <c r="EZ341" s="498"/>
      <c r="FA341" s="498"/>
      <c r="FB341" s="498"/>
      <c r="FC341" s="498"/>
    </row>
    <row r="342" spans="3:159">
      <c r="C342" s="291" t="s">
        <v>1124</v>
      </c>
      <c r="J342" s="301">
        <v>0</v>
      </c>
      <c r="K342" s="301">
        <v>0</v>
      </c>
      <c r="L342" s="301">
        <v>0</v>
      </c>
      <c r="M342" s="301">
        <v>0</v>
      </c>
      <c r="N342" s="301">
        <v>0</v>
      </c>
      <c r="O342" s="301">
        <v>0</v>
      </c>
      <c r="P342" s="301">
        <v>0</v>
      </c>
      <c r="Q342" s="301">
        <v>0</v>
      </c>
      <c r="R342" s="301">
        <v>0</v>
      </c>
      <c r="S342" s="301">
        <v>0</v>
      </c>
      <c r="T342" s="301">
        <v>0</v>
      </c>
      <c r="U342" s="301">
        <v>0</v>
      </c>
      <c r="V342" s="301">
        <v>0</v>
      </c>
      <c r="W342" s="301">
        <v>0</v>
      </c>
      <c r="X342" s="301">
        <v>0</v>
      </c>
      <c r="Y342" s="301">
        <v>0</v>
      </c>
      <c r="Z342" s="301">
        <v>0</v>
      </c>
      <c r="AA342" s="301">
        <v>0</v>
      </c>
      <c r="AB342" s="301">
        <v>0</v>
      </c>
      <c r="AC342" s="301">
        <v>0</v>
      </c>
      <c r="AD342" s="301">
        <v>0</v>
      </c>
      <c r="AE342" s="301">
        <v>0</v>
      </c>
      <c r="AF342" s="301">
        <v>0</v>
      </c>
      <c r="AG342" s="301">
        <v>0</v>
      </c>
      <c r="AH342" s="301">
        <v>0</v>
      </c>
      <c r="AO342" s="338"/>
      <c r="AP342" s="449"/>
      <c r="AR342" s="449"/>
      <c r="AS342" s="449"/>
      <c r="BA342" s="498"/>
      <c r="BB342" s="498"/>
      <c r="BC342" s="498"/>
      <c r="BD342" s="498"/>
      <c r="BE342" s="498"/>
      <c r="BF342" s="498"/>
      <c r="BG342" s="498"/>
      <c r="BH342" s="498"/>
      <c r="BI342" s="498"/>
      <c r="BJ342" s="498"/>
      <c r="BK342" s="498"/>
      <c r="BL342" s="498"/>
      <c r="BM342" s="498"/>
      <c r="BN342" s="498"/>
      <c r="BO342" s="498"/>
      <c r="BP342" s="498"/>
      <c r="BQ342" s="498"/>
      <c r="BR342" s="498"/>
      <c r="BS342" s="498"/>
      <c r="BT342" s="498"/>
      <c r="BU342" s="498"/>
      <c r="BV342" s="498"/>
      <c r="BW342" s="498"/>
      <c r="BX342" s="498"/>
      <c r="BY342" s="498"/>
      <c r="BZ342" s="498"/>
      <c r="CA342" s="498"/>
      <c r="CB342" s="498"/>
      <c r="CC342" s="498"/>
      <c r="CD342" s="498"/>
      <c r="CE342" s="498"/>
      <c r="CF342" s="498"/>
      <c r="CG342" s="301"/>
      <c r="CH342" s="301"/>
      <c r="CI342" s="301"/>
      <c r="CJ342" s="301"/>
      <c r="CK342" s="301"/>
      <c r="CL342" s="301"/>
      <c r="CM342" s="301"/>
      <c r="CN342" s="301"/>
      <c r="CO342" s="301"/>
      <c r="CR342" s="498"/>
      <c r="CS342" s="498"/>
      <c r="CT342" s="498"/>
      <c r="CU342" s="498"/>
      <c r="CV342" s="498"/>
      <c r="CW342" s="498"/>
      <c r="CX342" s="498"/>
      <c r="CY342" s="498"/>
      <c r="CZ342" s="498"/>
      <c r="DA342" s="498"/>
      <c r="DB342" s="498"/>
      <c r="DC342" s="498"/>
      <c r="DD342" s="498"/>
      <c r="DE342" s="498"/>
      <c r="DF342" s="498"/>
      <c r="DG342" s="498"/>
      <c r="DH342" s="498"/>
      <c r="DI342" s="498"/>
      <c r="DJ342" s="498"/>
      <c r="DK342" s="498"/>
      <c r="DL342" s="498"/>
      <c r="DM342" s="498"/>
      <c r="DN342" s="498"/>
      <c r="DO342" s="498"/>
      <c r="DP342" s="498"/>
      <c r="DQ342" s="498"/>
      <c r="DR342" s="498"/>
      <c r="DS342" s="498"/>
      <c r="DT342" s="498"/>
      <c r="DU342" s="498"/>
      <c r="DV342" s="498"/>
      <c r="DW342" s="498"/>
      <c r="DX342" s="498"/>
      <c r="DY342" s="498"/>
      <c r="DZ342" s="498"/>
      <c r="EA342" s="498"/>
      <c r="EB342" s="498"/>
      <c r="EC342" s="498"/>
      <c r="ED342" s="498"/>
      <c r="EE342" s="498"/>
      <c r="EF342" s="498"/>
      <c r="EG342" s="498"/>
      <c r="EH342" s="498"/>
      <c r="EI342" s="498"/>
      <c r="EJ342" s="498"/>
      <c r="EK342" s="498"/>
      <c r="EL342" s="498"/>
      <c r="EM342" s="498"/>
      <c r="EN342" s="498"/>
      <c r="EO342" s="498"/>
      <c r="EP342" s="498"/>
      <c r="EQ342" s="498"/>
      <c r="ER342" s="498"/>
      <c r="ES342" s="498"/>
      <c r="ET342" s="498"/>
      <c r="EU342" s="498"/>
      <c r="EV342" s="498"/>
      <c r="EW342" s="498"/>
      <c r="EX342" s="498"/>
      <c r="EY342" s="498"/>
      <c r="EZ342" s="498"/>
      <c r="FA342" s="498"/>
      <c r="FB342" s="498"/>
      <c r="FC342" s="498"/>
    </row>
    <row r="343" spans="3:159">
      <c r="C343" s="291" t="s">
        <v>1125</v>
      </c>
      <c r="J343" s="293">
        <v>0</v>
      </c>
      <c r="K343" s="293">
        <v>0</v>
      </c>
      <c r="L343" s="293">
        <v>0</v>
      </c>
      <c r="M343" s="293">
        <v>0</v>
      </c>
      <c r="N343" s="293">
        <v>0</v>
      </c>
      <c r="O343" s="293">
        <v>0</v>
      </c>
      <c r="P343" s="293">
        <v>0</v>
      </c>
      <c r="Q343" s="293">
        <v>0</v>
      </c>
      <c r="R343" s="293">
        <v>0</v>
      </c>
      <c r="S343" s="293">
        <v>0</v>
      </c>
      <c r="T343" s="293">
        <v>0</v>
      </c>
      <c r="U343" s="293">
        <v>0</v>
      </c>
      <c r="V343" s="293">
        <v>0</v>
      </c>
      <c r="W343" s="293">
        <v>0</v>
      </c>
      <c r="X343" s="293">
        <v>0</v>
      </c>
      <c r="Y343" s="293">
        <v>0</v>
      </c>
      <c r="Z343" s="293">
        <v>0</v>
      </c>
      <c r="AA343" s="293">
        <v>0</v>
      </c>
      <c r="AB343" s="293">
        <v>0</v>
      </c>
      <c r="AC343" s="293">
        <v>0</v>
      </c>
      <c r="AD343" s="293">
        <v>0</v>
      </c>
      <c r="AE343" s="293">
        <v>0</v>
      </c>
      <c r="AF343" s="293">
        <v>0</v>
      </c>
      <c r="AG343" s="293">
        <v>0</v>
      </c>
      <c r="AH343" s="293">
        <v>0</v>
      </c>
      <c r="AO343" s="338"/>
      <c r="AP343" s="449"/>
      <c r="AR343" s="449"/>
      <c r="AS343" s="449"/>
      <c r="BA343" s="498"/>
      <c r="BB343" s="498"/>
      <c r="BC343" s="498"/>
      <c r="BD343" s="498"/>
      <c r="BE343" s="498"/>
      <c r="BF343" s="498"/>
      <c r="BG343" s="498"/>
      <c r="BH343" s="498"/>
      <c r="BI343" s="498"/>
      <c r="BJ343" s="498"/>
      <c r="BK343" s="498"/>
      <c r="BL343" s="498"/>
      <c r="BM343" s="498"/>
      <c r="BN343" s="498"/>
      <c r="BO343" s="498"/>
      <c r="BP343" s="498"/>
      <c r="BQ343" s="498"/>
      <c r="BR343" s="498"/>
      <c r="BS343" s="498"/>
      <c r="BT343" s="498"/>
      <c r="BU343" s="498"/>
      <c r="BV343" s="498"/>
      <c r="BW343" s="498"/>
      <c r="BX343" s="498"/>
      <c r="BY343" s="498"/>
      <c r="BZ343" s="498"/>
      <c r="CA343" s="498"/>
      <c r="CB343" s="498"/>
      <c r="CC343" s="498"/>
      <c r="CD343" s="498"/>
      <c r="CE343" s="498"/>
      <c r="CF343" s="498"/>
      <c r="CG343" s="293"/>
      <c r="CH343" s="293"/>
      <c r="CI343" s="293"/>
      <c r="CJ343" s="293"/>
      <c r="CK343" s="293"/>
      <c r="CL343" s="293"/>
      <c r="CM343" s="293"/>
      <c r="CN343" s="293"/>
      <c r="CO343" s="227"/>
      <c r="CR343" s="498"/>
      <c r="CS343" s="498"/>
      <c r="CT343" s="498"/>
      <c r="CU343" s="498"/>
      <c r="CV343" s="498"/>
      <c r="CW343" s="498"/>
      <c r="CX343" s="498"/>
      <c r="CY343" s="498"/>
      <c r="CZ343" s="498"/>
      <c r="DA343" s="498"/>
      <c r="DB343" s="498"/>
      <c r="DC343" s="498"/>
      <c r="DD343" s="498"/>
      <c r="DE343" s="498"/>
      <c r="DF343" s="498"/>
      <c r="DG343" s="498"/>
      <c r="DH343" s="498"/>
      <c r="DI343" s="498"/>
      <c r="DJ343" s="498"/>
      <c r="DK343" s="498"/>
      <c r="DL343" s="498"/>
      <c r="DM343" s="498"/>
      <c r="DN343" s="498"/>
      <c r="DO343" s="498"/>
      <c r="DP343" s="498"/>
      <c r="DQ343" s="498"/>
      <c r="DR343" s="498"/>
      <c r="DS343" s="498"/>
      <c r="DT343" s="498"/>
      <c r="DU343" s="498"/>
      <c r="DV343" s="498"/>
      <c r="DW343" s="498"/>
      <c r="DX343" s="498"/>
      <c r="DY343" s="498"/>
      <c r="DZ343" s="498"/>
      <c r="EA343" s="498"/>
      <c r="EB343" s="498"/>
      <c r="EC343" s="498"/>
      <c r="ED343" s="498"/>
      <c r="EE343" s="498"/>
      <c r="EF343" s="498"/>
      <c r="EG343" s="498"/>
      <c r="EH343" s="498"/>
      <c r="EI343" s="498"/>
      <c r="EJ343" s="498"/>
      <c r="EK343" s="498"/>
      <c r="EL343" s="498"/>
      <c r="EM343" s="498"/>
      <c r="EN343" s="498"/>
      <c r="EO343" s="498"/>
      <c r="EP343" s="498"/>
      <c r="EQ343" s="498"/>
      <c r="ER343" s="498"/>
      <c r="ES343" s="498"/>
      <c r="ET343" s="498"/>
      <c r="EU343" s="498"/>
      <c r="EV343" s="498"/>
      <c r="EW343" s="498"/>
      <c r="EX343" s="498"/>
      <c r="EY343" s="498"/>
      <c r="EZ343" s="498"/>
      <c r="FA343" s="498"/>
      <c r="FB343" s="498"/>
      <c r="FC343" s="498"/>
    </row>
    <row r="344" spans="3:159">
      <c r="C344" s="291" t="s">
        <v>1126</v>
      </c>
      <c r="J344" s="293">
        <v>0</v>
      </c>
      <c r="K344" s="293">
        <v>0</v>
      </c>
      <c r="L344" s="293">
        <v>0</v>
      </c>
      <c r="M344" s="293">
        <v>0</v>
      </c>
      <c r="N344" s="293">
        <v>0</v>
      </c>
      <c r="O344" s="293">
        <v>0</v>
      </c>
      <c r="P344" s="293">
        <v>0</v>
      </c>
      <c r="Q344" s="293">
        <v>0</v>
      </c>
      <c r="R344" s="293">
        <v>0</v>
      </c>
      <c r="S344" s="293">
        <v>0</v>
      </c>
      <c r="T344" s="293">
        <v>0</v>
      </c>
      <c r="U344" s="293">
        <v>0</v>
      </c>
      <c r="V344" s="293">
        <v>0</v>
      </c>
      <c r="W344" s="293">
        <v>0</v>
      </c>
      <c r="X344" s="293">
        <v>0</v>
      </c>
      <c r="Y344" s="293">
        <v>0</v>
      </c>
      <c r="Z344" s="293">
        <v>0</v>
      </c>
      <c r="AA344" s="293">
        <v>0</v>
      </c>
      <c r="AB344" s="293">
        <v>0</v>
      </c>
      <c r="AC344" s="293">
        <v>0</v>
      </c>
      <c r="AD344" s="293">
        <v>0</v>
      </c>
      <c r="AE344" s="293">
        <v>0</v>
      </c>
      <c r="AF344" s="293">
        <v>0</v>
      </c>
      <c r="AG344" s="293">
        <v>0</v>
      </c>
      <c r="AH344" s="293">
        <v>0</v>
      </c>
      <c r="AO344" s="338"/>
      <c r="AP344" s="449"/>
      <c r="AR344" s="449"/>
      <c r="AS344" s="449"/>
      <c r="BA344" s="498"/>
      <c r="BB344" s="498"/>
      <c r="BC344" s="498"/>
      <c r="BD344" s="498"/>
      <c r="BE344" s="498"/>
      <c r="BF344" s="498"/>
      <c r="BG344" s="498"/>
      <c r="BH344" s="498"/>
      <c r="BI344" s="498"/>
      <c r="BJ344" s="498"/>
      <c r="BK344" s="498"/>
      <c r="BL344" s="498"/>
      <c r="BM344" s="498"/>
      <c r="BN344" s="498"/>
      <c r="BO344" s="498"/>
      <c r="BP344" s="498"/>
      <c r="BQ344" s="498"/>
      <c r="BR344" s="498"/>
      <c r="BS344" s="498"/>
      <c r="BT344" s="498"/>
      <c r="BU344" s="498"/>
      <c r="BV344" s="498"/>
      <c r="BW344" s="498"/>
      <c r="BX344" s="498"/>
      <c r="BY344" s="498"/>
      <c r="BZ344" s="498"/>
      <c r="CA344" s="498"/>
      <c r="CB344" s="498"/>
      <c r="CC344" s="498"/>
      <c r="CD344" s="498"/>
      <c r="CE344" s="498"/>
      <c r="CF344" s="498"/>
      <c r="CG344" s="293"/>
      <c r="CH344" s="293"/>
      <c r="CI344" s="293"/>
      <c r="CJ344" s="293"/>
      <c r="CK344" s="293"/>
      <c r="CL344" s="293"/>
      <c r="CM344" s="293"/>
      <c r="CN344" s="293"/>
      <c r="CO344" s="227"/>
      <c r="CR344" s="498"/>
      <c r="CS344" s="498"/>
      <c r="CT344" s="498"/>
      <c r="CU344" s="498"/>
      <c r="CV344" s="498"/>
      <c r="CW344" s="498"/>
      <c r="CX344" s="498"/>
      <c r="CY344" s="498"/>
      <c r="CZ344" s="498"/>
      <c r="DA344" s="498"/>
      <c r="DB344" s="498"/>
      <c r="DC344" s="498"/>
      <c r="DD344" s="498"/>
      <c r="DE344" s="498"/>
      <c r="DF344" s="498"/>
      <c r="DG344" s="498"/>
      <c r="DH344" s="498"/>
      <c r="DI344" s="498"/>
      <c r="DJ344" s="498"/>
      <c r="DK344" s="498"/>
      <c r="DL344" s="498"/>
      <c r="DM344" s="498"/>
      <c r="DN344" s="498"/>
      <c r="DO344" s="498"/>
      <c r="DP344" s="498"/>
      <c r="DQ344" s="498"/>
      <c r="DR344" s="498"/>
      <c r="DS344" s="498"/>
      <c r="DT344" s="498"/>
      <c r="DU344" s="498"/>
      <c r="DV344" s="498"/>
      <c r="DW344" s="498"/>
      <c r="DX344" s="498"/>
      <c r="DY344" s="498"/>
      <c r="DZ344" s="498"/>
      <c r="EA344" s="498"/>
      <c r="EB344" s="498"/>
      <c r="EC344" s="498"/>
      <c r="ED344" s="498"/>
      <c r="EE344" s="498"/>
      <c r="EF344" s="498"/>
      <c r="EG344" s="498"/>
      <c r="EH344" s="498"/>
      <c r="EI344" s="498"/>
      <c r="EJ344" s="498"/>
      <c r="EK344" s="498"/>
      <c r="EL344" s="498"/>
      <c r="EM344" s="498"/>
      <c r="EN344" s="498"/>
      <c r="EO344" s="498"/>
      <c r="EP344" s="498"/>
      <c r="EQ344" s="498"/>
      <c r="ER344" s="498"/>
      <c r="ES344" s="498"/>
      <c r="ET344" s="498"/>
      <c r="EU344" s="498"/>
      <c r="EV344" s="498"/>
      <c r="EW344" s="498"/>
      <c r="EX344" s="498"/>
      <c r="EY344" s="498"/>
      <c r="EZ344" s="498"/>
      <c r="FA344" s="498"/>
      <c r="FB344" s="498"/>
      <c r="FC344" s="498"/>
    </row>
    <row r="345" spans="3:159">
      <c r="C345" s="19" t="s">
        <v>1127</v>
      </c>
      <c r="J345" s="287" t="e">
        <f t="shared" ref="J345:AH345" si="125">SUM(J336:J344)</f>
        <v>#REF!</v>
      </c>
      <c r="K345" s="287" t="e">
        <f t="shared" si="125"/>
        <v>#REF!</v>
      </c>
      <c r="L345" s="287" t="e">
        <f t="shared" si="125"/>
        <v>#REF!</v>
      </c>
      <c r="M345" s="287" t="e">
        <f t="shared" si="125"/>
        <v>#REF!</v>
      </c>
      <c r="N345" s="287" t="e">
        <f t="shared" si="125"/>
        <v>#REF!</v>
      </c>
      <c r="O345" s="287" t="e">
        <f t="shared" si="125"/>
        <v>#REF!</v>
      </c>
      <c r="P345" s="287" t="e">
        <f t="shared" si="125"/>
        <v>#REF!</v>
      </c>
      <c r="Q345" s="287">
        <f t="shared" si="125"/>
        <v>-950.47306812500005</v>
      </c>
      <c r="R345" s="287">
        <f t="shared" si="125"/>
        <v>-605.12172153125005</v>
      </c>
      <c r="S345" s="287">
        <f t="shared" si="125"/>
        <v>-931.37548486942615</v>
      </c>
      <c r="T345" s="287">
        <f t="shared" si="125"/>
        <v>0.80005904608055012</v>
      </c>
      <c r="U345" s="287">
        <f t="shared" si="125"/>
        <v>2346.5674960501037</v>
      </c>
      <c r="V345" s="287">
        <f t="shared" si="125"/>
        <v>2841.7336864490576</v>
      </c>
      <c r="W345" s="287">
        <f t="shared" si="125"/>
        <v>4116.2346325596336</v>
      </c>
      <c r="X345" s="287">
        <f t="shared" si="125"/>
        <v>2090.6809835749241</v>
      </c>
      <c r="Y345" s="287">
        <f t="shared" si="125"/>
        <v>2070.8682808429912</v>
      </c>
      <c r="Z345" s="287">
        <f t="shared" si="125"/>
        <v>2718.59545792483</v>
      </c>
      <c r="AA345" s="287">
        <f t="shared" si="125"/>
        <v>3542.8185880586284</v>
      </c>
      <c r="AB345" s="287">
        <f t="shared" si="125"/>
        <v>4552.1718489645573</v>
      </c>
      <c r="AC345" s="287">
        <f t="shared" si="125"/>
        <v>5643.4728061482956</v>
      </c>
      <c r="AD345" s="287">
        <f t="shared" si="125"/>
        <v>6638.1996272131928</v>
      </c>
      <c r="AE345" s="287">
        <f t="shared" si="125"/>
        <v>7493.2016337256446</v>
      </c>
      <c r="AF345" s="287">
        <f t="shared" si="125"/>
        <v>8335.2666374022774</v>
      </c>
      <c r="AG345" s="287">
        <f t="shared" si="125"/>
        <v>8832.9507305632542</v>
      </c>
      <c r="AH345" s="287">
        <f t="shared" si="125"/>
        <v>9327.1565781493227</v>
      </c>
      <c r="AO345" s="338"/>
      <c r="AP345" s="449"/>
      <c r="AR345" s="449"/>
      <c r="AS345" s="449"/>
      <c r="BA345" s="498"/>
      <c r="BB345" s="498"/>
      <c r="BC345" s="498"/>
      <c r="BD345" s="498"/>
      <c r="BE345" s="498"/>
      <c r="BF345" s="498"/>
      <c r="BG345" s="498"/>
      <c r="BH345" s="498"/>
      <c r="BI345" s="498"/>
      <c r="BJ345" s="498"/>
      <c r="BK345" s="498"/>
      <c r="BL345" s="498"/>
      <c r="BM345" s="498"/>
      <c r="BN345" s="498"/>
      <c r="BO345" s="498"/>
      <c r="BP345" s="498"/>
      <c r="BQ345" s="498"/>
      <c r="BR345" s="498"/>
      <c r="BS345" s="498"/>
      <c r="BT345" s="498"/>
      <c r="BU345" s="498"/>
      <c r="BV345" s="498"/>
      <c r="BW345" s="498"/>
      <c r="BX345" s="498"/>
      <c r="BY345" s="498"/>
      <c r="BZ345" s="498"/>
      <c r="CA345" s="498"/>
      <c r="CB345" s="498"/>
      <c r="CC345" s="498"/>
      <c r="CD345" s="498"/>
      <c r="CE345" s="498"/>
      <c r="CF345" s="498"/>
      <c r="CG345" s="287"/>
      <c r="CH345" s="287"/>
      <c r="CI345" s="287"/>
      <c r="CJ345" s="287"/>
      <c r="CK345" s="287"/>
      <c r="CL345" s="287"/>
      <c r="CM345" s="287"/>
      <c r="CN345" s="287"/>
      <c r="CO345" s="27"/>
      <c r="CR345" s="498"/>
      <c r="CS345" s="498"/>
      <c r="CT345" s="498"/>
      <c r="CU345" s="498"/>
      <c r="CV345" s="498"/>
      <c r="CW345" s="498"/>
      <c r="CX345" s="498"/>
      <c r="CY345" s="498"/>
      <c r="CZ345" s="498"/>
      <c r="DA345" s="498"/>
      <c r="DB345" s="498"/>
      <c r="DC345" s="498"/>
      <c r="DD345" s="498"/>
      <c r="DE345" s="498"/>
      <c r="DF345" s="498"/>
      <c r="DG345" s="498"/>
      <c r="DH345" s="498"/>
      <c r="DI345" s="498"/>
      <c r="DJ345" s="498"/>
      <c r="DK345" s="498"/>
      <c r="DL345" s="498"/>
      <c r="DM345" s="498"/>
      <c r="DN345" s="498"/>
      <c r="DO345" s="498"/>
      <c r="DP345" s="498"/>
      <c r="DQ345" s="498"/>
      <c r="DR345" s="498"/>
      <c r="DS345" s="498"/>
      <c r="DT345" s="498"/>
      <c r="DU345" s="498"/>
      <c r="DV345" s="498"/>
      <c r="DW345" s="498"/>
      <c r="DX345" s="498"/>
      <c r="DY345" s="498"/>
      <c r="DZ345" s="498"/>
      <c r="EA345" s="498"/>
      <c r="EB345" s="498"/>
      <c r="EC345" s="498"/>
      <c r="ED345" s="498"/>
      <c r="EE345" s="498"/>
      <c r="EF345" s="498"/>
      <c r="EG345" s="498"/>
      <c r="EH345" s="498"/>
      <c r="EI345" s="498"/>
      <c r="EJ345" s="498"/>
      <c r="EK345" s="498"/>
      <c r="EL345" s="498"/>
      <c r="EM345" s="498"/>
      <c r="EN345" s="498"/>
      <c r="EO345" s="498"/>
      <c r="EP345" s="498"/>
      <c r="EQ345" s="498"/>
      <c r="ER345" s="498"/>
      <c r="ES345" s="498"/>
      <c r="ET345" s="498"/>
      <c r="EU345" s="498"/>
      <c r="EV345" s="498"/>
      <c r="EW345" s="498"/>
      <c r="EX345" s="498"/>
      <c r="EY345" s="498"/>
      <c r="EZ345" s="498"/>
      <c r="FA345" s="498"/>
      <c r="FB345" s="498"/>
      <c r="FC345" s="498"/>
    </row>
    <row r="346" spans="3:159">
      <c r="C346" s="19" t="s">
        <v>1128</v>
      </c>
      <c r="J346" s="30" t="e">
        <f t="shared" ref="J346:AH346" si="126">J345/J336</f>
        <v>#REF!</v>
      </c>
      <c r="K346" s="30" t="e">
        <f t="shared" si="126"/>
        <v>#REF!</v>
      </c>
      <c r="L346" s="30" t="e">
        <f t="shared" si="126"/>
        <v>#REF!</v>
      </c>
      <c r="M346" s="30" t="e">
        <f t="shared" si="126"/>
        <v>#REF!</v>
      </c>
      <c r="N346" s="30" t="e">
        <f t="shared" si="126"/>
        <v>#REF!</v>
      </c>
      <c r="O346" s="30" t="e">
        <f t="shared" si="126"/>
        <v>#REF!</v>
      </c>
      <c r="P346" s="30" t="e">
        <f t="shared" si="126"/>
        <v>#REF!</v>
      </c>
      <c r="Q346" s="30">
        <f t="shared" si="126"/>
        <v>26.402029670138891</v>
      </c>
      <c r="R346" s="30">
        <f t="shared" si="126"/>
        <v>20.866266259698278</v>
      </c>
      <c r="S346" s="30">
        <f t="shared" si="126"/>
        <v>-10.899358320789561</v>
      </c>
      <c r="T346" s="30">
        <f t="shared" si="126"/>
        <v>3.1981405812029763E-3</v>
      </c>
      <c r="U346" s="30">
        <f t="shared" si="126"/>
        <v>0.93959553993504541</v>
      </c>
      <c r="V346" s="30">
        <f t="shared" si="126"/>
        <v>0.96100168901814853</v>
      </c>
      <c r="W346" s="30">
        <f t="shared" si="126"/>
        <v>0.98417866713563751</v>
      </c>
      <c r="X346" s="30">
        <f t="shared" si="126"/>
        <v>1.0131404603827781</v>
      </c>
      <c r="Y346" s="30">
        <f t="shared" si="126"/>
        <v>0.95320022830478568</v>
      </c>
      <c r="Z346" s="30">
        <f t="shared" si="126"/>
        <v>0.97908312548760668</v>
      </c>
      <c r="AA346" s="30">
        <f t="shared" si="126"/>
        <v>0.98817056567728567</v>
      </c>
      <c r="AB346" s="30">
        <f t="shared" si="126"/>
        <v>0.99633661241092863</v>
      </c>
      <c r="AC346" s="30">
        <f t="shared" si="126"/>
        <v>0.98646377741735292</v>
      </c>
      <c r="AD346" s="30">
        <f t="shared" si="126"/>
        <v>0.98730809791725016</v>
      </c>
      <c r="AE346" s="30">
        <f t="shared" si="126"/>
        <v>0.98766834580210128</v>
      </c>
      <c r="AF346" s="30">
        <f t="shared" si="126"/>
        <v>0.98801220725984629</v>
      </c>
      <c r="AG346" s="30">
        <f t="shared" si="126"/>
        <v>0.9880672792832137</v>
      </c>
      <c r="AH346" s="30">
        <f t="shared" si="126"/>
        <v>0.98819123575972811</v>
      </c>
      <c r="AO346" s="338"/>
      <c r="AP346" s="449"/>
      <c r="AR346" s="449"/>
      <c r="AS346" s="449"/>
      <c r="BA346" s="498"/>
      <c r="BB346" s="498"/>
      <c r="BC346" s="498"/>
      <c r="BD346" s="498"/>
      <c r="BE346" s="498"/>
      <c r="BF346" s="498"/>
      <c r="BG346" s="498"/>
      <c r="BH346" s="498"/>
      <c r="BI346" s="498"/>
      <c r="BJ346" s="498"/>
      <c r="BK346" s="498"/>
      <c r="BL346" s="498"/>
      <c r="BM346" s="498"/>
      <c r="BN346" s="498"/>
      <c r="BO346" s="498"/>
      <c r="BP346" s="498"/>
      <c r="BQ346" s="498"/>
      <c r="BR346" s="498"/>
      <c r="BS346" s="498"/>
      <c r="BT346" s="498"/>
      <c r="BU346" s="498"/>
      <c r="BV346" s="498"/>
      <c r="BW346" s="498"/>
      <c r="BX346" s="498"/>
      <c r="BY346" s="498"/>
      <c r="BZ346" s="498"/>
      <c r="CA346" s="498"/>
      <c r="CB346" s="498"/>
      <c r="CC346" s="498"/>
      <c r="CD346" s="498"/>
      <c r="CE346" s="498"/>
      <c r="CF346" s="498"/>
      <c r="CG346" s="30"/>
      <c r="CH346" s="30"/>
      <c r="CI346" s="30"/>
      <c r="CJ346" s="30"/>
      <c r="CK346" s="30"/>
      <c r="CL346" s="30"/>
      <c r="CM346" s="30"/>
      <c r="CN346" s="30"/>
      <c r="CO346" s="355"/>
      <c r="CR346" s="498"/>
      <c r="CS346" s="498"/>
      <c r="CT346" s="498"/>
      <c r="CU346" s="498"/>
      <c r="CV346" s="498"/>
      <c r="CW346" s="498"/>
      <c r="CX346" s="498"/>
      <c r="CY346" s="498"/>
      <c r="CZ346" s="498"/>
      <c r="DA346" s="498"/>
      <c r="DB346" s="498"/>
      <c r="DC346" s="498"/>
      <c r="DD346" s="498"/>
      <c r="DE346" s="498"/>
      <c r="DF346" s="498"/>
      <c r="DG346" s="498"/>
      <c r="DH346" s="498"/>
      <c r="DI346" s="498"/>
      <c r="DJ346" s="498"/>
      <c r="DK346" s="498"/>
      <c r="DL346" s="498"/>
      <c r="DM346" s="498"/>
      <c r="DN346" s="498"/>
      <c r="DO346" s="498"/>
      <c r="DP346" s="498"/>
      <c r="DQ346" s="498"/>
      <c r="DR346" s="498"/>
      <c r="DS346" s="498"/>
      <c r="DT346" s="498"/>
      <c r="DU346" s="498"/>
      <c r="DV346" s="498"/>
      <c r="DW346" s="498"/>
      <c r="DX346" s="498"/>
      <c r="DY346" s="498"/>
      <c r="DZ346" s="498"/>
      <c r="EA346" s="498"/>
      <c r="EB346" s="498"/>
      <c r="EC346" s="498"/>
      <c r="ED346" s="498"/>
      <c r="EE346" s="498"/>
      <c r="EF346" s="498"/>
      <c r="EG346" s="498"/>
      <c r="EH346" s="498"/>
      <c r="EI346" s="498"/>
      <c r="EJ346" s="498"/>
      <c r="EK346" s="498"/>
      <c r="EL346" s="498"/>
      <c r="EM346" s="498"/>
      <c r="EN346" s="498"/>
      <c r="EO346" s="498"/>
      <c r="EP346" s="498"/>
      <c r="EQ346" s="498"/>
      <c r="ER346" s="498"/>
      <c r="ES346" s="498"/>
      <c r="ET346" s="498"/>
      <c r="EU346" s="498"/>
      <c r="EV346" s="498"/>
      <c r="EW346" s="498"/>
      <c r="EX346" s="498"/>
      <c r="EY346" s="498"/>
      <c r="EZ346" s="498"/>
      <c r="FA346" s="498"/>
      <c r="FB346" s="498"/>
      <c r="FC346" s="498"/>
    </row>
    <row r="347" spans="3:159">
      <c r="C347" s="19"/>
      <c r="J347" s="19"/>
      <c r="K347" s="19"/>
      <c r="L347" s="19"/>
      <c r="M347" s="19"/>
      <c r="N347" s="19"/>
      <c r="O347" s="19"/>
      <c r="P347" s="19"/>
      <c r="Q347" s="19"/>
      <c r="R347" s="19"/>
      <c r="S347" s="19"/>
      <c r="T347" s="19"/>
      <c r="U347" s="19"/>
      <c r="V347" s="19"/>
      <c r="W347" s="19"/>
      <c r="X347" s="19"/>
      <c r="Y347" s="19"/>
      <c r="Z347" s="19"/>
      <c r="AA347" s="19"/>
      <c r="AB347" s="19"/>
      <c r="AC347" s="19"/>
      <c r="AD347" s="19"/>
      <c r="AE347" s="19"/>
      <c r="AF347" s="19"/>
      <c r="AG347" s="19"/>
      <c r="AH347" s="19"/>
      <c r="AO347" s="338"/>
      <c r="AP347" s="449"/>
      <c r="AR347" s="449"/>
      <c r="AS347" s="449"/>
      <c r="BA347" s="498"/>
      <c r="BB347" s="498"/>
      <c r="BC347" s="498"/>
      <c r="BD347" s="498"/>
      <c r="BE347" s="498"/>
      <c r="BF347" s="498"/>
      <c r="BG347" s="498"/>
      <c r="BH347" s="498"/>
      <c r="BI347" s="498"/>
      <c r="BJ347" s="498"/>
      <c r="BK347" s="498"/>
      <c r="BL347" s="498"/>
      <c r="BM347" s="498"/>
      <c r="BN347" s="498"/>
      <c r="BO347" s="498"/>
      <c r="BP347" s="498"/>
      <c r="BQ347" s="498"/>
      <c r="BR347" s="498"/>
      <c r="BS347" s="498"/>
      <c r="BT347" s="498"/>
      <c r="BU347" s="498"/>
      <c r="BV347" s="498"/>
      <c r="BW347" s="498"/>
      <c r="BX347" s="498"/>
      <c r="BY347" s="498"/>
      <c r="BZ347" s="498"/>
      <c r="CA347" s="498"/>
      <c r="CB347" s="498"/>
      <c r="CC347" s="498"/>
      <c r="CD347" s="498"/>
      <c r="CE347" s="498"/>
      <c r="CF347" s="498"/>
      <c r="CG347" s="19"/>
      <c r="CH347" s="19"/>
      <c r="CI347" s="19"/>
      <c r="CJ347" s="19"/>
      <c r="CK347" s="19"/>
      <c r="CL347" s="19"/>
      <c r="CM347" s="19"/>
      <c r="CN347" s="19"/>
      <c r="CO347" s="4"/>
      <c r="CR347" s="498"/>
      <c r="CS347" s="498"/>
      <c r="CT347" s="498"/>
      <c r="CU347" s="498"/>
      <c r="CV347" s="498"/>
      <c r="CW347" s="498"/>
      <c r="CX347" s="498"/>
      <c r="CY347" s="498"/>
      <c r="CZ347" s="498"/>
      <c r="DA347" s="498"/>
      <c r="DB347" s="498"/>
      <c r="DC347" s="498"/>
      <c r="DD347" s="498"/>
      <c r="DE347" s="498"/>
      <c r="DF347" s="498"/>
      <c r="DG347" s="498"/>
      <c r="DH347" s="498"/>
      <c r="DI347" s="498"/>
      <c r="DJ347" s="498"/>
      <c r="DK347" s="498"/>
      <c r="DL347" s="498"/>
      <c r="DM347" s="498"/>
      <c r="DN347" s="498"/>
      <c r="DO347" s="498"/>
      <c r="DP347" s="498"/>
      <c r="DQ347" s="498"/>
      <c r="DR347" s="498"/>
      <c r="DS347" s="498"/>
      <c r="DT347" s="498"/>
      <c r="DU347" s="498"/>
      <c r="DV347" s="498"/>
      <c r="DW347" s="498"/>
      <c r="DX347" s="498"/>
      <c r="DY347" s="498"/>
      <c r="DZ347" s="498"/>
      <c r="EA347" s="498"/>
      <c r="EB347" s="498"/>
      <c r="EC347" s="498"/>
      <c r="ED347" s="498"/>
      <c r="EE347" s="498"/>
      <c r="EF347" s="498"/>
      <c r="EG347" s="498"/>
      <c r="EH347" s="498"/>
      <c r="EI347" s="498"/>
      <c r="EJ347" s="498"/>
      <c r="EK347" s="498"/>
      <c r="EL347" s="498"/>
      <c r="EM347" s="498"/>
      <c r="EN347" s="498"/>
      <c r="EO347" s="498"/>
      <c r="EP347" s="498"/>
      <c r="EQ347" s="498"/>
      <c r="ER347" s="498"/>
      <c r="ES347" s="498"/>
      <c r="ET347" s="498"/>
      <c r="EU347" s="498"/>
      <c r="EV347" s="498"/>
      <c r="EW347" s="498"/>
      <c r="EX347" s="498"/>
      <c r="EY347" s="498"/>
      <c r="EZ347" s="498"/>
      <c r="FA347" s="498"/>
      <c r="FB347" s="498"/>
      <c r="FC347" s="498"/>
    </row>
    <row r="348" spans="3:159">
      <c r="C348" s="19" t="s">
        <v>1107</v>
      </c>
      <c r="J348" s="19"/>
      <c r="K348" s="19"/>
      <c r="L348" s="19"/>
      <c r="M348" s="19"/>
      <c r="N348" s="19"/>
      <c r="O348" s="19"/>
      <c r="P348" s="19"/>
      <c r="Q348" s="19"/>
      <c r="R348" s="19"/>
      <c r="S348" s="19"/>
      <c r="T348" s="19"/>
      <c r="U348" s="19"/>
      <c r="V348" s="19"/>
      <c r="W348" s="19"/>
      <c r="X348" s="19"/>
      <c r="Y348" s="19"/>
      <c r="Z348" s="19"/>
      <c r="AA348" s="19"/>
      <c r="AB348" s="19"/>
      <c r="AC348" s="19"/>
      <c r="AD348" s="19"/>
      <c r="AE348" s="19"/>
      <c r="AF348" s="19"/>
      <c r="AG348" s="19"/>
      <c r="AH348" s="19"/>
      <c r="AO348" s="338"/>
      <c r="AP348" s="449"/>
      <c r="AR348" s="449"/>
      <c r="AS348" s="449"/>
      <c r="BA348" s="498"/>
      <c r="BB348" s="498"/>
      <c r="BC348" s="498"/>
      <c r="BD348" s="498"/>
      <c r="BE348" s="498"/>
      <c r="BF348" s="498"/>
      <c r="BG348" s="498"/>
      <c r="BH348" s="498"/>
      <c r="BI348" s="498"/>
      <c r="BJ348" s="498"/>
      <c r="BK348" s="498"/>
      <c r="BL348" s="498"/>
      <c r="BM348" s="498"/>
      <c r="BN348" s="498"/>
      <c r="BO348" s="498"/>
      <c r="BP348" s="498"/>
      <c r="BQ348" s="498"/>
      <c r="BR348" s="498"/>
      <c r="BS348" s="498"/>
      <c r="BT348" s="498"/>
      <c r="BU348" s="498"/>
      <c r="BV348" s="498"/>
      <c r="BW348" s="498"/>
      <c r="BX348" s="498"/>
      <c r="BY348" s="498"/>
      <c r="BZ348" s="498"/>
      <c r="CA348" s="498"/>
      <c r="CB348" s="498"/>
      <c r="CC348" s="498"/>
      <c r="CD348" s="498"/>
      <c r="CE348" s="498"/>
      <c r="CF348" s="498"/>
      <c r="CG348" s="19"/>
      <c r="CH348" s="19"/>
      <c r="CI348" s="19"/>
      <c r="CJ348" s="19"/>
      <c r="CK348" s="19"/>
      <c r="CL348" s="19"/>
      <c r="CM348" s="19"/>
      <c r="CN348" s="19"/>
      <c r="CO348" s="4"/>
      <c r="CR348" s="498"/>
      <c r="CS348" s="498"/>
      <c r="CT348" s="498"/>
      <c r="CU348" s="498"/>
      <c r="CV348" s="498"/>
      <c r="CW348" s="498"/>
      <c r="CX348" s="498"/>
      <c r="CY348" s="498"/>
      <c r="CZ348" s="498"/>
      <c r="DA348" s="498"/>
      <c r="DB348" s="498"/>
      <c r="DC348" s="498"/>
      <c r="DD348" s="498"/>
      <c r="DE348" s="498"/>
      <c r="DF348" s="498"/>
      <c r="DG348" s="498"/>
      <c r="DH348" s="498"/>
      <c r="DI348" s="498"/>
      <c r="DJ348" s="498"/>
      <c r="DK348" s="498"/>
      <c r="DL348" s="498"/>
      <c r="DM348" s="498"/>
      <c r="DN348" s="498"/>
      <c r="DO348" s="498"/>
      <c r="DP348" s="498"/>
      <c r="DQ348" s="498"/>
      <c r="DR348" s="498"/>
      <c r="DS348" s="498"/>
      <c r="DT348" s="498"/>
      <c r="DU348" s="498"/>
      <c r="DV348" s="498"/>
      <c r="DW348" s="498"/>
      <c r="DX348" s="498"/>
      <c r="DY348" s="498"/>
      <c r="DZ348" s="498"/>
      <c r="EA348" s="498"/>
      <c r="EB348" s="498"/>
      <c r="EC348" s="498"/>
      <c r="ED348" s="498"/>
      <c r="EE348" s="498"/>
      <c r="EF348" s="498"/>
      <c r="EG348" s="498"/>
      <c r="EH348" s="498"/>
      <c r="EI348" s="498"/>
      <c r="EJ348" s="498"/>
      <c r="EK348" s="498"/>
      <c r="EL348" s="498"/>
      <c r="EM348" s="498"/>
      <c r="EN348" s="498"/>
      <c r="EO348" s="498"/>
      <c r="EP348" s="498"/>
      <c r="EQ348" s="498"/>
      <c r="ER348" s="498"/>
      <c r="ES348" s="498"/>
      <c r="ET348" s="498"/>
      <c r="EU348" s="498"/>
      <c r="EV348" s="498"/>
      <c r="EW348" s="498"/>
      <c r="EX348" s="498"/>
      <c r="EY348" s="498"/>
      <c r="EZ348" s="498"/>
      <c r="FA348" s="498"/>
      <c r="FB348" s="498"/>
      <c r="FC348" s="498"/>
    </row>
    <row r="349" spans="3:159">
      <c r="C349" s="19" t="s">
        <v>1099</v>
      </c>
      <c r="J349" s="300">
        <f t="shared" ref="J349:AH349" si="127">J352-J357</f>
        <v>0</v>
      </c>
      <c r="K349" s="300">
        <f t="shared" si="127"/>
        <v>0</v>
      </c>
      <c r="L349" s="300">
        <f t="shared" si="127"/>
        <v>-7</v>
      </c>
      <c r="M349" s="300">
        <f t="shared" si="127"/>
        <v>-7.4000000000000021</v>
      </c>
      <c r="N349" s="300">
        <f t="shared" si="127"/>
        <v>-7.8450000000000024</v>
      </c>
      <c r="O349" s="300">
        <f t="shared" si="127"/>
        <v>-8.3372500000000045</v>
      </c>
      <c r="P349" s="300">
        <f t="shared" si="127"/>
        <v>-8.8791125000000051</v>
      </c>
      <c r="Q349" s="300">
        <f t="shared" si="127"/>
        <v>-9.4730681250000046</v>
      </c>
      <c r="R349" s="300">
        <f t="shared" si="127"/>
        <v>-10.121721531250007</v>
      </c>
      <c r="S349" s="300">
        <f t="shared" si="127"/>
        <v>-10.82780760781251</v>
      </c>
      <c r="T349" s="300">
        <f t="shared" si="127"/>
        <v>-11.594197988203135</v>
      </c>
      <c r="U349" s="300">
        <f t="shared" si="127"/>
        <v>-12.423907887613293</v>
      </c>
      <c r="V349" s="300">
        <f t="shared" si="127"/>
        <v>-13.320103281993958</v>
      </c>
      <c r="W349" s="300">
        <f t="shared" si="127"/>
        <v>-14.286108446093657</v>
      </c>
      <c r="X349" s="300">
        <f t="shared" si="127"/>
        <v>-15.325413868398343</v>
      </c>
      <c r="Y349" s="300">
        <f t="shared" si="127"/>
        <v>-16.441684561818263</v>
      </c>
      <c r="Z349" s="300">
        <f t="shared" si="127"/>
        <v>-17.638768789909179</v>
      </c>
      <c r="AA349" s="300">
        <f t="shared" si="127"/>
        <v>-18.920707229404641</v>
      </c>
      <c r="AB349" s="300">
        <f t="shared" si="127"/>
        <v>-20.291742590874875</v>
      </c>
      <c r="AC349" s="300">
        <f t="shared" si="127"/>
        <v>-21.75632972041862</v>
      </c>
      <c r="AD349" s="300">
        <f t="shared" si="127"/>
        <v>-23.319146206439555</v>
      </c>
      <c r="AE349" s="300">
        <f t="shared" si="127"/>
        <v>-24.985103516761534</v>
      </c>
      <c r="AF349" s="300">
        <f t="shared" si="127"/>
        <v>-26.759358692599612</v>
      </c>
      <c r="AG349" s="300">
        <f t="shared" si="127"/>
        <v>-28.647326627229596</v>
      </c>
      <c r="AH349" s="300">
        <f t="shared" si="127"/>
        <v>-30.654692958591077</v>
      </c>
      <c r="AO349" s="338"/>
      <c r="AP349" s="449"/>
      <c r="AR349" s="449"/>
      <c r="AS349" s="449"/>
      <c r="BA349" s="498"/>
      <c r="BB349" s="498"/>
      <c r="BC349" s="498"/>
      <c r="BD349" s="498"/>
      <c r="BE349" s="498"/>
      <c r="BF349" s="498"/>
      <c r="BG349" s="498"/>
      <c r="BH349" s="498"/>
      <c r="BI349" s="498"/>
      <c r="BJ349" s="498"/>
      <c r="BK349" s="498"/>
      <c r="BL349" s="498"/>
      <c r="BM349" s="498"/>
      <c r="BN349" s="498"/>
      <c r="BO349" s="498"/>
      <c r="BP349" s="498"/>
      <c r="BQ349" s="498"/>
      <c r="BR349" s="498"/>
      <c r="BS349" s="498"/>
      <c r="BT349" s="498"/>
      <c r="BU349" s="498"/>
      <c r="BV349" s="498"/>
      <c r="BW349" s="498"/>
      <c r="BX349" s="498"/>
      <c r="BY349" s="498"/>
      <c r="BZ349" s="498"/>
      <c r="CA349" s="498"/>
      <c r="CB349" s="498"/>
      <c r="CC349" s="498"/>
      <c r="CD349" s="498"/>
      <c r="CE349" s="498"/>
      <c r="CF349" s="498"/>
      <c r="CG349" s="300"/>
      <c r="CH349" s="300"/>
      <c r="CI349" s="300"/>
      <c r="CJ349" s="300"/>
      <c r="CK349" s="300"/>
      <c r="CL349" s="300"/>
      <c r="CM349" s="300"/>
      <c r="CN349" s="300"/>
      <c r="CO349" s="357"/>
      <c r="CR349" s="498"/>
      <c r="CS349" s="498"/>
      <c r="CT349" s="498"/>
      <c r="CU349" s="498"/>
      <c r="CV349" s="498"/>
      <c r="CW349" s="498"/>
      <c r="CX349" s="498"/>
      <c r="CY349" s="498"/>
      <c r="CZ349" s="498"/>
      <c r="DA349" s="498"/>
      <c r="DB349" s="498"/>
      <c r="DC349" s="498"/>
      <c r="DD349" s="498"/>
      <c r="DE349" s="498"/>
      <c r="DF349" s="498"/>
      <c r="DG349" s="498"/>
      <c r="DH349" s="498"/>
      <c r="DI349" s="498"/>
      <c r="DJ349" s="498"/>
      <c r="DK349" s="498"/>
      <c r="DL349" s="498"/>
      <c r="DM349" s="498"/>
      <c r="DN349" s="498"/>
      <c r="DO349" s="498"/>
      <c r="DP349" s="498"/>
      <c r="DQ349" s="498"/>
      <c r="DR349" s="498"/>
      <c r="DS349" s="498"/>
      <c r="DT349" s="498"/>
      <c r="DU349" s="498"/>
      <c r="DV349" s="498"/>
      <c r="DW349" s="498"/>
      <c r="DX349" s="498"/>
      <c r="DY349" s="498"/>
      <c r="DZ349" s="498"/>
      <c r="EA349" s="498"/>
      <c r="EB349" s="498"/>
      <c r="EC349" s="498"/>
      <c r="ED349" s="498"/>
      <c r="EE349" s="498"/>
      <c r="EF349" s="498"/>
      <c r="EG349" s="498"/>
      <c r="EH349" s="498"/>
      <c r="EI349" s="498"/>
      <c r="EJ349" s="498"/>
      <c r="EK349" s="498"/>
      <c r="EL349" s="498"/>
      <c r="EM349" s="498"/>
      <c r="EN349" s="498"/>
      <c r="EO349" s="498"/>
      <c r="EP349" s="498"/>
      <c r="EQ349" s="498"/>
      <c r="ER349" s="498"/>
      <c r="ES349" s="498"/>
      <c r="ET349" s="498"/>
      <c r="EU349" s="498"/>
      <c r="EV349" s="498"/>
      <c r="EW349" s="498"/>
      <c r="EX349" s="498"/>
      <c r="EY349" s="498"/>
      <c r="EZ349" s="498"/>
      <c r="FA349" s="498"/>
      <c r="FB349" s="498"/>
      <c r="FC349" s="498"/>
    </row>
    <row r="350" spans="3:159">
      <c r="C350" s="19" t="s">
        <v>970</v>
      </c>
      <c r="AO350" s="338"/>
      <c r="AP350" s="449"/>
      <c r="AR350" s="449"/>
      <c r="AS350" s="449"/>
      <c r="BA350" s="498"/>
      <c r="BB350" s="498"/>
      <c r="BC350" s="498"/>
      <c r="BD350" s="498"/>
      <c r="BE350" s="498"/>
      <c r="BF350" s="498"/>
      <c r="BG350" s="498"/>
      <c r="BH350" s="498"/>
      <c r="BI350" s="498"/>
      <c r="BJ350" s="498"/>
      <c r="BK350" s="498"/>
      <c r="BL350" s="498"/>
      <c r="BM350" s="498"/>
      <c r="BN350" s="498"/>
      <c r="BO350" s="498"/>
      <c r="BP350" s="498"/>
      <c r="BQ350" s="498"/>
      <c r="BR350" s="498"/>
      <c r="BS350" s="498"/>
      <c r="BT350" s="498"/>
      <c r="BU350" s="498"/>
      <c r="BV350" s="498"/>
      <c r="BW350" s="498"/>
      <c r="BX350" s="498"/>
      <c r="BY350" s="498"/>
      <c r="BZ350" s="498"/>
      <c r="CA350" s="498"/>
      <c r="CB350" s="498"/>
      <c r="CC350" s="498"/>
      <c r="CD350" s="498"/>
      <c r="CE350" s="498"/>
      <c r="CF350" s="498"/>
      <c r="CR350" s="498"/>
      <c r="CS350" s="498"/>
      <c r="CT350" s="498"/>
      <c r="CU350" s="498"/>
      <c r="CV350" s="498"/>
      <c r="CW350" s="498"/>
      <c r="CX350" s="498"/>
      <c r="CY350" s="498"/>
      <c r="CZ350" s="498"/>
      <c r="DA350" s="498"/>
      <c r="DB350" s="498"/>
      <c r="DC350" s="498"/>
      <c r="DD350" s="498"/>
      <c r="DE350" s="498"/>
      <c r="DF350" s="498"/>
      <c r="DG350" s="498"/>
      <c r="DH350" s="498"/>
      <c r="DI350" s="498"/>
      <c r="DJ350" s="498"/>
      <c r="DK350" s="498"/>
      <c r="DL350" s="498"/>
      <c r="DM350" s="498"/>
      <c r="DN350" s="498"/>
      <c r="DO350" s="498"/>
      <c r="DP350" s="498"/>
      <c r="DQ350" s="498"/>
      <c r="DR350" s="498"/>
      <c r="DS350" s="498"/>
      <c r="DT350" s="498"/>
      <c r="DU350" s="498"/>
      <c r="DV350" s="498"/>
      <c r="DW350" s="498"/>
      <c r="DX350" s="498"/>
      <c r="DY350" s="498"/>
      <c r="DZ350" s="498"/>
      <c r="EA350" s="498"/>
      <c r="EB350" s="498"/>
      <c r="EC350" s="498"/>
      <c r="ED350" s="498"/>
      <c r="EE350" s="498"/>
      <c r="EF350" s="498"/>
      <c r="EG350" s="498"/>
      <c r="EH350" s="498"/>
      <c r="EI350" s="498"/>
      <c r="EJ350" s="498"/>
      <c r="EK350" s="498"/>
      <c r="EL350" s="498"/>
      <c r="EM350" s="498"/>
      <c r="EN350" s="498"/>
      <c r="EO350" s="498"/>
      <c r="EP350" s="498"/>
      <c r="EQ350" s="498"/>
      <c r="ER350" s="498"/>
      <c r="ES350" s="498"/>
      <c r="ET350" s="498"/>
      <c r="EU350" s="498"/>
      <c r="EV350" s="498"/>
      <c r="EW350" s="498"/>
      <c r="EX350" s="498"/>
      <c r="EY350" s="498"/>
      <c r="EZ350" s="498"/>
      <c r="FA350" s="498"/>
      <c r="FB350" s="498"/>
      <c r="FC350" s="498"/>
    </row>
    <row r="351" spans="3:159">
      <c r="C351" s="291" t="s">
        <v>964</v>
      </c>
      <c r="P351" s="300"/>
      <c r="Q351" s="300"/>
      <c r="R351" s="300"/>
      <c r="S351" s="300"/>
      <c r="T351" s="300"/>
      <c r="U351" s="300"/>
      <c r="V351" s="300"/>
      <c r="W351" s="300"/>
      <c r="X351" s="300"/>
      <c r="Y351" s="300"/>
      <c r="Z351" s="300"/>
      <c r="AA351" s="300"/>
      <c r="AB351" s="300"/>
      <c r="AC351" s="300"/>
      <c r="AD351" s="300"/>
      <c r="AE351" s="300"/>
      <c r="AF351" s="300"/>
      <c r="AG351" s="300"/>
      <c r="AH351" s="300"/>
      <c r="AO351" s="338"/>
      <c r="AP351" s="449"/>
      <c r="AR351" s="449"/>
      <c r="AS351" s="449"/>
      <c r="BA351" s="498"/>
      <c r="BB351" s="498"/>
      <c r="BC351" s="498"/>
      <c r="BD351" s="498"/>
      <c r="BE351" s="498"/>
      <c r="BF351" s="498"/>
      <c r="BG351" s="498"/>
      <c r="BH351" s="498"/>
      <c r="BI351" s="498"/>
      <c r="BJ351" s="498"/>
      <c r="BK351" s="498"/>
      <c r="BL351" s="498"/>
      <c r="BM351" s="498"/>
      <c r="BN351" s="498"/>
      <c r="BO351" s="498"/>
      <c r="BP351" s="498"/>
      <c r="BQ351" s="498"/>
      <c r="BR351" s="498"/>
      <c r="BS351" s="498"/>
      <c r="BT351" s="498"/>
      <c r="BU351" s="498"/>
      <c r="BV351" s="498"/>
      <c r="BW351" s="498"/>
      <c r="BX351" s="498"/>
      <c r="BY351" s="498"/>
      <c r="BZ351" s="498"/>
      <c r="CA351" s="498"/>
      <c r="CB351" s="498"/>
      <c r="CC351" s="498"/>
      <c r="CD351" s="498"/>
      <c r="CE351" s="498"/>
      <c r="CF351" s="498"/>
      <c r="CG351" s="300"/>
      <c r="CH351" s="300"/>
      <c r="CI351" s="300"/>
      <c r="CJ351" s="300"/>
      <c r="CK351" s="300"/>
      <c r="CL351" s="300"/>
      <c r="CM351" s="300"/>
      <c r="CN351" s="300"/>
      <c r="CO351" s="357"/>
      <c r="CR351" s="498"/>
      <c r="CS351" s="498"/>
      <c r="CT351" s="498"/>
      <c r="CU351" s="498"/>
      <c r="CV351" s="498"/>
      <c r="CW351" s="498"/>
      <c r="CX351" s="498"/>
      <c r="CY351" s="498"/>
      <c r="CZ351" s="498"/>
      <c r="DA351" s="498"/>
      <c r="DB351" s="498"/>
      <c r="DC351" s="498"/>
      <c r="DD351" s="498"/>
      <c r="DE351" s="498"/>
      <c r="DF351" s="498"/>
      <c r="DG351" s="498"/>
      <c r="DH351" s="498"/>
      <c r="DI351" s="498"/>
      <c r="DJ351" s="498"/>
      <c r="DK351" s="498"/>
      <c r="DL351" s="498"/>
      <c r="DM351" s="498"/>
      <c r="DN351" s="498"/>
      <c r="DO351" s="498"/>
      <c r="DP351" s="498"/>
      <c r="DQ351" s="498"/>
      <c r="DR351" s="498"/>
      <c r="DS351" s="498"/>
      <c r="DT351" s="498"/>
      <c r="DU351" s="498"/>
      <c r="DV351" s="498"/>
      <c r="DW351" s="498"/>
      <c r="DX351" s="498"/>
      <c r="DY351" s="498"/>
      <c r="DZ351" s="498"/>
      <c r="EA351" s="498"/>
      <c r="EB351" s="498"/>
      <c r="EC351" s="498"/>
      <c r="ED351" s="498"/>
      <c r="EE351" s="498"/>
      <c r="EF351" s="498"/>
      <c r="EG351" s="498"/>
      <c r="EH351" s="498"/>
      <c r="EI351" s="498"/>
      <c r="EJ351" s="498"/>
      <c r="EK351" s="498"/>
      <c r="EL351" s="498"/>
      <c r="EM351" s="498"/>
      <c r="EN351" s="498"/>
      <c r="EO351" s="498"/>
      <c r="EP351" s="498"/>
      <c r="EQ351" s="498"/>
      <c r="ER351" s="498"/>
      <c r="ES351" s="498"/>
      <c r="ET351" s="498"/>
      <c r="EU351" s="498"/>
      <c r="EV351" s="498"/>
      <c r="EW351" s="498"/>
      <c r="EX351" s="498"/>
      <c r="EY351" s="498"/>
      <c r="EZ351" s="498"/>
      <c r="FA351" s="498"/>
      <c r="FB351" s="498"/>
      <c r="FC351" s="498"/>
    </row>
    <row r="352" spans="3:159">
      <c r="C352" s="370" t="s">
        <v>963</v>
      </c>
      <c r="J352" s="371">
        <v>0</v>
      </c>
      <c r="K352" s="371">
        <v>0</v>
      </c>
      <c r="L352" s="371">
        <v>-18</v>
      </c>
      <c r="M352" s="371">
        <v>-18.900000000000002</v>
      </c>
      <c r="N352" s="371">
        <v>-19.845000000000002</v>
      </c>
      <c r="O352" s="371">
        <v>-20.837250000000004</v>
      </c>
      <c r="P352" s="300">
        <f t="shared" ref="P352:AH352" si="128">O352*(1+P353)</f>
        <v>-21.879112500000005</v>
      </c>
      <c r="Q352" s="300">
        <f t="shared" si="128"/>
        <v>-22.973068125000005</v>
      </c>
      <c r="R352" s="300">
        <f t="shared" si="128"/>
        <v>-24.121721531250007</v>
      </c>
      <c r="S352" s="300">
        <f t="shared" si="128"/>
        <v>-25.32780760781251</v>
      </c>
      <c r="T352" s="300">
        <f t="shared" si="128"/>
        <v>-26.594197988203135</v>
      </c>
      <c r="U352" s="300">
        <f t="shared" si="128"/>
        <v>-27.923907887613293</v>
      </c>
      <c r="V352" s="300">
        <f t="shared" si="128"/>
        <v>-29.320103281993958</v>
      </c>
      <c r="W352" s="300">
        <f t="shared" si="128"/>
        <v>-30.786108446093657</v>
      </c>
      <c r="X352" s="300">
        <f t="shared" si="128"/>
        <v>-32.325413868398343</v>
      </c>
      <c r="Y352" s="300">
        <f t="shared" si="128"/>
        <v>-33.941684561818263</v>
      </c>
      <c r="Z352" s="300">
        <f t="shared" si="128"/>
        <v>-35.638768789909179</v>
      </c>
      <c r="AA352" s="300">
        <f t="shared" si="128"/>
        <v>-37.420707229404641</v>
      </c>
      <c r="AB352" s="300">
        <f t="shared" si="128"/>
        <v>-39.291742590874875</v>
      </c>
      <c r="AC352" s="300">
        <f t="shared" si="128"/>
        <v>-41.25632972041862</v>
      </c>
      <c r="AD352" s="300">
        <f t="shared" si="128"/>
        <v>-43.319146206439555</v>
      </c>
      <c r="AE352" s="300">
        <f t="shared" si="128"/>
        <v>-45.485103516761534</v>
      </c>
      <c r="AF352" s="300">
        <f t="shared" si="128"/>
        <v>-47.759358692599612</v>
      </c>
      <c r="AG352" s="300">
        <f t="shared" si="128"/>
        <v>-50.147326627229596</v>
      </c>
      <c r="AH352" s="300">
        <f t="shared" si="128"/>
        <v>-52.654692958591077</v>
      </c>
      <c r="AO352" s="338"/>
      <c r="AP352" s="449"/>
      <c r="AR352" s="449"/>
      <c r="AS352" s="449"/>
      <c r="BA352" s="498"/>
      <c r="BB352" s="498"/>
      <c r="BC352" s="498"/>
      <c r="BD352" s="498"/>
      <c r="BE352" s="498"/>
      <c r="BF352" s="498"/>
      <c r="BG352" s="498"/>
      <c r="BH352" s="498"/>
      <c r="BI352" s="498"/>
      <c r="BJ352" s="498"/>
      <c r="BK352" s="498"/>
      <c r="BL352" s="498"/>
      <c r="BM352" s="498"/>
      <c r="BN352" s="498"/>
      <c r="BO352" s="498"/>
      <c r="BP352" s="498"/>
      <c r="BQ352" s="498"/>
      <c r="BR352" s="498"/>
      <c r="BS352" s="498"/>
      <c r="BT352" s="498"/>
      <c r="BU352" s="498"/>
      <c r="BV352" s="498"/>
      <c r="BW352" s="498"/>
      <c r="BX352" s="498"/>
      <c r="BY352" s="498"/>
      <c r="BZ352" s="498"/>
      <c r="CA352" s="498"/>
      <c r="CB352" s="498"/>
      <c r="CC352" s="498"/>
      <c r="CD352" s="498"/>
      <c r="CE352" s="498"/>
      <c r="CF352" s="498"/>
      <c r="CG352" s="300"/>
      <c r="CH352" s="300"/>
      <c r="CI352" s="300"/>
      <c r="CJ352" s="300"/>
      <c r="CK352" s="300"/>
      <c r="CL352" s="300"/>
      <c r="CM352" s="300"/>
      <c r="CN352" s="300"/>
      <c r="CO352" s="357"/>
      <c r="CR352" s="498"/>
      <c r="CS352" s="498"/>
      <c r="CT352" s="498"/>
      <c r="CU352" s="498"/>
      <c r="CV352" s="498"/>
      <c r="CW352" s="498"/>
      <c r="CX352" s="498"/>
      <c r="CY352" s="498"/>
      <c r="CZ352" s="498"/>
      <c r="DA352" s="498"/>
      <c r="DB352" s="498"/>
      <c r="DC352" s="498"/>
      <c r="DD352" s="498"/>
      <c r="DE352" s="498"/>
      <c r="DF352" s="498"/>
      <c r="DG352" s="498"/>
      <c r="DH352" s="498"/>
      <c r="DI352" s="498"/>
      <c r="DJ352" s="498"/>
      <c r="DK352" s="498"/>
      <c r="DL352" s="498"/>
      <c r="DM352" s="498"/>
      <c r="DN352" s="498"/>
      <c r="DO352" s="498"/>
      <c r="DP352" s="498"/>
      <c r="DQ352" s="498"/>
      <c r="DR352" s="498"/>
      <c r="DS352" s="498"/>
      <c r="DT352" s="498"/>
      <c r="DU352" s="498"/>
      <c r="DV352" s="498"/>
      <c r="DW352" s="498"/>
      <c r="DX352" s="498"/>
      <c r="DY352" s="498"/>
      <c r="DZ352" s="498"/>
      <c r="EA352" s="498"/>
      <c r="EB352" s="498"/>
      <c r="EC352" s="498"/>
      <c r="ED352" s="498"/>
      <c r="EE352" s="498"/>
      <c r="EF352" s="498"/>
      <c r="EG352" s="498"/>
      <c r="EH352" s="498"/>
      <c r="EI352" s="498"/>
      <c r="EJ352" s="498"/>
      <c r="EK352" s="498"/>
      <c r="EL352" s="498"/>
      <c r="EM352" s="498"/>
      <c r="EN352" s="498"/>
      <c r="EO352" s="498"/>
      <c r="EP352" s="498"/>
      <c r="EQ352" s="498"/>
      <c r="ER352" s="498"/>
      <c r="ES352" s="498"/>
      <c r="ET352" s="498"/>
      <c r="EU352" s="498"/>
      <c r="EV352" s="498"/>
      <c r="EW352" s="498"/>
      <c r="EX352" s="498"/>
      <c r="EY352" s="498"/>
      <c r="EZ352" s="498"/>
      <c r="FA352" s="498"/>
      <c r="FB352" s="498"/>
      <c r="FC352" s="498"/>
    </row>
    <row r="353" spans="3:159">
      <c r="C353" s="370" t="s">
        <v>1108</v>
      </c>
      <c r="O353" s="303">
        <v>0.05</v>
      </c>
      <c r="P353" s="30">
        <f t="shared" ref="P353:AH353" si="129">O353</f>
        <v>0.05</v>
      </c>
      <c r="Q353" s="30">
        <f t="shared" si="129"/>
        <v>0.05</v>
      </c>
      <c r="R353" s="30">
        <f t="shared" si="129"/>
        <v>0.05</v>
      </c>
      <c r="S353" s="30">
        <f t="shared" si="129"/>
        <v>0.05</v>
      </c>
      <c r="T353" s="30">
        <f t="shared" si="129"/>
        <v>0.05</v>
      </c>
      <c r="U353" s="30">
        <f t="shared" si="129"/>
        <v>0.05</v>
      </c>
      <c r="V353" s="30">
        <f t="shared" si="129"/>
        <v>0.05</v>
      </c>
      <c r="W353" s="30">
        <f t="shared" si="129"/>
        <v>0.05</v>
      </c>
      <c r="X353" s="30">
        <f t="shared" si="129"/>
        <v>0.05</v>
      </c>
      <c r="Y353" s="30">
        <f t="shared" si="129"/>
        <v>0.05</v>
      </c>
      <c r="Z353" s="30">
        <f t="shared" si="129"/>
        <v>0.05</v>
      </c>
      <c r="AA353" s="30">
        <f t="shared" si="129"/>
        <v>0.05</v>
      </c>
      <c r="AB353" s="30">
        <f t="shared" si="129"/>
        <v>0.05</v>
      </c>
      <c r="AC353" s="30">
        <f t="shared" si="129"/>
        <v>0.05</v>
      </c>
      <c r="AD353" s="30">
        <f t="shared" si="129"/>
        <v>0.05</v>
      </c>
      <c r="AE353" s="30">
        <f t="shared" si="129"/>
        <v>0.05</v>
      </c>
      <c r="AF353" s="30">
        <f t="shared" si="129"/>
        <v>0.05</v>
      </c>
      <c r="AG353" s="30">
        <f t="shared" si="129"/>
        <v>0.05</v>
      </c>
      <c r="AH353" s="30">
        <f t="shared" si="129"/>
        <v>0.05</v>
      </c>
      <c r="AO353" s="338"/>
      <c r="AP353" s="449"/>
      <c r="AR353" s="449"/>
      <c r="AS353" s="449"/>
      <c r="BA353" s="498"/>
      <c r="BB353" s="498"/>
      <c r="BC353" s="498"/>
      <c r="BD353" s="498"/>
      <c r="BE353" s="498"/>
      <c r="BF353" s="498"/>
      <c r="BG353" s="498"/>
      <c r="BH353" s="498"/>
      <c r="BI353" s="498"/>
      <c r="BJ353" s="498"/>
      <c r="BK353" s="498"/>
      <c r="BL353" s="498"/>
      <c r="BM353" s="498"/>
      <c r="BN353" s="498"/>
      <c r="BO353" s="498"/>
      <c r="BP353" s="498"/>
      <c r="BQ353" s="498"/>
      <c r="BR353" s="498"/>
      <c r="BS353" s="498"/>
      <c r="BT353" s="498"/>
      <c r="BU353" s="498"/>
      <c r="BV353" s="498"/>
      <c r="BW353" s="498"/>
      <c r="BX353" s="498"/>
      <c r="BY353" s="498"/>
      <c r="BZ353" s="498"/>
      <c r="CA353" s="498"/>
      <c r="CB353" s="498"/>
      <c r="CC353" s="498"/>
      <c r="CD353" s="498"/>
      <c r="CE353" s="498"/>
      <c r="CF353" s="498"/>
      <c r="CG353" s="30"/>
      <c r="CH353" s="30"/>
      <c r="CI353" s="30"/>
      <c r="CJ353" s="30"/>
      <c r="CK353" s="30"/>
      <c r="CL353" s="30"/>
      <c r="CM353" s="30"/>
      <c r="CN353" s="30"/>
      <c r="CO353" s="355"/>
      <c r="CR353" s="498"/>
      <c r="CS353" s="498"/>
      <c r="CT353" s="498"/>
      <c r="CU353" s="498"/>
      <c r="CV353" s="498"/>
      <c r="CW353" s="498"/>
      <c r="CX353" s="498"/>
      <c r="CY353" s="498"/>
      <c r="CZ353" s="498"/>
      <c r="DA353" s="498"/>
      <c r="DB353" s="498"/>
      <c r="DC353" s="498"/>
      <c r="DD353" s="498"/>
      <c r="DE353" s="498"/>
      <c r="DF353" s="498"/>
      <c r="DG353" s="498"/>
      <c r="DH353" s="498"/>
      <c r="DI353" s="498"/>
      <c r="DJ353" s="498"/>
      <c r="DK353" s="498"/>
      <c r="DL353" s="498"/>
      <c r="DM353" s="498"/>
      <c r="DN353" s="498"/>
      <c r="DO353" s="498"/>
      <c r="DP353" s="498"/>
      <c r="DQ353" s="498"/>
      <c r="DR353" s="498"/>
      <c r="DS353" s="498"/>
      <c r="DT353" s="498"/>
      <c r="DU353" s="498"/>
      <c r="DV353" s="498"/>
      <c r="DW353" s="498"/>
      <c r="DX353" s="498"/>
      <c r="DY353" s="498"/>
      <c r="DZ353" s="498"/>
      <c r="EA353" s="498"/>
      <c r="EB353" s="498"/>
      <c r="EC353" s="498"/>
      <c r="ED353" s="498"/>
      <c r="EE353" s="498"/>
      <c r="EF353" s="498"/>
      <c r="EG353" s="498"/>
      <c r="EH353" s="498"/>
      <c r="EI353" s="498"/>
      <c r="EJ353" s="498"/>
      <c r="EK353" s="498"/>
      <c r="EL353" s="498"/>
      <c r="EM353" s="498"/>
      <c r="EN353" s="498"/>
      <c r="EO353" s="498"/>
      <c r="EP353" s="498"/>
      <c r="EQ353" s="498"/>
      <c r="ER353" s="498"/>
      <c r="ES353" s="498"/>
      <c r="ET353" s="498"/>
      <c r="EU353" s="498"/>
      <c r="EV353" s="498"/>
      <c r="EW353" s="498"/>
      <c r="EX353" s="498"/>
      <c r="EY353" s="498"/>
      <c r="EZ353" s="498"/>
      <c r="FA353" s="498"/>
      <c r="FB353" s="498"/>
      <c r="FC353" s="498"/>
    </row>
    <row r="354" spans="3:159">
      <c r="C354" s="370"/>
      <c r="AO354" s="338"/>
      <c r="AP354" s="449"/>
      <c r="AR354" s="449"/>
      <c r="AS354" s="449"/>
      <c r="BA354" s="498"/>
      <c r="BB354" s="498"/>
      <c r="BC354" s="498"/>
      <c r="BD354" s="498"/>
      <c r="BE354" s="498"/>
      <c r="BF354" s="498"/>
      <c r="BG354" s="498"/>
      <c r="BH354" s="498"/>
      <c r="BI354" s="498"/>
      <c r="BJ354" s="498"/>
      <c r="BK354" s="498"/>
      <c r="BL354" s="498"/>
      <c r="BM354" s="498"/>
      <c r="BN354" s="498"/>
      <c r="BO354" s="498"/>
      <c r="BP354" s="498"/>
      <c r="BQ354" s="498"/>
      <c r="BR354" s="498"/>
      <c r="BS354" s="498"/>
      <c r="BT354" s="498"/>
      <c r="BU354" s="498"/>
      <c r="BV354" s="498"/>
      <c r="BW354" s="498"/>
      <c r="BX354" s="498"/>
      <c r="BY354" s="498"/>
      <c r="BZ354" s="498"/>
      <c r="CA354" s="498"/>
      <c r="CB354" s="498"/>
      <c r="CC354" s="498"/>
      <c r="CD354" s="498"/>
      <c r="CE354" s="498"/>
      <c r="CF354" s="498"/>
      <c r="CR354" s="498"/>
      <c r="CS354" s="498"/>
      <c r="CT354" s="498"/>
      <c r="CU354" s="498"/>
      <c r="CV354" s="498"/>
      <c r="CW354" s="498"/>
      <c r="CX354" s="498"/>
      <c r="CY354" s="498"/>
      <c r="CZ354" s="498"/>
      <c r="DA354" s="498"/>
      <c r="DB354" s="498"/>
      <c r="DC354" s="498"/>
      <c r="DD354" s="498"/>
      <c r="DE354" s="498"/>
      <c r="DF354" s="498"/>
      <c r="DG354" s="498"/>
      <c r="DH354" s="498"/>
      <c r="DI354" s="498"/>
      <c r="DJ354" s="498"/>
      <c r="DK354" s="498"/>
      <c r="DL354" s="498"/>
      <c r="DM354" s="498"/>
      <c r="DN354" s="498"/>
      <c r="DO354" s="498"/>
      <c r="DP354" s="498"/>
      <c r="DQ354" s="498"/>
      <c r="DR354" s="498"/>
      <c r="DS354" s="498"/>
      <c r="DT354" s="498"/>
      <c r="DU354" s="498"/>
      <c r="DV354" s="498"/>
      <c r="DW354" s="498"/>
      <c r="DX354" s="498"/>
      <c r="DY354" s="498"/>
      <c r="DZ354" s="498"/>
      <c r="EA354" s="498"/>
      <c r="EB354" s="498"/>
      <c r="EC354" s="498"/>
      <c r="ED354" s="498"/>
      <c r="EE354" s="498"/>
      <c r="EF354" s="498"/>
      <c r="EG354" s="498"/>
      <c r="EH354" s="498"/>
      <c r="EI354" s="498"/>
      <c r="EJ354" s="498"/>
      <c r="EK354" s="498"/>
      <c r="EL354" s="498"/>
      <c r="EM354" s="498"/>
      <c r="EN354" s="498"/>
      <c r="EO354" s="498"/>
      <c r="EP354" s="498"/>
      <c r="EQ354" s="498"/>
      <c r="ER354" s="498"/>
      <c r="ES354" s="498"/>
      <c r="ET354" s="498"/>
      <c r="EU354" s="498"/>
      <c r="EV354" s="498"/>
      <c r="EW354" s="498"/>
      <c r="EX354" s="498"/>
      <c r="EY354" s="498"/>
      <c r="EZ354" s="498"/>
      <c r="FA354" s="498"/>
      <c r="FB354" s="498"/>
      <c r="FC354" s="498"/>
    </row>
    <row r="355" spans="3:159">
      <c r="C355" s="19" t="s">
        <v>974</v>
      </c>
      <c r="AO355" s="338"/>
      <c r="AP355" s="449"/>
      <c r="AR355" s="449"/>
      <c r="AS355" s="449"/>
      <c r="BA355" s="498"/>
      <c r="BB355" s="498"/>
      <c r="BC355" s="498"/>
      <c r="BD355" s="498"/>
      <c r="BE355" s="498"/>
      <c r="BF355" s="498"/>
      <c r="BG355" s="498"/>
      <c r="BH355" s="498"/>
      <c r="BI355" s="498"/>
      <c r="BJ355" s="498"/>
      <c r="BK355" s="498"/>
      <c r="BL355" s="498"/>
      <c r="BM355" s="498"/>
      <c r="BN355" s="498"/>
      <c r="BO355" s="498"/>
      <c r="BP355" s="498"/>
      <c r="BQ355" s="498"/>
      <c r="BR355" s="498"/>
      <c r="BS355" s="498"/>
      <c r="BT355" s="498"/>
      <c r="BU355" s="498"/>
      <c r="BV355" s="498"/>
      <c r="BW355" s="498"/>
      <c r="BX355" s="498"/>
      <c r="BY355" s="498"/>
      <c r="BZ355" s="498"/>
      <c r="CA355" s="498"/>
      <c r="CB355" s="498"/>
      <c r="CC355" s="498"/>
      <c r="CD355" s="498"/>
      <c r="CE355" s="498"/>
      <c r="CF355" s="498"/>
      <c r="CR355" s="498"/>
      <c r="CS355" s="498"/>
      <c r="CT355" s="498"/>
      <c r="CU355" s="498"/>
      <c r="CV355" s="498"/>
      <c r="CW355" s="498"/>
      <c r="CX355" s="498"/>
      <c r="CY355" s="498"/>
      <c r="CZ355" s="498"/>
      <c r="DA355" s="498"/>
      <c r="DB355" s="498"/>
      <c r="DC355" s="498"/>
      <c r="DD355" s="498"/>
      <c r="DE355" s="498"/>
      <c r="DF355" s="498"/>
      <c r="DG355" s="498"/>
      <c r="DH355" s="498"/>
      <c r="DI355" s="498"/>
      <c r="DJ355" s="498"/>
      <c r="DK355" s="498"/>
      <c r="DL355" s="498"/>
      <c r="DM355" s="498"/>
      <c r="DN355" s="498"/>
      <c r="DO355" s="498"/>
      <c r="DP355" s="498"/>
      <c r="DQ355" s="498"/>
      <c r="DR355" s="498"/>
      <c r="DS355" s="498"/>
      <c r="DT355" s="498"/>
      <c r="DU355" s="498"/>
      <c r="DV355" s="498"/>
      <c r="DW355" s="498"/>
      <c r="DX355" s="498"/>
      <c r="DY355" s="498"/>
      <c r="DZ355" s="498"/>
      <c r="EA355" s="498"/>
      <c r="EB355" s="498"/>
      <c r="EC355" s="498"/>
      <c r="ED355" s="498"/>
      <c r="EE355" s="498"/>
      <c r="EF355" s="498"/>
      <c r="EG355" s="498"/>
      <c r="EH355" s="498"/>
      <c r="EI355" s="498"/>
      <c r="EJ355" s="498"/>
      <c r="EK355" s="498"/>
      <c r="EL355" s="498"/>
      <c r="EM355" s="498"/>
      <c r="EN355" s="498"/>
      <c r="EO355" s="498"/>
      <c r="EP355" s="498"/>
      <c r="EQ355" s="498"/>
      <c r="ER355" s="498"/>
      <c r="ES355" s="498"/>
      <c r="ET355" s="498"/>
      <c r="EU355" s="498"/>
      <c r="EV355" s="498"/>
      <c r="EW355" s="498"/>
      <c r="EX355" s="498"/>
      <c r="EY355" s="498"/>
      <c r="EZ355" s="498"/>
      <c r="FA355" s="498"/>
      <c r="FB355" s="498"/>
      <c r="FC355" s="498"/>
    </row>
    <row r="356" spans="3:159">
      <c r="C356" s="291" t="s">
        <v>973</v>
      </c>
      <c r="AO356" s="338"/>
      <c r="AP356" s="449"/>
      <c r="AR356" s="449"/>
      <c r="AS356" s="449"/>
      <c r="BA356" s="498"/>
      <c r="BB356" s="498"/>
      <c r="BC356" s="498"/>
      <c r="BD356" s="498"/>
      <c r="BE356" s="498"/>
      <c r="BF356" s="498"/>
      <c r="BG356" s="498"/>
      <c r="BH356" s="498"/>
      <c r="BI356" s="498"/>
      <c r="BJ356" s="498"/>
      <c r="BK356" s="498"/>
      <c r="BL356" s="498"/>
      <c r="BM356" s="498"/>
      <c r="BN356" s="498"/>
      <c r="BO356" s="498"/>
      <c r="BP356" s="498"/>
      <c r="BQ356" s="498"/>
      <c r="BR356" s="498"/>
      <c r="BS356" s="498"/>
      <c r="BT356" s="498"/>
      <c r="BU356" s="498"/>
      <c r="BV356" s="498"/>
      <c r="BW356" s="498"/>
      <c r="BX356" s="498"/>
      <c r="BY356" s="498"/>
      <c r="BZ356" s="498"/>
      <c r="CA356" s="498"/>
      <c r="CB356" s="498"/>
      <c r="CC356" s="498"/>
      <c r="CD356" s="498"/>
      <c r="CE356" s="498"/>
      <c r="CF356" s="498"/>
      <c r="CR356" s="498"/>
      <c r="CS356" s="498"/>
      <c r="CT356" s="498"/>
      <c r="CU356" s="498"/>
      <c r="CV356" s="498"/>
      <c r="CW356" s="498"/>
      <c r="CX356" s="498"/>
      <c r="CY356" s="498"/>
      <c r="CZ356" s="498"/>
      <c r="DA356" s="498"/>
      <c r="DB356" s="498"/>
      <c r="DC356" s="498"/>
      <c r="DD356" s="498"/>
      <c r="DE356" s="498"/>
      <c r="DF356" s="498"/>
      <c r="DG356" s="498"/>
      <c r="DH356" s="498"/>
      <c r="DI356" s="498"/>
      <c r="DJ356" s="498"/>
      <c r="DK356" s="498"/>
      <c r="DL356" s="498"/>
      <c r="DM356" s="498"/>
      <c r="DN356" s="498"/>
      <c r="DO356" s="498"/>
      <c r="DP356" s="498"/>
      <c r="DQ356" s="498"/>
      <c r="DR356" s="498"/>
      <c r="DS356" s="498"/>
      <c r="DT356" s="498"/>
      <c r="DU356" s="498"/>
      <c r="DV356" s="498"/>
      <c r="DW356" s="498"/>
      <c r="DX356" s="498"/>
      <c r="DY356" s="498"/>
      <c r="DZ356" s="498"/>
      <c r="EA356" s="498"/>
      <c r="EB356" s="498"/>
      <c r="EC356" s="498"/>
      <c r="ED356" s="498"/>
      <c r="EE356" s="498"/>
      <c r="EF356" s="498"/>
      <c r="EG356" s="498"/>
      <c r="EH356" s="498"/>
      <c r="EI356" s="498"/>
      <c r="EJ356" s="498"/>
      <c r="EK356" s="498"/>
      <c r="EL356" s="498"/>
      <c r="EM356" s="498"/>
      <c r="EN356" s="498"/>
      <c r="EO356" s="498"/>
      <c r="EP356" s="498"/>
      <c r="EQ356" s="498"/>
      <c r="ER356" s="498"/>
      <c r="ES356" s="498"/>
      <c r="ET356" s="498"/>
      <c r="EU356" s="498"/>
      <c r="EV356" s="498"/>
      <c r="EW356" s="498"/>
      <c r="EX356" s="498"/>
      <c r="EY356" s="498"/>
      <c r="EZ356" s="498"/>
      <c r="FA356" s="498"/>
      <c r="FB356" s="498"/>
      <c r="FC356" s="498"/>
    </row>
    <row r="357" spans="3:159">
      <c r="C357" s="370" t="s">
        <v>972</v>
      </c>
      <c r="J357" s="302">
        <v>0</v>
      </c>
      <c r="K357" s="302">
        <v>0</v>
      </c>
      <c r="L357" s="302">
        <v>-11</v>
      </c>
      <c r="M357" s="302">
        <v>-11.5</v>
      </c>
      <c r="N357" s="302">
        <v>-12</v>
      </c>
      <c r="O357" s="302">
        <v>-12.5</v>
      </c>
      <c r="P357" s="300">
        <f t="shared" ref="P357:AH357" si="130">O357+P358</f>
        <v>-13</v>
      </c>
      <c r="Q357" s="300">
        <f t="shared" si="130"/>
        <v>-13.5</v>
      </c>
      <c r="R357" s="300">
        <f t="shared" si="130"/>
        <v>-14</v>
      </c>
      <c r="S357" s="300">
        <f t="shared" si="130"/>
        <v>-14.5</v>
      </c>
      <c r="T357" s="300">
        <f t="shared" si="130"/>
        <v>-15</v>
      </c>
      <c r="U357" s="300">
        <f t="shared" si="130"/>
        <v>-15.5</v>
      </c>
      <c r="V357" s="300">
        <f t="shared" si="130"/>
        <v>-16</v>
      </c>
      <c r="W357" s="300">
        <f t="shared" si="130"/>
        <v>-16.5</v>
      </c>
      <c r="X357" s="300">
        <f t="shared" si="130"/>
        <v>-17</v>
      </c>
      <c r="Y357" s="300">
        <f t="shared" si="130"/>
        <v>-17.5</v>
      </c>
      <c r="Z357" s="300">
        <f t="shared" si="130"/>
        <v>-18</v>
      </c>
      <c r="AA357" s="300">
        <f t="shared" si="130"/>
        <v>-18.5</v>
      </c>
      <c r="AB357" s="300">
        <f t="shared" si="130"/>
        <v>-19</v>
      </c>
      <c r="AC357" s="300">
        <f t="shared" si="130"/>
        <v>-19.5</v>
      </c>
      <c r="AD357" s="300">
        <f t="shared" si="130"/>
        <v>-20</v>
      </c>
      <c r="AE357" s="300">
        <f t="shared" si="130"/>
        <v>-20.5</v>
      </c>
      <c r="AF357" s="300">
        <f t="shared" si="130"/>
        <v>-21</v>
      </c>
      <c r="AG357" s="300">
        <f t="shared" si="130"/>
        <v>-21.5</v>
      </c>
      <c r="AH357" s="300">
        <f t="shared" si="130"/>
        <v>-22</v>
      </c>
      <c r="AO357" s="338"/>
      <c r="AP357" s="449"/>
      <c r="AR357" s="449"/>
      <c r="AS357" s="449"/>
      <c r="BA357" s="498"/>
      <c r="BB357" s="498"/>
      <c r="BC357" s="498"/>
      <c r="BD357" s="498"/>
      <c r="BE357" s="498"/>
      <c r="BF357" s="498"/>
      <c r="BG357" s="498"/>
      <c r="BH357" s="498"/>
      <c r="BI357" s="498"/>
      <c r="BJ357" s="498"/>
      <c r="BK357" s="498"/>
      <c r="BL357" s="498"/>
      <c r="BM357" s="498"/>
      <c r="BN357" s="498"/>
      <c r="BO357" s="498"/>
      <c r="BP357" s="498"/>
      <c r="BQ357" s="498"/>
      <c r="BR357" s="498"/>
      <c r="BS357" s="498"/>
      <c r="BT357" s="498"/>
      <c r="BU357" s="498"/>
      <c r="BV357" s="498"/>
      <c r="BW357" s="498"/>
      <c r="BX357" s="498"/>
      <c r="BY357" s="498"/>
      <c r="BZ357" s="498"/>
      <c r="CA357" s="498"/>
      <c r="CB357" s="498"/>
      <c r="CC357" s="498"/>
      <c r="CD357" s="498"/>
      <c r="CE357" s="498"/>
      <c r="CF357" s="498"/>
      <c r="CG357" s="300"/>
      <c r="CH357" s="300"/>
      <c r="CI357" s="300"/>
      <c r="CJ357" s="300"/>
      <c r="CK357" s="300"/>
      <c r="CL357" s="300"/>
      <c r="CM357" s="300"/>
      <c r="CN357" s="300"/>
      <c r="CO357" s="357"/>
      <c r="CR357" s="498"/>
      <c r="CS357" s="498"/>
      <c r="CT357" s="498"/>
      <c r="CU357" s="498"/>
      <c r="CV357" s="498"/>
      <c r="CW357" s="498"/>
      <c r="CX357" s="498"/>
      <c r="CY357" s="498"/>
      <c r="CZ357" s="498"/>
      <c r="DA357" s="498"/>
      <c r="DB357" s="498"/>
      <c r="DC357" s="498"/>
      <c r="DD357" s="498"/>
      <c r="DE357" s="498"/>
      <c r="DF357" s="498"/>
      <c r="DG357" s="498"/>
      <c r="DH357" s="498"/>
      <c r="DI357" s="498"/>
      <c r="DJ357" s="498"/>
      <c r="DK357" s="498"/>
      <c r="DL357" s="498"/>
      <c r="DM357" s="498"/>
      <c r="DN357" s="498"/>
      <c r="DO357" s="498"/>
      <c r="DP357" s="498"/>
      <c r="DQ357" s="498"/>
      <c r="DR357" s="498"/>
      <c r="DS357" s="498"/>
      <c r="DT357" s="498"/>
      <c r="DU357" s="498"/>
      <c r="DV357" s="498"/>
      <c r="DW357" s="498"/>
      <c r="DX357" s="498"/>
      <c r="DY357" s="498"/>
      <c r="DZ357" s="498"/>
      <c r="EA357" s="498"/>
      <c r="EB357" s="498"/>
      <c r="EC357" s="498"/>
      <c r="ED357" s="498"/>
      <c r="EE357" s="498"/>
      <c r="EF357" s="498"/>
      <c r="EG357" s="498"/>
      <c r="EH357" s="498"/>
      <c r="EI357" s="498"/>
      <c r="EJ357" s="498"/>
      <c r="EK357" s="498"/>
      <c r="EL357" s="498"/>
      <c r="EM357" s="498"/>
      <c r="EN357" s="498"/>
      <c r="EO357" s="498"/>
      <c r="EP357" s="498"/>
      <c r="EQ357" s="498"/>
      <c r="ER357" s="498"/>
      <c r="ES357" s="498"/>
      <c r="ET357" s="498"/>
      <c r="EU357" s="498"/>
      <c r="EV357" s="498"/>
      <c r="EW357" s="498"/>
      <c r="EX357" s="498"/>
      <c r="EY357" s="498"/>
      <c r="EZ357" s="498"/>
      <c r="FA357" s="498"/>
      <c r="FB357" s="498"/>
      <c r="FC357" s="498"/>
    </row>
    <row r="358" spans="3:159">
      <c r="C358" s="370" t="s">
        <v>1109</v>
      </c>
      <c r="P358" s="304">
        <v>-0.5</v>
      </c>
      <c r="Q358" s="284">
        <f t="shared" ref="Q358:AH358" si="131">P358</f>
        <v>-0.5</v>
      </c>
      <c r="R358" s="284">
        <f t="shared" si="131"/>
        <v>-0.5</v>
      </c>
      <c r="S358" s="284">
        <f t="shared" si="131"/>
        <v>-0.5</v>
      </c>
      <c r="T358" s="284">
        <f t="shared" si="131"/>
        <v>-0.5</v>
      </c>
      <c r="U358" s="284">
        <f t="shared" si="131"/>
        <v>-0.5</v>
      </c>
      <c r="V358" s="284">
        <f t="shared" si="131"/>
        <v>-0.5</v>
      </c>
      <c r="W358" s="284">
        <f t="shared" si="131"/>
        <v>-0.5</v>
      </c>
      <c r="X358" s="284">
        <f t="shared" si="131"/>
        <v>-0.5</v>
      </c>
      <c r="Y358" s="284">
        <f t="shared" si="131"/>
        <v>-0.5</v>
      </c>
      <c r="Z358" s="284">
        <f t="shared" si="131"/>
        <v>-0.5</v>
      </c>
      <c r="AA358" s="284">
        <f t="shared" si="131"/>
        <v>-0.5</v>
      </c>
      <c r="AB358" s="284">
        <f t="shared" si="131"/>
        <v>-0.5</v>
      </c>
      <c r="AC358" s="284">
        <f t="shared" si="131"/>
        <v>-0.5</v>
      </c>
      <c r="AD358" s="284">
        <f t="shared" si="131"/>
        <v>-0.5</v>
      </c>
      <c r="AE358" s="284">
        <f t="shared" si="131"/>
        <v>-0.5</v>
      </c>
      <c r="AF358" s="284">
        <f t="shared" si="131"/>
        <v>-0.5</v>
      </c>
      <c r="AG358" s="284">
        <f t="shared" si="131"/>
        <v>-0.5</v>
      </c>
      <c r="AH358" s="284">
        <f t="shared" si="131"/>
        <v>-0.5</v>
      </c>
      <c r="AO358" s="338"/>
      <c r="AP358" s="449"/>
      <c r="AR358" s="449"/>
      <c r="AS358" s="449"/>
      <c r="BA358" s="498"/>
      <c r="BB358" s="498"/>
      <c r="BC358" s="498"/>
      <c r="BD358" s="498"/>
      <c r="BE358" s="498"/>
      <c r="BF358" s="498"/>
      <c r="BG358" s="498"/>
      <c r="BH358" s="498"/>
      <c r="BI358" s="498"/>
      <c r="BJ358" s="498"/>
      <c r="BK358" s="498"/>
      <c r="BL358" s="498"/>
      <c r="BM358" s="498"/>
      <c r="BN358" s="498"/>
      <c r="BO358" s="498"/>
      <c r="BP358" s="498"/>
      <c r="BQ358" s="498"/>
      <c r="BR358" s="498"/>
      <c r="BS358" s="498"/>
      <c r="BT358" s="498"/>
      <c r="BU358" s="498"/>
      <c r="BV358" s="498"/>
      <c r="BW358" s="498"/>
      <c r="BX358" s="498"/>
      <c r="BY358" s="498"/>
      <c r="BZ358" s="498"/>
      <c r="CA358" s="498"/>
      <c r="CB358" s="498"/>
      <c r="CC358" s="498"/>
      <c r="CD358" s="498"/>
      <c r="CE358" s="498"/>
      <c r="CF358" s="498"/>
      <c r="CG358" s="284"/>
      <c r="CH358" s="284"/>
      <c r="CI358" s="284"/>
      <c r="CJ358" s="284"/>
      <c r="CK358" s="284"/>
      <c r="CL358" s="284"/>
      <c r="CM358" s="284"/>
      <c r="CN358" s="284"/>
      <c r="CO358" s="361"/>
      <c r="CR358" s="498"/>
      <c r="CS358" s="498"/>
      <c r="CT358" s="498"/>
      <c r="CU358" s="498"/>
      <c r="CV358" s="498"/>
      <c r="CW358" s="498"/>
      <c r="CX358" s="498"/>
      <c r="CY358" s="498"/>
      <c r="CZ358" s="498"/>
      <c r="DA358" s="498"/>
      <c r="DB358" s="498"/>
      <c r="DC358" s="498"/>
      <c r="DD358" s="498"/>
      <c r="DE358" s="498"/>
      <c r="DF358" s="498"/>
      <c r="DG358" s="498"/>
      <c r="DH358" s="498"/>
      <c r="DI358" s="498"/>
      <c r="DJ358" s="498"/>
      <c r="DK358" s="498"/>
      <c r="DL358" s="498"/>
      <c r="DM358" s="498"/>
      <c r="DN358" s="498"/>
      <c r="DO358" s="498"/>
      <c r="DP358" s="498"/>
      <c r="DQ358" s="498"/>
      <c r="DR358" s="498"/>
      <c r="DS358" s="498"/>
      <c r="DT358" s="498"/>
      <c r="DU358" s="498"/>
      <c r="DV358" s="498"/>
      <c r="DW358" s="498"/>
      <c r="DX358" s="498"/>
      <c r="DY358" s="498"/>
      <c r="DZ358" s="498"/>
      <c r="EA358" s="498"/>
      <c r="EB358" s="498"/>
      <c r="EC358" s="498"/>
      <c r="ED358" s="498"/>
      <c r="EE358" s="498"/>
      <c r="EF358" s="498"/>
      <c r="EG358" s="498"/>
      <c r="EH358" s="498"/>
      <c r="EI358" s="498"/>
      <c r="EJ358" s="498"/>
      <c r="EK358" s="498"/>
      <c r="EL358" s="498"/>
      <c r="EM358" s="498"/>
      <c r="EN358" s="498"/>
      <c r="EO358" s="498"/>
      <c r="EP358" s="498"/>
      <c r="EQ358" s="498"/>
      <c r="ER358" s="498"/>
      <c r="ES358" s="498"/>
      <c r="ET358" s="498"/>
      <c r="EU358" s="498"/>
      <c r="EV358" s="498"/>
      <c r="EW358" s="498"/>
      <c r="EX358" s="498"/>
      <c r="EY358" s="498"/>
      <c r="EZ358" s="498"/>
      <c r="FA358" s="498"/>
      <c r="FB358" s="498"/>
      <c r="FC358" s="498"/>
    </row>
    <row r="359" spans="3:159">
      <c r="C359" s="19"/>
      <c r="AO359" s="338"/>
      <c r="AP359" s="449"/>
      <c r="AR359" s="449"/>
      <c r="AS359" s="449"/>
    </row>
    <row r="360" spans="3:159">
      <c r="AO360" s="338"/>
      <c r="AP360" s="449"/>
      <c r="AR360" s="449"/>
      <c r="AS360" s="449"/>
      <c r="BA360" s="282"/>
      <c r="BB360" s="282"/>
      <c r="BC360" s="282"/>
      <c r="BD360" s="282"/>
      <c r="BE360" s="282"/>
      <c r="BF360" s="282"/>
      <c r="BG360" s="282"/>
      <c r="BH360" s="282"/>
      <c r="BI360" s="282"/>
      <c r="BJ360" s="282"/>
      <c r="BK360" s="282"/>
      <c r="BL360" s="282"/>
      <c r="BM360" s="282"/>
      <c r="BN360" s="282"/>
      <c r="BO360" s="282"/>
      <c r="BP360" s="282"/>
      <c r="BQ360" s="282"/>
      <c r="BR360" s="282"/>
      <c r="BS360" s="282"/>
      <c r="BT360" s="282"/>
      <c r="BU360" s="282"/>
      <c r="BV360" s="282"/>
      <c r="BW360" s="282"/>
      <c r="BX360" s="282"/>
      <c r="BY360" s="282"/>
      <c r="BZ360" s="282"/>
      <c r="CA360" s="282"/>
      <c r="CB360" s="282"/>
      <c r="CC360" s="337"/>
      <c r="CD360" s="337"/>
      <c r="CE360" s="337"/>
      <c r="CF360" s="337"/>
      <c r="CG360" s="337"/>
      <c r="CH360" s="337"/>
      <c r="CI360" s="337"/>
      <c r="CJ360" s="337"/>
      <c r="CK360" s="337"/>
      <c r="CL360" s="337"/>
      <c r="CM360" s="337"/>
      <c r="CN360" s="337"/>
      <c r="CO360" s="483"/>
      <c r="CR360" s="282"/>
      <c r="CS360" s="282"/>
      <c r="CT360" s="282"/>
      <c r="CU360" s="282"/>
      <c r="CV360" s="282"/>
      <c r="CW360" s="282"/>
      <c r="CX360" s="282"/>
      <c r="CY360" s="282"/>
      <c r="CZ360" s="282"/>
      <c r="DA360" s="282"/>
      <c r="DB360" s="282"/>
      <c r="DC360" s="282"/>
      <c r="DD360" s="282"/>
      <c r="DE360" s="282"/>
      <c r="DF360" s="282"/>
      <c r="DG360" s="282"/>
      <c r="DH360" s="282"/>
      <c r="DI360" s="282"/>
      <c r="DJ360" s="282"/>
      <c r="DK360" s="282"/>
      <c r="DL360" s="282"/>
      <c r="DM360" s="282"/>
      <c r="DN360" s="282"/>
      <c r="DO360" s="282"/>
      <c r="DP360" s="282"/>
      <c r="DQ360" s="282"/>
      <c r="DR360" s="282"/>
      <c r="DS360" s="282"/>
      <c r="DT360" s="282"/>
      <c r="DU360" s="282"/>
      <c r="DV360" s="282"/>
      <c r="DW360" s="282"/>
      <c r="DX360" s="282"/>
      <c r="DY360" s="282"/>
      <c r="DZ360" s="282"/>
      <c r="EA360" s="282"/>
      <c r="EB360" s="282"/>
      <c r="EC360" s="282"/>
      <c r="ED360" s="282"/>
      <c r="EE360" s="282"/>
      <c r="EF360" s="282"/>
      <c r="EG360" s="282"/>
      <c r="EH360" s="282"/>
      <c r="EI360" s="282"/>
      <c r="EJ360" s="282"/>
      <c r="EK360" s="282"/>
      <c r="EL360" s="282"/>
      <c r="EM360" s="282"/>
      <c r="EN360" s="282"/>
      <c r="EO360" s="282"/>
      <c r="EP360" s="282"/>
      <c r="EQ360" s="282"/>
      <c r="ER360" s="282"/>
      <c r="ES360" s="282"/>
      <c r="ET360" s="282"/>
      <c r="EU360" s="282"/>
      <c r="EV360" s="282"/>
      <c r="EW360" s="337"/>
      <c r="EX360" s="337"/>
      <c r="EY360" s="337"/>
      <c r="EZ360" s="337"/>
      <c r="FA360" s="337"/>
      <c r="FB360" s="337"/>
      <c r="FC360" s="337"/>
    </row>
    <row r="361" spans="3:159">
      <c r="AO361" s="338"/>
      <c r="AP361" s="449"/>
      <c r="AR361" s="449"/>
      <c r="AS361" s="449"/>
      <c r="BA361" s="498"/>
      <c r="BB361" s="498"/>
      <c r="BC361" s="498"/>
      <c r="BD361" s="498"/>
      <c r="BE361" s="498"/>
      <c r="BF361" s="498"/>
      <c r="BG361" s="498"/>
      <c r="BH361" s="498"/>
      <c r="BI361" s="498"/>
      <c r="BJ361" s="498"/>
      <c r="BK361" s="498"/>
      <c r="BL361" s="498"/>
      <c r="BM361" s="498"/>
      <c r="BN361" s="498"/>
      <c r="BO361" s="498"/>
      <c r="BP361" s="498"/>
      <c r="BQ361" s="498"/>
      <c r="BR361" s="498"/>
      <c r="BS361" s="498"/>
      <c r="BT361" s="498"/>
      <c r="BU361" s="498"/>
      <c r="BV361" s="498"/>
      <c r="BW361" s="498"/>
      <c r="BX361" s="498"/>
      <c r="BY361" s="498"/>
      <c r="BZ361" s="498"/>
      <c r="CA361" s="498"/>
      <c r="CB361" s="498"/>
      <c r="CC361" s="498"/>
      <c r="CD361" s="498"/>
      <c r="CE361" s="498"/>
      <c r="CF361" s="498"/>
      <c r="CR361" s="498"/>
      <c r="CS361" s="498"/>
      <c r="CT361" s="498"/>
      <c r="CU361" s="498"/>
      <c r="CV361" s="498"/>
      <c r="CW361" s="498"/>
      <c r="CX361" s="498"/>
      <c r="CY361" s="498"/>
      <c r="CZ361" s="498"/>
      <c r="DA361" s="498"/>
      <c r="DB361" s="498"/>
      <c r="DC361" s="498"/>
      <c r="DD361" s="498"/>
      <c r="DE361" s="498"/>
      <c r="DF361" s="498"/>
      <c r="DG361" s="498"/>
      <c r="DH361" s="498"/>
      <c r="DI361" s="498"/>
      <c r="DJ361" s="498"/>
      <c r="DK361" s="498"/>
      <c r="DL361" s="498"/>
      <c r="DM361" s="498"/>
      <c r="DN361" s="498"/>
      <c r="DO361" s="498"/>
      <c r="DP361" s="498"/>
      <c r="DQ361" s="498"/>
      <c r="DR361" s="498"/>
      <c r="DS361" s="498"/>
      <c r="DT361" s="498"/>
      <c r="DU361" s="498"/>
      <c r="DV361" s="498"/>
      <c r="DW361" s="498"/>
      <c r="DX361" s="498"/>
      <c r="DY361" s="498"/>
      <c r="DZ361" s="498"/>
      <c r="EA361" s="498"/>
      <c r="EB361" s="498"/>
      <c r="EC361" s="498"/>
      <c r="ED361" s="498"/>
      <c r="EE361" s="498"/>
      <c r="EF361" s="498"/>
      <c r="EG361" s="498"/>
      <c r="EH361" s="498"/>
      <c r="EI361" s="498"/>
      <c r="EJ361" s="498"/>
      <c r="EK361" s="498"/>
      <c r="EL361" s="498"/>
      <c r="EM361" s="498"/>
      <c r="EN361" s="498"/>
      <c r="EO361" s="498"/>
      <c r="EP361" s="498"/>
      <c r="EQ361" s="498"/>
      <c r="ER361" s="498"/>
      <c r="ES361" s="498"/>
      <c r="ET361" s="498"/>
      <c r="EU361" s="498"/>
      <c r="EV361" s="498"/>
      <c r="EW361" s="498"/>
      <c r="EX361" s="498"/>
      <c r="EY361" s="498"/>
      <c r="EZ361" s="498"/>
      <c r="FA361" s="498"/>
      <c r="FB361" s="498"/>
      <c r="FC361" s="498"/>
    </row>
    <row r="362" spans="3:159">
      <c r="AO362" s="338"/>
      <c r="AP362" s="449"/>
      <c r="AR362" s="449"/>
      <c r="AS362" s="449"/>
      <c r="BA362" s="498"/>
      <c r="BB362" s="498"/>
      <c r="BC362" s="498"/>
      <c r="BD362" s="498"/>
      <c r="BE362" s="498"/>
      <c r="BF362" s="498"/>
      <c r="BG362" s="498"/>
      <c r="BH362" s="498"/>
      <c r="BI362" s="498"/>
      <c r="BJ362" s="498"/>
      <c r="BK362" s="498"/>
      <c r="BL362" s="498"/>
      <c r="BM362" s="498"/>
      <c r="BN362" s="498"/>
      <c r="BO362" s="498"/>
      <c r="BP362" s="498"/>
      <c r="BQ362" s="498"/>
      <c r="BR362" s="498"/>
      <c r="BS362" s="498"/>
      <c r="BT362" s="498"/>
      <c r="BU362" s="498"/>
      <c r="BV362" s="498"/>
      <c r="BW362" s="498"/>
      <c r="BX362" s="498"/>
      <c r="BY362" s="498"/>
      <c r="BZ362" s="498"/>
      <c r="CA362" s="498"/>
      <c r="CB362" s="498"/>
      <c r="CC362" s="498"/>
      <c r="CD362" s="498"/>
      <c r="CE362" s="498"/>
      <c r="CF362" s="498"/>
      <c r="CG362" s="19"/>
      <c r="CH362" s="19"/>
      <c r="CI362" s="19"/>
      <c r="CJ362" s="19"/>
      <c r="CK362" s="19"/>
      <c r="CL362" s="19"/>
      <c r="CM362" s="19"/>
      <c r="CN362" s="19"/>
      <c r="CO362" s="4"/>
      <c r="CR362" s="498"/>
      <c r="CS362" s="498"/>
      <c r="CT362" s="498"/>
      <c r="CU362" s="498"/>
      <c r="CV362" s="498"/>
      <c r="CW362" s="498"/>
      <c r="CX362" s="498"/>
      <c r="CY362" s="498"/>
      <c r="CZ362" s="498"/>
      <c r="DA362" s="498"/>
      <c r="DB362" s="498"/>
      <c r="DC362" s="498"/>
      <c r="DD362" s="498"/>
      <c r="DE362" s="498"/>
      <c r="DF362" s="498"/>
      <c r="DG362" s="498"/>
      <c r="DH362" s="498"/>
      <c r="DI362" s="498"/>
      <c r="DJ362" s="498"/>
      <c r="DK362" s="498"/>
      <c r="DL362" s="498"/>
      <c r="DM362" s="498"/>
      <c r="DN362" s="498"/>
      <c r="DO362" s="498"/>
      <c r="DP362" s="498"/>
      <c r="DQ362" s="498"/>
      <c r="DR362" s="498"/>
      <c r="DS362" s="498"/>
      <c r="DT362" s="498"/>
      <c r="DU362" s="498"/>
      <c r="DV362" s="498"/>
      <c r="DW362" s="498"/>
      <c r="DX362" s="498"/>
      <c r="DY362" s="498"/>
      <c r="DZ362" s="498"/>
      <c r="EA362" s="498"/>
      <c r="EB362" s="498"/>
      <c r="EC362" s="498"/>
      <c r="ED362" s="498"/>
      <c r="EE362" s="498"/>
      <c r="EF362" s="498"/>
      <c r="EG362" s="498"/>
      <c r="EH362" s="498"/>
      <c r="EI362" s="498"/>
      <c r="EJ362" s="498"/>
      <c r="EK362" s="498"/>
      <c r="EL362" s="498"/>
      <c r="EM362" s="498"/>
      <c r="EN362" s="498"/>
      <c r="EO362" s="498"/>
      <c r="EP362" s="498"/>
      <c r="EQ362" s="498"/>
      <c r="ER362" s="498"/>
      <c r="ES362" s="498"/>
      <c r="ET362" s="498"/>
      <c r="EU362" s="498"/>
      <c r="EV362" s="498"/>
      <c r="EW362" s="498"/>
      <c r="EX362" s="498"/>
      <c r="EY362" s="498"/>
      <c r="EZ362" s="498"/>
      <c r="FA362" s="498"/>
      <c r="FB362" s="498"/>
      <c r="FC362" s="498"/>
    </row>
    <row r="363" spans="3:159">
      <c r="AO363" s="338"/>
      <c r="AP363" s="449"/>
      <c r="AR363" s="449"/>
      <c r="AS363" s="449"/>
      <c r="BA363" s="498"/>
      <c r="BB363" s="498"/>
      <c r="BC363" s="498"/>
      <c r="BD363" s="498"/>
      <c r="BE363" s="498"/>
      <c r="BF363" s="498"/>
      <c r="BG363" s="498"/>
      <c r="BH363" s="498"/>
      <c r="BI363" s="498"/>
      <c r="BJ363" s="498"/>
      <c r="BK363" s="498"/>
      <c r="BL363" s="498"/>
      <c r="BM363" s="498"/>
      <c r="BN363" s="498"/>
      <c r="BO363" s="498"/>
      <c r="BP363" s="498"/>
      <c r="BQ363" s="498"/>
      <c r="BR363" s="498"/>
      <c r="BS363" s="498"/>
      <c r="BT363" s="498"/>
      <c r="BU363" s="498"/>
      <c r="BV363" s="498"/>
      <c r="BW363" s="498"/>
      <c r="BX363" s="498"/>
      <c r="BY363" s="498"/>
      <c r="BZ363" s="498"/>
      <c r="CA363" s="498"/>
      <c r="CB363" s="498"/>
      <c r="CC363" s="498"/>
      <c r="CD363" s="498"/>
      <c r="CE363" s="498"/>
      <c r="CF363" s="498"/>
      <c r="CG363" s="380"/>
      <c r="CH363" s="380"/>
      <c r="CI363" s="380"/>
      <c r="CJ363" s="380"/>
      <c r="CK363" s="380"/>
      <c r="CL363" s="380"/>
      <c r="CM363" s="380"/>
      <c r="CN363" s="380"/>
      <c r="CO363" s="489"/>
      <c r="CR363" s="498"/>
      <c r="CS363" s="498"/>
      <c r="CT363" s="498"/>
      <c r="CU363" s="498"/>
      <c r="CV363" s="498"/>
      <c r="CW363" s="498"/>
      <c r="CX363" s="498"/>
      <c r="CY363" s="498"/>
      <c r="CZ363" s="498"/>
      <c r="DA363" s="498"/>
      <c r="DB363" s="498"/>
      <c r="DC363" s="498"/>
      <c r="DD363" s="498"/>
      <c r="DE363" s="498"/>
      <c r="DF363" s="498"/>
      <c r="DG363" s="498"/>
      <c r="DH363" s="498"/>
      <c r="DI363" s="498"/>
      <c r="DJ363" s="498"/>
      <c r="DK363" s="498"/>
      <c r="DL363" s="498"/>
      <c r="DM363" s="498"/>
      <c r="DN363" s="498"/>
      <c r="DO363" s="498"/>
      <c r="DP363" s="498"/>
      <c r="DQ363" s="498"/>
      <c r="DR363" s="498"/>
      <c r="DS363" s="498"/>
      <c r="DT363" s="498"/>
      <c r="DU363" s="498"/>
      <c r="DV363" s="498"/>
      <c r="DW363" s="498"/>
      <c r="DX363" s="498"/>
      <c r="DY363" s="498"/>
      <c r="DZ363" s="498"/>
      <c r="EA363" s="498"/>
      <c r="EB363" s="498"/>
      <c r="EC363" s="498"/>
      <c r="ED363" s="498"/>
      <c r="EE363" s="498"/>
      <c r="EF363" s="498"/>
      <c r="EG363" s="498"/>
      <c r="EH363" s="498"/>
      <c r="EI363" s="498"/>
      <c r="EJ363" s="498"/>
      <c r="EK363" s="498"/>
      <c r="EL363" s="498"/>
      <c r="EM363" s="498"/>
      <c r="EN363" s="498"/>
      <c r="EO363" s="498"/>
      <c r="EP363" s="498"/>
      <c r="EQ363" s="498"/>
      <c r="ER363" s="498"/>
      <c r="ES363" s="498"/>
      <c r="ET363" s="498"/>
      <c r="EU363" s="498"/>
      <c r="EV363" s="498"/>
      <c r="EW363" s="498"/>
      <c r="EX363" s="498"/>
      <c r="EY363" s="498"/>
      <c r="EZ363" s="498"/>
      <c r="FA363" s="498"/>
      <c r="FB363" s="498"/>
      <c r="FC363" s="498"/>
    </row>
    <row r="364" spans="3:159">
      <c r="AO364" s="338"/>
      <c r="AP364" s="449"/>
      <c r="AR364" s="449"/>
      <c r="AS364" s="449"/>
      <c r="BA364" s="498"/>
      <c r="BB364" s="498"/>
      <c r="BC364" s="498"/>
      <c r="BD364" s="498"/>
      <c r="BE364" s="498"/>
      <c r="BF364" s="498"/>
      <c r="BG364" s="498"/>
      <c r="BH364" s="498"/>
      <c r="BI364" s="498"/>
      <c r="BJ364" s="498"/>
      <c r="BK364" s="498"/>
      <c r="BL364" s="498"/>
      <c r="BM364" s="498"/>
      <c r="BN364" s="498"/>
      <c r="BO364" s="498"/>
      <c r="BP364" s="498"/>
      <c r="BQ364" s="498"/>
      <c r="BR364" s="498"/>
      <c r="BS364" s="498"/>
      <c r="BT364" s="498"/>
      <c r="BU364" s="498"/>
      <c r="BV364" s="498"/>
      <c r="BW364" s="498"/>
      <c r="BX364" s="498"/>
      <c r="BY364" s="498"/>
      <c r="BZ364" s="498"/>
      <c r="CA364" s="498"/>
      <c r="CB364" s="498"/>
      <c r="CC364" s="498"/>
      <c r="CD364" s="498"/>
      <c r="CE364" s="498"/>
      <c r="CF364" s="498"/>
      <c r="CG364" s="292"/>
      <c r="CH364" s="292"/>
      <c r="CI364" s="292"/>
      <c r="CJ364" s="292"/>
      <c r="CK364" s="292"/>
      <c r="CL364" s="292"/>
      <c r="CM364" s="292"/>
      <c r="CN364" s="292"/>
      <c r="CO364" s="363"/>
      <c r="CR364" s="498"/>
      <c r="CS364" s="498"/>
      <c r="CT364" s="498"/>
      <c r="CU364" s="498"/>
      <c r="CV364" s="498"/>
      <c r="CW364" s="498"/>
      <c r="CX364" s="498"/>
      <c r="CY364" s="498"/>
      <c r="CZ364" s="498"/>
      <c r="DA364" s="498"/>
      <c r="DB364" s="498"/>
      <c r="DC364" s="498"/>
      <c r="DD364" s="498"/>
      <c r="DE364" s="498"/>
      <c r="DF364" s="498"/>
      <c r="DG364" s="498"/>
      <c r="DH364" s="498"/>
      <c r="DI364" s="498"/>
      <c r="DJ364" s="498"/>
      <c r="DK364" s="498"/>
      <c r="DL364" s="498"/>
      <c r="DM364" s="498"/>
      <c r="DN364" s="498"/>
      <c r="DO364" s="498"/>
      <c r="DP364" s="498"/>
      <c r="DQ364" s="498"/>
      <c r="DR364" s="498"/>
      <c r="DS364" s="498"/>
      <c r="DT364" s="498"/>
      <c r="DU364" s="498"/>
      <c r="DV364" s="498"/>
      <c r="DW364" s="498"/>
      <c r="DX364" s="498"/>
      <c r="DY364" s="498"/>
      <c r="DZ364" s="498"/>
      <c r="EA364" s="498"/>
      <c r="EB364" s="498"/>
      <c r="EC364" s="498"/>
      <c r="ED364" s="498"/>
      <c r="EE364" s="498"/>
      <c r="EF364" s="498"/>
      <c r="EG364" s="498"/>
      <c r="EH364" s="498"/>
      <c r="EI364" s="498"/>
      <c r="EJ364" s="498"/>
      <c r="EK364" s="498"/>
      <c r="EL364" s="498"/>
      <c r="EM364" s="498"/>
      <c r="EN364" s="498"/>
      <c r="EO364" s="498"/>
      <c r="EP364" s="498"/>
      <c r="EQ364" s="498"/>
      <c r="ER364" s="498"/>
      <c r="ES364" s="498"/>
      <c r="ET364" s="498"/>
      <c r="EU364" s="498"/>
      <c r="EV364" s="498"/>
      <c r="EW364" s="498"/>
      <c r="EX364" s="498"/>
      <c r="EY364" s="498"/>
      <c r="EZ364" s="498"/>
      <c r="FA364" s="498"/>
      <c r="FB364" s="498"/>
      <c r="FC364" s="498"/>
    </row>
    <row r="365" spans="3:159">
      <c r="AO365" s="338"/>
      <c r="AP365" s="449"/>
      <c r="AR365" s="449"/>
      <c r="AS365" s="449"/>
      <c r="BA365" s="498"/>
      <c r="BB365" s="498"/>
      <c r="BC365" s="498"/>
      <c r="BD365" s="498"/>
      <c r="BE365" s="498"/>
      <c r="BF365" s="498"/>
      <c r="BG365" s="498"/>
      <c r="BH365" s="498"/>
      <c r="BI365" s="498"/>
      <c r="BJ365" s="498"/>
      <c r="BK365" s="498"/>
      <c r="BL365" s="498"/>
      <c r="BM365" s="498"/>
      <c r="BN365" s="498"/>
      <c r="BO365" s="498"/>
      <c r="BP365" s="498"/>
      <c r="BQ365" s="498"/>
      <c r="BR365" s="498"/>
      <c r="BS365" s="498"/>
      <c r="BT365" s="498"/>
      <c r="BU365" s="498"/>
      <c r="BV365" s="498"/>
      <c r="BW365" s="498"/>
      <c r="BX365" s="498"/>
      <c r="BY365" s="498"/>
      <c r="BZ365" s="498"/>
      <c r="CA365" s="498"/>
      <c r="CB365" s="498"/>
      <c r="CC365" s="498"/>
      <c r="CD365" s="498"/>
      <c r="CE365" s="498"/>
      <c r="CF365" s="498"/>
      <c r="CG365" s="380"/>
      <c r="CH365" s="380"/>
      <c r="CI365" s="380"/>
      <c r="CJ365" s="380"/>
      <c r="CK365" s="380"/>
      <c r="CL365" s="380"/>
      <c r="CM365" s="380"/>
      <c r="CN365" s="380"/>
      <c r="CO365" s="489"/>
      <c r="CR365" s="498"/>
      <c r="CS365" s="498"/>
      <c r="CT365" s="498"/>
      <c r="CU365" s="498"/>
      <c r="CV365" s="498"/>
      <c r="CW365" s="498"/>
      <c r="CX365" s="498"/>
      <c r="CY365" s="498"/>
      <c r="CZ365" s="498"/>
      <c r="DA365" s="498"/>
      <c r="DB365" s="498"/>
      <c r="DC365" s="498"/>
      <c r="DD365" s="498"/>
      <c r="DE365" s="498"/>
      <c r="DF365" s="498"/>
      <c r="DG365" s="498"/>
      <c r="DH365" s="498"/>
      <c r="DI365" s="498"/>
      <c r="DJ365" s="498"/>
      <c r="DK365" s="498"/>
      <c r="DL365" s="498"/>
      <c r="DM365" s="498"/>
      <c r="DN365" s="498"/>
      <c r="DO365" s="498"/>
      <c r="DP365" s="498"/>
      <c r="DQ365" s="498"/>
      <c r="DR365" s="498"/>
      <c r="DS365" s="498"/>
      <c r="DT365" s="498"/>
      <c r="DU365" s="498"/>
      <c r="DV365" s="498"/>
      <c r="DW365" s="498"/>
      <c r="DX365" s="498"/>
      <c r="DY365" s="498"/>
      <c r="DZ365" s="498"/>
      <c r="EA365" s="498"/>
      <c r="EB365" s="498"/>
      <c r="EC365" s="498"/>
      <c r="ED365" s="498"/>
      <c r="EE365" s="498"/>
      <c r="EF365" s="498"/>
      <c r="EG365" s="498"/>
      <c r="EH365" s="498"/>
      <c r="EI365" s="498"/>
      <c r="EJ365" s="498"/>
      <c r="EK365" s="498"/>
      <c r="EL365" s="498"/>
      <c r="EM365" s="498"/>
      <c r="EN365" s="498"/>
      <c r="EO365" s="498"/>
      <c r="EP365" s="498"/>
      <c r="EQ365" s="498"/>
      <c r="ER365" s="498"/>
      <c r="ES365" s="498"/>
      <c r="ET365" s="498"/>
      <c r="EU365" s="498"/>
      <c r="EV365" s="498"/>
      <c r="EW365" s="498"/>
      <c r="EX365" s="498"/>
      <c r="EY365" s="498"/>
      <c r="EZ365" s="498"/>
      <c r="FA365" s="498"/>
      <c r="FB365" s="498"/>
      <c r="FC365" s="498"/>
    </row>
    <row r="366" spans="3:159">
      <c r="AO366" s="338"/>
      <c r="AP366" s="449"/>
      <c r="AR366" s="449"/>
      <c r="AS366" s="449"/>
      <c r="BA366" s="498"/>
      <c r="BB366" s="498"/>
      <c r="BC366" s="498"/>
      <c r="BD366" s="498"/>
      <c r="BE366" s="498"/>
      <c r="BF366" s="498"/>
      <c r="BG366" s="498"/>
      <c r="BH366" s="498"/>
      <c r="BI366" s="498"/>
      <c r="BJ366" s="498"/>
      <c r="BK366" s="498"/>
      <c r="BL366" s="498"/>
      <c r="BM366" s="498"/>
      <c r="BN366" s="498"/>
      <c r="BO366" s="498"/>
      <c r="BP366" s="498"/>
      <c r="BQ366" s="498"/>
      <c r="BR366" s="498"/>
      <c r="BS366" s="498"/>
      <c r="BT366" s="498"/>
      <c r="BU366" s="498"/>
      <c r="BV366" s="498"/>
      <c r="BW366" s="498"/>
      <c r="BX366" s="498"/>
      <c r="BY366" s="498"/>
      <c r="BZ366" s="498"/>
      <c r="CA366" s="498"/>
      <c r="CB366" s="498"/>
      <c r="CC366" s="498"/>
      <c r="CD366" s="498"/>
      <c r="CE366" s="498"/>
      <c r="CF366" s="498"/>
      <c r="CG366" s="287"/>
      <c r="CH366" s="287"/>
      <c r="CI366" s="287"/>
      <c r="CJ366" s="287"/>
      <c r="CK366" s="287"/>
      <c r="CL366" s="287"/>
      <c r="CM366" s="287"/>
      <c r="CN366" s="287"/>
      <c r="CO366" s="27"/>
      <c r="CR366" s="498"/>
      <c r="CS366" s="498"/>
      <c r="CT366" s="498"/>
      <c r="CU366" s="498"/>
      <c r="CV366" s="498"/>
      <c r="CW366" s="498"/>
      <c r="CX366" s="498"/>
      <c r="CY366" s="498"/>
      <c r="CZ366" s="498"/>
      <c r="DA366" s="498"/>
      <c r="DB366" s="498"/>
      <c r="DC366" s="498"/>
      <c r="DD366" s="498"/>
      <c r="DE366" s="498"/>
      <c r="DF366" s="498"/>
      <c r="DG366" s="498"/>
      <c r="DH366" s="498"/>
      <c r="DI366" s="498"/>
      <c r="DJ366" s="498"/>
      <c r="DK366" s="498"/>
      <c r="DL366" s="498"/>
      <c r="DM366" s="498"/>
      <c r="DN366" s="498"/>
      <c r="DO366" s="498"/>
      <c r="DP366" s="498"/>
      <c r="DQ366" s="498"/>
      <c r="DR366" s="498"/>
      <c r="DS366" s="498"/>
      <c r="DT366" s="498"/>
      <c r="DU366" s="498"/>
      <c r="DV366" s="498"/>
      <c r="DW366" s="498"/>
      <c r="DX366" s="498"/>
      <c r="DY366" s="498"/>
      <c r="DZ366" s="498"/>
      <c r="EA366" s="498"/>
      <c r="EB366" s="498"/>
      <c r="EC366" s="498"/>
      <c r="ED366" s="498"/>
      <c r="EE366" s="498"/>
      <c r="EF366" s="498"/>
      <c r="EG366" s="498"/>
      <c r="EH366" s="498"/>
      <c r="EI366" s="498"/>
      <c r="EJ366" s="498"/>
      <c r="EK366" s="498"/>
      <c r="EL366" s="498"/>
      <c r="EM366" s="498"/>
      <c r="EN366" s="498"/>
      <c r="EO366" s="498"/>
      <c r="EP366" s="498"/>
      <c r="EQ366" s="498"/>
      <c r="ER366" s="498"/>
      <c r="ES366" s="498"/>
      <c r="ET366" s="498"/>
      <c r="EU366" s="498"/>
      <c r="EV366" s="498"/>
      <c r="EW366" s="498"/>
      <c r="EX366" s="498"/>
      <c r="EY366" s="498"/>
      <c r="EZ366" s="498"/>
      <c r="FA366" s="498"/>
      <c r="FB366" s="498"/>
      <c r="FC366" s="498"/>
    </row>
    <row r="367" spans="3:159">
      <c r="AO367" s="338"/>
      <c r="AP367" s="449"/>
      <c r="AR367" s="449"/>
      <c r="AS367" s="449"/>
      <c r="BA367" s="498"/>
      <c r="BB367" s="498"/>
      <c r="BC367" s="498"/>
      <c r="BD367" s="498"/>
      <c r="BE367" s="498"/>
      <c r="BF367" s="498"/>
      <c r="BG367" s="498"/>
      <c r="BH367" s="498"/>
      <c r="BI367" s="498"/>
      <c r="BJ367" s="498"/>
      <c r="BK367" s="498"/>
      <c r="BL367" s="498"/>
      <c r="BM367" s="498"/>
      <c r="BN367" s="498"/>
      <c r="BO367" s="498"/>
      <c r="BP367" s="498"/>
      <c r="BQ367" s="498"/>
      <c r="BR367" s="498"/>
      <c r="BS367" s="498"/>
      <c r="BT367" s="498"/>
      <c r="BU367" s="498"/>
      <c r="BV367" s="498"/>
      <c r="BW367" s="498"/>
      <c r="BX367" s="498"/>
      <c r="BY367" s="498"/>
      <c r="BZ367" s="498"/>
      <c r="CA367" s="498"/>
      <c r="CB367" s="498"/>
      <c r="CC367" s="498"/>
      <c r="CD367" s="498"/>
      <c r="CE367" s="498"/>
      <c r="CF367" s="498"/>
      <c r="CG367" s="287"/>
      <c r="CH367" s="287"/>
      <c r="CI367" s="287"/>
      <c r="CJ367" s="287"/>
      <c r="CK367" s="287"/>
      <c r="CL367" s="287"/>
      <c r="CM367" s="287"/>
      <c r="CN367" s="287"/>
      <c r="CO367" s="27"/>
      <c r="CR367" s="498"/>
      <c r="CS367" s="498"/>
      <c r="CT367" s="498"/>
      <c r="CU367" s="498"/>
      <c r="CV367" s="498"/>
      <c r="CW367" s="498"/>
      <c r="CX367" s="498"/>
      <c r="CY367" s="498"/>
      <c r="CZ367" s="498"/>
      <c r="DA367" s="498"/>
      <c r="DB367" s="498"/>
      <c r="DC367" s="498"/>
      <c r="DD367" s="498"/>
      <c r="DE367" s="498"/>
      <c r="DF367" s="498"/>
      <c r="DG367" s="498"/>
      <c r="DH367" s="498"/>
      <c r="DI367" s="498"/>
      <c r="DJ367" s="498"/>
      <c r="DK367" s="498"/>
      <c r="DL367" s="498"/>
      <c r="DM367" s="498"/>
      <c r="DN367" s="498"/>
      <c r="DO367" s="498"/>
      <c r="DP367" s="498"/>
      <c r="DQ367" s="498"/>
      <c r="DR367" s="498"/>
      <c r="DS367" s="498"/>
      <c r="DT367" s="498"/>
      <c r="DU367" s="498"/>
      <c r="DV367" s="498"/>
      <c r="DW367" s="498"/>
      <c r="DX367" s="498"/>
      <c r="DY367" s="498"/>
      <c r="DZ367" s="498"/>
      <c r="EA367" s="498"/>
      <c r="EB367" s="498"/>
      <c r="EC367" s="498"/>
      <c r="ED367" s="498"/>
      <c r="EE367" s="498"/>
      <c r="EF367" s="498"/>
      <c r="EG367" s="498"/>
      <c r="EH367" s="498"/>
      <c r="EI367" s="498"/>
      <c r="EJ367" s="498"/>
      <c r="EK367" s="498"/>
      <c r="EL367" s="498"/>
      <c r="EM367" s="498"/>
      <c r="EN367" s="498"/>
      <c r="EO367" s="498"/>
      <c r="EP367" s="498"/>
      <c r="EQ367" s="498"/>
      <c r="ER367" s="498"/>
      <c r="ES367" s="498"/>
      <c r="ET367" s="498"/>
      <c r="EU367" s="498"/>
      <c r="EV367" s="498"/>
      <c r="EW367" s="498"/>
      <c r="EX367" s="498"/>
      <c r="EY367" s="498"/>
      <c r="EZ367" s="498"/>
      <c r="FA367" s="498"/>
      <c r="FB367" s="498"/>
      <c r="FC367" s="498"/>
    </row>
    <row r="368" spans="3:159">
      <c r="AO368" s="338"/>
      <c r="AP368" s="449"/>
      <c r="AR368" s="449"/>
      <c r="AS368" s="449"/>
      <c r="BA368" s="498"/>
      <c r="BB368" s="498"/>
      <c r="BC368" s="498"/>
      <c r="BD368" s="498"/>
      <c r="BE368" s="498"/>
      <c r="BF368" s="498"/>
      <c r="BG368" s="498"/>
      <c r="BH368" s="498"/>
      <c r="BI368" s="498"/>
      <c r="BJ368" s="498"/>
      <c r="BK368" s="498"/>
      <c r="BL368" s="498"/>
      <c r="BM368" s="498"/>
      <c r="BN368" s="498"/>
      <c r="BO368" s="498"/>
      <c r="BP368" s="498"/>
      <c r="BQ368" s="498"/>
      <c r="BR368" s="498"/>
      <c r="BS368" s="498"/>
      <c r="BT368" s="498"/>
      <c r="BU368" s="498"/>
      <c r="BV368" s="498"/>
      <c r="BW368" s="498"/>
      <c r="BX368" s="498"/>
      <c r="BY368" s="498"/>
      <c r="BZ368" s="498"/>
      <c r="CA368" s="498"/>
      <c r="CB368" s="498"/>
      <c r="CC368" s="498"/>
      <c r="CD368" s="498"/>
      <c r="CE368" s="498"/>
      <c r="CF368" s="498"/>
      <c r="CG368" s="287"/>
      <c r="CH368" s="287"/>
      <c r="CI368" s="287"/>
      <c r="CJ368" s="287"/>
      <c r="CK368" s="287"/>
      <c r="CL368" s="287"/>
      <c r="CM368" s="287"/>
      <c r="CN368" s="287"/>
      <c r="CO368" s="27"/>
      <c r="CR368" s="498"/>
      <c r="CS368" s="498"/>
      <c r="CT368" s="498"/>
      <c r="CU368" s="498"/>
      <c r="CV368" s="498"/>
      <c r="CW368" s="498"/>
      <c r="CX368" s="498"/>
      <c r="CY368" s="498"/>
      <c r="CZ368" s="498"/>
      <c r="DA368" s="498"/>
      <c r="DB368" s="498"/>
      <c r="DC368" s="498"/>
      <c r="DD368" s="498"/>
      <c r="DE368" s="498"/>
      <c r="DF368" s="498"/>
      <c r="DG368" s="498"/>
      <c r="DH368" s="498"/>
      <c r="DI368" s="498"/>
      <c r="DJ368" s="498"/>
      <c r="DK368" s="498"/>
      <c r="DL368" s="498"/>
      <c r="DM368" s="498"/>
      <c r="DN368" s="498"/>
      <c r="DO368" s="498"/>
      <c r="DP368" s="498"/>
      <c r="DQ368" s="498"/>
      <c r="DR368" s="498"/>
      <c r="DS368" s="498"/>
      <c r="DT368" s="498"/>
      <c r="DU368" s="498"/>
      <c r="DV368" s="498"/>
      <c r="DW368" s="498"/>
      <c r="DX368" s="498"/>
      <c r="DY368" s="498"/>
      <c r="DZ368" s="498"/>
      <c r="EA368" s="498"/>
      <c r="EB368" s="498"/>
      <c r="EC368" s="498"/>
      <c r="ED368" s="498"/>
      <c r="EE368" s="498"/>
      <c r="EF368" s="498"/>
      <c r="EG368" s="498"/>
      <c r="EH368" s="498"/>
      <c r="EI368" s="498"/>
      <c r="EJ368" s="498"/>
      <c r="EK368" s="498"/>
      <c r="EL368" s="498"/>
      <c r="EM368" s="498"/>
      <c r="EN368" s="498"/>
      <c r="EO368" s="498"/>
      <c r="EP368" s="498"/>
      <c r="EQ368" s="498"/>
      <c r="ER368" s="498"/>
      <c r="ES368" s="498"/>
      <c r="ET368" s="498"/>
      <c r="EU368" s="498"/>
      <c r="EV368" s="498"/>
      <c r="EW368" s="498"/>
      <c r="EX368" s="498"/>
      <c r="EY368" s="498"/>
      <c r="EZ368" s="498"/>
      <c r="FA368" s="498"/>
      <c r="FB368" s="498"/>
      <c r="FC368" s="498"/>
    </row>
    <row r="369" spans="1:160">
      <c r="AO369" s="338"/>
      <c r="AP369" s="449"/>
      <c r="AR369" s="449"/>
      <c r="AS369" s="449"/>
      <c r="BA369" s="498"/>
      <c r="BB369" s="498"/>
      <c r="BC369" s="498"/>
      <c r="BD369" s="498"/>
      <c r="BE369" s="498"/>
      <c r="BF369" s="498"/>
      <c r="BG369" s="498"/>
      <c r="BH369" s="498"/>
      <c r="BI369" s="498"/>
      <c r="BJ369" s="498"/>
      <c r="BK369" s="498"/>
      <c r="BL369" s="498"/>
      <c r="BM369" s="498"/>
      <c r="BN369" s="498"/>
      <c r="BO369" s="498"/>
      <c r="BP369" s="498"/>
      <c r="BQ369" s="498"/>
      <c r="BR369" s="498"/>
      <c r="BS369" s="498"/>
      <c r="BT369" s="498"/>
      <c r="BU369" s="498"/>
      <c r="BV369" s="498"/>
      <c r="BW369" s="498"/>
      <c r="BX369" s="498"/>
      <c r="BY369" s="498"/>
      <c r="BZ369" s="498"/>
      <c r="CA369" s="498"/>
      <c r="CB369" s="498"/>
      <c r="CC369" s="498"/>
      <c r="CD369" s="498"/>
      <c r="CE369" s="498"/>
      <c r="CF369" s="498"/>
      <c r="CG369" s="19"/>
      <c r="CH369" s="19"/>
      <c r="CI369" s="19"/>
      <c r="CJ369" s="19"/>
      <c r="CK369" s="19"/>
      <c r="CL369" s="19"/>
      <c r="CM369" s="19"/>
      <c r="CN369" s="19"/>
      <c r="CO369" s="4"/>
      <c r="CR369" s="498"/>
      <c r="CS369" s="498"/>
      <c r="CT369" s="498"/>
      <c r="CU369" s="498"/>
      <c r="CV369" s="498"/>
      <c r="CW369" s="498"/>
      <c r="CX369" s="498"/>
      <c r="CY369" s="498"/>
      <c r="CZ369" s="498"/>
      <c r="DA369" s="498"/>
      <c r="DB369" s="498"/>
      <c r="DC369" s="498"/>
      <c r="DD369" s="498"/>
      <c r="DE369" s="498"/>
      <c r="DF369" s="498"/>
      <c r="DG369" s="498"/>
      <c r="DH369" s="498"/>
      <c r="DI369" s="498"/>
      <c r="DJ369" s="498"/>
      <c r="DK369" s="498"/>
      <c r="DL369" s="498"/>
      <c r="DM369" s="498"/>
      <c r="DN369" s="498"/>
      <c r="DO369" s="498"/>
      <c r="DP369" s="498"/>
      <c r="DQ369" s="498"/>
      <c r="DR369" s="498"/>
      <c r="DS369" s="498"/>
      <c r="DT369" s="498"/>
      <c r="DU369" s="498"/>
      <c r="DV369" s="498"/>
      <c r="DW369" s="498"/>
      <c r="DX369" s="498"/>
      <c r="DY369" s="498"/>
      <c r="DZ369" s="498"/>
      <c r="EA369" s="498"/>
      <c r="EB369" s="498"/>
      <c r="EC369" s="498"/>
      <c r="ED369" s="498"/>
      <c r="EE369" s="498"/>
      <c r="EF369" s="498"/>
      <c r="EG369" s="498"/>
      <c r="EH369" s="498"/>
      <c r="EI369" s="498"/>
      <c r="EJ369" s="498"/>
      <c r="EK369" s="498"/>
      <c r="EL369" s="498"/>
      <c r="EM369" s="498"/>
      <c r="EN369" s="498"/>
      <c r="EO369" s="498"/>
      <c r="EP369" s="498"/>
      <c r="EQ369" s="498"/>
      <c r="ER369" s="498"/>
      <c r="ES369" s="498"/>
      <c r="ET369" s="498"/>
      <c r="EU369" s="498"/>
      <c r="EV369" s="498"/>
      <c r="EW369" s="498"/>
      <c r="EX369" s="498"/>
      <c r="EY369" s="498"/>
      <c r="EZ369" s="498"/>
      <c r="FA369" s="498"/>
      <c r="FB369" s="498"/>
      <c r="FC369" s="498"/>
    </row>
    <row r="370" spans="1:160">
      <c r="AO370" s="338"/>
      <c r="AP370" s="449"/>
      <c r="AR370" s="449"/>
      <c r="AS370" s="449"/>
      <c r="BA370" s="498"/>
      <c r="BB370" s="498"/>
      <c r="BC370" s="498"/>
      <c r="BD370" s="498"/>
      <c r="BE370" s="498"/>
      <c r="BF370" s="498"/>
      <c r="BG370" s="498"/>
      <c r="BH370" s="498"/>
      <c r="BI370" s="498"/>
      <c r="BJ370" s="498"/>
      <c r="BK370" s="498"/>
      <c r="BL370" s="498"/>
      <c r="BM370" s="498"/>
      <c r="BN370" s="498"/>
      <c r="BO370" s="498"/>
      <c r="BP370" s="498"/>
      <c r="BQ370" s="498"/>
      <c r="BR370" s="498"/>
      <c r="BS370" s="498"/>
      <c r="BT370" s="498"/>
      <c r="BU370" s="498"/>
      <c r="BV370" s="498"/>
      <c r="BW370" s="498"/>
      <c r="BX370" s="498"/>
      <c r="BY370" s="498"/>
      <c r="BZ370" s="498"/>
      <c r="CA370" s="498"/>
      <c r="CB370" s="498"/>
      <c r="CC370" s="498"/>
      <c r="CD370" s="498"/>
      <c r="CE370" s="498"/>
      <c r="CF370" s="498"/>
      <c r="CG370" s="19"/>
      <c r="CH370" s="19"/>
      <c r="CI370" s="19"/>
      <c r="CJ370" s="19"/>
      <c r="CK370" s="19"/>
      <c r="CL370" s="19"/>
      <c r="CM370" s="19"/>
      <c r="CN370" s="19"/>
      <c r="CO370" s="4"/>
      <c r="CR370" s="498"/>
      <c r="CS370" s="498"/>
      <c r="CT370" s="498"/>
      <c r="CU370" s="498"/>
      <c r="CV370" s="498"/>
      <c r="CW370" s="498"/>
      <c r="CX370" s="498"/>
      <c r="CY370" s="498"/>
      <c r="CZ370" s="498"/>
      <c r="DA370" s="498"/>
      <c r="DB370" s="498"/>
      <c r="DC370" s="498"/>
      <c r="DD370" s="498"/>
      <c r="DE370" s="498"/>
      <c r="DF370" s="498"/>
      <c r="DG370" s="498"/>
      <c r="DH370" s="498"/>
      <c r="DI370" s="498"/>
      <c r="DJ370" s="498"/>
      <c r="DK370" s="498"/>
      <c r="DL370" s="498"/>
      <c r="DM370" s="498"/>
      <c r="DN370" s="498"/>
      <c r="DO370" s="498"/>
      <c r="DP370" s="498"/>
      <c r="DQ370" s="498"/>
      <c r="DR370" s="498"/>
      <c r="DS370" s="498"/>
      <c r="DT370" s="498"/>
      <c r="DU370" s="498"/>
      <c r="DV370" s="498"/>
      <c r="DW370" s="498"/>
      <c r="DX370" s="498"/>
      <c r="DY370" s="498"/>
      <c r="DZ370" s="498"/>
      <c r="EA370" s="498"/>
      <c r="EB370" s="498"/>
      <c r="EC370" s="498"/>
      <c r="ED370" s="498"/>
      <c r="EE370" s="498"/>
      <c r="EF370" s="498"/>
      <c r="EG370" s="498"/>
      <c r="EH370" s="498"/>
      <c r="EI370" s="498"/>
      <c r="EJ370" s="498"/>
      <c r="EK370" s="498"/>
      <c r="EL370" s="498"/>
      <c r="EM370" s="498"/>
      <c r="EN370" s="498"/>
      <c r="EO370" s="498"/>
      <c r="EP370" s="498"/>
      <c r="EQ370" s="498"/>
      <c r="ER370" s="498"/>
      <c r="ES370" s="498"/>
      <c r="ET370" s="498"/>
      <c r="EU370" s="498"/>
      <c r="EV370" s="498"/>
      <c r="EW370" s="498"/>
      <c r="EX370" s="498"/>
      <c r="EY370" s="498"/>
      <c r="EZ370" s="498"/>
      <c r="FA370" s="498"/>
      <c r="FB370" s="498"/>
      <c r="FC370" s="498"/>
    </row>
    <row r="371" spans="1:160">
      <c r="AO371" s="338"/>
      <c r="AP371" s="449"/>
      <c r="AR371" s="449"/>
      <c r="AS371" s="449"/>
      <c r="BA371" s="498"/>
      <c r="BB371" s="498"/>
      <c r="BC371" s="498"/>
      <c r="BD371" s="498"/>
      <c r="BE371" s="498"/>
      <c r="BF371" s="498"/>
      <c r="BG371" s="498"/>
      <c r="BH371" s="498"/>
      <c r="BI371" s="498"/>
      <c r="BJ371" s="498"/>
      <c r="BK371" s="498"/>
      <c r="BL371" s="498"/>
      <c r="BM371" s="498"/>
      <c r="BN371" s="498"/>
      <c r="BO371" s="498"/>
      <c r="BP371" s="498"/>
      <c r="BQ371" s="498"/>
      <c r="BR371" s="498"/>
      <c r="BS371" s="498"/>
      <c r="BT371" s="498"/>
      <c r="BU371" s="498"/>
      <c r="BV371" s="498"/>
      <c r="BW371" s="498"/>
      <c r="BX371" s="498"/>
      <c r="BY371" s="498"/>
      <c r="BZ371" s="498"/>
      <c r="CA371" s="498"/>
      <c r="CB371" s="498"/>
      <c r="CC371" s="498"/>
      <c r="CD371" s="498"/>
      <c r="CE371" s="498"/>
      <c r="CF371" s="498"/>
      <c r="CG371" s="292"/>
      <c r="CH371" s="292"/>
      <c r="CI371" s="292"/>
      <c r="CJ371" s="292"/>
      <c r="CK371" s="292"/>
      <c r="CL371" s="292"/>
      <c r="CM371" s="292"/>
      <c r="CN371" s="292"/>
      <c r="CO371" s="363"/>
      <c r="CR371" s="498"/>
      <c r="CS371" s="498"/>
      <c r="CT371" s="498"/>
      <c r="CU371" s="498"/>
      <c r="CV371" s="498"/>
      <c r="CW371" s="498"/>
      <c r="CX371" s="498"/>
      <c r="CY371" s="498"/>
      <c r="CZ371" s="498"/>
      <c r="DA371" s="498"/>
      <c r="DB371" s="498"/>
      <c r="DC371" s="498"/>
      <c r="DD371" s="498"/>
      <c r="DE371" s="498"/>
      <c r="DF371" s="498"/>
      <c r="DG371" s="498"/>
      <c r="DH371" s="498"/>
      <c r="DI371" s="498"/>
      <c r="DJ371" s="498"/>
      <c r="DK371" s="498"/>
      <c r="DL371" s="498"/>
      <c r="DM371" s="498"/>
      <c r="DN371" s="498"/>
      <c r="DO371" s="498"/>
      <c r="DP371" s="498"/>
      <c r="DQ371" s="498"/>
      <c r="DR371" s="498"/>
      <c r="DS371" s="498"/>
      <c r="DT371" s="498"/>
      <c r="DU371" s="498"/>
      <c r="DV371" s="498"/>
      <c r="DW371" s="498"/>
      <c r="DX371" s="498"/>
      <c r="DY371" s="498"/>
      <c r="DZ371" s="498"/>
      <c r="EA371" s="498"/>
      <c r="EB371" s="498"/>
      <c r="EC371" s="498"/>
      <c r="ED371" s="498"/>
      <c r="EE371" s="498"/>
      <c r="EF371" s="498"/>
      <c r="EG371" s="498"/>
      <c r="EH371" s="498"/>
      <c r="EI371" s="498"/>
      <c r="EJ371" s="498"/>
      <c r="EK371" s="498"/>
      <c r="EL371" s="498"/>
      <c r="EM371" s="498"/>
      <c r="EN371" s="498"/>
      <c r="EO371" s="498"/>
      <c r="EP371" s="498"/>
      <c r="EQ371" s="498"/>
      <c r="ER371" s="498"/>
      <c r="ES371" s="498"/>
      <c r="ET371" s="498"/>
      <c r="EU371" s="498"/>
      <c r="EV371" s="498"/>
      <c r="EW371" s="498"/>
      <c r="EX371" s="498"/>
      <c r="EY371" s="498"/>
      <c r="EZ371" s="498"/>
      <c r="FA371" s="498"/>
      <c r="FB371" s="498"/>
      <c r="FC371" s="498"/>
    </row>
    <row r="372" spans="1:160">
      <c r="AO372" s="338"/>
      <c r="AP372" s="449"/>
      <c r="AR372" s="449"/>
      <c r="AS372" s="449"/>
      <c r="BA372" s="498"/>
      <c r="BB372" s="498"/>
      <c r="BC372" s="498"/>
      <c r="BD372" s="498"/>
      <c r="BE372" s="498"/>
      <c r="BF372" s="498"/>
      <c r="BG372" s="498"/>
      <c r="BH372" s="498"/>
      <c r="BI372" s="498"/>
      <c r="BJ372" s="498"/>
      <c r="BK372" s="498"/>
      <c r="BL372" s="498"/>
      <c r="BM372" s="498"/>
      <c r="BN372" s="498"/>
      <c r="BO372" s="498"/>
      <c r="BP372" s="498"/>
      <c r="BQ372" s="498"/>
      <c r="BR372" s="498"/>
      <c r="BS372" s="498"/>
      <c r="BT372" s="498"/>
      <c r="BU372" s="498"/>
      <c r="BV372" s="498"/>
      <c r="BW372" s="498"/>
      <c r="BX372" s="498"/>
      <c r="BY372" s="498"/>
      <c r="BZ372" s="498"/>
      <c r="CA372" s="498"/>
      <c r="CB372" s="498"/>
      <c r="CC372" s="498"/>
      <c r="CD372" s="498"/>
      <c r="CE372" s="498"/>
      <c r="CF372" s="498"/>
      <c r="CG372" s="292"/>
      <c r="CH372" s="292"/>
      <c r="CI372" s="292"/>
      <c r="CJ372" s="292"/>
      <c r="CK372" s="292"/>
      <c r="CL372" s="292"/>
      <c r="CM372" s="292"/>
      <c r="CN372" s="292"/>
      <c r="CO372" s="363"/>
      <c r="CR372" s="498"/>
      <c r="CS372" s="498"/>
      <c r="CT372" s="498"/>
      <c r="CU372" s="498"/>
      <c r="CV372" s="498"/>
      <c r="CW372" s="498"/>
      <c r="CX372" s="498"/>
      <c r="CY372" s="498"/>
      <c r="CZ372" s="498"/>
      <c r="DA372" s="498"/>
      <c r="DB372" s="498"/>
      <c r="DC372" s="498"/>
      <c r="DD372" s="498"/>
      <c r="DE372" s="498"/>
      <c r="DF372" s="498"/>
      <c r="DG372" s="498"/>
      <c r="DH372" s="498"/>
      <c r="DI372" s="498"/>
      <c r="DJ372" s="498"/>
      <c r="DK372" s="498"/>
      <c r="DL372" s="498"/>
      <c r="DM372" s="498"/>
      <c r="DN372" s="498"/>
      <c r="DO372" s="498"/>
      <c r="DP372" s="498"/>
      <c r="DQ372" s="498"/>
      <c r="DR372" s="498"/>
      <c r="DS372" s="498"/>
      <c r="DT372" s="498"/>
      <c r="DU372" s="498"/>
      <c r="DV372" s="498"/>
      <c r="DW372" s="498"/>
      <c r="DX372" s="498"/>
      <c r="DY372" s="498"/>
      <c r="DZ372" s="498"/>
      <c r="EA372" s="498"/>
      <c r="EB372" s="498"/>
      <c r="EC372" s="498"/>
      <c r="ED372" s="498"/>
      <c r="EE372" s="498"/>
      <c r="EF372" s="498"/>
      <c r="EG372" s="498"/>
      <c r="EH372" s="498"/>
      <c r="EI372" s="498"/>
      <c r="EJ372" s="498"/>
      <c r="EK372" s="498"/>
      <c r="EL372" s="498"/>
      <c r="EM372" s="498"/>
      <c r="EN372" s="498"/>
      <c r="EO372" s="498"/>
      <c r="EP372" s="498"/>
      <c r="EQ372" s="498"/>
      <c r="ER372" s="498"/>
      <c r="ES372" s="498"/>
      <c r="ET372" s="498"/>
      <c r="EU372" s="498"/>
      <c r="EV372" s="498"/>
      <c r="EW372" s="498"/>
      <c r="EX372" s="498"/>
      <c r="EY372" s="498"/>
      <c r="EZ372" s="498"/>
      <c r="FA372" s="498"/>
      <c r="FB372" s="498"/>
      <c r="FC372" s="498"/>
    </row>
    <row r="373" spans="1:160">
      <c r="AO373" s="338"/>
      <c r="AP373" s="449"/>
      <c r="AR373" s="449"/>
      <c r="AS373" s="449"/>
      <c r="BA373" s="498"/>
      <c r="BB373" s="498"/>
      <c r="BC373" s="498"/>
      <c r="BD373" s="498"/>
      <c r="BE373" s="498"/>
      <c r="BF373" s="498"/>
      <c r="BG373" s="498"/>
      <c r="BH373" s="498"/>
      <c r="BI373" s="498"/>
      <c r="BJ373" s="498"/>
      <c r="BK373" s="498"/>
      <c r="BL373" s="498"/>
      <c r="BM373" s="498"/>
      <c r="BN373" s="498"/>
      <c r="BO373" s="498"/>
      <c r="BP373" s="498"/>
      <c r="BQ373" s="498"/>
      <c r="BR373" s="498"/>
      <c r="BS373" s="498"/>
      <c r="BT373" s="498"/>
      <c r="BU373" s="498"/>
      <c r="BV373" s="498"/>
      <c r="BW373" s="498"/>
      <c r="BX373" s="498"/>
      <c r="BY373" s="498"/>
      <c r="BZ373" s="498"/>
      <c r="CA373" s="498"/>
      <c r="CB373" s="498"/>
      <c r="CC373" s="498"/>
      <c r="CD373" s="498"/>
      <c r="CE373" s="498"/>
      <c r="CF373" s="498"/>
      <c r="CG373" s="19"/>
      <c r="CH373" s="19"/>
      <c r="CI373" s="19"/>
      <c r="CJ373" s="19"/>
      <c r="CK373" s="19"/>
      <c r="CL373" s="19"/>
      <c r="CM373" s="19"/>
      <c r="CN373" s="19"/>
      <c r="CO373" s="4"/>
      <c r="CR373" s="498"/>
      <c r="CS373" s="498"/>
      <c r="CT373" s="498"/>
      <c r="CU373" s="498"/>
      <c r="CV373" s="498"/>
      <c r="CW373" s="498"/>
      <c r="CX373" s="498"/>
      <c r="CY373" s="498"/>
      <c r="CZ373" s="498"/>
      <c r="DA373" s="498"/>
      <c r="DB373" s="498"/>
      <c r="DC373" s="498"/>
      <c r="DD373" s="498"/>
      <c r="DE373" s="498"/>
      <c r="DF373" s="498"/>
      <c r="DG373" s="498"/>
      <c r="DH373" s="498"/>
      <c r="DI373" s="498"/>
      <c r="DJ373" s="498"/>
      <c r="DK373" s="498"/>
      <c r="DL373" s="498"/>
      <c r="DM373" s="498"/>
      <c r="DN373" s="498"/>
      <c r="DO373" s="498"/>
      <c r="DP373" s="498"/>
      <c r="DQ373" s="498"/>
      <c r="DR373" s="498"/>
      <c r="DS373" s="498"/>
      <c r="DT373" s="498"/>
      <c r="DU373" s="498"/>
      <c r="DV373" s="498"/>
      <c r="DW373" s="498"/>
      <c r="DX373" s="498"/>
      <c r="DY373" s="498"/>
      <c r="DZ373" s="498"/>
      <c r="EA373" s="498"/>
      <c r="EB373" s="498"/>
      <c r="EC373" s="498"/>
      <c r="ED373" s="498"/>
      <c r="EE373" s="498"/>
      <c r="EF373" s="498"/>
      <c r="EG373" s="498"/>
      <c r="EH373" s="498"/>
      <c r="EI373" s="498"/>
      <c r="EJ373" s="498"/>
      <c r="EK373" s="498"/>
      <c r="EL373" s="498"/>
      <c r="EM373" s="498"/>
      <c r="EN373" s="498"/>
      <c r="EO373" s="498"/>
      <c r="EP373" s="498"/>
      <c r="EQ373" s="498"/>
      <c r="ER373" s="498"/>
      <c r="ES373" s="498"/>
      <c r="ET373" s="498"/>
      <c r="EU373" s="498"/>
      <c r="EV373" s="498"/>
      <c r="EW373" s="498"/>
      <c r="EX373" s="498"/>
      <c r="EY373" s="498"/>
      <c r="EZ373" s="498"/>
      <c r="FA373" s="498"/>
      <c r="FB373" s="498"/>
      <c r="FC373" s="498"/>
    </row>
    <row r="374" spans="1:160">
      <c r="AO374" s="338"/>
      <c r="AP374" s="449"/>
      <c r="AR374" s="449"/>
      <c r="AS374" s="449"/>
      <c r="BA374" s="498"/>
      <c r="BB374" s="498"/>
      <c r="BC374" s="498"/>
      <c r="BD374" s="498"/>
      <c r="BE374" s="498"/>
      <c r="BF374" s="498"/>
      <c r="BG374" s="498"/>
      <c r="BH374" s="498"/>
      <c r="BI374" s="498"/>
      <c r="BJ374" s="498"/>
      <c r="BK374" s="498"/>
      <c r="BL374" s="498"/>
      <c r="BM374" s="498"/>
      <c r="BN374" s="498"/>
      <c r="BO374" s="498"/>
      <c r="BP374" s="498"/>
      <c r="BQ374" s="498"/>
      <c r="BR374" s="498"/>
      <c r="BS374" s="498"/>
      <c r="BT374" s="498"/>
      <c r="BU374" s="498"/>
      <c r="BV374" s="498"/>
      <c r="BW374" s="498"/>
      <c r="BX374" s="498"/>
      <c r="BY374" s="498"/>
      <c r="BZ374" s="498"/>
      <c r="CA374" s="498"/>
      <c r="CB374" s="498"/>
      <c r="CC374" s="498"/>
      <c r="CD374" s="498"/>
      <c r="CE374" s="498"/>
      <c r="CF374" s="498"/>
      <c r="CG374" s="359"/>
      <c r="CH374" s="359"/>
      <c r="CI374" s="359"/>
      <c r="CJ374" s="359"/>
      <c r="CK374" s="359"/>
      <c r="CL374" s="359"/>
      <c r="CM374" s="359"/>
      <c r="CN374" s="359"/>
      <c r="CO374" s="301"/>
      <c r="CR374" s="498"/>
      <c r="CS374" s="498"/>
      <c r="CT374" s="498"/>
      <c r="CU374" s="498"/>
      <c r="CV374" s="498"/>
      <c r="CW374" s="498"/>
      <c r="CX374" s="498"/>
      <c r="CY374" s="498"/>
      <c r="CZ374" s="498"/>
      <c r="DA374" s="498"/>
      <c r="DB374" s="498"/>
      <c r="DC374" s="498"/>
      <c r="DD374" s="498"/>
      <c r="DE374" s="498"/>
      <c r="DF374" s="498"/>
      <c r="DG374" s="498"/>
      <c r="DH374" s="498"/>
      <c r="DI374" s="498"/>
      <c r="DJ374" s="498"/>
      <c r="DK374" s="498"/>
      <c r="DL374" s="498"/>
      <c r="DM374" s="498"/>
      <c r="DN374" s="498"/>
      <c r="DO374" s="498"/>
      <c r="DP374" s="498"/>
      <c r="DQ374" s="498"/>
      <c r="DR374" s="498"/>
      <c r="DS374" s="498"/>
      <c r="DT374" s="498"/>
      <c r="DU374" s="498"/>
      <c r="DV374" s="498"/>
      <c r="DW374" s="498"/>
      <c r="DX374" s="498"/>
      <c r="DY374" s="498"/>
      <c r="DZ374" s="498"/>
      <c r="EA374" s="498"/>
      <c r="EB374" s="498"/>
      <c r="EC374" s="498"/>
      <c r="ED374" s="498"/>
      <c r="EE374" s="498"/>
      <c r="EF374" s="498"/>
      <c r="EG374" s="498"/>
      <c r="EH374" s="498"/>
      <c r="EI374" s="498"/>
      <c r="EJ374" s="498"/>
      <c r="EK374" s="498"/>
      <c r="EL374" s="498"/>
      <c r="EM374" s="498"/>
      <c r="EN374" s="498"/>
      <c r="EO374" s="498"/>
      <c r="EP374" s="498"/>
      <c r="EQ374" s="498"/>
      <c r="ER374" s="498"/>
      <c r="ES374" s="498"/>
      <c r="ET374" s="498"/>
      <c r="EU374" s="498"/>
      <c r="EV374" s="498"/>
      <c r="EW374" s="498"/>
      <c r="EX374" s="498"/>
      <c r="EY374" s="498"/>
      <c r="EZ374" s="498"/>
      <c r="FA374" s="498"/>
      <c r="FB374" s="498"/>
      <c r="FC374" s="498"/>
    </row>
    <row r="375" spans="1:160">
      <c r="AO375" s="338"/>
      <c r="AP375" s="449"/>
      <c r="AR375" s="449"/>
      <c r="AS375" s="449"/>
      <c r="BA375" s="380"/>
      <c r="BB375" s="380"/>
      <c r="BC375" s="380"/>
      <c r="BD375" s="380"/>
      <c r="BE375" s="380"/>
      <c r="BF375" s="380"/>
      <c r="BG375" s="380"/>
      <c r="BH375" s="380"/>
      <c r="BI375" s="380"/>
      <c r="BJ375" s="380"/>
      <c r="BK375" s="380"/>
      <c r="BL375" s="380"/>
      <c r="BM375" s="380"/>
      <c r="BN375" s="380"/>
      <c r="BO375" s="380"/>
      <c r="BP375" s="380"/>
      <c r="BQ375" s="380"/>
      <c r="BR375" s="380"/>
      <c r="BS375" s="380"/>
      <c r="BT375" s="380"/>
      <c r="BU375" s="380"/>
      <c r="BV375" s="380"/>
      <c r="BW375" s="380"/>
      <c r="BX375" s="380"/>
      <c r="BY375" s="380"/>
      <c r="BZ375" s="380"/>
      <c r="CA375" s="380"/>
      <c r="CB375" s="380"/>
      <c r="CC375" s="380"/>
      <c r="CD375" s="380"/>
      <c r="CE375" s="380"/>
      <c r="CF375" s="380"/>
      <c r="CG375" s="380"/>
      <c r="CH375" s="380"/>
      <c r="CI375" s="380"/>
      <c r="CJ375" s="380"/>
      <c r="CK375" s="380"/>
      <c r="CL375" s="380"/>
      <c r="CM375" s="380"/>
      <c r="CN375" s="380"/>
      <c r="CO375" s="489"/>
      <c r="CR375" s="380"/>
      <c r="CS375" s="380"/>
      <c r="CT375" s="380"/>
      <c r="CU375" s="380"/>
      <c r="CV375" s="380"/>
      <c r="CW375" s="380"/>
      <c r="CX375" s="380"/>
      <c r="CY375" s="380"/>
      <c r="CZ375" s="380"/>
      <c r="DA375" s="380"/>
      <c r="DB375" s="380"/>
      <c r="DC375" s="380"/>
      <c r="DD375" s="380"/>
      <c r="DE375" s="380"/>
      <c r="DF375" s="380"/>
      <c r="DG375" s="380"/>
      <c r="DH375" s="380"/>
      <c r="DI375" s="380"/>
      <c r="DJ375" s="380"/>
      <c r="DK375" s="380"/>
      <c r="DL375" s="380"/>
      <c r="DM375" s="380"/>
      <c r="DN375" s="380"/>
      <c r="DO375" s="380"/>
      <c r="DP375" s="380"/>
      <c r="DQ375" s="380"/>
      <c r="DR375" s="380"/>
      <c r="DS375" s="380"/>
      <c r="DT375" s="380"/>
      <c r="DU375" s="380"/>
      <c r="DV375" s="380"/>
      <c r="DW375" s="380"/>
      <c r="DX375" s="380"/>
      <c r="DY375" s="380"/>
      <c r="DZ375" s="380"/>
      <c r="EA375" s="380"/>
      <c r="EB375" s="380"/>
      <c r="EC375" s="380"/>
      <c r="ED375" s="380"/>
      <c r="EE375" s="380"/>
      <c r="EF375" s="380"/>
      <c r="EG375" s="380"/>
      <c r="EH375" s="380"/>
      <c r="EI375" s="380"/>
      <c r="EJ375" s="380"/>
      <c r="EK375" s="380"/>
      <c r="EL375" s="380"/>
      <c r="EM375" s="380"/>
      <c r="EN375" s="380"/>
      <c r="EO375" s="380"/>
      <c r="EP375" s="380"/>
      <c r="EQ375" s="380"/>
      <c r="ER375" s="380"/>
      <c r="ES375" s="380"/>
      <c r="ET375" s="380"/>
      <c r="EU375" s="380"/>
      <c r="EV375" s="380"/>
      <c r="EW375" s="380"/>
      <c r="EX375" s="380"/>
      <c r="EY375" s="380"/>
      <c r="EZ375" s="380"/>
      <c r="FA375" s="380"/>
      <c r="FB375" s="380"/>
      <c r="FC375" s="380"/>
    </row>
    <row r="376" spans="1:160">
      <c r="C376" s="282" t="s">
        <v>1431</v>
      </c>
      <c r="D376" s="282"/>
      <c r="E376" s="282"/>
      <c r="F376" s="282"/>
      <c r="G376" s="282"/>
      <c r="H376" s="282"/>
      <c r="I376" s="282"/>
      <c r="J376" s="282"/>
      <c r="K376" s="282"/>
      <c r="L376" s="282"/>
      <c r="M376" s="282"/>
      <c r="N376" s="282"/>
      <c r="O376" s="282"/>
      <c r="P376" s="282"/>
      <c r="Q376" s="282"/>
      <c r="R376" s="282"/>
      <c r="S376" s="282"/>
      <c r="T376" s="282"/>
      <c r="U376" s="282"/>
      <c r="V376" s="282"/>
      <c r="W376" s="282"/>
      <c r="X376" s="282"/>
      <c r="Y376" s="282"/>
      <c r="Z376" s="282"/>
      <c r="AA376" s="282"/>
      <c r="AB376" s="282"/>
      <c r="AC376" s="195"/>
      <c r="AD376" s="195"/>
      <c r="AE376" s="195"/>
      <c r="AF376" s="195"/>
      <c r="AG376" s="195"/>
      <c r="AH376" s="195"/>
      <c r="AO376" s="338"/>
      <c r="AP376" s="449"/>
      <c r="AR376" s="449"/>
      <c r="AS376" s="449"/>
      <c r="BA376" s="282"/>
      <c r="BB376" s="282"/>
      <c r="BC376" s="282"/>
      <c r="BD376" s="282"/>
      <c r="BE376" s="282"/>
      <c r="BF376" s="282"/>
      <c r="BG376" s="282"/>
      <c r="BH376" s="282"/>
      <c r="BI376" s="282"/>
      <c r="BJ376" s="282"/>
      <c r="BK376" s="282"/>
      <c r="BL376" s="282"/>
      <c r="BM376" s="282"/>
      <c r="BN376" s="282"/>
      <c r="BO376" s="282"/>
      <c r="BP376" s="282"/>
      <c r="BQ376" s="282"/>
      <c r="BR376" s="282"/>
      <c r="BS376" s="282"/>
      <c r="BT376" s="282"/>
      <c r="BU376" s="282"/>
      <c r="BV376" s="282"/>
      <c r="BW376" s="282"/>
      <c r="BX376" s="282"/>
      <c r="BY376" s="282"/>
      <c r="BZ376" s="282"/>
      <c r="CA376" s="282"/>
      <c r="CB376" s="282"/>
      <c r="CC376" s="337"/>
      <c r="CD376" s="337"/>
      <c r="CE376" s="337"/>
      <c r="CF376" s="337"/>
      <c r="CG376" s="337"/>
      <c r="CH376" s="337"/>
      <c r="CI376" s="337"/>
      <c r="CJ376" s="337"/>
      <c r="CK376" s="337"/>
      <c r="CL376" s="337"/>
      <c r="CM376" s="337"/>
      <c r="CN376" s="337"/>
      <c r="CO376" s="483"/>
      <c r="CR376" s="282"/>
      <c r="CS376" s="282"/>
      <c r="CT376" s="282"/>
      <c r="CU376" s="282"/>
      <c r="CV376" s="282"/>
      <c r="CW376" s="282"/>
      <c r="CX376" s="282"/>
      <c r="CY376" s="282"/>
      <c r="CZ376" s="282"/>
      <c r="DA376" s="282"/>
      <c r="DB376" s="282"/>
      <c r="DC376" s="282"/>
      <c r="DD376" s="282"/>
      <c r="DE376" s="282"/>
      <c r="DF376" s="282"/>
      <c r="DG376" s="282"/>
      <c r="DH376" s="282"/>
      <c r="DI376" s="282"/>
      <c r="DJ376" s="282"/>
      <c r="DK376" s="282"/>
      <c r="DL376" s="282"/>
      <c r="DM376" s="282"/>
      <c r="DN376" s="282"/>
      <c r="DO376" s="282"/>
      <c r="DP376" s="282"/>
      <c r="DQ376" s="282"/>
      <c r="DR376" s="282"/>
      <c r="DS376" s="282"/>
      <c r="DT376" s="282"/>
      <c r="DU376" s="282"/>
      <c r="DV376" s="282"/>
      <c r="DW376" s="282"/>
      <c r="DX376" s="282"/>
      <c r="DY376" s="282"/>
      <c r="DZ376" s="282"/>
      <c r="EA376" s="282"/>
      <c r="EB376" s="282"/>
      <c r="EC376" s="282"/>
      <c r="ED376" s="282"/>
      <c r="EE376" s="282"/>
      <c r="EF376" s="282"/>
      <c r="EG376" s="282"/>
      <c r="EH376" s="282"/>
      <c r="EI376" s="282"/>
      <c r="EJ376" s="282"/>
      <c r="EK376" s="282"/>
      <c r="EL376" s="282"/>
      <c r="EM376" s="282"/>
      <c r="EN376" s="282"/>
      <c r="EO376" s="282"/>
      <c r="EP376" s="282"/>
      <c r="EQ376" s="282"/>
      <c r="ER376" s="282"/>
      <c r="ES376" s="282"/>
      <c r="ET376" s="282"/>
      <c r="EU376" s="282"/>
      <c r="EV376" s="282"/>
      <c r="EW376" s="337"/>
      <c r="EX376" s="337"/>
      <c r="EY376" s="337"/>
      <c r="EZ376" s="337"/>
      <c r="FA376" s="337"/>
      <c r="FB376" s="337"/>
      <c r="FC376" s="337"/>
    </row>
    <row r="377" spans="1:160">
      <c r="C377" s="19" t="s">
        <v>1432</v>
      </c>
      <c r="M377" s="260">
        <v>54872</v>
      </c>
      <c r="N377" s="260">
        <v>54256</v>
      </c>
      <c r="O377" s="260">
        <v>59805</v>
      </c>
      <c r="P377" s="260">
        <v>62558</v>
      </c>
      <c r="Q377" s="260">
        <v>66289</v>
      </c>
      <c r="R377" s="260">
        <v>68945</v>
      </c>
      <c r="S377" s="260">
        <v>59015</v>
      </c>
      <c r="T377" s="260">
        <v>57495</v>
      </c>
      <c r="U377" s="260">
        <v>57542</v>
      </c>
      <c r="V377" s="260">
        <v>92639</v>
      </c>
      <c r="W377" s="260">
        <v>95443</v>
      </c>
      <c r="X377" s="260">
        <v>78892</v>
      </c>
      <c r="Y377" s="260">
        <v>76765</v>
      </c>
      <c r="Z377" s="260">
        <v>83276</v>
      </c>
      <c r="AA377" s="260">
        <v>87055</v>
      </c>
      <c r="AB377" s="260">
        <v>96390</v>
      </c>
      <c r="AO377" s="338"/>
      <c r="AP377" s="449"/>
      <c r="AR377" s="449"/>
      <c r="AS377" s="449"/>
      <c r="BA377" s="498"/>
      <c r="BB377" s="498"/>
      <c r="BC377" s="498"/>
      <c r="BD377" s="498"/>
      <c r="BE377" s="498"/>
      <c r="BF377" s="498"/>
      <c r="BG377" s="498"/>
      <c r="BH377" s="498"/>
      <c r="BI377" s="498"/>
      <c r="BJ377" s="498"/>
      <c r="BK377" s="498"/>
      <c r="BL377" s="498"/>
      <c r="BM377" s="498"/>
      <c r="BN377" s="498"/>
      <c r="BO377" s="498"/>
      <c r="BP377" s="498"/>
      <c r="BQ377" s="498"/>
      <c r="BR377" s="498"/>
      <c r="BS377" s="498"/>
      <c r="BT377" s="498"/>
      <c r="BU377" s="498"/>
      <c r="BV377" s="498"/>
      <c r="BW377" s="498"/>
      <c r="BX377" s="498"/>
      <c r="BY377" s="498"/>
      <c r="BZ377" s="498"/>
      <c r="CA377" s="498"/>
      <c r="CB377" s="498"/>
      <c r="CC377" s="498"/>
      <c r="CD377" s="498"/>
      <c r="CE377" s="498"/>
      <c r="CF377" s="498"/>
      <c r="CG377" s="260"/>
      <c r="CH377" s="260"/>
      <c r="CI377" s="260"/>
      <c r="CJ377" s="260"/>
      <c r="CK377" s="260"/>
      <c r="CL377" s="260"/>
      <c r="CM377" s="260"/>
      <c r="CN377" s="260"/>
      <c r="CO377" s="260"/>
      <c r="CR377" s="498"/>
      <c r="CS377" s="498"/>
      <c r="CT377" s="498"/>
      <c r="CU377" s="498"/>
      <c r="CV377" s="498"/>
      <c r="CW377" s="498"/>
      <c r="CX377" s="498"/>
      <c r="CY377" s="498"/>
      <c r="CZ377" s="498"/>
      <c r="DA377" s="498"/>
      <c r="DB377" s="498"/>
      <c r="DC377" s="498"/>
      <c r="DD377" s="498"/>
      <c r="DE377" s="498"/>
      <c r="DF377" s="498"/>
      <c r="DG377" s="498"/>
      <c r="DH377" s="498"/>
      <c r="DI377" s="498"/>
      <c r="DJ377" s="498"/>
      <c r="DK377" s="498"/>
      <c r="DL377" s="498"/>
      <c r="DM377" s="498"/>
      <c r="DN377" s="498"/>
      <c r="DO377" s="498"/>
      <c r="DP377" s="498"/>
      <c r="DQ377" s="498"/>
      <c r="DR377" s="498"/>
      <c r="DS377" s="498"/>
      <c r="DT377" s="498"/>
      <c r="DU377" s="498"/>
      <c r="DV377" s="498"/>
      <c r="DW377" s="498"/>
      <c r="DX377" s="498"/>
      <c r="DY377" s="498"/>
      <c r="DZ377" s="498"/>
      <c r="EA377" s="498"/>
      <c r="EB377" s="498"/>
      <c r="EC377" s="498"/>
      <c r="ED377" s="498"/>
      <c r="EE377" s="498"/>
      <c r="EF377" s="498"/>
      <c r="EG377" s="498"/>
      <c r="EH377" s="498"/>
      <c r="EI377" s="498"/>
      <c r="EJ377" s="498"/>
      <c r="EK377" s="498"/>
      <c r="EL377" s="498"/>
      <c r="EM377" s="498"/>
      <c r="EN377" s="498"/>
      <c r="EO377" s="498"/>
      <c r="EP377" s="498"/>
      <c r="EQ377" s="498"/>
      <c r="ER377" s="498"/>
      <c r="ES377" s="498"/>
      <c r="ET377" s="498"/>
      <c r="EU377" s="498"/>
      <c r="EV377" s="498"/>
      <c r="EW377" s="498"/>
      <c r="EX377" s="498"/>
      <c r="EY377" s="498"/>
      <c r="EZ377" s="498"/>
      <c r="FA377" s="498"/>
      <c r="FB377" s="498"/>
      <c r="FC377" s="498"/>
    </row>
    <row r="378" spans="1:160">
      <c r="C378" s="19"/>
      <c r="Z378" s="340"/>
      <c r="AO378" s="338"/>
      <c r="AP378" s="449"/>
      <c r="AR378" s="449"/>
      <c r="AS378" s="449"/>
    </row>
    <row r="379" spans="1:160">
      <c r="A379" s="651"/>
      <c r="C379" s="19"/>
      <c r="Z379" s="259"/>
      <c r="AA379" s="259"/>
      <c r="AB379" s="259"/>
      <c r="AO379" s="338"/>
      <c r="AP379" s="449"/>
      <c r="AR379" s="449"/>
      <c r="AS379" s="449"/>
      <c r="DX379" s="340"/>
      <c r="DY379" s="340"/>
      <c r="DZ379" s="340"/>
      <c r="EA379" s="340"/>
      <c r="EB379" s="340"/>
      <c r="EC379" s="340"/>
      <c r="ED379" s="340"/>
      <c r="EE379" s="340"/>
      <c r="EF379" s="340"/>
      <c r="EG379" s="340"/>
      <c r="EH379" s="340"/>
      <c r="EI379" s="340"/>
      <c r="EJ379" s="340"/>
      <c r="EK379" s="340"/>
      <c r="EL379" s="340"/>
      <c r="EM379" s="340"/>
      <c r="EN379" s="340"/>
      <c r="EO379" s="340"/>
      <c r="EP379" s="340"/>
      <c r="EQ379" s="340"/>
      <c r="ER379" s="340"/>
      <c r="ES379" s="340"/>
      <c r="ET379" s="340"/>
      <c r="EU379" s="340"/>
      <c r="EV379" s="340"/>
      <c r="EW379" s="340"/>
      <c r="EX379" s="340"/>
      <c r="EY379" s="340"/>
      <c r="EZ379" s="340"/>
      <c r="FA379" s="340"/>
      <c r="FB379" s="340"/>
      <c r="FC379" s="340"/>
    </row>
    <row r="380" spans="1:160">
      <c r="A380" s="213" t="s">
        <v>1142</v>
      </c>
    </row>
    <row r="382" spans="1:160">
      <c r="FD382" s="371"/>
    </row>
    <row r="383" spans="1:160">
      <c r="FD383" s="371"/>
    </row>
    <row r="384" spans="1:160">
      <c r="FD384" s="371"/>
    </row>
    <row r="450" outlineLevel="1"/>
    <row r="451" outlineLevel="1"/>
    <row r="452" ht="11.25" customHeight="1" outlineLevel="1"/>
    <row r="453" outlineLevel="1"/>
    <row r="454" outlineLevel="1"/>
    <row r="455" outlineLevel="1"/>
    <row r="456" outlineLevel="1"/>
    <row r="457" outlineLevel="1"/>
    <row r="458" outlineLevel="1"/>
    <row r="459" outlineLevel="1"/>
    <row r="460" outlineLevel="1"/>
    <row r="461" outlineLevel="1"/>
    <row r="462" outlineLevel="1"/>
    <row r="463" s="57" customFormat="1" outlineLevel="1"/>
    <row r="464" outlineLevel="1"/>
    <row r="465" outlineLevel="1"/>
    <row r="466" outlineLevel="1"/>
    <row r="467" outlineLevel="1"/>
    <row r="468" outlineLevel="1"/>
    <row r="469" outlineLevel="1"/>
    <row r="470" outlineLevel="1"/>
    <row r="471" outlineLevel="1"/>
    <row r="472" outlineLevel="1"/>
    <row r="473" outlineLevel="1"/>
    <row r="474" outlineLevel="1"/>
    <row r="475" outlineLevel="1"/>
    <row r="476" outlineLevel="1"/>
    <row r="477" outlineLevel="1"/>
    <row r="478" outlineLevel="1"/>
    <row r="479" outlineLevel="1"/>
    <row r="480" outlineLevel="1"/>
    <row r="481" outlineLevel="1"/>
    <row r="482" outlineLevel="1"/>
    <row r="483" outlineLevel="1"/>
    <row r="484" outlineLevel="1"/>
    <row r="485" outlineLevel="1"/>
    <row r="486" outlineLevel="1"/>
    <row r="487" outlineLevel="1"/>
    <row r="488" outlineLevel="1"/>
    <row r="489" outlineLevel="1"/>
    <row r="490" outlineLevel="1"/>
    <row r="491" outlineLevel="1"/>
    <row r="492" outlineLevel="1"/>
    <row r="493" outlineLevel="1"/>
    <row r="494" outlineLevel="1"/>
    <row r="495" outlineLevel="1"/>
    <row r="496" outlineLevel="1"/>
    <row r="497" outlineLevel="1"/>
    <row r="498" outlineLevel="1"/>
    <row r="499" outlineLevel="1"/>
    <row r="500" outlineLevel="1"/>
    <row r="501" outlineLevel="1"/>
    <row r="502" ht="14.25" customHeight="1" outlineLevel="1"/>
    <row r="503" ht="14.25" customHeight="1" outlineLevel="1"/>
    <row r="504" outlineLevel="1"/>
    <row r="505" outlineLevel="1"/>
    <row r="506" outlineLevel="1"/>
    <row r="507" outlineLevel="1"/>
    <row r="508" outlineLevel="1"/>
    <row r="509" outlineLevel="1"/>
    <row r="510" outlineLevel="1"/>
    <row r="511" outlineLevel="1"/>
    <row r="512" outlineLevel="1"/>
    <row r="513" outlineLevel="1"/>
    <row r="514" outlineLevel="1"/>
    <row r="515" ht="14.25" customHeight="1" outlineLevel="1"/>
    <row r="516" ht="14.25" customHeight="1" outlineLevel="1"/>
    <row r="517" outlineLevel="1"/>
    <row r="518" outlineLevel="1"/>
    <row r="519" s="57" customFormat="1" outlineLevel="1"/>
    <row r="520" outlineLevel="1"/>
    <row r="521" outlineLevel="1"/>
    <row r="522" outlineLevel="1"/>
    <row r="523" outlineLevel="1"/>
    <row r="524" outlineLevel="1"/>
    <row r="525" outlineLevel="1"/>
    <row r="526" outlineLevel="1"/>
    <row r="527" outlineLevel="1"/>
    <row r="528" outlineLevel="1"/>
    <row r="529" outlineLevel="1"/>
    <row r="530" ht="14.25" customHeight="1" outlineLevel="1"/>
    <row r="531" ht="14.25" customHeight="1" outlineLevel="1"/>
    <row r="532" outlineLevel="1"/>
    <row r="533" outlineLevel="1"/>
    <row r="534" outlineLevel="1"/>
    <row r="535" ht="14.25" customHeight="1" outlineLevel="1"/>
    <row r="536" outlineLevel="1"/>
    <row r="537" outlineLevel="1"/>
    <row r="538" outlineLevel="1"/>
    <row r="539" outlineLevel="1"/>
    <row r="540" outlineLevel="1"/>
    <row r="541" outlineLevel="1"/>
    <row r="542" outlineLevel="1"/>
    <row r="543" ht="14.25" customHeight="1" outlineLevel="1"/>
    <row r="544" ht="14.25" customHeight="1" outlineLevel="1"/>
    <row r="545" outlineLevel="1"/>
    <row r="546" outlineLevel="1"/>
    <row r="547" s="57" customFormat="1" outlineLevel="1"/>
    <row r="548" s="57" customFormat="1" outlineLevel="1"/>
    <row r="549" s="57" customFormat="1" outlineLevel="1"/>
    <row r="550" outlineLevel="1"/>
    <row r="551" outlineLevel="1"/>
    <row r="552" outlineLevel="1"/>
    <row r="553" outlineLevel="1"/>
    <row r="554" outlineLevel="1"/>
    <row r="555" outlineLevel="1"/>
    <row r="556" outlineLevel="1"/>
    <row r="557" outlineLevel="1"/>
    <row r="558" outlineLevel="1"/>
    <row r="559" outlineLevel="1"/>
    <row r="560" outlineLevel="1"/>
    <row r="561" outlineLevel="1"/>
    <row r="562" outlineLevel="1"/>
    <row r="563" outlineLevel="1"/>
    <row r="564" outlineLevel="1"/>
    <row r="565" outlineLevel="1"/>
    <row r="566" outlineLevel="1"/>
    <row r="567" outlineLevel="1"/>
    <row r="568" outlineLevel="1"/>
    <row r="569" outlineLevel="1"/>
    <row r="570" outlineLevel="1"/>
    <row r="571" outlineLevel="1"/>
    <row r="572" outlineLevel="1"/>
    <row r="573" outlineLevel="1"/>
    <row r="574" outlineLevel="1"/>
    <row r="575" outlineLevel="1"/>
    <row r="576" outlineLevel="1"/>
    <row r="577" outlineLevel="2"/>
    <row r="578" outlineLevel="2"/>
    <row r="579" outlineLevel="2"/>
    <row r="580" outlineLevel="2"/>
    <row r="581" outlineLevel="2"/>
    <row r="582" outlineLevel="2"/>
    <row r="583" outlineLevel="2"/>
    <row r="584" outlineLevel="2"/>
    <row r="585" outlineLevel="2"/>
    <row r="586" outlineLevel="2"/>
    <row r="587" outlineLevel="2"/>
    <row r="588" outlineLevel="2"/>
    <row r="589" outlineLevel="2"/>
    <row r="590" outlineLevel="2"/>
    <row r="599" outlineLevel="1"/>
    <row r="600" outlineLevel="1"/>
    <row r="601" outlineLevel="1"/>
    <row r="602" outlineLevel="1"/>
    <row r="603" outlineLevel="1"/>
    <row r="604" outlineLevel="1"/>
    <row r="605" outlineLevel="1"/>
    <row r="606" outlineLevel="1"/>
    <row r="607" outlineLevel="1"/>
    <row r="608" outlineLevel="1"/>
    <row r="609" spans="1:1" outlineLevel="1"/>
    <row r="610" spans="1:1" outlineLevel="1"/>
    <row r="611" spans="1:1" outlineLevel="1"/>
    <row r="612" spans="1:1" outlineLevel="1"/>
    <row r="613" spans="1:1" outlineLevel="1"/>
    <row r="614" spans="1:1" outlineLevel="1"/>
    <row r="615" spans="1:1" outlineLevel="1"/>
    <row r="616" spans="1:1" outlineLevel="1"/>
    <row r="617" spans="1:1" outlineLevel="1"/>
    <row r="618" spans="1:1" outlineLevel="1"/>
    <row r="619" spans="1:1" outlineLevel="1"/>
    <row r="620" spans="1:1" outlineLevel="1"/>
    <row r="621" spans="1:1" outlineLevel="1"/>
    <row r="622" spans="1:1" outlineLevel="1"/>
    <row r="623" spans="1:1" outlineLevel="1"/>
    <row r="624" spans="1:1">
      <c r="A624" s="213" t="s">
        <v>1142</v>
      </c>
    </row>
    <row r="630" spans="160:160" s="57" customFormat="1">
      <c r="FD630" s="213"/>
    </row>
    <row r="631" spans="160:160" s="57" customFormat="1">
      <c r="FD631" s="213"/>
    </row>
    <row r="632" spans="160:160" s="57" customFormat="1">
      <c r="FD632" s="213"/>
    </row>
    <row r="633" spans="160:160" s="57" customFormat="1">
      <c r="FD633" s="213"/>
    </row>
    <row r="635" spans="160:160" s="57" customFormat="1">
      <c r="FD635" s="213"/>
    </row>
    <row r="636" spans="160:160" s="57" customFormat="1"/>
    <row r="637" spans="160:160" s="57" customFormat="1"/>
    <row r="638" spans="160:160" s="57" customFormat="1"/>
    <row r="639" spans="160:160" s="57" customFormat="1"/>
    <row r="640" spans="160:160" s="57" customFormat="1"/>
    <row r="641" spans="1:1" s="57" customFormat="1"/>
    <row r="642" spans="1:1" s="57" customFormat="1"/>
    <row r="643" spans="1:1">
      <c r="A643" s="57"/>
    </row>
    <row r="644" spans="1:1" s="57" customFormat="1"/>
    <row r="645" spans="1:1" s="57" customFormat="1"/>
    <row r="646" spans="1:1" s="57" customFormat="1"/>
    <row r="647" spans="1:1" s="57" customFormat="1"/>
    <row r="648" spans="1:1" s="57" customFormat="1"/>
    <row r="649" spans="1:1" s="57" customFormat="1"/>
    <row r="650" spans="1:1" s="57" customFormat="1"/>
    <row r="651" spans="1:1" s="57" customFormat="1"/>
    <row r="652" spans="1:1">
      <c r="A652" s="57"/>
    </row>
    <row r="653" spans="1:1">
      <c r="A653" s="57"/>
    </row>
    <row r="654" spans="1:1">
      <c r="A654" s="57"/>
    </row>
    <row r="655" spans="1:1">
      <c r="A655" s="57"/>
    </row>
    <row r="656" spans="1:1">
      <c r="A656" s="57"/>
    </row>
    <row r="657" spans="1:1" s="57" customFormat="1"/>
    <row r="658" spans="1:1" s="57" customFormat="1"/>
    <row r="659" spans="1:1" s="57" customFormat="1"/>
    <row r="660" spans="1:1">
      <c r="A660" s="57"/>
    </row>
    <row r="661" spans="1:1" s="57" customFormat="1"/>
    <row r="662" spans="1:1" s="57" customFormat="1"/>
    <row r="663" spans="1:1" s="57" customFormat="1"/>
    <row r="664" spans="1:1" s="57" customFormat="1"/>
    <row r="665" spans="1:1">
      <c r="A665" s="57"/>
    </row>
    <row r="666" spans="1:1">
      <c r="A666" s="57"/>
    </row>
    <row r="667" spans="1:1" s="57" customFormat="1"/>
    <row r="668" spans="1:1" s="57" customFormat="1"/>
    <row r="669" spans="1:1" s="57" customFormat="1"/>
    <row r="670" spans="1:1" s="57" customFormat="1"/>
    <row r="671" spans="1:1" s="57" customFormat="1"/>
    <row r="672" spans="1:1" s="57" customFormat="1"/>
    <row r="673" spans="1:2" s="57" customFormat="1" ht="11.25" customHeight="1"/>
    <row r="674" spans="1:2" s="57" customFormat="1"/>
    <row r="675" spans="1:2" s="57" customFormat="1"/>
    <row r="676" spans="1:2">
      <c r="A676" s="57"/>
    </row>
    <row r="677" spans="1:2" outlineLevel="1">
      <c r="A677" s="57"/>
    </row>
    <row r="678" spans="1:2" outlineLevel="1"/>
    <row r="679" spans="1:2" outlineLevel="1">
      <c r="B679" s="213" t="s">
        <v>1484</v>
      </c>
    </row>
    <row r="680" spans="1:2" outlineLevel="1"/>
    <row r="681" spans="1:2" outlineLevel="1"/>
    <row r="682" spans="1:2" outlineLevel="1"/>
    <row r="683" spans="1:2" outlineLevel="1"/>
    <row r="684" spans="1:2" outlineLevel="1"/>
    <row r="685" spans="1:2" outlineLevel="1"/>
    <row r="686" spans="1:2" outlineLevel="1"/>
    <row r="687" spans="1:2" outlineLevel="1"/>
    <row r="688" spans="1:2" outlineLevel="1"/>
    <row r="689" outlineLevel="1"/>
    <row r="690" outlineLevel="1"/>
    <row r="691" outlineLevel="1"/>
    <row r="692" outlineLevel="1"/>
    <row r="693" outlineLevel="1"/>
    <row r="694" outlineLevel="1"/>
    <row r="695" outlineLevel="1"/>
    <row r="696" outlineLevel="1"/>
    <row r="697" outlineLevel="1"/>
    <row r="698" outlineLevel="1"/>
    <row r="699" outlineLevel="1"/>
    <row r="700" outlineLevel="1"/>
    <row r="701" outlineLevel="1"/>
    <row r="702" outlineLevel="1"/>
    <row r="703" outlineLevel="1"/>
    <row r="704" outlineLevel="1"/>
    <row r="705" outlineLevel="1"/>
    <row r="706" outlineLevel="1"/>
    <row r="707" outlineLevel="1"/>
    <row r="708" outlineLevel="1"/>
    <row r="709" outlineLevel="1"/>
    <row r="710" outlineLevel="1"/>
    <row r="711" outlineLevel="1"/>
    <row r="712" outlineLevel="1"/>
    <row r="713" outlineLevel="1"/>
    <row r="714" outlineLevel="1"/>
    <row r="715" outlineLevel="1"/>
    <row r="716" outlineLevel="1"/>
    <row r="717" outlineLevel="1"/>
    <row r="718" outlineLevel="1"/>
    <row r="719" outlineLevel="1"/>
    <row r="720" outlineLevel="1"/>
    <row r="721" outlineLevel="1"/>
    <row r="722" outlineLevel="1"/>
    <row r="723" outlineLevel="1"/>
    <row r="724" outlineLevel="1"/>
    <row r="725" outlineLevel="1"/>
    <row r="726" outlineLevel="1"/>
    <row r="727" outlineLevel="1"/>
    <row r="728" outlineLevel="1"/>
    <row r="729" outlineLevel="1"/>
    <row r="730" outlineLevel="1"/>
    <row r="731" outlineLevel="2"/>
    <row r="732" outlineLevel="2"/>
    <row r="733" outlineLevel="2"/>
    <row r="734" outlineLevel="2"/>
    <row r="735" outlineLevel="2"/>
    <row r="736" outlineLevel="2"/>
    <row r="737" outlineLevel="2"/>
    <row r="738" outlineLevel="2"/>
    <row r="739" outlineLevel="2"/>
    <row r="740" outlineLevel="2"/>
    <row r="741" outlineLevel="2"/>
    <row r="742" outlineLevel="2"/>
    <row r="743" outlineLevel="2"/>
    <row r="744" outlineLevel="2"/>
    <row r="745" outlineLevel="2"/>
    <row r="746" outlineLevel="2"/>
    <row r="747" outlineLevel="2"/>
    <row r="748" outlineLevel="2"/>
    <row r="749" outlineLevel="2"/>
    <row r="750" outlineLevel="2"/>
    <row r="751" outlineLevel="2"/>
    <row r="752" outlineLevel="2"/>
    <row r="753" outlineLevel="2"/>
    <row r="754" outlineLevel="2"/>
    <row r="755" outlineLevel="2"/>
    <row r="756" outlineLevel="2"/>
    <row r="757" outlineLevel="2"/>
    <row r="758" outlineLevel="2"/>
    <row r="759" outlineLevel="2"/>
    <row r="760" outlineLevel="2"/>
    <row r="761" outlineLevel="2"/>
    <row r="762" outlineLevel="2"/>
    <row r="763" outlineLevel="2"/>
    <row r="764" outlineLevel="2"/>
    <row r="765" outlineLevel="2"/>
    <row r="766" outlineLevel="2"/>
    <row r="767" outlineLevel="1"/>
    <row r="768" outlineLevel="1"/>
    <row r="769" outlineLevel="1"/>
    <row r="770" outlineLevel="1"/>
    <row r="771" outlineLevel="1"/>
    <row r="772" outlineLevel="1"/>
    <row r="773" outlineLevel="1"/>
    <row r="774" outlineLevel="1"/>
    <row r="775" outlineLevel="1"/>
    <row r="776" outlineLevel="1"/>
    <row r="777" outlineLevel="1"/>
    <row r="778" outlineLevel="1"/>
    <row r="779" outlineLevel="1"/>
    <row r="780" outlineLevel="1"/>
    <row r="781" outlineLevel="1"/>
    <row r="782" outlineLevel="1"/>
    <row r="783" outlineLevel="1"/>
    <row r="784" outlineLevel="1"/>
    <row r="785" outlineLevel="1"/>
    <row r="786" outlineLevel="1"/>
    <row r="787" outlineLevel="1"/>
    <row r="788" outlineLevel="1"/>
    <row r="789" outlineLevel="1"/>
    <row r="790" outlineLevel="1"/>
    <row r="791" outlineLevel="1"/>
    <row r="792" outlineLevel="1"/>
    <row r="793" outlineLevel="1"/>
    <row r="794" outlineLevel="1"/>
    <row r="795" outlineLevel="1"/>
    <row r="796" outlineLevel="1"/>
    <row r="797" outlineLevel="1"/>
    <row r="798" outlineLevel="1"/>
    <row r="799" outlineLevel="1"/>
    <row r="800" outlineLevel="1"/>
    <row r="801" outlineLevel="1"/>
    <row r="802" outlineLevel="1"/>
    <row r="803" outlineLevel="1"/>
    <row r="804" outlineLevel="1"/>
    <row r="805" outlineLevel="1"/>
    <row r="806" outlineLevel="1"/>
    <row r="807" outlineLevel="1"/>
    <row r="808" outlineLevel="1"/>
    <row r="809" outlineLevel="1"/>
    <row r="810" outlineLevel="1"/>
    <row r="811" outlineLevel="1"/>
    <row r="812" outlineLevel="1"/>
    <row r="813" outlineLevel="1"/>
    <row r="814" outlineLevel="1"/>
    <row r="815" outlineLevel="1"/>
    <row r="816" outlineLevel="1"/>
    <row r="817" outlineLevel="1"/>
    <row r="818" outlineLevel="1"/>
    <row r="819" outlineLevel="1"/>
    <row r="820" outlineLevel="1"/>
    <row r="821" outlineLevel="1"/>
    <row r="822" outlineLevel="1"/>
    <row r="823" outlineLevel="1"/>
    <row r="824" outlineLevel="1"/>
    <row r="825" outlineLevel="1"/>
    <row r="826" outlineLevel="1"/>
    <row r="827" outlineLevel="1"/>
    <row r="828" outlineLevel="1"/>
    <row r="829" outlineLevel="1"/>
    <row r="830" outlineLevel="1"/>
    <row r="831" outlineLevel="1"/>
    <row r="832" outlineLevel="1"/>
    <row r="833" outlineLevel="1"/>
    <row r="834" outlineLevel="1"/>
    <row r="835" outlineLevel="1"/>
    <row r="836" outlineLevel="1"/>
    <row r="837" outlineLevel="1"/>
    <row r="838" outlineLevel="1"/>
    <row r="839" outlineLevel="1"/>
    <row r="840" outlineLevel="1"/>
    <row r="841" outlineLevel="1"/>
    <row r="842" outlineLevel="1"/>
    <row r="843" outlineLevel="1"/>
    <row r="844" outlineLevel="1"/>
    <row r="845" outlineLevel="1"/>
    <row r="846" outlineLevel="1"/>
    <row r="847" outlineLevel="1"/>
    <row r="848" outlineLevel="1"/>
    <row r="849" outlineLevel="1"/>
    <row r="850" outlineLevel="1"/>
    <row r="851" outlineLevel="1"/>
    <row r="852" outlineLevel="1"/>
    <row r="853" outlineLevel="1"/>
    <row r="854" outlineLevel="1"/>
    <row r="855" outlineLevel="1"/>
    <row r="856" outlineLevel="1"/>
    <row r="857" outlineLevel="1"/>
    <row r="858" outlineLevel="1"/>
    <row r="859" outlineLevel="1"/>
    <row r="860" outlineLevel="1"/>
    <row r="861" outlineLevel="1"/>
    <row r="862" outlineLevel="1"/>
    <row r="863" outlineLevel="1"/>
    <row r="864" outlineLevel="1"/>
    <row r="865" outlineLevel="1"/>
    <row r="866" outlineLevel="2"/>
    <row r="867" outlineLevel="2"/>
    <row r="868" outlineLevel="2"/>
    <row r="869" outlineLevel="2"/>
    <row r="870" outlineLevel="2"/>
    <row r="871" outlineLevel="2"/>
    <row r="872" outlineLevel="2"/>
    <row r="873" outlineLevel="2"/>
    <row r="874" outlineLevel="2"/>
    <row r="875" outlineLevel="1"/>
    <row r="876" outlineLevel="1"/>
    <row r="877" outlineLevel="1"/>
    <row r="878" outlineLevel="1"/>
    <row r="879" outlineLevel="1"/>
    <row r="880" outlineLevel="1"/>
    <row r="881" outlineLevel="1"/>
    <row r="882" outlineLevel="1"/>
    <row r="883" outlineLevel="1"/>
    <row r="884" outlineLevel="1"/>
    <row r="885" outlineLevel="1"/>
    <row r="886" outlineLevel="1"/>
    <row r="887" outlineLevel="1"/>
    <row r="888" outlineLevel="1"/>
    <row r="889" outlineLevel="1"/>
    <row r="890" outlineLevel="1"/>
    <row r="891" outlineLevel="1"/>
    <row r="892" outlineLevel="1"/>
    <row r="893" outlineLevel="2"/>
    <row r="894" outlineLevel="1"/>
    <row r="895" outlineLevel="1"/>
    <row r="896" outlineLevel="1"/>
    <row r="897" outlineLevel="1"/>
    <row r="898" outlineLevel="1"/>
    <row r="899" outlineLevel="1"/>
    <row r="900" outlineLevel="2"/>
    <row r="901" outlineLevel="2"/>
    <row r="902" outlineLevel="2"/>
    <row r="903" outlineLevel="2"/>
    <row r="904" outlineLevel="2"/>
    <row r="905" outlineLevel="2"/>
    <row r="906" outlineLevel="2"/>
    <row r="907" outlineLevel="2"/>
    <row r="908" outlineLevel="2"/>
    <row r="909" outlineLevel="2"/>
    <row r="910" outlineLevel="2"/>
    <row r="911" outlineLevel="2"/>
    <row r="912" outlineLevel="2"/>
    <row r="913" outlineLevel="2"/>
    <row r="914" outlineLevel="2"/>
    <row r="915" outlineLevel="2"/>
    <row r="916" outlineLevel="2"/>
    <row r="917" outlineLevel="2"/>
    <row r="918" outlineLevel="2"/>
    <row r="919" outlineLevel="2"/>
    <row r="920" outlineLevel="2"/>
    <row r="921" outlineLevel="2"/>
    <row r="922" outlineLevel="2"/>
    <row r="923" outlineLevel="2"/>
    <row r="924" outlineLevel="2"/>
    <row r="925" outlineLevel="2"/>
    <row r="926" outlineLevel="2"/>
    <row r="927" outlineLevel="2"/>
    <row r="928" outlineLevel="2"/>
    <row r="929" outlineLevel="2"/>
    <row r="930" outlineLevel="2"/>
    <row r="931" outlineLevel="2"/>
    <row r="932" outlineLevel="1"/>
    <row r="933" outlineLevel="1"/>
    <row r="934" outlineLevel="1"/>
    <row r="935" outlineLevel="1"/>
    <row r="936" outlineLevel="1"/>
    <row r="937" outlineLevel="1"/>
    <row r="938" ht="11.25" customHeight="1" outlineLevel="1"/>
    <row r="939" outlineLevel="1"/>
    <row r="940" outlineLevel="1"/>
    <row r="941" outlineLevel="1"/>
    <row r="942" outlineLevel="1"/>
    <row r="943" outlineLevel="1"/>
    <row r="944" outlineLevel="1"/>
    <row r="945" outlineLevel="1"/>
    <row r="946" outlineLevel="1"/>
    <row r="947" outlineLevel="1"/>
    <row r="948" outlineLevel="1"/>
    <row r="950" outlineLevel="1"/>
    <row r="951" outlineLevel="1"/>
    <row r="952" outlineLevel="1"/>
    <row r="953" outlineLevel="1"/>
    <row r="954" outlineLevel="1"/>
    <row r="955" outlineLevel="1"/>
    <row r="956" outlineLevel="1"/>
    <row r="957" outlineLevel="1"/>
    <row r="958" outlineLevel="1"/>
    <row r="959" outlineLevel="1"/>
    <row r="960" outlineLevel="2"/>
    <row r="961" spans="1:159" outlineLevel="2"/>
    <row r="962" spans="1:159" outlineLevel="1"/>
    <row r="963" spans="1:159">
      <c r="A963" s="516"/>
    </row>
    <row r="964" spans="1:159" ht="11.25" customHeight="1"/>
    <row r="966" spans="1:159" s="57" customFormat="1"/>
    <row r="967" spans="1:159" s="57" customFormat="1"/>
    <row r="968" spans="1:159" s="57" customFormat="1">
      <c r="C968" s="349"/>
      <c r="D968" s="383"/>
      <c r="E968" s="383"/>
      <c r="F968" s="383"/>
      <c r="G968" s="383"/>
      <c r="H968" s="383"/>
      <c r="I968" s="383"/>
      <c r="J968" s="383"/>
      <c r="K968" s="383"/>
      <c r="L968" s="216"/>
      <c r="M968" s="231"/>
      <c r="N968" s="231"/>
      <c r="O968" s="217"/>
      <c r="P968" s="217"/>
      <c r="Q968" s="217"/>
      <c r="R968" s="217"/>
      <c r="S968" s="217"/>
      <c r="T968" s="217"/>
      <c r="U968" s="217"/>
      <c r="V968" s="217"/>
      <c r="W968" s="217"/>
      <c r="X968" s="217"/>
      <c r="Y968" s="217"/>
      <c r="Z968" s="217"/>
      <c r="AA968" s="217"/>
      <c r="AB968" s="217"/>
      <c r="AC968" s="217"/>
      <c r="AD968" s="217"/>
      <c r="AE968" s="217"/>
      <c r="AF968" s="217"/>
      <c r="AG968" s="217"/>
      <c r="AO968" s="386"/>
      <c r="AP968" s="523"/>
      <c r="AR968" s="523"/>
      <c r="AS968" s="523"/>
      <c r="BA968" s="217"/>
      <c r="BB968" s="217"/>
      <c r="BC968" s="217"/>
      <c r="BD968" s="217"/>
      <c r="BE968" s="217"/>
      <c r="BF968" s="217"/>
      <c r="BG968" s="217"/>
      <c r="BH968" s="217"/>
      <c r="BI968" s="217"/>
      <c r="BJ968" s="217"/>
      <c r="BK968" s="217"/>
      <c r="BL968" s="217"/>
      <c r="BM968" s="217"/>
      <c r="BN968" s="217"/>
      <c r="BO968" s="217"/>
      <c r="BP968" s="217"/>
      <c r="BQ968" s="217"/>
      <c r="BR968" s="217"/>
      <c r="BS968" s="217"/>
      <c r="BT968" s="217"/>
      <c r="BU968" s="217"/>
      <c r="BV968" s="217"/>
      <c r="BW968" s="217"/>
      <c r="BX968" s="217"/>
      <c r="BY968" s="217"/>
      <c r="BZ968" s="217"/>
      <c r="CA968" s="217"/>
      <c r="CB968" s="217"/>
      <c r="CC968" s="217"/>
      <c r="CD968" s="217"/>
      <c r="CE968" s="217"/>
      <c r="CF968" s="217"/>
      <c r="CG968" s="217"/>
      <c r="CH968" s="217"/>
      <c r="CI968" s="217"/>
      <c r="CJ968" s="217"/>
      <c r="CK968" s="217"/>
      <c r="CL968" s="217"/>
      <c r="CM968" s="217"/>
      <c r="CN968" s="217"/>
      <c r="CO968" s="217"/>
      <c r="CR968" s="217"/>
      <c r="CS968" s="217"/>
      <c r="CT968" s="217"/>
      <c r="CU968" s="217"/>
      <c r="CV968" s="217"/>
      <c r="CW968" s="217"/>
      <c r="CX968" s="217"/>
      <c r="CY968" s="217"/>
      <c r="CZ968" s="217"/>
      <c r="DA968" s="217"/>
      <c r="DB968" s="217"/>
      <c r="DC968" s="217"/>
      <c r="DD968" s="217"/>
      <c r="DE968" s="217"/>
      <c r="DF968" s="217"/>
      <c r="DG968" s="217"/>
      <c r="DH968" s="217"/>
      <c r="DI968" s="217"/>
      <c r="DJ968" s="217"/>
      <c r="DK968" s="217"/>
      <c r="DL968" s="217"/>
      <c r="DM968" s="217"/>
      <c r="DN968" s="217"/>
      <c r="DO968" s="217"/>
      <c r="DP968" s="217"/>
      <c r="DQ968" s="217"/>
      <c r="DR968" s="217"/>
      <c r="DS968" s="217"/>
      <c r="DT968" s="217"/>
      <c r="DU968" s="217"/>
      <c r="DV968" s="217"/>
      <c r="DW968" s="217"/>
      <c r="DX968" s="217"/>
      <c r="DY968" s="217"/>
      <c r="DZ968" s="217"/>
      <c r="EA968" s="217"/>
      <c r="EB968" s="217"/>
      <c r="EC968" s="217"/>
      <c r="ED968" s="217"/>
      <c r="EE968" s="217"/>
      <c r="EF968" s="217"/>
      <c r="EG968" s="217"/>
      <c r="EH968" s="217"/>
      <c r="EI968" s="217"/>
      <c r="EJ968" s="217"/>
      <c r="EK968" s="217"/>
      <c r="EL968" s="217"/>
      <c r="EM968" s="217"/>
      <c r="EN968" s="217"/>
      <c r="EO968" s="217"/>
      <c r="EP968" s="217"/>
      <c r="EQ968" s="217"/>
      <c r="ER968" s="217"/>
      <c r="ES968" s="217"/>
      <c r="ET968" s="217"/>
      <c r="EU968" s="217"/>
      <c r="EV968" s="217"/>
      <c r="EW968" s="217"/>
      <c r="EX968" s="217"/>
      <c r="EY968" s="217"/>
      <c r="EZ968" s="217"/>
      <c r="FA968" s="217"/>
      <c r="FB968" s="217"/>
      <c r="FC968" s="217"/>
    </row>
    <row r="969" spans="1:159">
      <c r="C969" s="19"/>
      <c r="D969" s="259"/>
      <c r="E969" s="259"/>
      <c r="F969" s="259"/>
      <c r="G969" s="259"/>
      <c r="H969" s="259"/>
      <c r="I969" s="259"/>
      <c r="J969" s="259"/>
      <c r="K969" s="259"/>
      <c r="L969" s="259"/>
      <c r="M969" s="259"/>
      <c r="N969" s="259"/>
      <c r="O969" s="259"/>
      <c r="P969" s="259"/>
      <c r="Q969" s="259"/>
      <c r="R969" s="259"/>
      <c r="S969" s="259"/>
      <c r="T969" s="259"/>
      <c r="U969" s="259"/>
      <c r="V969" s="259"/>
      <c r="W969" s="259"/>
      <c r="X969" s="259"/>
      <c r="Y969" s="259"/>
      <c r="Z969" s="340"/>
      <c r="AA969" s="259"/>
      <c r="AB969" s="259"/>
      <c r="AC969" s="259"/>
      <c r="AD969" s="259"/>
      <c r="AE969" s="259"/>
      <c r="AF969" s="259"/>
      <c r="AG969" s="259"/>
      <c r="AO969" s="338"/>
      <c r="AP969" s="449"/>
      <c r="AR969" s="449"/>
      <c r="AS969" s="449"/>
      <c r="CA969" s="259"/>
      <c r="CB969" s="259"/>
      <c r="CC969" s="259"/>
      <c r="CD969" s="259"/>
      <c r="CE969" s="259"/>
      <c r="CF969" s="259"/>
      <c r="CG969" s="259"/>
      <c r="CH969" s="259"/>
      <c r="CI969" s="259"/>
      <c r="CJ969" s="259"/>
      <c r="CK969" s="259"/>
      <c r="CL969" s="259"/>
      <c r="CM969" s="259"/>
      <c r="CN969" s="259"/>
      <c r="CO969" s="259"/>
      <c r="CR969" s="259"/>
      <c r="CS969" s="259"/>
      <c r="CT969" s="259"/>
      <c r="CU969" s="259"/>
      <c r="CV969" s="259"/>
      <c r="CW969" s="259"/>
      <c r="CX969" s="259"/>
      <c r="CY969" s="259"/>
      <c r="CZ969" s="259"/>
      <c r="DA969" s="259"/>
      <c r="DB969" s="259"/>
      <c r="DC969" s="259"/>
      <c r="DD969" s="259"/>
      <c r="DE969" s="259"/>
      <c r="DF969" s="259"/>
      <c r="DG969" s="259"/>
      <c r="DH969" s="259"/>
      <c r="DI969" s="259"/>
      <c r="DJ969" s="259"/>
      <c r="DK969" s="259"/>
      <c r="DL969" s="259"/>
      <c r="DM969" s="259"/>
      <c r="DN969" s="259"/>
      <c r="DO969" s="259"/>
      <c r="DP969" s="259"/>
      <c r="DQ969" s="259"/>
      <c r="DR969" s="259"/>
      <c r="DS969" s="259"/>
      <c r="DT969" s="259"/>
      <c r="DU969" s="259"/>
      <c r="DV969" s="259"/>
      <c r="DW969" s="259"/>
      <c r="DX969" s="259"/>
      <c r="DY969" s="259"/>
      <c r="DZ969" s="259"/>
      <c r="EA969" s="259"/>
      <c r="EB969" s="259"/>
      <c r="EC969" s="259"/>
      <c r="ED969" s="259"/>
      <c r="EE969" s="259"/>
      <c r="EF969" s="259"/>
      <c r="EG969" s="259"/>
      <c r="EH969" s="259"/>
      <c r="EI969" s="259"/>
      <c r="EJ969" s="259"/>
      <c r="EK969" s="259"/>
      <c r="EL969" s="259"/>
      <c r="EM969" s="259"/>
      <c r="EN969" s="259"/>
      <c r="EO969" s="259"/>
      <c r="EP969" s="259"/>
      <c r="EQ969" s="259"/>
      <c r="ER969" s="259"/>
      <c r="ES969" s="259"/>
      <c r="ET969" s="259"/>
      <c r="EU969" s="259"/>
      <c r="EV969" s="259"/>
      <c r="EW969" s="259"/>
      <c r="EX969" s="259"/>
      <c r="EY969" s="259"/>
      <c r="EZ969" s="259"/>
      <c r="FA969" s="259"/>
      <c r="FB969" s="259"/>
      <c r="FC969" s="259"/>
    </row>
    <row r="970" spans="1:159">
      <c r="A970" s="213" t="s">
        <v>1142</v>
      </c>
    </row>
    <row r="987" spans="2:2">
      <c r="B987" s="57"/>
    </row>
    <row r="1125" spans="3:159" hidden="1">
      <c r="C1125" s="263"/>
      <c r="D1125" s="263"/>
      <c r="E1125" s="263"/>
      <c r="F1125" s="263"/>
      <c r="G1125" s="263"/>
      <c r="H1125" s="263"/>
      <c r="I1125" s="263"/>
      <c r="J1125" s="263"/>
      <c r="K1125" s="263"/>
      <c r="L1125" s="263"/>
      <c r="M1125" s="263"/>
      <c r="N1125" s="263"/>
      <c r="O1125" s="263"/>
      <c r="P1125" s="263"/>
      <c r="Q1125" s="263"/>
      <c r="R1125" s="263"/>
      <c r="S1125" s="263"/>
      <c r="T1125" s="263"/>
      <c r="U1125" s="263"/>
      <c r="V1125" s="263"/>
      <c r="W1125" s="263"/>
      <c r="X1125" s="263"/>
      <c r="Y1125" s="263"/>
      <c r="Z1125" s="263"/>
      <c r="AA1125" s="263"/>
      <c r="AB1125" s="263"/>
      <c r="AC1125" s="263"/>
      <c r="AD1125" s="263"/>
      <c r="AE1125" s="263"/>
      <c r="AF1125" s="263"/>
      <c r="AG1125" s="263"/>
      <c r="AO1125" s="338"/>
      <c r="AP1125" s="449"/>
      <c r="AR1125" s="449"/>
      <c r="AS1125" s="449"/>
      <c r="BA1125" s="263"/>
      <c r="BB1125" s="263"/>
      <c r="BC1125" s="263"/>
      <c r="BD1125" s="263"/>
      <c r="BE1125" s="263"/>
      <c r="BF1125" s="263"/>
      <c r="BG1125" s="263"/>
      <c r="BH1125" s="263"/>
      <c r="BI1125" s="263"/>
      <c r="BJ1125" s="263"/>
      <c r="BK1125" s="263"/>
      <c r="BL1125" s="263"/>
      <c r="BM1125" s="263"/>
      <c r="BN1125" s="263"/>
      <c r="BO1125" s="263"/>
      <c r="BP1125" s="263"/>
      <c r="BQ1125" s="263"/>
      <c r="BR1125" s="263"/>
      <c r="BS1125" s="263"/>
      <c r="BT1125" s="263"/>
      <c r="BU1125" s="263"/>
      <c r="BV1125" s="263"/>
      <c r="BW1125" s="263"/>
      <c r="BX1125" s="263"/>
      <c r="BY1125" s="263"/>
      <c r="BZ1125" s="263"/>
      <c r="CA1125" s="263"/>
      <c r="CB1125" s="263"/>
      <c r="CC1125" s="263"/>
      <c r="CD1125" s="263"/>
      <c r="CE1125" s="263"/>
      <c r="CF1125" s="263"/>
      <c r="CG1125" s="263"/>
      <c r="CH1125" s="263"/>
      <c r="CI1125" s="263"/>
      <c r="CJ1125" s="263"/>
      <c r="CK1125" s="263"/>
      <c r="CL1125" s="263"/>
      <c r="CM1125" s="263"/>
      <c r="CN1125" s="263"/>
      <c r="CR1125" s="263"/>
      <c r="CS1125" s="263"/>
      <c r="CT1125" s="263"/>
      <c r="CU1125" s="263"/>
      <c r="CV1125" s="263"/>
      <c r="CW1125" s="263"/>
      <c r="CX1125" s="263"/>
      <c r="CY1125" s="263"/>
      <c r="CZ1125" s="263"/>
      <c r="DA1125" s="263"/>
      <c r="DB1125" s="263"/>
      <c r="DC1125" s="263"/>
      <c r="DD1125" s="263"/>
      <c r="DE1125" s="263"/>
      <c r="DF1125" s="263"/>
      <c r="DG1125" s="263"/>
      <c r="DH1125" s="263"/>
      <c r="DI1125" s="263"/>
      <c r="DJ1125" s="263"/>
      <c r="DK1125" s="263"/>
      <c r="DL1125" s="263"/>
      <c r="DM1125" s="263"/>
      <c r="DN1125" s="263"/>
      <c r="DO1125" s="263"/>
      <c r="DP1125" s="263"/>
      <c r="DQ1125" s="263"/>
      <c r="DR1125" s="263"/>
      <c r="DS1125" s="263"/>
      <c r="DT1125" s="263"/>
      <c r="DU1125" s="263"/>
      <c r="DV1125" s="263"/>
      <c r="DW1125" s="263"/>
      <c r="DX1125" s="263"/>
      <c r="DY1125" s="263"/>
      <c r="DZ1125" s="263"/>
      <c r="EA1125" s="263"/>
      <c r="EB1125" s="263"/>
      <c r="EC1125" s="263"/>
      <c r="ED1125" s="263"/>
      <c r="EE1125" s="263"/>
      <c r="EF1125" s="263"/>
      <c r="EG1125" s="263"/>
      <c r="EH1125" s="263"/>
      <c r="EI1125" s="263"/>
      <c r="EJ1125" s="263"/>
      <c r="EK1125" s="263"/>
      <c r="EL1125" s="263"/>
      <c r="EM1125" s="263"/>
      <c r="EN1125" s="263"/>
      <c r="EO1125" s="263"/>
      <c r="EP1125" s="263"/>
      <c r="EQ1125" s="263"/>
      <c r="ER1125" s="263"/>
      <c r="ES1125" s="263"/>
      <c r="ET1125" s="263"/>
      <c r="EU1125" s="263"/>
      <c r="EV1125" s="263"/>
      <c r="EW1125" s="263"/>
      <c r="EX1125" s="263"/>
      <c r="EY1125" s="263"/>
      <c r="EZ1125" s="263"/>
      <c r="FA1125" s="263"/>
      <c r="FB1125" s="263"/>
      <c r="FC1125" s="263"/>
    </row>
    <row r="1126" spans="3:159" hidden="1">
      <c r="C1126" s="422" t="s">
        <v>1329</v>
      </c>
      <c r="D1126" s="422"/>
      <c r="E1126" s="422"/>
      <c r="F1126" s="422"/>
      <c r="G1126" s="422"/>
      <c r="H1126" s="422"/>
      <c r="I1126" s="422"/>
      <c r="J1126" s="422"/>
      <c r="K1126" s="422"/>
      <c r="L1126" s="422"/>
      <c r="M1126" s="422"/>
      <c r="N1126" s="422"/>
      <c r="O1126" s="422"/>
      <c r="P1126" s="422"/>
      <c r="Q1126" s="422"/>
      <c r="R1126" s="422"/>
      <c r="S1126" s="422"/>
      <c r="T1126" s="422"/>
      <c r="U1126" s="422"/>
      <c r="V1126" s="422"/>
      <c r="W1126" s="422"/>
      <c r="X1126" s="422"/>
      <c r="Y1126" s="422"/>
      <c r="Z1126" s="422"/>
      <c r="AA1126" s="422"/>
      <c r="AB1126" s="422"/>
      <c r="AC1126" s="422"/>
      <c r="AD1126" s="422"/>
      <c r="AE1126" s="422"/>
      <c r="AF1126" s="422"/>
      <c r="AG1126" s="422"/>
      <c r="AO1126" s="338"/>
      <c r="AP1126" s="449"/>
      <c r="AR1126" s="449"/>
      <c r="AS1126" s="449"/>
      <c r="BA1126" s="422"/>
      <c r="BB1126" s="422"/>
      <c r="BC1126" s="422"/>
      <c r="BD1126" s="422"/>
      <c r="BE1126" s="422"/>
      <c r="BF1126" s="422"/>
      <c r="BG1126" s="422"/>
      <c r="BH1126" s="422"/>
      <c r="BI1126" s="422"/>
      <c r="BJ1126" s="422"/>
      <c r="BK1126" s="422"/>
      <c r="BL1126" s="422"/>
      <c r="BM1126" s="422"/>
      <c r="BN1126" s="422"/>
      <c r="BO1126" s="422"/>
      <c r="BP1126" s="422"/>
      <c r="BQ1126" s="422"/>
      <c r="BR1126" s="422"/>
      <c r="BS1126" s="422"/>
      <c r="BT1126" s="422"/>
      <c r="BU1126" s="422"/>
      <c r="BV1126" s="422"/>
      <c r="BW1126" s="422"/>
      <c r="BX1126" s="422"/>
      <c r="BY1126" s="422"/>
      <c r="BZ1126" s="423"/>
      <c r="CA1126" s="423"/>
      <c r="CB1126" s="423"/>
      <c r="CC1126" s="423"/>
      <c r="CD1126" s="423"/>
      <c r="CE1126" s="423"/>
      <c r="CF1126" s="423"/>
      <c r="CG1126" s="423"/>
      <c r="CH1126" s="423"/>
      <c r="CI1126" s="423"/>
      <c r="CJ1126" s="423"/>
      <c r="CK1126" s="423"/>
      <c r="CL1126" s="423"/>
      <c r="CM1126" s="423"/>
      <c r="CN1126" s="423"/>
      <c r="CO1126" s="490"/>
      <c r="CR1126" s="422"/>
      <c r="CS1126" s="422"/>
      <c r="CT1126" s="422"/>
      <c r="CU1126" s="422"/>
      <c r="CV1126" s="422"/>
      <c r="CW1126" s="422"/>
      <c r="CX1126" s="422"/>
      <c r="CY1126" s="422"/>
      <c r="CZ1126" s="422"/>
      <c r="DA1126" s="422"/>
      <c r="DB1126" s="422"/>
      <c r="DC1126" s="422"/>
      <c r="DD1126" s="422"/>
      <c r="DE1126" s="422"/>
      <c r="DF1126" s="422"/>
      <c r="DG1126" s="422"/>
      <c r="DH1126" s="422"/>
      <c r="DI1126" s="422"/>
      <c r="DJ1126" s="422"/>
      <c r="DK1126" s="422"/>
      <c r="DL1126" s="422"/>
      <c r="DM1126" s="422"/>
      <c r="DN1126" s="422"/>
      <c r="DO1126" s="422"/>
      <c r="DP1126" s="422"/>
      <c r="DQ1126" s="422"/>
      <c r="DR1126" s="422"/>
      <c r="DS1126" s="422"/>
      <c r="DT1126" s="422"/>
      <c r="DU1126" s="422"/>
      <c r="DV1126" s="422"/>
      <c r="DW1126" s="422"/>
      <c r="DX1126" s="422"/>
      <c r="DY1126" s="422"/>
      <c r="DZ1126" s="422"/>
      <c r="EA1126" s="422"/>
      <c r="EB1126" s="422"/>
      <c r="EC1126" s="422"/>
      <c r="ED1126" s="422"/>
      <c r="EE1126" s="422"/>
      <c r="EF1126" s="422"/>
      <c r="EG1126" s="422"/>
      <c r="EH1126" s="422"/>
      <c r="EI1126" s="422"/>
      <c r="EJ1126" s="422"/>
      <c r="EK1126" s="422"/>
      <c r="EL1126" s="422"/>
      <c r="EM1126" s="422"/>
      <c r="EN1126" s="422"/>
      <c r="EO1126" s="422"/>
      <c r="EP1126" s="422"/>
      <c r="EQ1126" s="422"/>
      <c r="ER1126" s="422"/>
      <c r="ES1126" s="422"/>
      <c r="ET1126" s="423"/>
      <c r="EU1126" s="423"/>
      <c r="EV1126" s="423"/>
      <c r="EW1126" s="423"/>
      <c r="EX1126" s="423"/>
      <c r="EY1126" s="423"/>
      <c r="EZ1126" s="423"/>
      <c r="FA1126" s="423"/>
      <c r="FB1126" s="423"/>
      <c r="FC1126" s="423"/>
    </row>
    <row r="1127" spans="3:159" hidden="1">
      <c r="C1127" s="424" t="s">
        <v>1331</v>
      </c>
      <c r="D1127" s="257"/>
      <c r="E1127" s="257"/>
      <c r="F1127" s="257"/>
      <c r="G1127" s="257"/>
      <c r="H1127" s="257"/>
      <c r="I1127" s="257"/>
      <c r="J1127" s="257">
        <v>197</v>
      </c>
      <c r="K1127" s="257">
        <v>112</v>
      </c>
      <c r="L1127" s="257">
        <v>62</v>
      </c>
      <c r="M1127" s="257">
        <v>73</v>
      </c>
      <c r="N1127" s="257">
        <v>127</v>
      </c>
      <c r="O1127" s="257">
        <v>202</v>
      </c>
      <c r="P1127" s="257">
        <v>286</v>
      </c>
      <c r="Q1127" s="258">
        <v>376</v>
      </c>
      <c r="R1127" s="258">
        <v>426</v>
      </c>
      <c r="S1127" s="258">
        <v>466</v>
      </c>
      <c r="T1127" s="258">
        <v>567</v>
      </c>
      <c r="U1127" s="258">
        <v>619</v>
      </c>
      <c r="V1127" s="258">
        <v>669</v>
      </c>
      <c r="W1127" s="260"/>
      <c r="X1127" s="260"/>
      <c r="Y1127" s="260"/>
      <c r="Z1127" s="260"/>
      <c r="AA1127" s="260"/>
      <c r="AB1127" s="260"/>
      <c r="AC1127" s="260"/>
      <c r="AD1127" s="260"/>
      <c r="AE1127" s="260"/>
      <c r="AF1127" s="260"/>
      <c r="AG1127" s="260"/>
      <c r="AO1127" s="338"/>
      <c r="AP1127" s="449"/>
      <c r="AR1127" s="449"/>
      <c r="AS1127" s="449"/>
      <c r="BA1127" s="260"/>
      <c r="BB1127" s="260"/>
      <c r="BC1127" s="260"/>
      <c r="BD1127" s="260"/>
      <c r="BE1127" s="260"/>
      <c r="BF1127" s="260"/>
      <c r="BG1127" s="260"/>
      <c r="BH1127" s="260"/>
      <c r="BI1127" s="260"/>
      <c r="BJ1127" s="260"/>
      <c r="BK1127" s="260"/>
      <c r="BL1127" s="260"/>
      <c r="BM1127" s="260"/>
      <c r="BN1127" s="260"/>
      <c r="BO1127" s="260"/>
      <c r="BP1127" s="260"/>
      <c r="BQ1127" s="260"/>
      <c r="BR1127" s="260"/>
      <c r="BS1127" s="260"/>
      <c r="BT1127" s="260"/>
      <c r="BU1127" s="260"/>
      <c r="BV1127" s="260"/>
      <c r="BW1127" s="260"/>
      <c r="BX1127" s="260"/>
      <c r="BY1127" s="260"/>
      <c r="BZ1127" s="260"/>
      <c r="CA1127" s="260"/>
      <c r="CB1127" s="260"/>
      <c r="CC1127" s="260"/>
      <c r="CD1127" s="260"/>
      <c r="CE1127" s="260"/>
      <c r="CF1127" s="260"/>
      <c r="CG1127" s="260"/>
      <c r="CH1127" s="260"/>
      <c r="CI1127" s="260"/>
      <c r="CJ1127" s="260"/>
      <c r="CK1127" s="260"/>
      <c r="CL1127" s="260"/>
      <c r="CM1127" s="260"/>
      <c r="CN1127" s="260"/>
      <c r="CO1127" s="260"/>
      <c r="CR1127" s="260"/>
      <c r="CS1127" s="260"/>
      <c r="CT1127" s="260"/>
      <c r="CU1127" s="260"/>
      <c r="CV1127" s="260"/>
      <c r="CW1127" s="260"/>
      <c r="CX1127" s="260"/>
      <c r="CY1127" s="260"/>
      <c r="CZ1127" s="260"/>
      <c r="DA1127" s="260"/>
      <c r="DB1127" s="260"/>
      <c r="DC1127" s="260"/>
      <c r="DD1127" s="260"/>
      <c r="DE1127" s="260"/>
      <c r="DF1127" s="260"/>
      <c r="DG1127" s="260"/>
      <c r="DH1127" s="260"/>
      <c r="DI1127" s="260"/>
      <c r="DJ1127" s="260"/>
      <c r="DK1127" s="260"/>
      <c r="DL1127" s="260"/>
      <c r="DM1127" s="260"/>
      <c r="DN1127" s="260"/>
      <c r="DO1127" s="260"/>
      <c r="DP1127" s="260"/>
      <c r="DQ1127" s="260"/>
      <c r="DR1127" s="260"/>
      <c r="DS1127" s="260"/>
      <c r="DT1127" s="260"/>
      <c r="DU1127" s="260"/>
      <c r="DV1127" s="260"/>
      <c r="DW1127" s="260"/>
      <c r="DX1127" s="260"/>
      <c r="DY1127" s="260"/>
      <c r="DZ1127" s="260"/>
      <c r="EA1127" s="260"/>
      <c r="EB1127" s="260"/>
      <c r="EC1127" s="260"/>
      <c r="ED1127" s="260"/>
      <c r="EE1127" s="260"/>
      <c r="EF1127" s="260"/>
      <c r="EG1127" s="260"/>
      <c r="EH1127" s="260"/>
      <c r="EI1127" s="260"/>
      <c r="EJ1127" s="260"/>
      <c r="EK1127" s="260"/>
      <c r="EL1127" s="260"/>
      <c r="EM1127" s="260"/>
      <c r="EN1127" s="260"/>
      <c r="EO1127" s="260"/>
      <c r="EP1127" s="260"/>
      <c r="EQ1127" s="260"/>
      <c r="ER1127" s="260"/>
      <c r="ES1127" s="260"/>
      <c r="ET1127" s="260"/>
      <c r="EU1127" s="260"/>
      <c r="EV1127" s="260"/>
      <c r="EW1127" s="260"/>
      <c r="EX1127" s="260"/>
      <c r="EY1127" s="260"/>
      <c r="EZ1127" s="260"/>
      <c r="FA1127" s="260"/>
      <c r="FB1127" s="260"/>
      <c r="FC1127" s="260"/>
    </row>
    <row r="1128" spans="3:159" hidden="1">
      <c r="C1128" s="267" t="s">
        <v>996</v>
      </c>
      <c r="D1128" s="271"/>
      <c r="E1128" s="271"/>
      <c r="F1128" s="271"/>
      <c r="G1128" s="271"/>
      <c r="H1128" s="271"/>
      <c r="I1128" s="271"/>
      <c r="J1128" s="271">
        <v>7.4508320726172472E-2</v>
      </c>
      <c r="K1128" s="271">
        <v>4.1435442101368847E-2</v>
      </c>
      <c r="L1128" s="271">
        <v>2.1708683473389355E-2</v>
      </c>
      <c r="M1128" s="271">
        <v>2.6382363570654137E-2</v>
      </c>
      <c r="N1128" s="271">
        <v>4.481298517995766E-2</v>
      </c>
      <c r="O1128" s="271">
        <v>6.5224410720051668E-2</v>
      </c>
      <c r="P1128" s="271">
        <v>7.7485776212408555E-2</v>
      </c>
      <c r="Q1128" s="271">
        <v>9.1909068687362497E-2</v>
      </c>
      <c r="R1128" s="271">
        <v>9.5816464237516871E-2</v>
      </c>
      <c r="S1128" s="271">
        <v>9.427473194416347E-2</v>
      </c>
      <c r="T1128" s="271">
        <v>0.11020408163265306</v>
      </c>
      <c r="U1128" s="271">
        <v>0.11768060836501901</v>
      </c>
      <c r="V1128" s="271">
        <v>0.12699316628701596</v>
      </c>
      <c r="W1128" s="425"/>
      <c r="X1128" s="425"/>
      <c r="Y1128" s="425"/>
      <c r="Z1128" s="425"/>
      <c r="AA1128" s="425"/>
      <c r="AB1128" s="425"/>
      <c r="AC1128" s="425"/>
      <c r="AD1128" s="425"/>
      <c r="AE1128" s="425"/>
      <c r="AF1128" s="425"/>
      <c r="AG1128" s="425"/>
      <c r="AO1128" s="338"/>
      <c r="AP1128" s="449"/>
      <c r="AR1128" s="449"/>
      <c r="AS1128" s="449"/>
      <c r="BA1128" s="425"/>
      <c r="BB1128" s="425"/>
      <c r="BC1128" s="425"/>
      <c r="BD1128" s="425"/>
      <c r="BE1128" s="425"/>
      <c r="BF1128" s="425"/>
      <c r="BG1128" s="425"/>
      <c r="BH1128" s="425"/>
      <c r="BI1128" s="425"/>
      <c r="BJ1128" s="425"/>
      <c r="BK1128" s="425"/>
      <c r="BL1128" s="425"/>
      <c r="BM1128" s="425"/>
      <c r="BN1128" s="425"/>
      <c r="BO1128" s="425"/>
      <c r="BP1128" s="425"/>
      <c r="BQ1128" s="425"/>
      <c r="BR1128" s="425"/>
      <c r="BS1128" s="425"/>
      <c r="BT1128" s="425"/>
      <c r="BU1128" s="425"/>
      <c r="BV1128" s="425"/>
      <c r="BW1128" s="425"/>
      <c r="BX1128" s="425"/>
      <c r="BY1128" s="425"/>
      <c r="BZ1128" s="425"/>
      <c r="CA1128" s="425"/>
      <c r="CB1128" s="425"/>
      <c r="CC1128" s="425"/>
      <c r="CD1128" s="425"/>
      <c r="CE1128" s="425"/>
      <c r="CF1128" s="425"/>
      <c r="CG1128" s="425"/>
      <c r="CH1128" s="425"/>
      <c r="CI1128" s="425"/>
      <c r="CJ1128" s="425"/>
      <c r="CK1128" s="425"/>
      <c r="CL1128" s="425"/>
      <c r="CM1128" s="425"/>
      <c r="CN1128" s="425"/>
      <c r="CO1128" s="425"/>
      <c r="CR1128" s="425"/>
      <c r="CS1128" s="425"/>
      <c r="CT1128" s="425"/>
      <c r="CU1128" s="425"/>
      <c r="CV1128" s="425"/>
      <c r="CW1128" s="425"/>
      <c r="CX1128" s="425"/>
      <c r="CY1128" s="425"/>
      <c r="CZ1128" s="425"/>
      <c r="DA1128" s="425"/>
      <c r="DB1128" s="425"/>
      <c r="DC1128" s="425"/>
      <c r="DD1128" s="425"/>
      <c r="DE1128" s="425"/>
      <c r="DF1128" s="425"/>
      <c r="DG1128" s="425"/>
      <c r="DH1128" s="425"/>
      <c r="DI1128" s="425"/>
      <c r="DJ1128" s="425"/>
      <c r="DK1128" s="425"/>
      <c r="DL1128" s="425"/>
      <c r="DM1128" s="425"/>
      <c r="DN1128" s="425"/>
      <c r="DO1128" s="425"/>
      <c r="DP1128" s="425"/>
      <c r="DQ1128" s="425"/>
      <c r="DR1128" s="425"/>
      <c r="DS1128" s="425"/>
      <c r="DT1128" s="425"/>
      <c r="DU1128" s="425"/>
      <c r="DV1128" s="425"/>
      <c r="DW1128" s="425"/>
      <c r="DX1128" s="425"/>
      <c r="DY1128" s="425"/>
      <c r="DZ1128" s="425"/>
      <c r="EA1128" s="425"/>
      <c r="EB1128" s="425"/>
      <c r="EC1128" s="425"/>
      <c r="ED1128" s="425"/>
      <c r="EE1128" s="425"/>
      <c r="EF1128" s="425"/>
      <c r="EG1128" s="425"/>
      <c r="EH1128" s="425"/>
      <c r="EI1128" s="425"/>
      <c r="EJ1128" s="425"/>
      <c r="EK1128" s="425"/>
      <c r="EL1128" s="425"/>
      <c r="EM1128" s="425"/>
      <c r="EN1128" s="425"/>
      <c r="EO1128" s="425"/>
      <c r="EP1128" s="425"/>
      <c r="EQ1128" s="425"/>
      <c r="ER1128" s="425"/>
      <c r="ES1128" s="425"/>
      <c r="ET1128" s="425"/>
      <c r="EU1128" s="425"/>
      <c r="EV1128" s="425"/>
      <c r="EW1128" s="425"/>
      <c r="EX1128" s="425"/>
      <c r="EY1128" s="425"/>
      <c r="EZ1128" s="425"/>
      <c r="FA1128" s="425"/>
      <c r="FB1128" s="425"/>
      <c r="FC1128" s="425"/>
    </row>
    <row r="1129" spans="3:159" hidden="1">
      <c r="C1129" s="267" t="s">
        <v>953</v>
      </c>
      <c r="D1129" s="271"/>
      <c r="E1129" s="271"/>
      <c r="F1129" s="271"/>
      <c r="G1129" s="271"/>
      <c r="H1129" s="271"/>
      <c r="I1129" s="271"/>
      <c r="J1129" s="271"/>
      <c r="K1129" s="271">
        <v>-0.43147208121827407</v>
      </c>
      <c r="L1129" s="271">
        <v>-0.4464285714285714</v>
      </c>
      <c r="M1129" s="271">
        <v>0.17741935483870974</v>
      </c>
      <c r="N1129" s="271">
        <v>0.73972602739726034</v>
      </c>
      <c r="O1129" s="271">
        <v>0.59055118110236227</v>
      </c>
      <c r="P1129" s="271">
        <v>0.41584158415841577</v>
      </c>
      <c r="Q1129" s="271">
        <v>0.31468531468531458</v>
      </c>
      <c r="R1129" s="271">
        <v>0.13297872340425543</v>
      </c>
      <c r="S1129" s="271">
        <v>9.3896713615023497E-2</v>
      </c>
      <c r="T1129" s="271">
        <v>0.21673819742489275</v>
      </c>
      <c r="U1129" s="271">
        <v>9.1710758377425039E-2</v>
      </c>
      <c r="V1129" s="271">
        <v>8.0775444264943541E-2</v>
      </c>
      <c r="W1129" s="425"/>
      <c r="X1129" s="425"/>
      <c r="Y1129" s="425"/>
      <c r="Z1129" s="425"/>
      <c r="AA1129" s="425"/>
      <c r="AB1129" s="425"/>
      <c r="AC1129" s="425"/>
      <c r="AD1129" s="425"/>
      <c r="AE1129" s="425"/>
      <c r="AF1129" s="425"/>
      <c r="AG1129" s="425"/>
      <c r="AO1129" s="338"/>
      <c r="AP1129" s="449"/>
      <c r="AR1129" s="449"/>
      <c r="AS1129" s="449"/>
      <c r="BA1129" s="425"/>
      <c r="BB1129" s="425"/>
      <c r="BC1129" s="425"/>
      <c r="BD1129" s="425"/>
      <c r="BE1129" s="425"/>
      <c r="BF1129" s="425"/>
      <c r="BG1129" s="425"/>
      <c r="BH1129" s="425"/>
      <c r="BI1129" s="425"/>
      <c r="BJ1129" s="425"/>
      <c r="BK1129" s="425"/>
      <c r="BL1129" s="425"/>
      <c r="BM1129" s="425"/>
      <c r="BN1129" s="425"/>
      <c r="BO1129" s="425"/>
      <c r="BP1129" s="425"/>
      <c r="BQ1129" s="425"/>
      <c r="BR1129" s="425"/>
      <c r="BS1129" s="425"/>
      <c r="BT1129" s="425"/>
      <c r="BU1129" s="425"/>
      <c r="BV1129" s="425"/>
      <c r="BW1129" s="425"/>
      <c r="BX1129" s="425"/>
      <c r="BY1129" s="425"/>
      <c r="BZ1129" s="425"/>
      <c r="CA1129" s="425"/>
      <c r="CB1129" s="425"/>
      <c r="CC1129" s="425"/>
      <c r="CD1129" s="425"/>
      <c r="CE1129" s="425"/>
      <c r="CF1129" s="425"/>
      <c r="CG1129" s="425"/>
      <c r="CH1129" s="425"/>
      <c r="CI1129" s="425"/>
      <c r="CJ1129" s="425"/>
      <c r="CK1129" s="425"/>
      <c r="CL1129" s="425"/>
      <c r="CM1129" s="425"/>
      <c r="CN1129" s="425"/>
      <c r="CO1129" s="425"/>
      <c r="CR1129" s="425"/>
      <c r="CS1129" s="425"/>
      <c r="CT1129" s="425"/>
      <c r="CU1129" s="425"/>
      <c r="CV1129" s="425"/>
      <c r="CW1129" s="425"/>
      <c r="CX1129" s="425"/>
      <c r="CY1129" s="425"/>
      <c r="CZ1129" s="425"/>
      <c r="DA1129" s="425"/>
      <c r="DB1129" s="425"/>
      <c r="DC1129" s="425"/>
      <c r="DD1129" s="425"/>
      <c r="DE1129" s="425"/>
      <c r="DF1129" s="425"/>
      <c r="DG1129" s="425"/>
      <c r="DH1129" s="425"/>
      <c r="DI1129" s="425"/>
      <c r="DJ1129" s="425"/>
      <c r="DK1129" s="425"/>
      <c r="DL1129" s="425"/>
      <c r="DM1129" s="425"/>
      <c r="DN1129" s="425"/>
      <c r="DO1129" s="425"/>
      <c r="DP1129" s="425"/>
      <c r="DQ1129" s="425"/>
      <c r="DR1129" s="425"/>
      <c r="DS1129" s="425"/>
      <c r="DT1129" s="425"/>
      <c r="DU1129" s="425"/>
      <c r="DV1129" s="425"/>
      <c r="DW1129" s="425"/>
      <c r="DX1129" s="425"/>
      <c r="DY1129" s="425"/>
      <c r="DZ1129" s="425"/>
      <c r="EA1129" s="425"/>
      <c r="EB1129" s="425"/>
      <c r="EC1129" s="425"/>
      <c r="ED1129" s="425"/>
      <c r="EE1129" s="425"/>
      <c r="EF1129" s="425"/>
      <c r="EG1129" s="425"/>
      <c r="EH1129" s="425"/>
      <c r="EI1129" s="425"/>
      <c r="EJ1129" s="425"/>
      <c r="EK1129" s="425"/>
      <c r="EL1129" s="425"/>
      <c r="EM1129" s="425"/>
      <c r="EN1129" s="425"/>
      <c r="EO1129" s="425"/>
      <c r="EP1129" s="425"/>
      <c r="EQ1129" s="425"/>
      <c r="ER1129" s="425"/>
      <c r="ES1129" s="425"/>
      <c r="ET1129" s="425"/>
      <c r="EU1129" s="425"/>
      <c r="EV1129" s="425"/>
      <c r="EW1129" s="425"/>
      <c r="EX1129" s="425"/>
      <c r="EY1129" s="425"/>
      <c r="EZ1129" s="425"/>
      <c r="FA1129" s="425"/>
      <c r="FB1129" s="425"/>
      <c r="FC1129" s="425"/>
    </row>
    <row r="1130" spans="3:159" hidden="1">
      <c r="C1130" s="263"/>
      <c r="D1130" s="269"/>
      <c r="E1130" s="269"/>
      <c r="F1130" s="269"/>
      <c r="G1130" s="269"/>
      <c r="H1130" s="269"/>
      <c r="I1130" s="269"/>
      <c r="J1130" s="269"/>
      <c r="K1130" s="269"/>
      <c r="L1130" s="269"/>
      <c r="M1130" s="269"/>
      <c r="N1130" s="269"/>
      <c r="O1130" s="269"/>
      <c r="P1130" s="269"/>
      <c r="Q1130" s="269"/>
      <c r="R1130" s="269"/>
      <c r="S1130" s="269"/>
      <c r="T1130" s="269"/>
      <c r="U1130" s="269"/>
      <c r="V1130" s="269"/>
      <c r="W1130" s="302"/>
      <c r="X1130" s="302"/>
      <c r="Y1130" s="302"/>
      <c r="Z1130" s="302"/>
      <c r="AA1130" s="302"/>
      <c r="AB1130" s="302"/>
      <c r="AC1130" s="302"/>
      <c r="AD1130" s="302"/>
      <c r="AE1130" s="302"/>
      <c r="AF1130" s="302"/>
      <c r="AG1130" s="302"/>
      <c r="AO1130" s="338"/>
      <c r="AP1130" s="449"/>
      <c r="AR1130" s="449"/>
      <c r="AS1130" s="449"/>
      <c r="BA1130" s="302"/>
      <c r="BB1130" s="302"/>
      <c r="BC1130" s="302"/>
      <c r="BD1130" s="302"/>
      <c r="BE1130" s="302"/>
      <c r="BF1130" s="302"/>
      <c r="BG1130" s="302"/>
      <c r="BH1130" s="302"/>
      <c r="BI1130" s="302"/>
      <c r="BJ1130" s="302"/>
      <c r="BK1130" s="302"/>
      <c r="BL1130" s="302"/>
      <c r="BM1130" s="302"/>
      <c r="BN1130" s="302"/>
      <c r="BO1130" s="302"/>
      <c r="BP1130" s="302"/>
      <c r="BQ1130" s="302"/>
      <c r="BR1130" s="302"/>
      <c r="BS1130" s="302"/>
      <c r="BT1130" s="302"/>
      <c r="BU1130" s="302"/>
      <c r="BV1130" s="302"/>
      <c r="BW1130" s="302"/>
      <c r="BX1130" s="302"/>
      <c r="BY1130" s="302"/>
      <c r="BZ1130" s="302"/>
      <c r="CA1130" s="302"/>
      <c r="CB1130" s="302"/>
      <c r="CC1130" s="302"/>
      <c r="CD1130" s="302"/>
      <c r="CE1130" s="302"/>
      <c r="CF1130" s="302"/>
      <c r="CG1130" s="302"/>
      <c r="CH1130" s="302"/>
      <c r="CI1130" s="302"/>
      <c r="CJ1130" s="302"/>
      <c r="CK1130" s="302"/>
      <c r="CL1130" s="302"/>
      <c r="CM1130" s="302"/>
      <c r="CN1130" s="302"/>
      <c r="CO1130" s="302"/>
      <c r="CR1130" s="302"/>
      <c r="CS1130" s="302"/>
      <c r="CT1130" s="302"/>
      <c r="CU1130" s="302"/>
      <c r="CV1130" s="302"/>
      <c r="CW1130" s="302"/>
      <c r="CX1130" s="302"/>
      <c r="CY1130" s="302"/>
      <c r="CZ1130" s="302"/>
      <c r="DA1130" s="302"/>
      <c r="DB1130" s="302"/>
      <c r="DC1130" s="302"/>
      <c r="DD1130" s="302"/>
      <c r="DE1130" s="302"/>
      <c r="DF1130" s="302"/>
      <c r="DG1130" s="302"/>
      <c r="DH1130" s="302"/>
      <c r="DI1130" s="302"/>
      <c r="DJ1130" s="302"/>
      <c r="DK1130" s="302"/>
      <c r="DL1130" s="302"/>
      <c r="DM1130" s="302"/>
      <c r="DN1130" s="302"/>
      <c r="DO1130" s="302"/>
      <c r="DP1130" s="302"/>
      <c r="DQ1130" s="302"/>
      <c r="DR1130" s="302"/>
      <c r="DS1130" s="302"/>
      <c r="DT1130" s="302"/>
      <c r="DU1130" s="302"/>
      <c r="DV1130" s="302"/>
      <c r="DW1130" s="302"/>
      <c r="DX1130" s="302"/>
      <c r="DY1130" s="302"/>
      <c r="DZ1130" s="302"/>
      <c r="EA1130" s="302"/>
      <c r="EB1130" s="302"/>
      <c r="EC1130" s="302"/>
      <c r="ED1130" s="302"/>
      <c r="EE1130" s="302"/>
      <c r="EF1130" s="302"/>
      <c r="EG1130" s="302"/>
      <c r="EH1130" s="302"/>
      <c r="EI1130" s="302"/>
      <c r="EJ1130" s="302"/>
      <c r="EK1130" s="302"/>
      <c r="EL1130" s="302"/>
      <c r="EM1130" s="302"/>
      <c r="EN1130" s="302"/>
      <c r="EO1130" s="302"/>
      <c r="EP1130" s="302"/>
      <c r="EQ1130" s="302"/>
      <c r="ER1130" s="302"/>
      <c r="ES1130" s="302"/>
      <c r="ET1130" s="302"/>
      <c r="EU1130" s="302"/>
      <c r="EV1130" s="302"/>
      <c r="EW1130" s="302"/>
      <c r="EX1130" s="302"/>
      <c r="EY1130" s="302"/>
      <c r="EZ1130" s="302"/>
      <c r="FA1130" s="302"/>
      <c r="FB1130" s="302"/>
      <c r="FC1130" s="302"/>
    </row>
    <row r="1131" spans="3:159" hidden="1">
      <c r="C1131" s="426" t="s">
        <v>1332</v>
      </c>
      <c r="D1131" s="427"/>
      <c r="E1131" s="427"/>
      <c r="F1131" s="427"/>
      <c r="G1131" s="427"/>
      <c r="H1131" s="427"/>
      <c r="I1131" s="427"/>
      <c r="J1131" s="427"/>
      <c r="K1131" s="427"/>
      <c r="L1131" s="427">
        <v>40</v>
      </c>
      <c r="M1131" s="427">
        <v>9</v>
      </c>
      <c r="N1131" s="427">
        <v>55</v>
      </c>
      <c r="O1131" s="427">
        <v>58</v>
      </c>
      <c r="P1131" s="427">
        <v>79</v>
      </c>
      <c r="Q1131" s="428">
        <v>84</v>
      </c>
      <c r="R1131" s="428">
        <v>71</v>
      </c>
      <c r="S1131" s="428">
        <v>64</v>
      </c>
      <c r="T1131" s="428">
        <v>76</v>
      </c>
      <c r="U1131" s="428">
        <v>93</v>
      </c>
      <c r="V1131" s="428">
        <v>118</v>
      </c>
      <c r="W1131" s="260"/>
      <c r="X1131" s="260"/>
      <c r="Y1131" s="260"/>
      <c r="Z1131" s="260"/>
      <c r="AA1131" s="260"/>
      <c r="AB1131" s="260"/>
      <c r="AC1131" s="260"/>
      <c r="AD1131" s="260"/>
      <c r="AE1131" s="260"/>
      <c r="AF1131" s="260"/>
      <c r="AG1131" s="260"/>
      <c r="AO1131" s="338"/>
      <c r="AP1131" s="449"/>
      <c r="AR1131" s="449"/>
      <c r="AS1131" s="449"/>
      <c r="BA1131" s="260"/>
      <c r="BB1131" s="260"/>
      <c r="BC1131" s="260"/>
      <c r="BD1131" s="260"/>
      <c r="BE1131" s="260"/>
      <c r="BF1131" s="260"/>
      <c r="BG1131" s="260"/>
      <c r="BH1131" s="260"/>
      <c r="BI1131" s="260"/>
      <c r="BJ1131" s="260"/>
      <c r="BK1131" s="260"/>
      <c r="BL1131" s="260"/>
      <c r="BM1131" s="260"/>
      <c r="BN1131" s="260"/>
      <c r="BO1131" s="260"/>
      <c r="BP1131" s="260"/>
      <c r="BQ1131" s="260"/>
      <c r="BR1131" s="260"/>
      <c r="BS1131" s="260"/>
      <c r="BT1131" s="260"/>
      <c r="BU1131" s="260"/>
      <c r="BV1131" s="260"/>
      <c r="BW1131" s="260"/>
      <c r="BX1131" s="260"/>
      <c r="BY1131" s="260"/>
      <c r="BZ1131" s="260"/>
      <c r="CA1131" s="260"/>
      <c r="CB1131" s="260"/>
      <c r="CC1131" s="260"/>
      <c r="CD1131" s="260"/>
      <c r="CE1131" s="260"/>
      <c r="CF1131" s="260"/>
      <c r="CG1131" s="260"/>
      <c r="CH1131" s="260"/>
      <c r="CI1131" s="260"/>
      <c r="CJ1131" s="260"/>
      <c r="CK1131" s="260"/>
      <c r="CL1131" s="260"/>
      <c r="CM1131" s="260"/>
      <c r="CN1131" s="260"/>
      <c r="CO1131" s="260"/>
      <c r="CR1131" s="260"/>
      <c r="CS1131" s="260"/>
      <c r="CT1131" s="260"/>
      <c r="CU1131" s="260"/>
      <c r="CV1131" s="260"/>
      <c r="CW1131" s="260"/>
      <c r="CX1131" s="260"/>
      <c r="CY1131" s="260"/>
      <c r="CZ1131" s="260"/>
      <c r="DA1131" s="260"/>
      <c r="DB1131" s="260"/>
      <c r="DC1131" s="260"/>
      <c r="DD1131" s="260"/>
      <c r="DE1131" s="260"/>
      <c r="DF1131" s="260"/>
      <c r="DG1131" s="260"/>
      <c r="DH1131" s="260"/>
      <c r="DI1131" s="260"/>
      <c r="DJ1131" s="260"/>
      <c r="DK1131" s="260"/>
      <c r="DL1131" s="260"/>
      <c r="DM1131" s="260"/>
      <c r="DN1131" s="260"/>
      <c r="DO1131" s="260"/>
      <c r="DP1131" s="260"/>
      <c r="DQ1131" s="260"/>
      <c r="DR1131" s="260"/>
      <c r="DS1131" s="260"/>
      <c r="DT1131" s="260"/>
      <c r="DU1131" s="260"/>
      <c r="DV1131" s="260"/>
      <c r="DW1131" s="260"/>
      <c r="DX1131" s="260"/>
      <c r="DY1131" s="260"/>
      <c r="DZ1131" s="260"/>
      <c r="EA1131" s="260"/>
      <c r="EB1131" s="260"/>
      <c r="EC1131" s="260"/>
      <c r="ED1131" s="260"/>
      <c r="EE1131" s="260"/>
      <c r="EF1131" s="260"/>
      <c r="EG1131" s="260"/>
      <c r="EH1131" s="260"/>
      <c r="EI1131" s="260"/>
      <c r="EJ1131" s="260"/>
      <c r="EK1131" s="260"/>
      <c r="EL1131" s="260"/>
      <c r="EM1131" s="260"/>
      <c r="EN1131" s="260"/>
      <c r="EO1131" s="260"/>
      <c r="EP1131" s="260"/>
      <c r="EQ1131" s="260"/>
      <c r="ER1131" s="260"/>
      <c r="ES1131" s="260"/>
      <c r="ET1131" s="260"/>
      <c r="EU1131" s="260"/>
      <c r="EV1131" s="260"/>
      <c r="EW1131" s="260"/>
      <c r="EX1131" s="260"/>
      <c r="EY1131" s="260"/>
      <c r="EZ1131" s="260"/>
      <c r="FA1131" s="260"/>
      <c r="FB1131" s="260"/>
      <c r="FC1131" s="260"/>
    </row>
    <row r="1132" spans="3:159" hidden="1">
      <c r="C1132" s="267" t="s">
        <v>996</v>
      </c>
      <c r="D1132" s="269"/>
      <c r="E1132" s="269"/>
      <c r="F1132" s="269"/>
      <c r="G1132" s="269"/>
      <c r="H1132" s="269"/>
      <c r="I1132" s="269"/>
      <c r="J1132" s="269"/>
      <c r="K1132" s="269"/>
      <c r="L1132" s="271">
        <v>3.9177277179236046E-2</v>
      </c>
      <c r="M1132" s="271">
        <v>8.4825636192271438E-3</v>
      </c>
      <c r="N1132" s="271">
        <v>4.4354838709677422E-2</v>
      </c>
      <c r="O1132" s="271">
        <v>4.588607594936709E-2</v>
      </c>
      <c r="P1132" s="271">
        <v>6.0076045627376423E-2</v>
      </c>
      <c r="Q1132" s="271">
        <v>7.0175438596491224E-2</v>
      </c>
      <c r="R1132" s="271">
        <v>5.8149058149058151E-2</v>
      </c>
      <c r="S1132" s="271">
        <v>5.0552922590837282E-2</v>
      </c>
      <c r="T1132" s="271">
        <v>6.1389337641357025E-2</v>
      </c>
      <c r="U1132" s="271">
        <v>7.0668693009118544E-2</v>
      </c>
      <c r="V1132" s="271">
        <v>8.5137085137085136E-2</v>
      </c>
      <c r="W1132" s="425"/>
      <c r="X1132" s="425"/>
      <c r="Y1132" s="425"/>
      <c r="Z1132" s="425"/>
      <c r="AA1132" s="425"/>
      <c r="AB1132" s="425"/>
      <c r="AC1132" s="425"/>
      <c r="AD1132" s="425"/>
      <c r="AE1132" s="425"/>
      <c r="AF1132" s="425"/>
      <c r="AG1132" s="425"/>
      <c r="AO1132" s="338"/>
      <c r="AP1132" s="449"/>
      <c r="AR1132" s="449"/>
      <c r="AS1132" s="449"/>
      <c r="BA1132" s="425"/>
      <c r="BB1132" s="425"/>
      <c r="BC1132" s="425"/>
      <c r="BD1132" s="425"/>
      <c r="BE1132" s="425"/>
      <c r="BF1132" s="425"/>
      <c r="BG1132" s="425"/>
      <c r="BH1132" s="425"/>
      <c r="BI1132" s="425"/>
      <c r="BJ1132" s="425"/>
      <c r="BK1132" s="425"/>
      <c r="BL1132" s="425"/>
      <c r="BM1132" s="425"/>
      <c r="BN1132" s="425"/>
      <c r="BO1132" s="425"/>
      <c r="BP1132" s="425"/>
      <c r="BQ1132" s="425"/>
      <c r="BR1132" s="425"/>
      <c r="BS1132" s="425"/>
      <c r="BT1132" s="425"/>
      <c r="BU1132" s="425"/>
      <c r="BV1132" s="425"/>
      <c r="BW1132" s="425"/>
      <c r="BX1132" s="425"/>
      <c r="BY1132" s="425"/>
      <c r="BZ1132" s="425"/>
      <c r="CA1132" s="425"/>
      <c r="CB1132" s="425"/>
      <c r="CC1132" s="425"/>
      <c r="CD1132" s="425"/>
      <c r="CE1132" s="425"/>
      <c r="CF1132" s="425"/>
      <c r="CG1132" s="425"/>
      <c r="CH1132" s="425"/>
      <c r="CI1132" s="425"/>
      <c r="CJ1132" s="425"/>
      <c r="CK1132" s="425"/>
      <c r="CL1132" s="425"/>
      <c r="CM1132" s="425"/>
      <c r="CN1132" s="425"/>
      <c r="CO1132" s="425"/>
      <c r="CR1132" s="425"/>
      <c r="CS1132" s="425"/>
      <c r="CT1132" s="425"/>
      <c r="CU1132" s="425"/>
      <c r="CV1132" s="425"/>
      <c r="CW1132" s="425"/>
      <c r="CX1132" s="425"/>
      <c r="CY1132" s="425"/>
      <c r="CZ1132" s="425"/>
      <c r="DA1132" s="425"/>
      <c r="DB1132" s="425"/>
      <c r="DC1132" s="425"/>
      <c r="DD1132" s="425"/>
      <c r="DE1132" s="425"/>
      <c r="DF1132" s="425"/>
      <c r="DG1132" s="425"/>
      <c r="DH1132" s="425"/>
      <c r="DI1132" s="425"/>
      <c r="DJ1132" s="425"/>
      <c r="DK1132" s="425"/>
      <c r="DL1132" s="425"/>
      <c r="DM1132" s="425"/>
      <c r="DN1132" s="425"/>
      <c r="DO1132" s="425"/>
      <c r="DP1132" s="425"/>
      <c r="DQ1132" s="425"/>
      <c r="DR1132" s="425"/>
      <c r="DS1132" s="425"/>
      <c r="DT1132" s="425"/>
      <c r="DU1132" s="425"/>
      <c r="DV1132" s="425"/>
      <c r="DW1132" s="425"/>
      <c r="DX1132" s="425"/>
      <c r="DY1132" s="425"/>
      <c r="DZ1132" s="425"/>
      <c r="EA1132" s="425"/>
      <c r="EB1132" s="425"/>
      <c r="EC1132" s="425"/>
      <c r="ED1132" s="425"/>
      <c r="EE1132" s="425"/>
      <c r="EF1132" s="425"/>
      <c r="EG1132" s="425"/>
      <c r="EH1132" s="425"/>
      <c r="EI1132" s="425"/>
      <c r="EJ1132" s="425"/>
      <c r="EK1132" s="425"/>
      <c r="EL1132" s="425"/>
      <c r="EM1132" s="425"/>
      <c r="EN1132" s="425"/>
      <c r="EO1132" s="425"/>
      <c r="EP1132" s="425"/>
      <c r="EQ1132" s="425"/>
      <c r="ER1132" s="425"/>
      <c r="ES1132" s="425"/>
      <c r="ET1132" s="425"/>
      <c r="EU1132" s="425"/>
      <c r="EV1132" s="425"/>
      <c r="EW1132" s="425"/>
      <c r="EX1132" s="425"/>
      <c r="EY1132" s="425"/>
      <c r="EZ1132" s="425"/>
      <c r="FA1132" s="425"/>
      <c r="FB1132" s="425"/>
      <c r="FC1132" s="425"/>
    </row>
    <row r="1133" spans="3:159" hidden="1">
      <c r="C1133" s="267" t="s">
        <v>953</v>
      </c>
      <c r="D1133" s="269"/>
      <c r="E1133" s="269"/>
      <c r="F1133" s="269"/>
      <c r="G1133" s="269"/>
      <c r="H1133" s="269"/>
      <c r="I1133" s="269"/>
      <c r="J1133" s="269"/>
      <c r="K1133" s="269"/>
      <c r="L1133" s="271"/>
      <c r="M1133" s="271">
        <v>-0.77500000000000002</v>
      </c>
      <c r="N1133" s="271">
        <v>5.1111111111111107</v>
      </c>
      <c r="O1133" s="271">
        <v>5.4545454545454453E-2</v>
      </c>
      <c r="P1133" s="271">
        <v>0.36206896551724133</v>
      </c>
      <c r="Q1133" s="271">
        <v>6.3291139240506222E-2</v>
      </c>
      <c r="R1133" s="271">
        <v>-0.15476190476190477</v>
      </c>
      <c r="S1133" s="271">
        <v>-9.8591549295774628E-2</v>
      </c>
      <c r="T1133" s="271">
        <v>0.1875</v>
      </c>
      <c r="U1133" s="271">
        <v>0.22368421052631571</v>
      </c>
      <c r="V1133" s="271">
        <v>0.26881720430107525</v>
      </c>
      <c r="W1133" s="425"/>
      <c r="X1133" s="425"/>
      <c r="Y1133" s="425"/>
      <c r="Z1133" s="425"/>
      <c r="AA1133" s="425"/>
      <c r="AB1133" s="425"/>
      <c r="AC1133" s="425"/>
      <c r="AD1133" s="425"/>
      <c r="AE1133" s="425"/>
      <c r="AF1133" s="425"/>
      <c r="AG1133" s="425"/>
      <c r="AO1133" s="338"/>
      <c r="AP1133" s="449"/>
      <c r="AR1133" s="449"/>
      <c r="AS1133" s="449"/>
      <c r="BA1133" s="425"/>
      <c r="BB1133" s="425"/>
      <c r="BC1133" s="425"/>
      <c r="BD1133" s="425"/>
      <c r="BE1133" s="425"/>
      <c r="BF1133" s="425"/>
      <c r="BG1133" s="425"/>
      <c r="BH1133" s="425"/>
      <c r="BI1133" s="425"/>
      <c r="BJ1133" s="425"/>
      <c r="BK1133" s="425"/>
      <c r="BL1133" s="425"/>
      <c r="BM1133" s="425"/>
      <c r="BN1133" s="425"/>
      <c r="BO1133" s="425"/>
      <c r="BP1133" s="425"/>
      <c r="BQ1133" s="425"/>
      <c r="BR1133" s="425"/>
      <c r="BS1133" s="425"/>
      <c r="BT1133" s="425"/>
      <c r="BU1133" s="425"/>
      <c r="BV1133" s="425"/>
      <c r="BW1133" s="425"/>
      <c r="BX1133" s="425"/>
      <c r="BY1133" s="425"/>
      <c r="BZ1133" s="425"/>
      <c r="CA1133" s="425"/>
      <c r="CB1133" s="425"/>
      <c r="CC1133" s="425"/>
      <c r="CD1133" s="425"/>
      <c r="CE1133" s="425"/>
      <c r="CF1133" s="425"/>
      <c r="CG1133" s="425"/>
      <c r="CH1133" s="425"/>
      <c r="CI1133" s="425"/>
      <c r="CJ1133" s="425"/>
      <c r="CK1133" s="425"/>
      <c r="CL1133" s="425"/>
      <c r="CM1133" s="425"/>
      <c r="CN1133" s="425"/>
      <c r="CO1133" s="425"/>
      <c r="CR1133" s="425"/>
      <c r="CS1133" s="425"/>
      <c r="CT1133" s="425"/>
      <c r="CU1133" s="425"/>
      <c r="CV1133" s="425"/>
      <c r="CW1133" s="425"/>
      <c r="CX1133" s="425"/>
      <c r="CY1133" s="425"/>
      <c r="CZ1133" s="425"/>
      <c r="DA1133" s="425"/>
      <c r="DB1133" s="425"/>
      <c r="DC1133" s="425"/>
      <c r="DD1133" s="425"/>
      <c r="DE1133" s="425"/>
      <c r="DF1133" s="425"/>
      <c r="DG1133" s="425"/>
      <c r="DH1133" s="425"/>
      <c r="DI1133" s="425"/>
      <c r="DJ1133" s="425"/>
      <c r="DK1133" s="425"/>
      <c r="DL1133" s="425"/>
      <c r="DM1133" s="425"/>
      <c r="DN1133" s="425"/>
      <c r="DO1133" s="425"/>
      <c r="DP1133" s="425"/>
      <c r="DQ1133" s="425"/>
      <c r="DR1133" s="425"/>
      <c r="DS1133" s="425"/>
      <c r="DT1133" s="425"/>
      <c r="DU1133" s="425"/>
      <c r="DV1133" s="425"/>
      <c r="DW1133" s="425"/>
      <c r="DX1133" s="425"/>
      <c r="DY1133" s="425"/>
      <c r="DZ1133" s="425"/>
      <c r="EA1133" s="425"/>
      <c r="EB1133" s="425"/>
      <c r="EC1133" s="425"/>
      <c r="ED1133" s="425"/>
      <c r="EE1133" s="425"/>
      <c r="EF1133" s="425"/>
      <c r="EG1133" s="425"/>
      <c r="EH1133" s="425"/>
      <c r="EI1133" s="425"/>
      <c r="EJ1133" s="425"/>
      <c r="EK1133" s="425"/>
      <c r="EL1133" s="425"/>
      <c r="EM1133" s="425"/>
      <c r="EN1133" s="425"/>
      <c r="EO1133" s="425"/>
      <c r="EP1133" s="425"/>
      <c r="EQ1133" s="425"/>
      <c r="ER1133" s="425"/>
      <c r="ES1133" s="425"/>
      <c r="ET1133" s="425"/>
      <c r="EU1133" s="425"/>
      <c r="EV1133" s="425"/>
      <c r="EW1133" s="425"/>
      <c r="EX1133" s="425"/>
      <c r="EY1133" s="425"/>
      <c r="EZ1133" s="425"/>
      <c r="FA1133" s="425"/>
      <c r="FB1133" s="425"/>
      <c r="FC1133" s="425"/>
    </row>
    <row r="1134" spans="3:159" hidden="1">
      <c r="C1134" s="426" t="s">
        <v>1010</v>
      </c>
      <c r="D1134" s="427"/>
      <c r="E1134" s="427"/>
      <c r="F1134" s="427"/>
      <c r="G1134" s="427"/>
      <c r="H1134" s="427"/>
      <c r="I1134" s="427"/>
      <c r="J1134" s="427"/>
      <c r="K1134" s="427"/>
      <c r="L1134" s="427">
        <v>40</v>
      </c>
      <c r="M1134" s="427">
        <v>9</v>
      </c>
      <c r="N1134" s="427">
        <v>55</v>
      </c>
      <c r="O1134" s="427">
        <v>51</v>
      </c>
      <c r="P1134" s="427">
        <v>79</v>
      </c>
      <c r="Q1134" s="429">
        <v>94</v>
      </c>
      <c r="R1134" s="429">
        <v>74</v>
      </c>
      <c r="S1134" s="429">
        <v>54</v>
      </c>
      <c r="T1134" s="429">
        <v>69</v>
      </c>
      <c r="U1134" s="429">
        <v>93</v>
      </c>
      <c r="V1134" s="429">
        <v>118</v>
      </c>
      <c r="W1134" s="430"/>
      <c r="X1134" s="430"/>
      <c r="Y1134" s="430"/>
      <c r="Z1134" s="430"/>
      <c r="AA1134" s="430"/>
      <c r="AB1134" s="430"/>
      <c r="AC1134" s="430"/>
      <c r="AD1134" s="430"/>
      <c r="AE1134" s="430"/>
      <c r="AF1134" s="430"/>
      <c r="AG1134" s="430"/>
      <c r="AO1134" s="338"/>
      <c r="AP1134" s="449"/>
      <c r="AR1134" s="449"/>
      <c r="AS1134" s="449"/>
      <c r="BA1134" s="430"/>
      <c r="BB1134" s="430"/>
      <c r="BC1134" s="430"/>
      <c r="BD1134" s="430"/>
      <c r="BE1134" s="430"/>
      <c r="BF1134" s="430"/>
      <c r="BG1134" s="430"/>
      <c r="BH1134" s="430"/>
      <c r="BI1134" s="430"/>
      <c r="BJ1134" s="430"/>
      <c r="BK1134" s="430"/>
      <c r="BL1134" s="430"/>
      <c r="BM1134" s="430"/>
      <c r="BN1134" s="430"/>
      <c r="BO1134" s="430"/>
      <c r="BP1134" s="430"/>
      <c r="BQ1134" s="430"/>
      <c r="BR1134" s="430"/>
      <c r="BS1134" s="430"/>
      <c r="BT1134" s="430"/>
      <c r="BU1134" s="430"/>
      <c r="BV1134" s="430"/>
      <c r="BW1134" s="430"/>
      <c r="BX1134" s="430"/>
      <c r="BY1134" s="430"/>
      <c r="BZ1134" s="430"/>
      <c r="CA1134" s="430"/>
      <c r="CB1134" s="430"/>
      <c r="CC1134" s="430"/>
      <c r="CD1134" s="430"/>
      <c r="CE1134" s="430"/>
      <c r="CF1134" s="430"/>
      <c r="CG1134" s="430"/>
      <c r="CH1134" s="430"/>
      <c r="CI1134" s="430"/>
      <c r="CJ1134" s="430"/>
      <c r="CK1134" s="430"/>
      <c r="CL1134" s="430"/>
      <c r="CM1134" s="430"/>
      <c r="CN1134" s="430"/>
      <c r="CO1134" s="430"/>
      <c r="CR1134" s="430"/>
      <c r="CS1134" s="430"/>
      <c r="CT1134" s="430"/>
      <c r="CU1134" s="430"/>
      <c r="CV1134" s="430"/>
      <c r="CW1134" s="430"/>
      <c r="CX1134" s="430"/>
      <c r="CY1134" s="430"/>
      <c r="CZ1134" s="430"/>
      <c r="DA1134" s="430"/>
      <c r="DB1134" s="430"/>
      <c r="DC1134" s="430"/>
      <c r="DD1134" s="430"/>
      <c r="DE1134" s="430"/>
      <c r="DF1134" s="430"/>
      <c r="DG1134" s="430"/>
      <c r="DH1134" s="430"/>
      <c r="DI1134" s="430"/>
      <c r="DJ1134" s="430"/>
      <c r="DK1134" s="430"/>
      <c r="DL1134" s="430"/>
      <c r="DM1134" s="430"/>
      <c r="DN1134" s="430"/>
      <c r="DO1134" s="430"/>
      <c r="DP1134" s="430"/>
      <c r="DQ1134" s="430"/>
      <c r="DR1134" s="430"/>
      <c r="DS1134" s="430"/>
      <c r="DT1134" s="430"/>
      <c r="DU1134" s="430"/>
      <c r="DV1134" s="430"/>
      <c r="DW1134" s="430"/>
      <c r="DX1134" s="430"/>
      <c r="DY1134" s="430"/>
      <c r="DZ1134" s="430"/>
      <c r="EA1134" s="430"/>
      <c r="EB1134" s="430"/>
      <c r="EC1134" s="430"/>
      <c r="ED1134" s="430"/>
      <c r="EE1134" s="430"/>
      <c r="EF1134" s="430"/>
      <c r="EG1134" s="430"/>
      <c r="EH1134" s="430"/>
      <c r="EI1134" s="430"/>
      <c r="EJ1134" s="430"/>
      <c r="EK1134" s="430"/>
      <c r="EL1134" s="430"/>
      <c r="EM1134" s="430"/>
      <c r="EN1134" s="430"/>
      <c r="EO1134" s="430"/>
      <c r="EP1134" s="430"/>
      <c r="EQ1134" s="430"/>
      <c r="ER1134" s="430"/>
      <c r="ES1134" s="430"/>
      <c r="ET1134" s="430"/>
      <c r="EU1134" s="430"/>
      <c r="EV1134" s="430"/>
      <c r="EW1134" s="430"/>
      <c r="EX1134" s="430"/>
      <c r="EY1134" s="430"/>
      <c r="EZ1134" s="430"/>
      <c r="FA1134" s="430"/>
      <c r="FB1134" s="430"/>
      <c r="FC1134" s="430"/>
    </row>
    <row r="1135" spans="3:159" hidden="1">
      <c r="C1135" s="267" t="s">
        <v>996</v>
      </c>
      <c r="D1135" s="269"/>
      <c r="E1135" s="269"/>
      <c r="F1135" s="269"/>
      <c r="G1135" s="269"/>
      <c r="H1135" s="269"/>
      <c r="I1135" s="269"/>
      <c r="J1135" s="269"/>
      <c r="K1135" s="269"/>
      <c r="L1135" s="271">
        <v>3.9177277179236046E-2</v>
      </c>
      <c r="M1135" s="271">
        <v>8.4825636192271438E-3</v>
      </c>
      <c r="N1135" s="271">
        <v>4.4354838709677422E-2</v>
      </c>
      <c r="O1135" s="271">
        <v>4.0348101265822785E-2</v>
      </c>
      <c r="P1135" s="271">
        <v>6.0076045627376423E-2</v>
      </c>
      <c r="Q1135" s="271">
        <v>7.8529657477025894E-2</v>
      </c>
      <c r="R1135" s="271">
        <v>6.0606060606060608E-2</v>
      </c>
      <c r="S1135" s="271">
        <v>4.2654028436018961E-2</v>
      </c>
      <c r="T1135" s="271">
        <v>5.5735056542810989E-2</v>
      </c>
      <c r="U1135" s="271">
        <v>7.0668693009118544E-2</v>
      </c>
      <c r="V1135" s="271">
        <v>8.5137085137085136E-2</v>
      </c>
      <c r="W1135" s="425"/>
      <c r="X1135" s="425"/>
      <c r="Y1135" s="425"/>
      <c r="Z1135" s="425"/>
      <c r="AA1135" s="425"/>
      <c r="AB1135" s="425"/>
      <c r="AC1135" s="425"/>
      <c r="AD1135" s="425"/>
      <c r="AE1135" s="425"/>
      <c r="AF1135" s="425"/>
      <c r="AG1135" s="425"/>
      <c r="AO1135" s="338"/>
      <c r="AP1135" s="449"/>
      <c r="AR1135" s="449"/>
      <c r="AS1135" s="449"/>
      <c r="BA1135" s="425"/>
      <c r="BB1135" s="425"/>
      <c r="BC1135" s="425"/>
      <c r="BD1135" s="425"/>
      <c r="BE1135" s="425"/>
      <c r="BF1135" s="425"/>
      <c r="BG1135" s="425"/>
      <c r="BH1135" s="425"/>
      <c r="BI1135" s="425"/>
      <c r="BJ1135" s="425"/>
      <c r="BK1135" s="425"/>
      <c r="BL1135" s="425"/>
      <c r="BM1135" s="425"/>
      <c r="BN1135" s="425"/>
      <c r="BO1135" s="425"/>
      <c r="BP1135" s="425"/>
      <c r="BQ1135" s="425"/>
      <c r="BR1135" s="425"/>
      <c r="BS1135" s="425"/>
      <c r="BT1135" s="425"/>
      <c r="BU1135" s="425"/>
      <c r="BV1135" s="425"/>
      <c r="BW1135" s="425"/>
      <c r="BX1135" s="425"/>
      <c r="BY1135" s="425"/>
      <c r="BZ1135" s="425"/>
      <c r="CA1135" s="425"/>
      <c r="CB1135" s="425"/>
      <c r="CC1135" s="425"/>
      <c r="CD1135" s="425"/>
      <c r="CE1135" s="425"/>
      <c r="CF1135" s="425"/>
      <c r="CG1135" s="425"/>
      <c r="CH1135" s="425"/>
      <c r="CI1135" s="425"/>
      <c r="CJ1135" s="425"/>
      <c r="CK1135" s="425"/>
      <c r="CL1135" s="425"/>
      <c r="CM1135" s="425"/>
      <c r="CN1135" s="425"/>
      <c r="CO1135" s="425"/>
      <c r="CR1135" s="425"/>
      <c r="CS1135" s="425"/>
      <c r="CT1135" s="425"/>
      <c r="CU1135" s="425"/>
      <c r="CV1135" s="425"/>
      <c r="CW1135" s="425"/>
      <c r="CX1135" s="425"/>
      <c r="CY1135" s="425"/>
      <c r="CZ1135" s="425"/>
      <c r="DA1135" s="425"/>
      <c r="DB1135" s="425"/>
      <c r="DC1135" s="425"/>
      <c r="DD1135" s="425"/>
      <c r="DE1135" s="425"/>
      <c r="DF1135" s="425"/>
      <c r="DG1135" s="425"/>
      <c r="DH1135" s="425"/>
      <c r="DI1135" s="425"/>
      <c r="DJ1135" s="425"/>
      <c r="DK1135" s="425"/>
      <c r="DL1135" s="425"/>
      <c r="DM1135" s="425"/>
      <c r="DN1135" s="425"/>
      <c r="DO1135" s="425"/>
      <c r="DP1135" s="425"/>
      <c r="DQ1135" s="425"/>
      <c r="DR1135" s="425"/>
      <c r="DS1135" s="425"/>
      <c r="DT1135" s="425"/>
      <c r="DU1135" s="425"/>
      <c r="DV1135" s="425"/>
      <c r="DW1135" s="425"/>
      <c r="DX1135" s="425"/>
      <c r="DY1135" s="425"/>
      <c r="DZ1135" s="425"/>
      <c r="EA1135" s="425"/>
      <c r="EB1135" s="425"/>
      <c r="EC1135" s="425"/>
      <c r="ED1135" s="425"/>
      <c r="EE1135" s="425"/>
      <c r="EF1135" s="425"/>
      <c r="EG1135" s="425"/>
      <c r="EH1135" s="425"/>
      <c r="EI1135" s="425"/>
      <c r="EJ1135" s="425"/>
      <c r="EK1135" s="425"/>
      <c r="EL1135" s="425"/>
      <c r="EM1135" s="425"/>
      <c r="EN1135" s="425"/>
      <c r="EO1135" s="425"/>
      <c r="EP1135" s="425"/>
      <c r="EQ1135" s="425"/>
      <c r="ER1135" s="425"/>
      <c r="ES1135" s="425"/>
      <c r="ET1135" s="425"/>
      <c r="EU1135" s="425"/>
      <c r="EV1135" s="425"/>
      <c r="EW1135" s="425"/>
      <c r="EX1135" s="425"/>
      <c r="EY1135" s="425"/>
      <c r="EZ1135" s="425"/>
      <c r="FA1135" s="425"/>
      <c r="FB1135" s="425"/>
      <c r="FC1135" s="425"/>
    </row>
    <row r="1136" spans="3:159" hidden="1">
      <c r="C1136" s="267" t="s">
        <v>953</v>
      </c>
      <c r="D1136" s="269"/>
      <c r="E1136" s="269"/>
      <c r="F1136" s="269"/>
      <c r="G1136" s="269"/>
      <c r="H1136" s="269"/>
      <c r="I1136" s="269"/>
      <c r="J1136" s="269"/>
      <c r="K1136" s="269"/>
      <c r="L1136" s="271"/>
      <c r="M1136" s="271">
        <v>-0.77500000000000002</v>
      </c>
      <c r="N1136" s="271">
        <v>5.1111111111111107</v>
      </c>
      <c r="O1136" s="271">
        <v>-7.2727272727272751E-2</v>
      </c>
      <c r="P1136" s="271">
        <v>0.5490196078431373</v>
      </c>
      <c r="Q1136" s="271">
        <v>0.18987341772151889</v>
      </c>
      <c r="R1136" s="271">
        <v>-0.21276595744680848</v>
      </c>
      <c r="S1136" s="271">
        <v>-0.27027027027027029</v>
      </c>
      <c r="T1136" s="271">
        <v>0.27777777777777768</v>
      </c>
      <c r="U1136" s="271">
        <v>0.34782608695652173</v>
      </c>
      <c r="V1136" s="271">
        <v>0.26881720430107525</v>
      </c>
      <c r="W1136" s="425"/>
      <c r="X1136" s="425"/>
      <c r="Y1136" s="425"/>
      <c r="Z1136" s="425"/>
      <c r="AA1136" s="425"/>
      <c r="AB1136" s="425"/>
      <c r="AC1136" s="425"/>
      <c r="AD1136" s="425"/>
      <c r="AE1136" s="425"/>
      <c r="AF1136" s="425"/>
      <c r="AG1136" s="425"/>
      <c r="AO1136" s="338"/>
      <c r="AP1136" s="449"/>
      <c r="AR1136" s="449"/>
      <c r="AS1136" s="449"/>
      <c r="BA1136" s="425"/>
      <c r="BB1136" s="425"/>
      <c r="BC1136" s="425"/>
      <c r="BD1136" s="425"/>
      <c r="BE1136" s="425"/>
      <c r="BF1136" s="425"/>
      <c r="BG1136" s="425"/>
      <c r="BH1136" s="425"/>
      <c r="BI1136" s="425"/>
      <c r="BJ1136" s="425"/>
      <c r="BK1136" s="425"/>
      <c r="BL1136" s="425"/>
      <c r="BM1136" s="425"/>
      <c r="BN1136" s="425"/>
      <c r="BO1136" s="425"/>
      <c r="BP1136" s="425"/>
      <c r="BQ1136" s="425"/>
      <c r="BR1136" s="425"/>
      <c r="BS1136" s="425"/>
      <c r="BT1136" s="425"/>
      <c r="BU1136" s="425"/>
      <c r="BV1136" s="425"/>
      <c r="BW1136" s="425"/>
      <c r="BX1136" s="425"/>
      <c r="BY1136" s="425"/>
      <c r="BZ1136" s="425"/>
      <c r="CA1136" s="425"/>
      <c r="CB1136" s="425"/>
      <c r="CC1136" s="425"/>
      <c r="CD1136" s="425"/>
      <c r="CE1136" s="425"/>
      <c r="CF1136" s="425"/>
      <c r="CG1136" s="425"/>
      <c r="CH1136" s="425"/>
      <c r="CI1136" s="425"/>
      <c r="CJ1136" s="425"/>
      <c r="CK1136" s="425"/>
      <c r="CL1136" s="425"/>
      <c r="CM1136" s="425"/>
      <c r="CN1136" s="425"/>
      <c r="CO1136" s="425"/>
      <c r="CR1136" s="425"/>
      <c r="CS1136" s="425"/>
      <c r="CT1136" s="425"/>
      <c r="CU1136" s="425"/>
      <c r="CV1136" s="425"/>
      <c r="CW1136" s="425"/>
      <c r="CX1136" s="425"/>
      <c r="CY1136" s="425"/>
      <c r="CZ1136" s="425"/>
      <c r="DA1136" s="425"/>
      <c r="DB1136" s="425"/>
      <c r="DC1136" s="425"/>
      <c r="DD1136" s="425"/>
      <c r="DE1136" s="425"/>
      <c r="DF1136" s="425"/>
      <c r="DG1136" s="425"/>
      <c r="DH1136" s="425"/>
      <c r="DI1136" s="425"/>
      <c r="DJ1136" s="425"/>
      <c r="DK1136" s="425"/>
      <c r="DL1136" s="425"/>
      <c r="DM1136" s="425"/>
      <c r="DN1136" s="425"/>
      <c r="DO1136" s="425"/>
      <c r="DP1136" s="425"/>
      <c r="DQ1136" s="425"/>
      <c r="DR1136" s="425"/>
      <c r="DS1136" s="425"/>
      <c r="DT1136" s="425"/>
      <c r="DU1136" s="425"/>
      <c r="DV1136" s="425"/>
      <c r="DW1136" s="425"/>
      <c r="DX1136" s="425"/>
      <c r="DY1136" s="425"/>
      <c r="DZ1136" s="425"/>
      <c r="EA1136" s="425"/>
      <c r="EB1136" s="425"/>
      <c r="EC1136" s="425"/>
      <c r="ED1136" s="425"/>
      <c r="EE1136" s="425"/>
      <c r="EF1136" s="425"/>
      <c r="EG1136" s="425"/>
      <c r="EH1136" s="425"/>
      <c r="EI1136" s="425"/>
      <c r="EJ1136" s="425"/>
      <c r="EK1136" s="425"/>
      <c r="EL1136" s="425"/>
      <c r="EM1136" s="425"/>
      <c r="EN1136" s="425"/>
      <c r="EO1136" s="425"/>
      <c r="EP1136" s="425"/>
      <c r="EQ1136" s="425"/>
      <c r="ER1136" s="425"/>
      <c r="ES1136" s="425"/>
      <c r="ET1136" s="425"/>
      <c r="EU1136" s="425"/>
      <c r="EV1136" s="425"/>
      <c r="EW1136" s="425"/>
      <c r="EX1136" s="425"/>
      <c r="EY1136" s="425"/>
      <c r="EZ1136" s="425"/>
      <c r="FA1136" s="425"/>
      <c r="FB1136" s="425"/>
      <c r="FC1136" s="425"/>
    </row>
    <row r="1137" spans="3:159" hidden="1">
      <c r="C1137" s="263" t="s">
        <v>1028</v>
      </c>
      <c r="D1137" s="269"/>
      <c r="E1137" s="269"/>
      <c r="F1137" s="269"/>
      <c r="G1137" s="269"/>
      <c r="H1137" s="269"/>
      <c r="I1137" s="269"/>
      <c r="J1137" s="269"/>
      <c r="K1137" s="269"/>
      <c r="L1137" s="269">
        <v>0</v>
      </c>
      <c r="M1137" s="269">
        <v>0</v>
      </c>
      <c r="N1137" s="269">
        <v>0</v>
      </c>
      <c r="O1137" s="269">
        <v>-7</v>
      </c>
      <c r="P1137" s="269">
        <v>0</v>
      </c>
      <c r="Q1137" s="269">
        <v>7</v>
      </c>
      <c r="R1137" s="269">
        <v>3</v>
      </c>
      <c r="S1137" s="269">
        <v>-10</v>
      </c>
      <c r="T1137" s="269"/>
      <c r="U1137" s="269"/>
      <c r="V1137" s="269"/>
      <c r="W1137" s="302"/>
      <c r="X1137" s="302"/>
      <c r="Y1137" s="302"/>
      <c r="Z1137" s="302"/>
      <c r="AA1137" s="302"/>
      <c r="AB1137" s="302"/>
      <c r="AC1137" s="302"/>
      <c r="AD1137" s="302"/>
      <c r="AE1137" s="302"/>
      <c r="AF1137" s="302"/>
      <c r="AG1137" s="302"/>
      <c r="AO1137" s="338"/>
      <c r="AP1137" s="449"/>
      <c r="AR1137" s="449"/>
      <c r="AS1137" s="449"/>
      <c r="BA1137" s="302"/>
      <c r="BB1137" s="302"/>
      <c r="BC1137" s="302"/>
      <c r="BD1137" s="302"/>
      <c r="BE1137" s="302"/>
      <c r="BF1137" s="302"/>
      <c r="BG1137" s="302"/>
      <c r="BH1137" s="302"/>
      <c r="BI1137" s="302"/>
      <c r="BJ1137" s="302"/>
      <c r="BK1137" s="302"/>
      <c r="BL1137" s="302"/>
      <c r="BM1137" s="302"/>
      <c r="BN1137" s="302"/>
      <c r="BO1137" s="302"/>
      <c r="BP1137" s="302"/>
      <c r="BQ1137" s="302"/>
      <c r="BR1137" s="302"/>
      <c r="BS1137" s="302"/>
      <c r="BT1137" s="302"/>
      <c r="BU1137" s="302"/>
      <c r="BV1137" s="302"/>
      <c r="BW1137" s="302"/>
      <c r="BX1137" s="302"/>
      <c r="BY1137" s="302"/>
      <c r="BZ1137" s="302"/>
      <c r="CA1137" s="302"/>
      <c r="CB1137" s="302"/>
      <c r="CC1137" s="302"/>
      <c r="CD1137" s="302"/>
      <c r="CE1137" s="302"/>
      <c r="CF1137" s="302"/>
      <c r="CG1137" s="302"/>
      <c r="CH1137" s="302"/>
      <c r="CI1137" s="302"/>
      <c r="CJ1137" s="302"/>
      <c r="CK1137" s="302"/>
      <c r="CL1137" s="302"/>
      <c r="CM1137" s="302"/>
      <c r="CN1137" s="302"/>
      <c r="CO1137" s="302"/>
      <c r="CR1137" s="302"/>
      <c r="CS1137" s="302"/>
      <c r="CT1137" s="302"/>
      <c r="CU1137" s="302"/>
      <c r="CV1137" s="302"/>
      <c r="CW1137" s="302"/>
      <c r="CX1137" s="302"/>
      <c r="CY1137" s="302"/>
      <c r="CZ1137" s="302"/>
      <c r="DA1137" s="302"/>
      <c r="DB1137" s="302"/>
      <c r="DC1137" s="302"/>
      <c r="DD1137" s="302"/>
      <c r="DE1137" s="302"/>
      <c r="DF1137" s="302"/>
      <c r="DG1137" s="302"/>
      <c r="DH1137" s="302"/>
      <c r="DI1137" s="302"/>
      <c r="DJ1137" s="302"/>
      <c r="DK1137" s="302"/>
      <c r="DL1137" s="302"/>
      <c r="DM1137" s="302"/>
      <c r="DN1137" s="302"/>
      <c r="DO1137" s="302"/>
      <c r="DP1137" s="302"/>
      <c r="DQ1137" s="302"/>
      <c r="DR1137" s="302"/>
      <c r="DS1137" s="302"/>
      <c r="DT1137" s="302"/>
      <c r="DU1137" s="302"/>
      <c r="DV1137" s="302"/>
      <c r="DW1137" s="302"/>
      <c r="DX1137" s="302"/>
      <c r="DY1137" s="302"/>
      <c r="DZ1137" s="302"/>
      <c r="EA1137" s="302"/>
      <c r="EB1137" s="302"/>
      <c r="EC1137" s="302"/>
      <c r="ED1137" s="302"/>
      <c r="EE1137" s="302"/>
      <c r="EF1137" s="302"/>
      <c r="EG1137" s="302"/>
      <c r="EH1137" s="302"/>
      <c r="EI1137" s="302"/>
      <c r="EJ1137" s="302"/>
      <c r="EK1137" s="302"/>
      <c r="EL1137" s="302"/>
      <c r="EM1137" s="302"/>
      <c r="EN1137" s="302"/>
      <c r="EO1137" s="302"/>
      <c r="EP1137" s="302"/>
      <c r="EQ1137" s="302"/>
      <c r="ER1137" s="302"/>
      <c r="ES1137" s="302"/>
      <c r="ET1137" s="302"/>
      <c r="EU1137" s="302"/>
      <c r="EV1137" s="302"/>
      <c r="EW1137" s="302"/>
      <c r="EX1137" s="302"/>
      <c r="EY1137" s="302"/>
      <c r="EZ1137" s="302"/>
      <c r="FA1137" s="302"/>
      <c r="FB1137" s="302"/>
      <c r="FC1137" s="302"/>
    </row>
    <row r="1138" spans="3:159" hidden="1">
      <c r="C1138" s="263"/>
      <c r="D1138" s="269"/>
      <c r="E1138" s="269"/>
      <c r="F1138" s="269"/>
      <c r="G1138" s="269"/>
      <c r="H1138" s="269"/>
      <c r="I1138" s="269"/>
      <c r="J1138" s="269"/>
      <c r="K1138" s="269"/>
      <c r="L1138" s="269"/>
      <c r="M1138" s="269"/>
      <c r="N1138" s="269"/>
      <c r="O1138" s="269"/>
      <c r="P1138" s="269"/>
      <c r="Q1138" s="269"/>
      <c r="R1138" s="269"/>
      <c r="S1138" s="269"/>
      <c r="T1138" s="269"/>
      <c r="U1138" s="269"/>
      <c r="V1138" s="269"/>
      <c r="W1138" s="302"/>
      <c r="X1138" s="302"/>
      <c r="Y1138" s="302"/>
      <c r="Z1138" s="302"/>
      <c r="AA1138" s="302"/>
      <c r="AB1138" s="302"/>
      <c r="AC1138" s="302"/>
      <c r="AD1138" s="302"/>
      <c r="AE1138" s="302"/>
      <c r="AF1138" s="302"/>
      <c r="AG1138" s="302"/>
      <c r="AO1138" s="338"/>
      <c r="AP1138" s="449"/>
      <c r="AR1138" s="449"/>
      <c r="AS1138" s="449"/>
      <c r="BA1138" s="302"/>
      <c r="BB1138" s="302"/>
      <c r="BC1138" s="302"/>
      <c r="BD1138" s="302"/>
      <c r="BE1138" s="302"/>
      <c r="BF1138" s="302"/>
      <c r="BG1138" s="302"/>
      <c r="BH1138" s="302"/>
      <c r="BI1138" s="302"/>
      <c r="BJ1138" s="302"/>
      <c r="BK1138" s="302"/>
      <c r="BL1138" s="302"/>
      <c r="BM1138" s="302"/>
      <c r="BN1138" s="302"/>
      <c r="BO1138" s="302"/>
      <c r="BP1138" s="302"/>
      <c r="BQ1138" s="302"/>
      <c r="BR1138" s="302"/>
      <c r="BS1138" s="302"/>
      <c r="BT1138" s="302"/>
      <c r="BU1138" s="302"/>
      <c r="BV1138" s="302"/>
      <c r="BW1138" s="302"/>
      <c r="BX1138" s="302"/>
      <c r="BY1138" s="302"/>
      <c r="BZ1138" s="302"/>
      <c r="CA1138" s="302"/>
      <c r="CB1138" s="302"/>
      <c r="CC1138" s="302"/>
      <c r="CD1138" s="302"/>
      <c r="CE1138" s="302"/>
      <c r="CF1138" s="302"/>
      <c r="CG1138" s="302"/>
      <c r="CH1138" s="302"/>
      <c r="CI1138" s="302"/>
      <c r="CJ1138" s="302"/>
      <c r="CK1138" s="302"/>
      <c r="CL1138" s="302"/>
      <c r="CM1138" s="302"/>
      <c r="CN1138" s="302"/>
      <c r="CO1138" s="302"/>
      <c r="CR1138" s="302"/>
      <c r="CS1138" s="302"/>
      <c r="CT1138" s="302"/>
      <c r="CU1138" s="302"/>
      <c r="CV1138" s="302"/>
      <c r="CW1138" s="302"/>
      <c r="CX1138" s="302"/>
      <c r="CY1138" s="302"/>
      <c r="CZ1138" s="302"/>
      <c r="DA1138" s="302"/>
      <c r="DB1138" s="302"/>
      <c r="DC1138" s="302"/>
      <c r="DD1138" s="302"/>
      <c r="DE1138" s="302"/>
      <c r="DF1138" s="302"/>
      <c r="DG1138" s="302"/>
      <c r="DH1138" s="302"/>
      <c r="DI1138" s="302"/>
      <c r="DJ1138" s="302"/>
      <c r="DK1138" s="302"/>
      <c r="DL1138" s="302"/>
      <c r="DM1138" s="302"/>
      <c r="DN1138" s="302"/>
      <c r="DO1138" s="302"/>
      <c r="DP1138" s="302"/>
      <c r="DQ1138" s="302"/>
      <c r="DR1138" s="302"/>
      <c r="DS1138" s="302"/>
      <c r="DT1138" s="302"/>
      <c r="DU1138" s="302"/>
      <c r="DV1138" s="302"/>
      <c r="DW1138" s="302"/>
      <c r="DX1138" s="302"/>
      <c r="DY1138" s="302"/>
      <c r="DZ1138" s="302"/>
      <c r="EA1138" s="302"/>
      <c r="EB1138" s="302"/>
      <c r="EC1138" s="302"/>
      <c r="ED1138" s="302"/>
      <c r="EE1138" s="302"/>
      <c r="EF1138" s="302"/>
      <c r="EG1138" s="302"/>
      <c r="EH1138" s="302"/>
      <c r="EI1138" s="302"/>
      <c r="EJ1138" s="302"/>
      <c r="EK1138" s="302"/>
      <c r="EL1138" s="302"/>
      <c r="EM1138" s="302"/>
      <c r="EN1138" s="302"/>
      <c r="EO1138" s="302"/>
      <c r="EP1138" s="302"/>
      <c r="EQ1138" s="302"/>
      <c r="ER1138" s="302"/>
      <c r="ES1138" s="302"/>
      <c r="ET1138" s="302"/>
      <c r="EU1138" s="302"/>
      <c r="EV1138" s="302"/>
      <c r="EW1138" s="302"/>
      <c r="EX1138" s="302"/>
      <c r="EY1138" s="302"/>
      <c r="EZ1138" s="302"/>
      <c r="FA1138" s="302"/>
      <c r="FB1138" s="302"/>
      <c r="FC1138" s="302"/>
    </row>
    <row r="1139" spans="3:159" hidden="1">
      <c r="C1139" s="431" t="s">
        <v>1333</v>
      </c>
      <c r="D1139" s="427"/>
      <c r="E1139" s="427"/>
      <c r="F1139" s="427"/>
      <c r="G1139" s="427"/>
      <c r="H1139" s="427"/>
      <c r="I1139" s="427"/>
      <c r="J1139" s="427"/>
      <c r="K1139" s="427"/>
      <c r="L1139" s="427"/>
      <c r="M1139" s="427"/>
      <c r="N1139" s="427"/>
      <c r="O1139" s="427"/>
      <c r="P1139" s="427"/>
      <c r="Q1139" s="427"/>
      <c r="R1139" s="427"/>
      <c r="S1139" s="427"/>
      <c r="T1139" s="427"/>
      <c r="U1139" s="429">
        <v>367.62793772431854</v>
      </c>
      <c r="V1139" s="432">
        <v>205</v>
      </c>
      <c r="W1139" s="433"/>
      <c r="X1139" s="433"/>
      <c r="Y1139" s="433"/>
      <c r="Z1139" s="433"/>
      <c r="AA1139" s="433"/>
      <c r="AB1139" s="433"/>
      <c r="AC1139" s="433"/>
      <c r="AD1139" s="433"/>
      <c r="AE1139" s="433"/>
      <c r="AF1139" s="433"/>
      <c r="AG1139" s="433"/>
      <c r="AO1139" s="338"/>
      <c r="AP1139" s="449"/>
      <c r="AR1139" s="449"/>
      <c r="AS1139" s="449"/>
      <c r="BA1139" s="433"/>
      <c r="BB1139" s="433"/>
      <c r="BC1139" s="433"/>
      <c r="BD1139" s="433"/>
      <c r="BE1139" s="433"/>
      <c r="BF1139" s="433"/>
      <c r="BG1139" s="433"/>
      <c r="BH1139" s="433"/>
      <c r="BI1139" s="433"/>
      <c r="BJ1139" s="433"/>
      <c r="BK1139" s="433"/>
      <c r="BL1139" s="433"/>
      <c r="BM1139" s="433"/>
      <c r="BN1139" s="433"/>
      <c r="BO1139" s="433"/>
      <c r="BP1139" s="433"/>
      <c r="BQ1139" s="433"/>
      <c r="BR1139" s="433"/>
      <c r="BS1139" s="433"/>
      <c r="BT1139" s="433"/>
      <c r="BU1139" s="433"/>
      <c r="BV1139" s="433"/>
      <c r="BW1139" s="433"/>
      <c r="BX1139" s="433"/>
      <c r="BY1139" s="433"/>
      <c r="BZ1139" s="433"/>
      <c r="CA1139" s="433"/>
      <c r="CB1139" s="433"/>
      <c r="CC1139" s="433"/>
      <c r="CD1139" s="433"/>
      <c r="CE1139" s="433"/>
      <c r="CF1139" s="433"/>
      <c r="CG1139" s="433"/>
      <c r="CH1139" s="433"/>
      <c r="CI1139" s="433"/>
      <c r="CJ1139" s="433"/>
      <c r="CK1139" s="433"/>
      <c r="CL1139" s="433"/>
      <c r="CM1139" s="433"/>
      <c r="CN1139" s="433"/>
      <c r="CO1139" s="433"/>
      <c r="CR1139" s="433"/>
      <c r="CS1139" s="433"/>
      <c r="CT1139" s="433"/>
      <c r="CU1139" s="433"/>
      <c r="CV1139" s="433"/>
      <c r="CW1139" s="433"/>
      <c r="CX1139" s="433"/>
      <c r="CY1139" s="433"/>
      <c r="CZ1139" s="433"/>
      <c r="DA1139" s="433"/>
      <c r="DB1139" s="433"/>
      <c r="DC1139" s="433"/>
      <c r="DD1139" s="433"/>
      <c r="DE1139" s="433"/>
      <c r="DF1139" s="433"/>
      <c r="DG1139" s="433"/>
      <c r="DH1139" s="433"/>
      <c r="DI1139" s="433"/>
      <c r="DJ1139" s="433"/>
      <c r="DK1139" s="433"/>
      <c r="DL1139" s="433"/>
      <c r="DM1139" s="433"/>
      <c r="DN1139" s="433"/>
      <c r="DO1139" s="433"/>
      <c r="DP1139" s="433"/>
      <c r="DQ1139" s="433"/>
      <c r="DR1139" s="433"/>
      <c r="DS1139" s="433"/>
      <c r="DT1139" s="433"/>
      <c r="DU1139" s="433"/>
      <c r="DV1139" s="433"/>
      <c r="DW1139" s="433"/>
      <c r="DX1139" s="433"/>
      <c r="DY1139" s="433"/>
      <c r="DZ1139" s="433"/>
      <c r="EA1139" s="433"/>
      <c r="EB1139" s="433"/>
      <c r="EC1139" s="433"/>
      <c r="ED1139" s="433"/>
      <c r="EE1139" s="433"/>
      <c r="EF1139" s="433"/>
      <c r="EG1139" s="433"/>
      <c r="EH1139" s="433"/>
      <c r="EI1139" s="433"/>
      <c r="EJ1139" s="433"/>
      <c r="EK1139" s="433"/>
      <c r="EL1139" s="433"/>
      <c r="EM1139" s="433"/>
      <c r="EN1139" s="433"/>
      <c r="EO1139" s="433"/>
      <c r="EP1139" s="433"/>
      <c r="EQ1139" s="433"/>
      <c r="ER1139" s="433"/>
      <c r="ES1139" s="433"/>
      <c r="ET1139" s="433"/>
      <c r="EU1139" s="433"/>
      <c r="EV1139" s="433"/>
      <c r="EW1139" s="433"/>
      <c r="EX1139" s="433"/>
      <c r="EY1139" s="433"/>
      <c r="EZ1139" s="433"/>
      <c r="FA1139" s="433"/>
      <c r="FB1139" s="433"/>
      <c r="FC1139" s="433"/>
    </row>
    <row r="1140" spans="3:159" hidden="1">
      <c r="C1140" s="421" t="s">
        <v>985</v>
      </c>
      <c r="D1140" s="269"/>
      <c r="E1140" s="269"/>
      <c r="F1140" s="269"/>
      <c r="G1140" s="269"/>
      <c r="H1140" s="269"/>
      <c r="I1140" s="269"/>
      <c r="J1140" s="269"/>
      <c r="K1140" s="269"/>
      <c r="L1140" s="269"/>
      <c r="M1140" s="269"/>
      <c r="N1140" s="269"/>
      <c r="O1140" s="269"/>
      <c r="P1140" s="269"/>
      <c r="Q1140" s="269"/>
      <c r="R1140" s="269"/>
      <c r="S1140" s="269"/>
      <c r="T1140" s="269"/>
      <c r="U1140" s="417">
        <v>0.16342571239896966</v>
      </c>
      <c r="V1140" s="417">
        <v>0.15916149068322982</v>
      </c>
      <c r="W1140" s="418"/>
      <c r="X1140" s="418"/>
      <c r="Y1140" s="418"/>
      <c r="Z1140" s="418"/>
      <c r="AA1140" s="418"/>
      <c r="AB1140" s="418"/>
      <c r="AC1140" s="418"/>
      <c r="AD1140" s="418"/>
      <c r="AE1140" s="418"/>
      <c r="AF1140" s="418"/>
      <c r="AG1140" s="418"/>
      <c r="AO1140" s="338"/>
      <c r="AP1140" s="449"/>
      <c r="AR1140" s="449"/>
      <c r="AS1140" s="449"/>
      <c r="BA1140" s="418"/>
      <c r="BB1140" s="418"/>
      <c r="BC1140" s="418"/>
      <c r="BD1140" s="418"/>
      <c r="BE1140" s="418"/>
      <c r="BF1140" s="418"/>
      <c r="BG1140" s="418"/>
      <c r="BH1140" s="418"/>
      <c r="BI1140" s="418"/>
      <c r="BJ1140" s="418"/>
      <c r="BK1140" s="418"/>
      <c r="BL1140" s="418"/>
      <c r="BM1140" s="418"/>
      <c r="BN1140" s="418"/>
      <c r="BO1140" s="418"/>
      <c r="BP1140" s="418"/>
      <c r="BQ1140" s="418"/>
      <c r="BR1140" s="418"/>
      <c r="BS1140" s="418"/>
      <c r="BT1140" s="418"/>
      <c r="BU1140" s="418"/>
      <c r="BV1140" s="418"/>
      <c r="BW1140" s="418"/>
      <c r="BX1140" s="418"/>
      <c r="BY1140" s="418"/>
      <c r="BZ1140" s="418"/>
      <c r="CA1140" s="418"/>
      <c r="CB1140" s="418"/>
      <c r="CC1140" s="418"/>
      <c r="CD1140" s="418"/>
      <c r="CE1140" s="418"/>
      <c r="CF1140" s="418"/>
      <c r="CG1140" s="418"/>
      <c r="CH1140" s="418"/>
      <c r="CI1140" s="418"/>
      <c r="CJ1140" s="418"/>
      <c r="CK1140" s="418"/>
      <c r="CL1140" s="418"/>
      <c r="CM1140" s="418"/>
      <c r="CN1140" s="418"/>
      <c r="CO1140" s="418"/>
      <c r="CR1140" s="418"/>
      <c r="CS1140" s="418"/>
      <c r="CT1140" s="418"/>
      <c r="CU1140" s="418"/>
      <c r="CV1140" s="418"/>
      <c r="CW1140" s="418"/>
      <c r="CX1140" s="418"/>
      <c r="CY1140" s="418"/>
      <c r="CZ1140" s="418"/>
      <c r="DA1140" s="418"/>
      <c r="DB1140" s="418"/>
      <c r="DC1140" s="418"/>
      <c r="DD1140" s="418"/>
      <c r="DE1140" s="418"/>
      <c r="DF1140" s="418"/>
      <c r="DG1140" s="418"/>
      <c r="DH1140" s="418"/>
      <c r="DI1140" s="418"/>
      <c r="DJ1140" s="418"/>
      <c r="DK1140" s="418"/>
      <c r="DL1140" s="418"/>
      <c r="DM1140" s="418"/>
      <c r="DN1140" s="418"/>
      <c r="DO1140" s="418"/>
      <c r="DP1140" s="418"/>
      <c r="DQ1140" s="418"/>
      <c r="DR1140" s="418"/>
      <c r="DS1140" s="418"/>
      <c r="DT1140" s="418"/>
      <c r="DU1140" s="418"/>
      <c r="DV1140" s="418"/>
      <c r="DW1140" s="418"/>
      <c r="DX1140" s="418"/>
      <c r="DY1140" s="418"/>
      <c r="DZ1140" s="418"/>
      <c r="EA1140" s="418"/>
      <c r="EB1140" s="418"/>
      <c r="EC1140" s="418"/>
      <c r="ED1140" s="418"/>
      <c r="EE1140" s="418"/>
      <c r="EF1140" s="418"/>
      <c r="EG1140" s="418"/>
      <c r="EH1140" s="418"/>
      <c r="EI1140" s="418"/>
      <c r="EJ1140" s="418"/>
      <c r="EK1140" s="418"/>
      <c r="EL1140" s="418"/>
      <c r="EM1140" s="418"/>
      <c r="EN1140" s="418"/>
      <c r="EO1140" s="418"/>
      <c r="EP1140" s="418"/>
      <c r="EQ1140" s="418"/>
      <c r="ER1140" s="418"/>
      <c r="ES1140" s="418"/>
      <c r="ET1140" s="418"/>
      <c r="EU1140" s="418"/>
      <c r="EV1140" s="418"/>
      <c r="EW1140" s="418"/>
      <c r="EX1140" s="418"/>
      <c r="EY1140" s="418"/>
      <c r="EZ1140" s="418"/>
      <c r="FA1140" s="418"/>
      <c r="FB1140" s="418"/>
      <c r="FC1140" s="418"/>
    </row>
    <row r="1141" spans="3:159" hidden="1">
      <c r="C1141" s="421" t="s">
        <v>747</v>
      </c>
      <c r="D1141" s="269"/>
      <c r="E1141" s="269"/>
      <c r="F1141" s="269"/>
      <c r="G1141" s="269"/>
      <c r="H1141" s="269"/>
      <c r="I1141" s="269"/>
      <c r="J1141" s="269"/>
      <c r="K1141" s="269"/>
      <c r="L1141" s="269"/>
      <c r="M1141" s="269"/>
      <c r="N1141" s="269"/>
      <c r="O1141" s="269"/>
      <c r="P1141" s="269"/>
      <c r="Q1141" s="269"/>
      <c r="R1141" s="269"/>
      <c r="S1141" s="269"/>
      <c r="T1141" s="269"/>
      <c r="U1141" s="269"/>
      <c r="V1141" s="417">
        <v>-0.44237099805584423</v>
      </c>
      <c r="W1141" s="418"/>
      <c r="X1141" s="418"/>
      <c r="Y1141" s="418"/>
      <c r="Z1141" s="418"/>
      <c r="AA1141" s="418"/>
      <c r="AB1141" s="418"/>
      <c r="AC1141" s="418"/>
      <c r="AD1141" s="418"/>
      <c r="AE1141" s="418"/>
      <c r="AF1141" s="418"/>
      <c r="AG1141" s="418"/>
      <c r="AO1141" s="338"/>
      <c r="AP1141" s="449"/>
      <c r="AR1141" s="449"/>
      <c r="AS1141" s="449"/>
      <c r="BA1141" s="418"/>
      <c r="BB1141" s="418"/>
      <c r="BC1141" s="418"/>
      <c r="BD1141" s="418"/>
      <c r="BE1141" s="418"/>
      <c r="BF1141" s="418"/>
      <c r="BG1141" s="418"/>
      <c r="BH1141" s="418"/>
      <c r="BI1141" s="418"/>
      <c r="BJ1141" s="418"/>
      <c r="BK1141" s="418"/>
      <c r="BL1141" s="418"/>
      <c r="BM1141" s="418"/>
      <c r="BN1141" s="418"/>
      <c r="BO1141" s="418"/>
      <c r="BP1141" s="418"/>
      <c r="BQ1141" s="418"/>
      <c r="BR1141" s="418"/>
      <c r="BS1141" s="418"/>
      <c r="BT1141" s="418"/>
      <c r="BU1141" s="418"/>
      <c r="BV1141" s="418"/>
      <c r="BW1141" s="418"/>
      <c r="BX1141" s="418"/>
      <c r="BY1141" s="418"/>
      <c r="BZ1141" s="418"/>
      <c r="CA1141" s="418"/>
      <c r="CB1141" s="418"/>
      <c r="CC1141" s="418"/>
      <c r="CD1141" s="418"/>
      <c r="CE1141" s="418"/>
      <c r="CF1141" s="418"/>
      <c r="CG1141" s="418"/>
      <c r="CH1141" s="418"/>
      <c r="CI1141" s="418"/>
      <c r="CJ1141" s="418"/>
      <c r="CK1141" s="418"/>
      <c r="CL1141" s="418"/>
      <c r="CM1141" s="418"/>
      <c r="CN1141" s="418"/>
      <c r="CO1141" s="418"/>
      <c r="CR1141" s="418"/>
      <c r="CS1141" s="418"/>
      <c r="CT1141" s="418"/>
      <c r="CU1141" s="418"/>
      <c r="CV1141" s="418"/>
      <c r="CW1141" s="418"/>
      <c r="CX1141" s="418"/>
      <c r="CY1141" s="418"/>
      <c r="CZ1141" s="418"/>
      <c r="DA1141" s="418"/>
      <c r="DB1141" s="418"/>
      <c r="DC1141" s="418"/>
      <c r="DD1141" s="418"/>
      <c r="DE1141" s="418"/>
      <c r="DF1141" s="418"/>
      <c r="DG1141" s="418"/>
      <c r="DH1141" s="418"/>
      <c r="DI1141" s="418"/>
      <c r="DJ1141" s="418"/>
      <c r="DK1141" s="418"/>
      <c r="DL1141" s="418"/>
      <c r="DM1141" s="418"/>
      <c r="DN1141" s="418"/>
      <c r="DO1141" s="418"/>
      <c r="DP1141" s="418"/>
      <c r="DQ1141" s="418"/>
      <c r="DR1141" s="418"/>
      <c r="DS1141" s="418"/>
      <c r="DT1141" s="418"/>
      <c r="DU1141" s="418"/>
      <c r="DV1141" s="418"/>
      <c r="DW1141" s="418"/>
      <c r="DX1141" s="418"/>
      <c r="DY1141" s="418"/>
      <c r="DZ1141" s="418"/>
      <c r="EA1141" s="418"/>
      <c r="EB1141" s="418"/>
      <c r="EC1141" s="418"/>
      <c r="ED1141" s="418"/>
      <c r="EE1141" s="418"/>
      <c r="EF1141" s="418"/>
      <c r="EG1141" s="418"/>
      <c r="EH1141" s="418"/>
      <c r="EI1141" s="418"/>
      <c r="EJ1141" s="418"/>
      <c r="EK1141" s="418"/>
      <c r="EL1141" s="418"/>
      <c r="EM1141" s="418"/>
      <c r="EN1141" s="418"/>
      <c r="EO1141" s="418"/>
      <c r="EP1141" s="418"/>
      <c r="EQ1141" s="418"/>
      <c r="ER1141" s="418"/>
      <c r="ES1141" s="418"/>
      <c r="ET1141" s="418"/>
      <c r="EU1141" s="418"/>
      <c r="EV1141" s="418"/>
      <c r="EW1141" s="418"/>
      <c r="EX1141" s="418"/>
      <c r="EY1141" s="418"/>
      <c r="EZ1141" s="418"/>
      <c r="FA1141" s="418"/>
      <c r="FB1141" s="418"/>
      <c r="FC1141" s="418"/>
    </row>
    <row r="1142" spans="3:159" hidden="1">
      <c r="C1142" s="263"/>
      <c r="D1142" s="269"/>
      <c r="E1142" s="269"/>
      <c r="F1142" s="269"/>
      <c r="G1142" s="269"/>
      <c r="H1142" s="269"/>
      <c r="I1142" s="269"/>
      <c r="J1142" s="269"/>
      <c r="K1142" s="269"/>
      <c r="L1142" s="269"/>
      <c r="M1142" s="269"/>
      <c r="N1142" s="269"/>
      <c r="O1142" s="269"/>
      <c r="P1142" s="269"/>
      <c r="Q1142" s="269"/>
      <c r="R1142" s="269"/>
      <c r="S1142" s="269"/>
      <c r="T1142" s="269"/>
      <c r="U1142" s="269"/>
      <c r="V1142" s="269"/>
      <c r="W1142" s="302"/>
      <c r="X1142" s="302"/>
      <c r="Y1142" s="302"/>
      <c r="Z1142" s="302"/>
      <c r="AA1142" s="302"/>
      <c r="AB1142" s="302"/>
      <c r="AC1142" s="302"/>
      <c r="AD1142" s="302"/>
      <c r="AE1142" s="302"/>
      <c r="AF1142" s="302"/>
      <c r="AG1142" s="302"/>
      <c r="AO1142" s="338"/>
      <c r="AP1142" s="449"/>
      <c r="AR1142" s="449"/>
      <c r="AS1142" s="449"/>
      <c r="BA1142" s="302"/>
      <c r="BB1142" s="302"/>
      <c r="BC1142" s="302"/>
      <c r="BD1142" s="302"/>
      <c r="BE1142" s="302"/>
      <c r="BF1142" s="302"/>
      <c r="BG1142" s="302"/>
      <c r="BH1142" s="302"/>
      <c r="BI1142" s="302"/>
      <c r="BJ1142" s="302"/>
      <c r="BK1142" s="302"/>
      <c r="BL1142" s="302"/>
      <c r="BM1142" s="302"/>
      <c r="BN1142" s="302"/>
      <c r="BO1142" s="302"/>
      <c r="BP1142" s="302"/>
      <c r="BQ1142" s="302"/>
      <c r="BR1142" s="302"/>
      <c r="BS1142" s="302"/>
      <c r="BT1142" s="302"/>
      <c r="BU1142" s="302"/>
      <c r="BV1142" s="302"/>
      <c r="BW1142" s="302"/>
      <c r="BX1142" s="302"/>
      <c r="BY1142" s="302"/>
      <c r="BZ1142" s="302"/>
      <c r="CA1142" s="302"/>
      <c r="CB1142" s="302"/>
      <c r="CC1142" s="302"/>
      <c r="CD1142" s="302"/>
      <c r="CE1142" s="302"/>
      <c r="CF1142" s="302"/>
      <c r="CG1142" s="302"/>
      <c r="CH1142" s="302"/>
      <c r="CI1142" s="302"/>
      <c r="CJ1142" s="302"/>
      <c r="CK1142" s="302"/>
      <c r="CL1142" s="302"/>
      <c r="CM1142" s="302"/>
      <c r="CN1142" s="302"/>
      <c r="CO1142" s="302"/>
      <c r="CR1142" s="302"/>
      <c r="CS1142" s="302"/>
      <c r="CT1142" s="302"/>
      <c r="CU1142" s="302"/>
      <c r="CV1142" s="302"/>
      <c r="CW1142" s="302"/>
      <c r="CX1142" s="302"/>
      <c r="CY1142" s="302"/>
      <c r="CZ1142" s="302"/>
      <c r="DA1142" s="302"/>
      <c r="DB1142" s="302"/>
      <c r="DC1142" s="302"/>
      <c r="DD1142" s="302"/>
      <c r="DE1142" s="302"/>
      <c r="DF1142" s="302"/>
      <c r="DG1142" s="302"/>
      <c r="DH1142" s="302"/>
      <c r="DI1142" s="302"/>
      <c r="DJ1142" s="302"/>
      <c r="DK1142" s="302"/>
      <c r="DL1142" s="302"/>
      <c r="DM1142" s="302"/>
      <c r="DN1142" s="302"/>
      <c r="DO1142" s="302"/>
      <c r="DP1142" s="302"/>
      <c r="DQ1142" s="302"/>
      <c r="DR1142" s="302"/>
      <c r="DS1142" s="302"/>
      <c r="DT1142" s="302"/>
      <c r="DU1142" s="302"/>
      <c r="DV1142" s="302"/>
      <c r="DW1142" s="302"/>
      <c r="DX1142" s="302"/>
      <c r="DY1142" s="302"/>
      <c r="DZ1142" s="302"/>
      <c r="EA1142" s="302"/>
      <c r="EB1142" s="302"/>
      <c r="EC1142" s="302"/>
      <c r="ED1142" s="302"/>
      <c r="EE1142" s="302"/>
      <c r="EF1142" s="302"/>
      <c r="EG1142" s="302"/>
      <c r="EH1142" s="302"/>
      <c r="EI1142" s="302"/>
      <c r="EJ1142" s="302"/>
      <c r="EK1142" s="302"/>
      <c r="EL1142" s="302"/>
      <c r="EM1142" s="302"/>
      <c r="EN1142" s="302"/>
      <c r="EO1142" s="302"/>
      <c r="EP1142" s="302"/>
      <c r="EQ1142" s="302"/>
      <c r="ER1142" s="302"/>
      <c r="ES1142" s="302"/>
      <c r="ET1142" s="302"/>
      <c r="EU1142" s="302"/>
      <c r="EV1142" s="302"/>
      <c r="EW1142" s="302"/>
      <c r="EX1142" s="302"/>
      <c r="EY1142" s="302"/>
      <c r="EZ1142" s="302"/>
      <c r="FA1142" s="302"/>
      <c r="FB1142" s="302"/>
      <c r="FC1142" s="302"/>
    </row>
    <row r="1143" spans="3:159" hidden="1">
      <c r="C1143" s="424" t="s">
        <v>1326</v>
      </c>
      <c r="D1143" s="257"/>
      <c r="E1143" s="257"/>
      <c r="F1143" s="257"/>
      <c r="G1143" s="257"/>
      <c r="H1143" s="257"/>
      <c r="I1143" s="257"/>
      <c r="J1143" s="257"/>
      <c r="K1143" s="257"/>
      <c r="L1143" s="257"/>
      <c r="M1143" s="257"/>
      <c r="N1143" s="257"/>
      <c r="O1143" s="257"/>
      <c r="P1143" s="257"/>
      <c r="Q1143" s="257"/>
      <c r="R1143" s="257"/>
      <c r="S1143" s="257"/>
      <c r="T1143" s="257"/>
      <c r="U1143" s="257"/>
      <c r="V1143" s="257"/>
      <c r="W1143" s="257"/>
      <c r="X1143" s="257"/>
      <c r="Y1143" s="257"/>
      <c r="Z1143" s="257"/>
      <c r="AA1143" s="257"/>
      <c r="AB1143" s="257"/>
      <c r="AC1143" s="257"/>
      <c r="AD1143" s="257"/>
      <c r="AE1143" s="257"/>
      <c r="AF1143" s="257"/>
      <c r="AG1143" s="257"/>
      <c r="AO1143" s="338"/>
      <c r="AP1143" s="449"/>
      <c r="AR1143" s="449"/>
      <c r="AS1143" s="449"/>
      <c r="BA1143" s="257"/>
      <c r="BB1143" s="257"/>
      <c r="BC1143" s="257"/>
      <c r="BD1143" s="257"/>
      <c r="BE1143" s="257"/>
      <c r="BF1143" s="257"/>
      <c r="BG1143" s="257"/>
      <c r="BH1143" s="257"/>
      <c r="BI1143" s="257"/>
      <c r="BJ1143" s="257"/>
      <c r="BK1143" s="257"/>
      <c r="BL1143" s="257"/>
      <c r="BM1143" s="257"/>
      <c r="BN1143" s="257"/>
      <c r="BO1143" s="257"/>
      <c r="BP1143" s="257"/>
      <c r="BQ1143" s="257"/>
      <c r="BR1143" s="257"/>
      <c r="BS1143" s="257"/>
      <c r="BT1143" s="257"/>
      <c r="BU1143" s="257"/>
      <c r="BV1143" s="257"/>
      <c r="BW1143" s="257"/>
      <c r="BX1143" s="257"/>
      <c r="BY1143" s="257"/>
      <c r="BZ1143" s="257"/>
      <c r="CA1143" s="257"/>
      <c r="CB1143" s="257"/>
      <c r="CC1143" s="257"/>
      <c r="CD1143" s="257"/>
      <c r="CE1143" s="257"/>
      <c r="CF1143" s="257"/>
      <c r="CG1143" s="257"/>
      <c r="CH1143" s="257"/>
      <c r="CI1143" s="257"/>
      <c r="CJ1143" s="257"/>
      <c r="CK1143" s="257"/>
      <c r="CL1143" s="257"/>
      <c r="CM1143" s="257"/>
      <c r="CN1143" s="257"/>
      <c r="CO1143" s="302"/>
      <c r="CR1143" s="257"/>
      <c r="CS1143" s="257"/>
      <c r="CT1143" s="257"/>
      <c r="CU1143" s="257"/>
      <c r="CV1143" s="257"/>
      <c r="CW1143" s="257"/>
      <c r="CX1143" s="257"/>
      <c r="CY1143" s="257"/>
      <c r="CZ1143" s="257"/>
      <c r="DA1143" s="257"/>
      <c r="DB1143" s="257"/>
      <c r="DC1143" s="257"/>
      <c r="DD1143" s="257"/>
      <c r="DE1143" s="257"/>
      <c r="DF1143" s="257"/>
      <c r="DG1143" s="257"/>
      <c r="DH1143" s="257"/>
      <c r="DI1143" s="257"/>
      <c r="DJ1143" s="257"/>
      <c r="DK1143" s="257"/>
      <c r="DL1143" s="257"/>
      <c r="DM1143" s="257"/>
      <c r="DN1143" s="257"/>
      <c r="DO1143" s="257"/>
      <c r="DP1143" s="257"/>
      <c r="DQ1143" s="257"/>
      <c r="DR1143" s="257"/>
      <c r="DS1143" s="257"/>
      <c r="DT1143" s="257"/>
      <c r="DU1143" s="257"/>
      <c r="DV1143" s="257"/>
      <c r="DW1143" s="257"/>
      <c r="DX1143" s="257"/>
      <c r="DY1143" s="257"/>
      <c r="DZ1143" s="257"/>
      <c r="EA1143" s="257"/>
      <c r="EB1143" s="257"/>
      <c r="EC1143" s="257"/>
      <c r="ED1143" s="257"/>
      <c r="EE1143" s="257"/>
      <c r="EF1143" s="257"/>
      <c r="EG1143" s="257"/>
      <c r="EH1143" s="257"/>
      <c r="EI1143" s="257"/>
      <c r="EJ1143" s="257"/>
      <c r="EK1143" s="257"/>
      <c r="EL1143" s="257"/>
      <c r="EM1143" s="257"/>
      <c r="EN1143" s="257"/>
      <c r="EO1143" s="257"/>
      <c r="EP1143" s="257"/>
      <c r="EQ1143" s="257"/>
      <c r="ER1143" s="257"/>
      <c r="ES1143" s="257"/>
      <c r="ET1143" s="257"/>
      <c r="EU1143" s="257"/>
      <c r="EV1143" s="257"/>
      <c r="EW1143" s="257"/>
      <c r="EX1143" s="257"/>
      <c r="EY1143" s="257"/>
      <c r="EZ1143" s="257"/>
      <c r="FA1143" s="257"/>
      <c r="FB1143" s="257"/>
      <c r="FC1143" s="257"/>
    </row>
    <row r="1144" spans="3:159" hidden="1">
      <c r="C1144" s="213" t="s">
        <v>1278</v>
      </c>
      <c r="D1144" s="302"/>
      <c r="E1144" s="302"/>
      <c r="F1144" s="302"/>
      <c r="G1144" s="302"/>
      <c r="H1144" s="302"/>
      <c r="I1144" s="302"/>
      <c r="J1144" s="302"/>
      <c r="K1144" s="302"/>
      <c r="L1144" s="302"/>
      <c r="M1144" s="302"/>
      <c r="N1144" s="302"/>
      <c r="O1144" s="302"/>
      <c r="P1144" s="302"/>
      <c r="Q1144" s="302"/>
      <c r="R1144" s="302"/>
      <c r="S1144" s="302"/>
      <c r="T1144" s="302"/>
      <c r="U1144" s="418">
        <v>6.0653676932746592E-2</v>
      </c>
      <c r="V1144" s="418">
        <v>-1.0370370370370363E-2</v>
      </c>
      <c r="W1144" s="418">
        <v>0.26796935733919081</v>
      </c>
      <c r="X1144" s="418">
        <v>-0.27928251121076253</v>
      </c>
      <c r="Y1144" s="418">
        <v>-7.9999999999999849E-2</v>
      </c>
      <c r="Z1144" s="418">
        <v>0.1100000000000001</v>
      </c>
      <c r="AA1144" s="418">
        <v>0.12000000000000011</v>
      </c>
      <c r="AB1144" s="418">
        <v>5.0000000000000044E-2</v>
      </c>
      <c r="AC1144" s="418">
        <v>3.9535230490566953E-2</v>
      </c>
      <c r="AD1144" s="418">
        <v>3.7795297663764771E-2</v>
      </c>
      <c r="AE1144" s="418">
        <v>3.7795297663764771E-2</v>
      </c>
      <c r="AF1144" s="418">
        <v>3.7795297663764771E-2</v>
      </c>
      <c r="AG1144" s="418"/>
      <c r="AO1144" s="338"/>
      <c r="AP1144" s="449"/>
      <c r="AR1144" s="449"/>
      <c r="AS1144" s="449"/>
      <c r="BA1144" s="418"/>
      <c r="BB1144" s="418"/>
      <c r="BC1144" s="418"/>
      <c r="BD1144" s="418"/>
      <c r="BE1144" s="418"/>
      <c r="BF1144" s="418"/>
      <c r="BG1144" s="418"/>
      <c r="BH1144" s="418"/>
      <c r="BI1144" s="418"/>
      <c r="BJ1144" s="418"/>
      <c r="BK1144" s="418"/>
      <c r="BL1144" s="418"/>
      <c r="BM1144" s="418"/>
      <c r="BN1144" s="418"/>
      <c r="BO1144" s="418"/>
      <c r="BP1144" s="418"/>
      <c r="BQ1144" s="418"/>
      <c r="BR1144" s="418"/>
      <c r="BS1144" s="418"/>
      <c r="BT1144" s="418"/>
      <c r="BU1144" s="418"/>
      <c r="BV1144" s="418"/>
      <c r="BW1144" s="418"/>
      <c r="BX1144" s="418"/>
      <c r="BY1144" s="418"/>
      <c r="BZ1144" s="418"/>
      <c r="CA1144" s="418"/>
      <c r="CB1144" s="418"/>
      <c r="CC1144" s="418"/>
      <c r="CD1144" s="418"/>
      <c r="CE1144" s="418"/>
      <c r="CF1144" s="418"/>
      <c r="CG1144" s="418"/>
      <c r="CH1144" s="418"/>
      <c r="CI1144" s="418"/>
      <c r="CJ1144" s="418"/>
      <c r="CK1144" s="418"/>
      <c r="CL1144" s="418"/>
      <c r="CM1144" s="418"/>
      <c r="CN1144" s="418"/>
      <c r="CO1144" s="418"/>
      <c r="CR1144" s="418"/>
      <c r="CS1144" s="418"/>
      <c r="CT1144" s="418"/>
      <c r="CU1144" s="418"/>
      <c r="CV1144" s="418"/>
      <c r="CW1144" s="418"/>
      <c r="CX1144" s="418"/>
      <c r="CY1144" s="418"/>
      <c r="CZ1144" s="418"/>
      <c r="DA1144" s="418"/>
      <c r="DB1144" s="418"/>
      <c r="DC1144" s="418"/>
      <c r="DD1144" s="418"/>
      <c r="DE1144" s="418"/>
      <c r="DF1144" s="418"/>
      <c r="DG1144" s="418"/>
      <c r="DH1144" s="418"/>
      <c r="DI1144" s="418"/>
      <c r="DJ1144" s="418"/>
      <c r="DK1144" s="418"/>
      <c r="DL1144" s="418"/>
      <c r="DM1144" s="418"/>
      <c r="DN1144" s="418"/>
      <c r="DO1144" s="418"/>
      <c r="DP1144" s="418"/>
      <c r="DQ1144" s="418"/>
      <c r="DR1144" s="418"/>
      <c r="DS1144" s="418"/>
      <c r="DT1144" s="418"/>
      <c r="DU1144" s="418"/>
      <c r="DV1144" s="418"/>
      <c r="DW1144" s="418"/>
      <c r="DX1144" s="418"/>
      <c r="DY1144" s="418"/>
      <c r="DZ1144" s="418"/>
      <c r="EA1144" s="418"/>
      <c r="EB1144" s="418"/>
      <c r="EC1144" s="418"/>
      <c r="ED1144" s="418"/>
      <c r="EE1144" s="418"/>
      <c r="EF1144" s="418"/>
      <c r="EG1144" s="418"/>
      <c r="EH1144" s="418"/>
      <c r="EI1144" s="418"/>
      <c r="EJ1144" s="418"/>
      <c r="EK1144" s="418"/>
      <c r="EL1144" s="418"/>
      <c r="EM1144" s="418"/>
      <c r="EN1144" s="418"/>
      <c r="EO1144" s="418"/>
      <c r="EP1144" s="418"/>
      <c r="EQ1144" s="418"/>
      <c r="ER1144" s="418"/>
      <c r="ES1144" s="418"/>
      <c r="ET1144" s="418"/>
      <c r="EU1144" s="418"/>
      <c r="EV1144" s="418"/>
      <c r="EW1144" s="418"/>
      <c r="EX1144" s="418"/>
      <c r="EY1144" s="418"/>
      <c r="EZ1144" s="418"/>
      <c r="FA1144" s="418"/>
      <c r="FB1144" s="418"/>
      <c r="FC1144" s="418"/>
    </row>
    <row r="1145" spans="3:159" hidden="1">
      <c r="C1145" s="213" t="s">
        <v>1023</v>
      </c>
      <c r="D1145" s="302"/>
      <c r="E1145" s="302"/>
      <c r="F1145" s="302"/>
      <c r="G1145" s="302"/>
      <c r="H1145" s="302"/>
      <c r="I1145" s="302"/>
      <c r="J1145" s="302"/>
      <c r="K1145" s="302"/>
      <c r="L1145" s="302"/>
      <c r="M1145" s="302"/>
      <c r="N1145" s="302"/>
      <c r="O1145" s="302"/>
      <c r="P1145" s="302"/>
      <c r="Q1145" s="302"/>
      <c r="R1145" s="302"/>
      <c r="S1145" s="302"/>
      <c r="T1145" s="302"/>
      <c r="U1145" s="418">
        <v>2.1406727828746197E-2</v>
      </c>
      <c r="V1145" s="418">
        <v>7.065868263473063E-2</v>
      </c>
      <c r="W1145" s="418">
        <v>9.3597612477777758E-2</v>
      </c>
      <c r="X1145" s="418">
        <v>-0.51747516328200427</v>
      </c>
      <c r="Y1145" s="418">
        <v>-0.13166547253671268</v>
      </c>
      <c r="Z1145" s="418">
        <v>0.26247525661407201</v>
      </c>
      <c r="AA1145" s="418">
        <v>8.8150042840061005E-2</v>
      </c>
      <c r="AB1145" s="418">
        <v>8.8814633379285191E-2</v>
      </c>
      <c r="AC1145" s="418">
        <v>8.960176343137749E-2</v>
      </c>
      <c r="AD1145" s="418">
        <v>9.0507761022379007E-2</v>
      </c>
      <c r="AE1145" s="418">
        <v>9.0507761022379007E-2</v>
      </c>
      <c r="AF1145" s="418">
        <v>9.0507761022379007E-2</v>
      </c>
      <c r="AG1145" s="418"/>
      <c r="AO1145" s="338"/>
      <c r="AP1145" s="449"/>
      <c r="AR1145" s="449"/>
      <c r="AS1145" s="449"/>
      <c r="BA1145" s="418"/>
      <c r="BB1145" s="418"/>
      <c r="BC1145" s="418"/>
      <c r="BD1145" s="418"/>
      <c r="BE1145" s="418"/>
      <c r="BF1145" s="418"/>
      <c r="BG1145" s="418"/>
      <c r="BH1145" s="418"/>
      <c r="BI1145" s="418"/>
      <c r="BJ1145" s="418"/>
      <c r="BK1145" s="418"/>
      <c r="BL1145" s="418"/>
      <c r="BM1145" s="418"/>
      <c r="BN1145" s="418"/>
      <c r="BO1145" s="418"/>
      <c r="BP1145" s="418"/>
      <c r="BQ1145" s="418"/>
      <c r="BR1145" s="418"/>
      <c r="BS1145" s="418"/>
      <c r="BT1145" s="418"/>
      <c r="BU1145" s="418"/>
      <c r="BV1145" s="418"/>
      <c r="BW1145" s="418"/>
      <c r="BX1145" s="418"/>
      <c r="BY1145" s="418"/>
      <c r="BZ1145" s="418"/>
      <c r="CA1145" s="418"/>
      <c r="CB1145" s="418"/>
      <c r="CC1145" s="418"/>
      <c r="CD1145" s="418"/>
      <c r="CE1145" s="418"/>
      <c r="CF1145" s="418"/>
      <c r="CG1145" s="418"/>
      <c r="CH1145" s="418"/>
      <c r="CI1145" s="418"/>
      <c r="CJ1145" s="418"/>
      <c r="CK1145" s="418"/>
      <c r="CL1145" s="418"/>
      <c r="CM1145" s="418"/>
      <c r="CN1145" s="418"/>
      <c r="CO1145" s="418"/>
      <c r="CR1145" s="418"/>
      <c r="CS1145" s="418"/>
      <c r="CT1145" s="418"/>
      <c r="CU1145" s="418"/>
      <c r="CV1145" s="418"/>
      <c r="CW1145" s="418"/>
      <c r="CX1145" s="418"/>
      <c r="CY1145" s="418"/>
      <c r="CZ1145" s="418"/>
      <c r="DA1145" s="418"/>
      <c r="DB1145" s="418"/>
      <c r="DC1145" s="418"/>
      <c r="DD1145" s="418"/>
      <c r="DE1145" s="418"/>
      <c r="DF1145" s="418"/>
      <c r="DG1145" s="418"/>
      <c r="DH1145" s="418"/>
      <c r="DI1145" s="418"/>
      <c r="DJ1145" s="418"/>
      <c r="DK1145" s="418"/>
      <c r="DL1145" s="418"/>
      <c r="DM1145" s="418"/>
      <c r="DN1145" s="418"/>
      <c r="DO1145" s="418"/>
      <c r="DP1145" s="418"/>
      <c r="DQ1145" s="418"/>
      <c r="DR1145" s="418"/>
      <c r="DS1145" s="418"/>
      <c r="DT1145" s="418"/>
      <c r="DU1145" s="418"/>
      <c r="DV1145" s="418"/>
      <c r="DW1145" s="418"/>
      <c r="DX1145" s="418"/>
      <c r="DY1145" s="418"/>
      <c r="DZ1145" s="418"/>
      <c r="EA1145" s="418"/>
      <c r="EB1145" s="418"/>
      <c r="EC1145" s="418"/>
      <c r="ED1145" s="418"/>
      <c r="EE1145" s="418"/>
      <c r="EF1145" s="418"/>
      <c r="EG1145" s="418"/>
      <c r="EH1145" s="418"/>
      <c r="EI1145" s="418"/>
      <c r="EJ1145" s="418"/>
      <c r="EK1145" s="418"/>
      <c r="EL1145" s="418"/>
      <c r="EM1145" s="418"/>
      <c r="EN1145" s="418"/>
      <c r="EO1145" s="418"/>
      <c r="EP1145" s="418"/>
      <c r="EQ1145" s="418"/>
      <c r="ER1145" s="418"/>
      <c r="ES1145" s="418"/>
      <c r="ET1145" s="418"/>
      <c r="EU1145" s="418"/>
      <c r="EV1145" s="418"/>
      <c r="EW1145" s="418"/>
      <c r="EX1145" s="418"/>
      <c r="EY1145" s="418"/>
      <c r="EZ1145" s="418"/>
      <c r="FA1145" s="418"/>
      <c r="FB1145" s="418"/>
      <c r="FC1145" s="418"/>
    </row>
    <row r="1146" spans="3:159" hidden="1">
      <c r="C1146" s="213" t="s">
        <v>1279</v>
      </c>
      <c r="D1146" s="302"/>
      <c r="E1146" s="302"/>
      <c r="F1146" s="302"/>
      <c r="G1146" s="302"/>
      <c r="H1146" s="302"/>
      <c r="I1146" s="302"/>
      <c r="J1146" s="302"/>
      <c r="K1146" s="302"/>
      <c r="L1146" s="302"/>
      <c r="M1146" s="302"/>
      <c r="N1146" s="302"/>
      <c r="O1146" s="302"/>
      <c r="P1146" s="302"/>
      <c r="Q1146" s="302"/>
      <c r="R1146" s="302"/>
      <c r="S1146" s="302"/>
      <c r="T1146" s="302"/>
      <c r="U1146" s="418">
        <v>-0.34451219512195119</v>
      </c>
      <c r="V1146" s="418">
        <v>-0.34883720930232553</v>
      </c>
      <c r="W1146" s="418">
        <v>0</v>
      </c>
      <c r="X1146" s="418">
        <v>0</v>
      </c>
      <c r="Y1146" s="418">
        <v>0</v>
      </c>
      <c r="Z1146" s="418">
        <v>0</v>
      </c>
      <c r="AA1146" s="418">
        <v>0</v>
      </c>
      <c r="AB1146" s="418">
        <v>0</v>
      </c>
      <c r="AC1146" s="418">
        <v>0</v>
      </c>
      <c r="AD1146" s="418">
        <v>0</v>
      </c>
      <c r="AE1146" s="418">
        <v>0</v>
      </c>
      <c r="AF1146" s="418">
        <v>0</v>
      </c>
      <c r="AG1146" s="418"/>
      <c r="AO1146" s="338"/>
      <c r="AP1146" s="449"/>
      <c r="AR1146" s="449"/>
      <c r="AS1146" s="449"/>
      <c r="BA1146" s="418"/>
      <c r="BB1146" s="418"/>
      <c r="BC1146" s="418"/>
      <c r="BD1146" s="418"/>
      <c r="BE1146" s="418"/>
      <c r="BF1146" s="418"/>
      <c r="BG1146" s="418"/>
      <c r="BH1146" s="418"/>
      <c r="BI1146" s="418"/>
      <c r="BJ1146" s="418"/>
      <c r="BK1146" s="418"/>
      <c r="BL1146" s="418"/>
      <c r="BM1146" s="418"/>
      <c r="BN1146" s="418"/>
      <c r="BO1146" s="418"/>
      <c r="BP1146" s="418"/>
      <c r="BQ1146" s="418"/>
      <c r="BR1146" s="418"/>
      <c r="BS1146" s="418"/>
      <c r="BT1146" s="418"/>
      <c r="BU1146" s="418"/>
      <c r="BV1146" s="418"/>
      <c r="BW1146" s="418"/>
      <c r="BX1146" s="418"/>
      <c r="BY1146" s="418"/>
      <c r="BZ1146" s="418"/>
      <c r="CA1146" s="418"/>
      <c r="CB1146" s="418"/>
      <c r="CC1146" s="418"/>
      <c r="CD1146" s="418"/>
      <c r="CE1146" s="418"/>
      <c r="CF1146" s="418"/>
      <c r="CG1146" s="418"/>
      <c r="CH1146" s="418"/>
      <c r="CI1146" s="418"/>
      <c r="CJ1146" s="418"/>
      <c r="CK1146" s="418"/>
      <c r="CL1146" s="418"/>
      <c r="CM1146" s="418"/>
      <c r="CN1146" s="418"/>
      <c r="CO1146" s="418"/>
      <c r="CR1146" s="418"/>
      <c r="CS1146" s="418"/>
      <c r="CT1146" s="418"/>
      <c r="CU1146" s="418"/>
      <c r="CV1146" s="418"/>
      <c r="CW1146" s="418"/>
      <c r="CX1146" s="418"/>
      <c r="CY1146" s="418"/>
      <c r="CZ1146" s="418"/>
      <c r="DA1146" s="418"/>
      <c r="DB1146" s="418"/>
      <c r="DC1146" s="418"/>
      <c r="DD1146" s="418"/>
      <c r="DE1146" s="418"/>
      <c r="DF1146" s="418"/>
      <c r="DG1146" s="418"/>
      <c r="DH1146" s="418"/>
      <c r="DI1146" s="418"/>
      <c r="DJ1146" s="418"/>
      <c r="DK1146" s="418"/>
      <c r="DL1146" s="418"/>
      <c r="DM1146" s="418"/>
      <c r="DN1146" s="418"/>
      <c r="DO1146" s="418"/>
      <c r="DP1146" s="418"/>
      <c r="DQ1146" s="418"/>
      <c r="DR1146" s="418"/>
      <c r="DS1146" s="418"/>
      <c r="DT1146" s="418"/>
      <c r="DU1146" s="418"/>
      <c r="DV1146" s="418"/>
      <c r="DW1146" s="418"/>
      <c r="DX1146" s="418"/>
      <c r="DY1146" s="418"/>
      <c r="DZ1146" s="418"/>
      <c r="EA1146" s="418"/>
      <c r="EB1146" s="418"/>
      <c r="EC1146" s="418"/>
      <c r="ED1146" s="418"/>
      <c r="EE1146" s="418"/>
      <c r="EF1146" s="418"/>
      <c r="EG1146" s="418"/>
      <c r="EH1146" s="418"/>
      <c r="EI1146" s="418"/>
      <c r="EJ1146" s="418"/>
      <c r="EK1146" s="418"/>
      <c r="EL1146" s="418"/>
      <c r="EM1146" s="418"/>
      <c r="EN1146" s="418"/>
      <c r="EO1146" s="418"/>
      <c r="EP1146" s="418"/>
      <c r="EQ1146" s="418"/>
      <c r="ER1146" s="418"/>
      <c r="ES1146" s="418"/>
      <c r="ET1146" s="418"/>
      <c r="EU1146" s="418"/>
      <c r="EV1146" s="418"/>
      <c r="EW1146" s="418"/>
      <c r="EX1146" s="418"/>
      <c r="EY1146" s="418"/>
      <c r="EZ1146" s="418"/>
      <c r="FA1146" s="418"/>
      <c r="FB1146" s="418"/>
      <c r="FC1146" s="418"/>
    </row>
    <row r="1147" spans="3:159" hidden="1">
      <c r="C1147" s="266" t="s">
        <v>989</v>
      </c>
      <c r="D1147" s="269"/>
      <c r="E1147" s="269"/>
      <c r="F1147" s="269"/>
      <c r="G1147" s="269"/>
      <c r="H1147" s="269"/>
      <c r="I1147" s="269"/>
      <c r="J1147" s="269"/>
      <c r="K1147" s="269"/>
      <c r="L1147" s="269"/>
      <c r="M1147" s="271"/>
      <c r="N1147" s="271"/>
      <c r="O1147" s="271"/>
      <c r="P1147" s="271"/>
      <c r="Q1147" s="271"/>
      <c r="R1147" s="271"/>
      <c r="S1147" s="271"/>
      <c r="T1147" s="434">
        <v>6.6065491405744997E-2</v>
      </c>
      <c r="U1147" s="434">
        <v>0.24785293958435586</v>
      </c>
      <c r="V1147" s="434">
        <v>0</v>
      </c>
      <c r="W1147" s="434">
        <v>2.2193842150930675E-3</v>
      </c>
      <c r="X1147" s="434">
        <v>1.3374281156122963E-3</v>
      </c>
      <c r="Y1147" s="434">
        <v>3.1891192032851784E-3</v>
      </c>
      <c r="Z1147" s="434">
        <v>3.5999063761288719E-3</v>
      </c>
      <c r="AA1147" s="434">
        <v>2.9844220192772842E-3</v>
      </c>
      <c r="AB1147" s="434">
        <v>2.797712464236228E-3</v>
      </c>
      <c r="AC1147" s="434">
        <v>0</v>
      </c>
      <c r="AD1147" s="434">
        <v>0</v>
      </c>
      <c r="AE1147" s="434">
        <v>0</v>
      </c>
      <c r="AF1147" s="434">
        <v>0</v>
      </c>
      <c r="AG1147" s="434"/>
      <c r="AO1147" s="338"/>
      <c r="AP1147" s="449"/>
      <c r="AR1147" s="449"/>
      <c r="AS1147" s="449"/>
      <c r="BA1147" s="434"/>
      <c r="BB1147" s="434"/>
      <c r="BC1147" s="434"/>
      <c r="BD1147" s="434"/>
      <c r="BE1147" s="434"/>
      <c r="BF1147" s="434"/>
      <c r="BG1147" s="434"/>
      <c r="BH1147" s="434"/>
      <c r="BI1147" s="434"/>
      <c r="BJ1147" s="434"/>
      <c r="BK1147" s="434"/>
      <c r="BL1147" s="434"/>
      <c r="BM1147" s="434"/>
      <c r="BN1147" s="434"/>
      <c r="BO1147" s="434"/>
      <c r="BP1147" s="434"/>
      <c r="BQ1147" s="434"/>
      <c r="BR1147" s="434"/>
      <c r="BS1147" s="434"/>
      <c r="BT1147" s="434"/>
      <c r="BU1147" s="434"/>
      <c r="BV1147" s="434"/>
      <c r="BW1147" s="434"/>
      <c r="BX1147" s="434"/>
      <c r="BY1147" s="434"/>
      <c r="BZ1147" s="434"/>
      <c r="CA1147" s="434"/>
      <c r="CB1147" s="434"/>
      <c r="CC1147" s="434"/>
      <c r="CD1147" s="434"/>
      <c r="CE1147" s="434"/>
      <c r="CF1147" s="434"/>
      <c r="CG1147" s="434"/>
      <c r="CH1147" s="434"/>
      <c r="CI1147" s="434"/>
      <c r="CJ1147" s="434"/>
      <c r="CK1147" s="434"/>
      <c r="CL1147" s="434"/>
      <c r="CM1147" s="434"/>
      <c r="CN1147" s="434"/>
      <c r="CO1147" s="425"/>
      <c r="CR1147" s="434"/>
      <c r="CS1147" s="434"/>
      <c r="CT1147" s="434"/>
      <c r="CU1147" s="434"/>
      <c r="CV1147" s="434"/>
      <c r="CW1147" s="434"/>
      <c r="CX1147" s="434"/>
      <c r="CY1147" s="434"/>
      <c r="CZ1147" s="434"/>
      <c r="DA1147" s="434"/>
      <c r="DB1147" s="434"/>
      <c r="DC1147" s="434"/>
      <c r="DD1147" s="434"/>
      <c r="DE1147" s="434"/>
      <c r="DF1147" s="434"/>
      <c r="DG1147" s="434"/>
      <c r="DH1147" s="434"/>
      <c r="DI1147" s="434"/>
      <c r="DJ1147" s="434"/>
      <c r="DK1147" s="434"/>
      <c r="DL1147" s="434"/>
      <c r="DM1147" s="434"/>
      <c r="DN1147" s="434"/>
      <c r="DO1147" s="434"/>
      <c r="DP1147" s="434"/>
      <c r="DQ1147" s="434"/>
      <c r="DR1147" s="434"/>
      <c r="DS1147" s="434"/>
      <c r="DT1147" s="434"/>
      <c r="DU1147" s="434"/>
      <c r="DV1147" s="434"/>
      <c r="DW1147" s="434"/>
      <c r="DX1147" s="434"/>
      <c r="DY1147" s="434"/>
      <c r="DZ1147" s="434"/>
      <c r="EA1147" s="434"/>
      <c r="EB1147" s="434"/>
      <c r="EC1147" s="434"/>
      <c r="ED1147" s="434"/>
      <c r="EE1147" s="434"/>
      <c r="EF1147" s="434"/>
      <c r="EG1147" s="434"/>
      <c r="EH1147" s="434"/>
      <c r="EI1147" s="434"/>
      <c r="EJ1147" s="434"/>
      <c r="EK1147" s="434"/>
      <c r="EL1147" s="434"/>
      <c r="EM1147" s="434"/>
      <c r="EN1147" s="434"/>
      <c r="EO1147" s="434"/>
      <c r="EP1147" s="434"/>
      <c r="EQ1147" s="434"/>
      <c r="ER1147" s="434"/>
      <c r="ES1147" s="434"/>
      <c r="ET1147" s="434"/>
      <c r="EU1147" s="434"/>
      <c r="EV1147" s="434"/>
      <c r="EW1147" s="434"/>
      <c r="EX1147" s="434"/>
      <c r="EY1147" s="434"/>
      <c r="EZ1147" s="434"/>
      <c r="FA1147" s="434"/>
      <c r="FB1147" s="434"/>
      <c r="FC1147" s="434"/>
    </row>
    <row r="1148" spans="3:159" hidden="1">
      <c r="C1148" s="263" t="s">
        <v>742</v>
      </c>
      <c r="D1148" s="269"/>
      <c r="E1148" s="269"/>
      <c r="F1148" s="269"/>
      <c r="G1148" s="269"/>
      <c r="H1148" s="269"/>
      <c r="I1148" s="269"/>
      <c r="J1148" s="269"/>
      <c r="K1148" s="269"/>
      <c r="L1148" s="269"/>
      <c r="M1148" s="271">
        <v>-3.1162464985994398E-2</v>
      </c>
      <c r="N1148" s="271">
        <v>2.4213950126490857E-2</v>
      </c>
      <c r="O1148" s="271">
        <v>9.2801693719124945E-2</v>
      </c>
      <c r="P1148" s="271">
        <v>0.191798514691637</v>
      </c>
      <c r="Q1148" s="271">
        <v>0.10837171498238951</v>
      </c>
      <c r="R1148" s="271">
        <v>8.6775849425568374E-2</v>
      </c>
      <c r="S1148" s="271">
        <v>0.11178587494376968</v>
      </c>
      <c r="T1148" s="271">
        <v>4.0865870928585846E-2</v>
      </c>
      <c r="U1148" s="271">
        <v>2.2351797862002032E-2</v>
      </c>
      <c r="V1148" s="271">
        <v>1.5209125475286189E-3</v>
      </c>
      <c r="W1148" s="271">
        <v>0.20166480345921878</v>
      </c>
      <c r="X1148" s="271">
        <v>-0.34098645452322385</v>
      </c>
      <c r="Y1148" s="271">
        <v>-0.11411051564219565</v>
      </c>
      <c r="Z1148" s="271">
        <v>0.20623234679143509</v>
      </c>
      <c r="AA1148" s="271">
        <v>6.6736506137712759E-2</v>
      </c>
      <c r="AB1148" s="271">
        <v>5.4432527923226282E-2</v>
      </c>
      <c r="AC1148" s="271">
        <v>5.3073173044196897E-2</v>
      </c>
      <c r="AD1148" s="271">
        <v>5.016054817601634E-2</v>
      </c>
      <c r="AE1148" s="271">
        <v>5.016054817601634E-2</v>
      </c>
      <c r="AF1148" s="271">
        <v>5.016054817601634E-2</v>
      </c>
      <c r="AG1148" s="271"/>
      <c r="AO1148" s="338"/>
      <c r="AP1148" s="449"/>
      <c r="AR1148" s="449"/>
      <c r="AS1148" s="449"/>
      <c r="BA1148" s="271"/>
      <c r="BB1148" s="271"/>
      <c r="BC1148" s="271"/>
      <c r="BD1148" s="271"/>
      <c r="BE1148" s="271"/>
      <c r="BF1148" s="271"/>
      <c r="BG1148" s="271"/>
      <c r="BH1148" s="271"/>
      <c r="BI1148" s="271"/>
      <c r="BJ1148" s="271"/>
      <c r="BK1148" s="271"/>
      <c r="BL1148" s="271"/>
      <c r="BM1148" s="271"/>
      <c r="BN1148" s="271"/>
      <c r="BO1148" s="271"/>
      <c r="BP1148" s="271"/>
      <c r="BQ1148" s="271"/>
      <c r="BR1148" s="271"/>
      <c r="BS1148" s="271"/>
      <c r="BT1148" s="271"/>
      <c r="BU1148" s="271"/>
      <c r="BV1148" s="271"/>
      <c r="BW1148" s="271"/>
      <c r="BX1148" s="271"/>
      <c r="BY1148" s="271"/>
      <c r="BZ1148" s="271"/>
      <c r="CA1148" s="271"/>
      <c r="CB1148" s="271"/>
      <c r="CC1148" s="271"/>
      <c r="CD1148" s="271"/>
      <c r="CE1148" s="271"/>
      <c r="CF1148" s="271"/>
      <c r="CG1148" s="271"/>
      <c r="CH1148" s="271"/>
      <c r="CI1148" s="271"/>
      <c r="CJ1148" s="271"/>
      <c r="CK1148" s="271"/>
      <c r="CL1148" s="271"/>
      <c r="CM1148" s="271"/>
      <c r="CN1148" s="271"/>
      <c r="CO1148" s="425"/>
      <c r="CR1148" s="271"/>
      <c r="CS1148" s="271"/>
      <c r="CT1148" s="271"/>
      <c r="CU1148" s="271"/>
      <c r="CV1148" s="271"/>
      <c r="CW1148" s="271"/>
      <c r="CX1148" s="271"/>
      <c r="CY1148" s="271"/>
      <c r="CZ1148" s="271"/>
      <c r="DA1148" s="271"/>
      <c r="DB1148" s="271"/>
      <c r="DC1148" s="271"/>
      <c r="DD1148" s="271"/>
      <c r="DE1148" s="271"/>
      <c r="DF1148" s="271"/>
      <c r="DG1148" s="271"/>
      <c r="DH1148" s="271"/>
      <c r="DI1148" s="271"/>
      <c r="DJ1148" s="271"/>
      <c r="DK1148" s="271"/>
      <c r="DL1148" s="271"/>
      <c r="DM1148" s="271"/>
      <c r="DN1148" s="271"/>
      <c r="DO1148" s="271"/>
      <c r="DP1148" s="271"/>
      <c r="DQ1148" s="271"/>
      <c r="DR1148" s="271"/>
      <c r="DS1148" s="271"/>
      <c r="DT1148" s="271"/>
      <c r="DU1148" s="271"/>
      <c r="DV1148" s="271"/>
      <c r="DW1148" s="271"/>
      <c r="DX1148" s="271"/>
      <c r="DY1148" s="271"/>
      <c r="DZ1148" s="271"/>
      <c r="EA1148" s="271"/>
      <c r="EB1148" s="271"/>
      <c r="EC1148" s="271"/>
      <c r="ED1148" s="271"/>
      <c r="EE1148" s="271"/>
      <c r="EF1148" s="271"/>
      <c r="EG1148" s="271"/>
      <c r="EH1148" s="271"/>
      <c r="EI1148" s="271"/>
      <c r="EJ1148" s="271"/>
      <c r="EK1148" s="271"/>
      <c r="EL1148" s="271"/>
      <c r="EM1148" s="271"/>
      <c r="EN1148" s="271"/>
      <c r="EO1148" s="271"/>
      <c r="EP1148" s="271"/>
      <c r="EQ1148" s="271"/>
      <c r="ER1148" s="271"/>
      <c r="ES1148" s="271"/>
      <c r="ET1148" s="271"/>
      <c r="EU1148" s="271"/>
      <c r="EV1148" s="271"/>
      <c r="EW1148" s="271"/>
      <c r="EX1148" s="271"/>
      <c r="EY1148" s="271"/>
      <c r="EZ1148" s="271"/>
      <c r="FA1148" s="271"/>
      <c r="FB1148" s="271"/>
      <c r="FC1148" s="271"/>
    </row>
    <row r="1149" spans="3:159" hidden="1">
      <c r="C1149" s="263" t="s">
        <v>1164</v>
      </c>
      <c r="D1149" s="269"/>
      <c r="E1149" s="269"/>
      <c r="F1149" s="269"/>
      <c r="G1149" s="269"/>
      <c r="H1149" s="269"/>
      <c r="I1149" s="269"/>
      <c r="J1149" s="269"/>
      <c r="K1149" s="264">
        <v>-8.354005545016796E-2</v>
      </c>
      <c r="L1149" s="264">
        <v>-6.7999456004351866E-2</v>
      </c>
      <c r="M1149" s="264">
        <v>5.4798450724429681E-2</v>
      </c>
      <c r="N1149" s="264">
        <v>5.0878118640235392E-2</v>
      </c>
      <c r="O1149" s="264">
        <v>-4.7184717035334778E-2</v>
      </c>
      <c r="P1149" s="264">
        <v>8.3092127223309165E-2</v>
      </c>
      <c r="Q1149" s="264">
        <v>-3.2162505411953868E-2</v>
      </c>
      <c r="R1149" s="264">
        <v>-7.5278530562994384E-5</v>
      </c>
      <c r="S1149" s="264">
        <v>0.1062072181603182</v>
      </c>
      <c r="T1149" s="264">
        <v>6.2974244665205958E-3</v>
      </c>
      <c r="U1149" s="264">
        <v>9.6878318293927013E-3</v>
      </c>
      <c r="V1149" s="264">
        <v>1.3683193818416761E-3</v>
      </c>
      <c r="W1149" s="264">
        <v>1.8292412947854331E-2</v>
      </c>
      <c r="X1149" s="264">
        <v>8.7147882764591067E-3</v>
      </c>
      <c r="Y1149" s="264">
        <v>-1.9004518749681454E-2</v>
      </c>
      <c r="Z1149" s="264">
        <v>3.9046393636960719E-2</v>
      </c>
      <c r="AA1149" s="264">
        <v>4.3219480479472772E-4</v>
      </c>
      <c r="AB1149" s="264">
        <v>-2.5648004921584588E-3</v>
      </c>
      <c r="AC1149" s="264">
        <v>0</v>
      </c>
      <c r="AD1149" s="264">
        <v>0</v>
      </c>
      <c r="AE1149" s="264">
        <v>0</v>
      </c>
      <c r="AF1149" s="264">
        <v>0</v>
      </c>
      <c r="AG1149" s="264"/>
      <c r="AO1149" s="338"/>
      <c r="AP1149" s="449"/>
      <c r="AR1149" s="449"/>
      <c r="AS1149" s="449"/>
      <c r="BA1149" s="264"/>
      <c r="BB1149" s="264"/>
      <c r="BC1149" s="264"/>
      <c r="BD1149" s="264"/>
      <c r="BE1149" s="264"/>
      <c r="BF1149" s="264"/>
      <c r="BG1149" s="264"/>
      <c r="BH1149" s="264"/>
      <c r="BI1149" s="264"/>
      <c r="BJ1149" s="264"/>
      <c r="BK1149" s="264"/>
      <c r="BL1149" s="264"/>
      <c r="BM1149" s="264"/>
      <c r="BN1149" s="264"/>
      <c r="BO1149" s="264"/>
      <c r="BP1149" s="264"/>
      <c r="BQ1149" s="264"/>
      <c r="BR1149" s="264"/>
      <c r="BS1149" s="264"/>
      <c r="BT1149" s="264"/>
      <c r="BU1149" s="264"/>
      <c r="BV1149" s="264"/>
      <c r="BW1149" s="264"/>
      <c r="BX1149" s="264"/>
      <c r="BY1149" s="264"/>
      <c r="BZ1149" s="264"/>
      <c r="CA1149" s="264"/>
      <c r="CB1149" s="264"/>
      <c r="CC1149" s="264"/>
      <c r="CD1149" s="264"/>
      <c r="CE1149" s="264"/>
      <c r="CF1149" s="264"/>
      <c r="CG1149" s="264"/>
      <c r="CH1149" s="264"/>
      <c r="CI1149" s="264"/>
      <c r="CJ1149" s="264"/>
      <c r="CK1149" s="264"/>
      <c r="CL1149" s="264"/>
      <c r="CM1149" s="264"/>
      <c r="CN1149" s="264"/>
      <c r="CO1149" s="265"/>
      <c r="CR1149" s="264"/>
      <c r="CS1149" s="264"/>
      <c r="CT1149" s="264"/>
      <c r="CU1149" s="264"/>
      <c r="CV1149" s="264"/>
      <c r="CW1149" s="264"/>
      <c r="CX1149" s="264"/>
      <c r="CY1149" s="264"/>
      <c r="CZ1149" s="264"/>
      <c r="DA1149" s="264"/>
      <c r="DB1149" s="264"/>
      <c r="DC1149" s="264"/>
      <c r="DD1149" s="264"/>
      <c r="DE1149" s="264"/>
      <c r="DF1149" s="264"/>
      <c r="DG1149" s="264"/>
      <c r="DH1149" s="264"/>
      <c r="DI1149" s="264"/>
      <c r="DJ1149" s="264"/>
      <c r="DK1149" s="264"/>
      <c r="DL1149" s="264"/>
      <c r="DM1149" s="264"/>
      <c r="DN1149" s="264"/>
      <c r="DO1149" s="264"/>
      <c r="DP1149" s="264"/>
      <c r="DQ1149" s="264"/>
      <c r="DR1149" s="264"/>
      <c r="DS1149" s="264"/>
      <c r="DT1149" s="264"/>
      <c r="DU1149" s="264"/>
      <c r="DV1149" s="264"/>
      <c r="DW1149" s="264"/>
      <c r="DX1149" s="264"/>
      <c r="DY1149" s="264"/>
      <c r="DZ1149" s="264"/>
      <c r="EA1149" s="264"/>
      <c r="EB1149" s="264"/>
      <c r="EC1149" s="264"/>
      <c r="ED1149" s="264"/>
      <c r="EE1149" s="264"/>
      <c r="EF1149" s="264"/>
      <c r="EG1149" s="264"/>
      <c r="EH1149" s="264"/>
      <c r="EI1149" s="264"/>
      <c r="EJ1149" s="264"/>
      <c r="EK1149" s="264"/>
      <c r="EL1149" s="264"/>
      <c r="EM1149" s="264"/>
      <c r="EN1149" s="264"/>
      <c r="EO1149" s="264"/>
      <c r="EP1149" s="264"/>
      <c r="EQ1149" s="264"/>
      <c r="ER1149" s="264"/>
      <c r="ES1149" s="264"/>
      <c r="ET1149" s="264"/>
      <c r="EU1149" s="264"/>
      <c r="EV1149" s="264"/>
      <c r="EW1149" s="264"/>
      <c r="EX1149" s="264"/>
      <c r="EY1149" s="264"/>
      <c r="EZ1149" s="264"/>
      <c r="FA1149" s="264"/>
      <c r="FB1149" s="264"/>
      <c r="FC1149" s="264"/>
    </row>
    <row r="1150" spans="3:159" hidden="1">
      <c r="C1150" s="263"/>
      <c r="D1150" s="269"/>
      <c r="E1150" s="269"/>
      <c r="F1150" s="269"/>
      <c r="G1150" s="269"/>
      <c r="H1150" s="269"/>
      <c r="I1150" s="269"/>
      <c r="J1150" s="269"/>
      <c r="K1150" s="264"/>
      <c r="L1150" s="264"/>
      <c r="M1150" s="264"/>
      <c r="N1150" s="264"/>
      <c r="O1150" s="264"/>
      <c r="P1150" s="264"/>
      <c r="Q1150" s="264"/>
      <c r="R1150" s="264"/>
      <c r="S1150" s="264"/>
      <c r="T1150" s="264"/>
      <c r="U1150" s="264"/>
      <c r="V1150" s="264"/>
      <c r="W1150" s="264"/>
      <c r="X1150" s="264"/>
      <c r="Y1150" s="264"/>
      <c r="Z1150" s="264"/>
      <c r="AA1150" s="264"/>
      <c r="AB1150" s="264"/>
      <c r="AC1150" s="264"/>
      <c r="AD1150" s="264"/>
      <c r="AE1150" s="264"/>
      <c r="AF1150" s="264"/>
      <c r="AG1150" s="264"/>
      <c r="AO1150" s="338"/>
      <c r="AP1150" s="449"/>
      <c r="AR1150" s="449"/>
      <c r="AS1150" s="449"/>
      <c r="BA1150" s="264"/>
      <c r="BB1150" s="264"/>
      <c r="BC1150" s="264"/>
      <c r="BD1150" s="264"/>
      <c r="BE1150" s="264"/>
      <c r="BF1150" s="264"/>
      <c r="BG1150" s="264"/>
      <c r="BH1150" s="264"/>
      <c r="BI1150" s="264"/>
      <c r="BJ1150" s="264"/>
      <c r="BK1150" s="264"/>
      <c r="BL1150" s="264"/>
      <c r="BM1150" s="264"/>
      <c r="BN1150" s="264"/>
      <c r="BO1150" s="264"/>
      <c r="BP1150" s="264"/>
      <c r="BQ1150" s="264"/>
      <c r="BR1150" s="264"/>
      <c r="BS1150" s="264"/>
      <c r="BT1150" s="264"/>
      <c r="BU1150" s="264"/>
      <c r="BV1150" s="264"/>
      <c r="BW1150" s="264"/>
      <c r="BX1150" s="264"/>
      <c r="BY1150" s="264"/>
      <c r="BZ1150" s="264"/>
      <c r="CA1150" s="264"/>
      <c r="CB1150" s="264"/>
      <c r="CC1150" s="264"/>
      <c r="CD1150" s="264"/>
      <c r="CE1150" s="264"/>
      <c r="CF1150" s="264"/>
      <c r="CG1150" s="264"/>
      <c r="CH1150" s="264"/>
      <c r="CI1150" s="264"/>
      <c r="CJ1150" s="264"/>
      <c r="CK1150" s="264"/>
      <c r="CL1150" s="264"/>
      <c r="CM1150" s="264"/>
      <c r="CN1150" s="264"/>
      <c r="CO1150" s="265"/>
      <c r="CR1150" s="264"/>
      <c r="CS1150" s="264"/>
      <c r="CT1150" s="264"/>
      <c r="CU1150" s="264"/>
      <c r="CV1150" s="264"/>
      <c r="CW1150" s="264"/>
      <c r="CX1150" s="264"/>
      <c r="CY1150" s="264"/>
      <c r="CZ1150" s="264"/>
      <c r="DA1150" s="264"/>
      <c r="DB1150" s="264"/>
      <c r="DC1150" s="264"/>
      <c r="DD1150" s="264"/>
      <c r="DE1150" s="264"/>
      <c r="DF1150" s="264"/>
      <c r="DG1150" s="264"/>
      <c r="DH1150" s="264"/>
      <c r="DI1150" s="264"/>
      <c r="DJ1150" s="264"/>
      <c r="DK1150" s="264"/>
      <c r="DL1150" s="264"/>
      <c r="DM1150" s="264"/>
      <c r="DN1150" s="264"/>
      <c r="DO1150" s="264"/>
      <c r="DP1150" s="264"/>
      <c r="DQ1150" s="264"/>
      <c r="DR1150" s="264"/>
      <c r="DS1150" s="264"/>
      <c r="DT1150" s="264"/>
      <c r="DU1150" s="264"/>
      <c r="DV1150" s="264"/>
      <c r="DW1150" s="264"/>
      <c r="DX1150" s="264"/>
      <c r="DY1150" s="264"/>
      <c r="DZ1150" s="264"/>
      <c r="EA1150" s="264"/>
      <c r="EB1150" s="264"/>
      <c r="EC1150" s="264"/>
      <c r="ED1150" s="264"/>
      <c r="EE1150" s="264"/>
      <c r="EF1150" s="264"/>
      <c r="EG1150" s="264"/>
      <c r="EH1150" s="264"/>
      <c r="EI1150" s="264"/>
      <c r="EJ1150" s="264"/>
      <c r="EK1150" s="264"/>
      <c r="EL1150" s="264"/>
      <c r="EM1150" s="264"/>
      <c r="EN1150" s="264"/>
      <c r="EO1150" s="264"/>
      <c r="EP1150" s="264"/>
      <c r="EQ1150" s="264"/>
      <c r="ER1150" s="264"/>
      <c r="ES1150" s="264"/>
      <c r="ET1150" s="264"/>
      <c r="EU1150" s="264"/>
      <c r="EV1150" s="264"/>
      <c r="EW1150" s="264"/>
      <c r="EX1150" s="264"/>
      <c r="EY1150" s="264"/>
      <c r="EZ1150" s="264"/>
      <c r="FA1150" s="264"/>
      <c r="FB1150" s="264"/>
      <c r="FC1150" s="264"/>
    </row>
    <row r="1151" spans="3:159" hidden="1">
      <c r="C1151" s="424" t="s">
        <v>1327</v>
      </c>
      <c r="D1151" s="257"/>
      <c r="E1151" s="257"/>
      <c r="F1151" s="257"/>
      <c r="G1151" s="257"/>
      <c r="H1151" s="257"/>
      <c r="I1151" s="257"/>
      <c r="J1151" s="257"/>
      <c r="K1151" s="270"/>
      <c r="L1151" s="270"/>
      <c r="M1151" s="270"/>
      <c r="N1151" s="270"/>
      <c r="O1151" s="270"/>
      <c r="P1151" s="270"/>
      <c r="Q1151" s="270"/>
      <c r="R1151" s="270"/>
      <c r="S1151" s="270"/>
      <c r="T1151" s="270"/>
      <c r="U1151" s="270"/>
      <c r="V1151" s="270"/>
      <c r="W1151" s="270"/>
      <c r="X1151" s="270"/>
      <c r="Y1151" s="270"/>
      <c r="Z1151" s="270"/>
      <c r="AA1151" s="270"/>
      <c r="AB1151" s="270"/>
      <c r="AC1151" s="270"/>
      <c r="AD1151" s="270"/>
      <c r="AE1151" s="270"/>
      <c r="AF1151" s="270"/>
      <c r="AG1151" s="270"/>
      <c r="AO1151" s="338"/>
      <c r="AP1151" s="449"/>
      <c r="AR1151" s="449"/>
      <c r="AS1151" s="449"/>
      <c r="BA1151" s="270"/>
      <c r="BB1151" s="270"/>
      <c r="BC1151" s="270"/>
      <c r="BD1151" s="270"/>
      <c r="BE1151" s="270"/>
      <c r="BF1151" s="270"/>
      <c r="BG1151" s="270"/>
      <c r="BH1151" s="270"/>
      <c r="BI1151" s="270"/>
      <c r="BJ1151" s="270"/>
      <c r="BK1151" s="270"/>
      <c r="BL1151" s="270"/>
      <c r="BM1151" s="270"/>
      <c r="BN1151" s="270"/>
      <c r="BO1151" s="270"/>
      <c r="BP1151" s="270"/>
      <c r="BQ1151" s="270"/>
      <c r="BR1151" s="270"/>
      <c r="BS1151" s="270"/>
      <c r="BT1151" s="270"/>
      <c r="BU1151" s="270"/>
      <c r="BV1151" s="270"/>
      <c r="BW1151" s="270"/>
      <c r="BX1151" s="270"/>
      <c r="BY1151" s="270"/>
      <c r="BZ1151" s="270"/>
      <c r="CA1151" s="270"/>
      <c r="CB1151" s="270"/>
      <c r="CC1151" s="270"/>
      <c r="CD1151" s="270"/>
      <c r="CE1151" s="270"/>
      <c r="CF1151" s="270"/>
      <c r="CG1151" s="270"/>
      <c r="CH1151" s="270"/>
      <c r="CI1151" s="270"/>
      <c r="CJ1151" s="270"/>
      <c r="CK1151" s="270"/>
      <c r="CL1151" s="270"/>
      <c r="CM1151" s="270"/>
      <c r="CN1151" s="270"/>
      <c r="CO1151" s="265"/>
      <c r="CR1151" s="270"/>
      <c r="CS1151" s="270"/>
      <c r="CT1151" s="270"/>
      <c r="CU1151" s="270"/>
      <c r="CV1151" s="270"/>
      <c r="CW1151" s="270"/>
      <c r="CX1151" s="270"/>
      <c r="CY1151" s="270"/>
      <c r="CZ1151" s="270"/>
      <c r="DA1151" s="270"/>
      <c r="DB1151" s="270"/>
      <c r="DC1151" s="270"/>
      <c r="DD1151" s="270"/>
      <c r="DE1151" s="270"/>
      <c r="DF1151" s="270"/>
      <c r="DG1151" s="270"/>
      <c r="DH1151" s="270"/>
      <c r="DI1151" s="270"/>
      <c r="DJ1151" s="270"/>
      <c r="DK1151" s="270"/>
      <c r="DL1151" s="270"/>
      <c r="DM1151" s="270"/>
      <c r="DN1151" s="270"/>
      <c r="DO1151" s="270"/>
      <c r="DP1151" s="270"/>
      <c r="DQ1151" s="270"/>
      <c r="DR1151" s="270"/>
      <c r="DS1151" s="270"/>
      <c r="DT1151" s="270"/>
      <c r="DU1151" s="270"/>
      <c r="DV1151" s="270"/>
      <c r="DW1151" s="270"/>
      <c r="DX1151" s="270"/>
      <c r="DY1151" s="270"/>
      <c r="DZ1151" s="270"/>
      <c r="EA1151" s="270"/>
      <c r="EB1151" s="270"/>
      <c r="EC1151" s="270"/>
      <c r="ED1151" s="270"/>
      <c r="EE1151" s="270"/>
      <c r="EF1151" s="270"/>
      <c r="EG1151" s="270"/>
      <c r="EH1151" s="270"/>
      <c r="EI1151" s="270"/>
      <c r="EJ1151" s="270"/>
      <c r="EK1151" s="270"/>
      <c r="EL1151" s="270"/>
      <c r="EM1151" s="270"/>
      <c r="EN1151" s="270"/>
      <c r="EO1151" s="270"/>
      <c r="EP1151" s="270"/>
      <c r="EQ1151" s="270"/>
      <c r="ER1151" s="270"/>
      <c r="ES1151" s="270"/>
      <c r="ET1151" s="270"/>
      <c r="EU1151" s="270"/>
      <c r="EV1151" s="270"/>
      <c r="EW1151" s="270"/>
      <c r="EX1151" s="270"/>
      <c r="EY1151" s="270"/>
      <c r="EZ1151" s="270"/>
      <c r="FA1151" s="270"/>
      <c r="FB1151" s="270"/>
      <c r="FC1151" s="270"/>
    </row>
    <row r="1152" spans="3:159" hidden="1">
      <c r="C1152" s="213" t="s">
        <v>1022</v>
      </c>
      <c r="D1152" s="302"/>
      <c r="E1152" s="302"/>
      <c r="F1152" s="302"/>
      <c r="G1152" s="302"/>
      <c r="H1152" s="302"/>
      <c r="I1152" s="302"/>
      <c r="J1152" s="302"/>
      <c r="K1152" s="265"/>
      <c r="L1152" s="265"/>
      <c r="M1152" s="265"/>
      <c r="N1152" s="265"/>
      <c r="O1152" s="265"/>
      <c r="P1152" s="265"/>
      <c r="Q1152" s="265"/>
      <c r="R1152" s="265"/>
      <c r="S1152" s="265"/>
      <c r="T1152" s="430">
        <v>3182</v>
      </c>
      <c r="U1152" s="430">
        <v>3375</v>
      </c>
      <c r="V1152" s="430">
        <v>3340</v>
      </c>
      <c r="W1152" s="430">
        <v>4235.0176535128976</v>
      </c>
      <c r="X1152" s="430">
        <v>3052.2512882179044</v>
      </c>
      <c r="Y1152" s="430">
        <v>2808.0711851604724</v>
      </c>
      <c r="Z1152" s="430">
        <v>3116.9590155281244</v>
      </c>
      <c r="AA1152" s="430">
        <v>3490.9940973915</v>
      </c>
      <c r="AB1152" s="430">
        <v>3665.5438022610751</v>
      </c>
      <c r="AC1152" s="430">
        <v>3810.4619213567362</v>
      </c>
      <c r="AD1152" s="430">
        <v>3954.479463910855</v>
      </c>
      <c r="AE1152" s="430">
        <v>3954.479463910855</v>
      </c>
      <c r="AF1152" s="430">
        <v>3954.479463910855</v>
      </c>
      <c r="AG1152" s="430"/>
      <c r="AO1152" s="338"/>
      <c r="AP1152" s="449"/>
      <c r="AR1152" s="449"/>
      <c r="AS1152" s="449"/>
      <c r="BA1152" s="430"/>
      <c r="BB1152" s="430"/>
      <c r="BC1152" s="430"/>
      <c r="BD1152" s="430"/>
      <c r="BE1152" s="430"/>
      <c r="BF1152" s="430"/>
      <c r="BG1152" s="430"/>
      <c r="BH1152" s="430"/>
      <c r="BI1152" s="430"/>
      <c r="BJ1152" s="430"/>
      <c r="BK1152" s="430"/>
      <c r="BL1152" s="430"/>
      <c r="BM1152" s="430"/>
      <c r="BN1152" s="430"/>
      <c r="BO1152" s="430"/>
      <c r="BP1152" s="430"/>
      <c r="BQ1152" s="430"/>
      <c r="BR1152" s="430"/>
      <c r="BS1152" s="430"/>
      <c r="BT1152" s="430"/>
      <c r="BU1152" s="430"/>
      <c r="BV1152" s="430"/>
      <c r="BW1152" s="430"/>
      <c r="BX1152" s="430"/>
      <c r="BY1152" s="430"/>
      <c r="BZ1152" s="430"/>
      <c r="CA1152" s="430"/>
      <c r="CB1152" s="430"/>
      <c r="CC1152" s="430"/>
      <c r="CD1152" s="430"/>
      <c r="CE1152" s="430"/>
      <c r="CF1152" s="430"/>
      <c r="CG1152" s="430"/>
      <c r="CH1152" s="430"/>
      <c r="CI1152" s="430"/>
      <c r="CJ1152" s="430"/>
      <c r="CK1152" s="430"/>
      <c r="CL1152" s="430"/>
      <c r="CM1152" s="430"/>
      <c r="CN1152" s="430"/>
      <c r="CO1152" s="430"/>
      <c r="CR1152" s="430"/>
      <c r="CS1152" s="430"/>
      <c r="CT1152" s="430"/>
      <c r="CU1152" s="430"/>
      <c r="CV1152" s="430"/>
      <c r="CW1152" s="430"/>
      <c r="CX1152" s="430"/>
      <c r="CY1152" s="430"/>
      <c r="CZ1152" s="430"/>
      <c r="DA1152" s="430"/>
      <c r="DB1152" s="430"/>
      <c r="DC1152" s="430"/>
      <c r="DD1152" s="430"/>
      <c r="DE1152" s="430"/>
      <c r="DF1152" s="430"/>
      <c r="DG1152" s="430"/>
      <c r="DH1152" s="430"/>
      <c r="DI1152" s="430"/>
      <c r="DJ1152" s="430"/>
      <c r="DK1152" s="430"/>
      <c r="DL1152" s="430"/>
      <c r="DM1152" s="430"/>
      <c r="DN1152" s="430"/>
      <c r="DO1152" s="430"/>
      <c r="DP1152" s="430"/>
      <c r="DQ1152" s="430"/>
      <c r="DR1152" s="430"/>
      <c r="DS1152" s="430"/>
      <c r="DT1152" s="430"/>
      <c r="DU1152" s="430"/>
      <c r="DV1152" s="430"/>
      <c r="DW1152" s="430"/>
      <c r="DX1152" s="430"/>
      <c r="DY1152" s="430"/>
      <c r="DZ1152" s="430"/>
      <c r="EA1152" s="430"/>
      <c r="EB1152" s="430"/>
      <c r="EC1152" s="430"/>
      <c r="ED1152" s="430"/>
      <c r="EE1152" s="430"/>
      <c r="EF1152" s="430"/>
      <c r="EG1152" s="430"/>
      <c r="EH1152" s="430"/>
      <c r="EI1152" s="430"/>
      <c r="EJ1152" s="430"/>
      <c r="EK1152" s="430"/>
      <c r="EL1152" s="430"/>
      <c r="EM1152" s="430"/>
      <c r="EN1152" s="430"/>
      <c r="EO1152" s="430"/>
      <c r="EP1152" s="430"/>
      <c r="EQ1152" s="430"/>
      <c r="ER1152" s="430"/>
      <c r="ES1152" s="430"/>
      <c r="ET1152" s="430"/>
      <c r="EU1152" s="430"/>
      <c r="EV1152" s="430"/>
      <c r="EW1152" s="430"/>
      <c r="EX1152" s="430"/>
      <c r="EY1152" s="430"/>
      <c r="EZ1152" s="430"/>
      <c r="FA1152" s="430"/>
      <c r="FB1152" s="430"/>
      <c r="FC1152" s="430"/>
    </row>
    <row r="1153" spans="3:159" hidden="1">
      <c r="C1153" s="213" t="s">
        <v>1023</v>
      </c>
      <c r="D1153" s="302"/>
      <c r="E1153" s="302"/>
      <c r="F1153" s="302"/>
      <c r="G1153" s="302"/>
      <c r="H1153" s="302"/>
      <c r="I1153" s="302"/>
      <c r="J1153" s="302"/>
      <c r="K1153" s="265"/>
      <c r="L1153" s="265"/>
      <c r="M1153" s="265"/>
      <c r="N1153" s="265"/>
      <c r="O1153" s="265"/>
      <c r="P1153" s="265"/>
      <c r="Q1153" s="265"/>
      <c r="R1153" s="265"/>
      <c r="S1153" s="265"/>
      <c r="T1153" s="430">
        <v>1635</v>
      </c>
      <c r="U1153" s="430">
        <v>1670</v>
      </c>
      <c r="V1153" s="430">
        <v>1788</v>
      </c>
      <c r="W1153" s="430">
        <v>1955.3525311102667</v>
      </c>
      <c r="X1153" s="430">
        <v>943.50616080010104</v>
      </c>
      <c r="Y1153" s="430">
        <v>819.27897629705615</v>
      </c>
      <c r="Z1153" s="430">
        <v>1034.3194358391402</v>
      </c>
      <c r="AA1153" s="430">
        <v>1125.494738418668</v>
      </c>
      <c r="AB1153" s="430">
        <v>1225.4551409816365</v>
      </c>
      <c r="AC1153" s="430">
        <v>1335.2580826196383</v>
      </c>
      <c r="AD1153" s="430">
        <v>1456.1093020645767</v>
      </c>
      <c r="AE1153" s="430">
        <v>1456.1093020645767</v>
      </c>
      <c r="AF1153" s="430">
        <v>1456.1093020645767</v>
      </c>
      <c r="AG1153" s="430"/>
      <c r="AO1153" s="338"/>
      <c r="AP1153" s="449"/>
      <c r="AR1153" s="449"/>
      <c r="AS1153" s="449"/>
      <c r="BA1153" s="430"/>
      <c r="BB1153" s="430"/>
      <c r="BC1153" s="430"/>
      <c r="BD1153" s="430"/>
      <c r="BE1153" s="430"/>
      <c r="BF1153" s="430"/>
      <c r="BG1153" s="430"/>
      <c r="BH1153" s="430"/>
      <c r="BI1153" s="430"/>
      <c r="BJ1153" s="430"/>
      <c r="BK1153" s="430"/>
      <c r="BL1153" s="430"/>
      <c r="BM1153" s="430"/>
      <c r="BN1153" s="430"/>
      <c r="BO1153" s="430"/>
      <c r="BP1153" s="430"/>
      <c r="BQ1153" s="430"/>
      <c r="BR1153" s="430"/>
      <c r="BS1153" s="430"/>
      <c r="BT1153" s="430"/>
      <c r="BU1153" s="430"/>
      <c r="BV1153" s="430"/>
      <c r="BW1153" s="430"/>
      <c r="BX1153" s="430"/>
      <c r="BY1153" s="430"/>
      <c r="BZ1153" s="430"/>
      <c r="CA1153" s="430"/>
      <c r="CB1153" s="430"/>
      <c r="CC1153" s="430"/>
      <c r="CD1153" s="430"/>
      <c r="CE1153" s="430"/>
      <c r="CF1153" s="430"/>
      <c r="CG1153" s="430"/>
      <c r="CH1153" s="430"/>
      <c r="CI1153" s="430"/>
      <c r="CJ1153" s="430"/>
      <c r="CK1153" s="430"/>
      <c r="CL1153" s="430"/>
      <c r="CM1153" s="430"/>
      <c r="CN1153" s="430"/>
      <c r="CO1153" s="430"/>
      <c r="CR1153" s="430"/>
      <c r="CS1153" s="430"/>
      <c r="CT1153" s="430"/>
      <c r="CU1153" s="430"/>
      <c r="CV1153" s="430"/>
      <c r="CW1153" s="430"/>
      <c r="CX1153" s="430"/>
      <c r="CY1153" s="430"/>
      <c r="CZ1153" s="430"/>
      <c r="DA1153" s="430"/>
      <c r="DB1153" s="430"/>
      <c r="DC1153" s="430"/>
      <c r="DD1153" s="430"/>
      <c r="DE1153" s="430"/>
      <c r="DF1153" s="430"/>
      <c r="DG1153" s="430"/>
      <c r="DH1153" s="430"/>
      <c r="DI1153" s="430"/>
      <c r="DJ1153" s="430"/>
      <c r="DK1153" s="430"/>
      <c r="DL1153" s="430"/>
      <c r="DM1153" s="430"/>
      <c r="DN1153" s="430"/>
      <c r="DO1153" s="430"/>
      <c r="DP1153" s="430"/>
      <c r="DQ1153" s="430"/>
      <c r="DR1153" s="430"/>
      <c r="DS1153" s="430"/>
      <c r="DT1153" s="430"/>
      <c r="DU1153" s="430"/>
      <c r="DV1153" s="430"/>
      <c r="DW1153" s="430"/>
      <c r="DX1153" s="430"/>
      <c r="DY1153" s="430"/>
      <c r="DZ1153" s="430"/>
      <c r="EA1153" s="430"/>
      <c r="EB1153" s="430"/>
      <c r="EC1153" s="430"/>
      <c r="ED1153" s="430"/>
      <c r="EE1153" s="430"/>
      <c r="EF1153" s="430"/>
      <c r="EG1153" s="430"/>
      <c r="EH1153" s="430"/>
      <c r="EI1153" s="430"/>
      <c r="EJ1153" s="430"/>
      <c r="EK1153" s="430"/>
      <c r="EL1153" s="430"/>
      <c r="EM1153" s="430"/>
      <c r="EN1153" s="430"/>
      <c r="EO1153" s="430"/>
      <c r="EP1153" s="430"/>
      <c r="EQ1153" s="430"/>
      <c r="ER1153" s="430"/>
      <c r="ES1153" s="430"/>
      <c r="ET1153" s="430"/>
      <c r="EU1153" s="430"/>
      <c r="EV1153" s="430"/>
      <c r="EW1153" s="430"/>
      <c r="EX1153" s="430"/>
      <c r="EY1153" s="430"/>
      <c r="EZ1153" s="430"/>
      <c r="FA1153" s="430"/>
      <c r="FB1153" s="430"/>
      <c r="FC1153" s="430"/>
    </row>
    <row r="1154" spans="3:159" hidden="1">
      <c r="C1154" s="213" t="s">
        <v>1277</v>
      </c>
      <c r="D1154" s="302"/>
      <c r="E1154" s="302"/>
      <c r="F1154" s="302"/>
      <c r="G1154" s="302"/>
      <c r="H1154" s="302"/>
      <c r="I1154" s="302"/>
      <c r="J1154" s="302"/>
      <c r="K1154" s="265"/>
      <c r="L1154" s="265"/>
      <c r="M1154" s="265"/>
      <c r="N1154" s="265"/>
      <c r="O1154" s="265"/>
      <c r="P1154" s="265"/>
      <c r="Q1154" s="265"/>
      <c r="R1154" s="265"/>
      <c r="S1154" s="265"/>
      <c r="T1154" s="430">
        <v>328</v>
      </c>
      <c r="U1154" s="430">
        <v>215</v>
      </c>
      <c r="V1154" s="430">
        <v>140</v>
      </c>
      <c r="W1154" s="430">
        <v>140</v>
      </c>
      <c r="X1154" s="430">
        <v>140</v>
      </c>
      <c r="Y1154" s="430">
        <v>140</v>
      </c>
      <c r="Z1154" s="430">
        <v>140</v>
      </c>
      <c r="AA1154" s="430">
        <v>140</v>
      </c>
      <c r="AB1154" s="430">
        <v>140</v>
      </c>
      <c r="AC1154" s="430">
        <v>140</v>
      </c>
      <c r="AD1154" s="430">
        <v>140</v>
      </c>
      <c r="AE1154" s="430">
        <v>140</v>
      </c>
      <c r="AF1154" s="430">
        <v>140</v>
      </c>
      <c r="AG1154" s="430"/>
      <c r="AO1154" s="338"/>
      <c r="AP1154" s="449"/>
      <c r="AR1154" s="449"/>
      <c r="AS1154" s="449"/>
      <c r="BA1154" s="430"/>
      <c r="BB1154" s="430"/>
      <c r="BC1154" s="430"/>
      <c r="BD1154" s="430"/>
      <c r="BE1154" s="430"/>
      <c r="BF1154" s="430"/>
      <c r="BG1154" s="430"/>
      <c r="BH1154" s="430"/>
      <c r="BI1154" s="430"/>
      <c r="BJ1154" s="430"/>
      <c r="BK1154" s="430"/>
      <c r="BL1154" s="430"/>
      <c r="BM1154" s="430"/>
      <c r="BN1154" s="430"/>
      <c r="BO1154" s="430"/>
      <c r="BP1154" s="430"/>
      <c r="BQ1154" s="430"/>
      <c r="BR1154" s="430"/>
      <c r="BS1154" s="430"/>
      <c r="BT1154" s="430"/>
      <c r="BU1154" s="430"/>
      <c r="BV1154" s="430"/>
      <c r="BW1154" s="430"/>
      <c r="BX1154" s="430"/>
      <c r="BY1154" s="430"/>
      <c r="BZ1154" s="430"/>
      <c r="CA1154" s="430"/>
      <c r="CB1154" s="430"/>
      <c r="CC1154" s="430"/>
      <c r="CD1154" s="430"/>
      <c r="CE1154" s="430"/>
      <c r="CF1154" s="430"/>
      <c r="CG1154" s="430"/>
      <c r="CH1154" s="430"/>
      <c r="CI1154" s="430"/>
      <c r="CJ1154" s="430"/>
      <c r="CK1154" s="430"/>
      <c r="CL1154" s="430"/>
      <c r="CM1154" s="430"/>
      <c r="CN1154" s="430"/>
      <c r="CO1154" s="430"/>
      <c r="CR1154" s="430"/>
      <c r="CS1154" s="430"/>
      <c r="CT1154" s="430"/>
      <c r="CU1154" s="430"/>
      <c r="CV1154" s="430"/>
      <c r="CW1154" s="430"/>
      <c r="CX1154" s="430"/>
      <c r="CY1154" s="430"/>
      <c r="CZ1154" s="430"/>
      <c r="DA1154" s="430"/>
      <c r="DB1154" s="430"/>
      <c r="DC1154" s="430"/>
      <c r="DD1154" s="430"/>
      <c r="DE1154" s="430"/>
      <c r="DF1154" s="430"/>
      <c r="DG1154" s="430"/>
      <c r="DH1154" s="430"/>
      <c r="DI1154" s="430"/>
      <c r="DJ1154" s="430"/>
      <c r="DK1154" s="430"/>
      <c r="DL1154" s="430"/>
      <c r="DM1154" s="430"/>
      <c r="DN1154" s="430"/>
      <c r="DO1154" s="430"/>
      <c r="DP1154" s="430"/>
      <c r="DQ1154" s="430"/>
      <c r="DR1154" s="430"/>
      <c r="DS1154" s="430"/>
      <c r="DT1154" s="430"/>
      <c r="DU1154" s="430"/>
      <c r="DV1154" s="430"/>
      <c r="DW1154" s="430"/>
      <c r="DX1154" s="430"/>
      <c r="DY1154" s="430"/>
      <c r="DZ1154" s="430"/>
      <c r="EA1154" s="430"/>
      <c r="EB1154" s="430"/>
      <c r="EC1154" s="430"/>
      <c r="ED1154" s="430"/>
      <c r="EE1154" s="430"/>
      <c r="EF1154" s="430"/>
      <c r="EG1154" s="430"/>
      <c r="EH1154" s="430"/>
      <c r="EI1154" s="430"/>
      <c r="EJ1154" s="430"/>
      <c r="EK1154" s="430"/>
      <c r="EL1154" s="430"/>
      <c r="EM1154" s="430"/>
      <c r="EN1154" s="430"/>
      <c r="EO1154" s="430"/>
      <c r="EP1154" s="430"/>
      <c r="EQ1154" s="430"/>
      <c r="ER1154" s="430"/>
      <c r="ES1154" s="430"/>
      <c r="ET1154" s="430"/>
      <c r="EU1154" s="430"/>
      <c r="EV1154" s="430"/>
      <c r="EW1154" s="430"/>
      <c r="EX1154" s="430"/>
      <c r="EY1154" s="430"/>
      <c r="EZ1154" s="430"/>
      <c r="FA1154" s="430"/>
      <c r="FB1154" s="430"/>
      <c r="FC1154" s="430"/>
    </row>
    <row r="1155" spans="3:159" hidden="1">
      <c r="C1155" s="397" t="s">
        <v>1242</v>
      </c>
      <c r="D1155" s="269"/>
      <c r="E1155" s="269"/>
      <c r="F1155" s="269"/>
      <c r="G1155" s="269"/>
      <c r="H1155" s="269"/>
      <c r="I1155" s="269"/>
      <c r="J1155" s="269"/>
      <c r="K1155" s="264"/>
      <c r="L1155" s="264"/>
      <c r="M1155" s="264"/>
      <c r="N1155" s="264"/>
      <c r="O1155" s="264"/>
      <c r="P1155" s="264"/>
      <c r="Q1155" s="264"/>
      <c r="R1155" s="264"/>
      <c r="S1155" s="264"/>
      <c r="T1155" s="264"/>
      <c r="U1155" s="264"/>
      <c r="V1155" s="264">
        <v>1.5209125475286189E-3</v>
      </c>
      <c r="W1155" s="264">
        <v>0.20166480345921878</v>
      </c>
      <c r="X1155" s="264">
        <v>-0.3466800000000001</v>
      </c>
      <c r="Y1155" s="264">
        <v>-8.9078552623522711E-2</v>
      </c>
      <c r="Z1155" s="264">
        <v>0.13907077055641603</v>
      </c>
      <c r="AA1155" s="264">
        <v>0.1084083425755511</v>
      </c>
      <c r="AB1155" s="264">
        <v>5.7712761851944183E-2</v>
      </c>
      <c r="AC1155" s="264">
        <v>5.0630314895173445E-2</v>
      </c>
      <c r="AD1155" s="264">
        <v>5.011025211320308E-2</v>
      </c>
      <c r="AE1155" s="264">
        <v>5.011025211320308E-2</v>
      </c>
      <c r="AF1155" s="264">
        <v>5.011025211320308E-2</v>
      </c>
      <c r="AG1155" s="264"/>
      <c r="AO1155" s="338"/>
      <c r="AP1155" s="449"/>
      <c r="AR1155" s="449"/>
      <c r="AS1155" s="449"/>
      <c r="BA1155" s="264"/>
      <c r="BB1155" s="264"/>
      <c r="BC1155" s="264"/>
      <c r="BD1155" s="264"/>
      <c r="BE1155" s="264"/>
      <c r="BF1155" s="264"/>
      <c r="BG1155" s="264"/>
      <c r="BH1155" s="264"/>
      <c r="BI1155" s="264"/>
      <c r="BJ1155" s="264"/>
      <c r="BK1155" s="264"/>
      <c r="BL1155" s="264"/>
      <c r="BM1155" s="264"/>
      <c r="BN1155" s="264"/>
      <c r="BO1155" s="264"/>
      <c r="BP1155" s="264"/>
      <c r="BQ1155" s="264"/>
      <c r="BR1155" s="264"/>
      <c r="BS1155" s="264"/>
      <c r="BT1155" s="264"/>
      <c r="BU1155" s="264"/>
      <c r="BV1155" s="264"/>
      <c r="BW1155" s="264"/>
      <c r="BX1155" s="264"/>
      <c r="BY1155" s="264"/>
      <c r="BZ1155" s="264"/>
      <c r="CA1155" s="264"/>
      <c r="CB1155" s="264"/>
      <c r="CC1155" s="264"/>
      <c r="CD1155" s="264"/>
      <c r="CE1155" s="264"/>
      <c r="CF1155" s="264"/>
      <c r="CG1155" s="264"/>
      <c r="CH1155" s="264"/>
      <c r="CI1155" s="264"/>
      <c r="CJ1155" s="264"/>
      <c r="CK1155" s="264"/>
      <c r="CL1155" s="264"/>
      <c r="CM1155" s="264"/>
      <c r="CN1155" s="264"/>
      <c r="CO1155" s="265"/>
      <c r="CR1155" s="264"/>
      <c r="CS1155" s="264"/>
      <c r="CT1155" s="264"/>
      <c r="CU1155" s="264"/>
      <c r="CV1155" s="264"/>
      <c r="CW1155" s="264"/>
      <c r="CX1155" s="264"/>
      <c r="CY1155" s="264"/>
      <c r="CZ1155" s="264"/>
      <c r="DA1155" s="264"/>
      <c r="DB1155" s="264"/>
      <c r="DC1155" s="264"/>
      <c r="DD1155" s="264"/>
      <c r="DE1155" s="264"/>
      <c r="DF1155" s="264"/>
      <c r="DG1155" s="264"/>
      <c r="DH1155" s="264"/>
      <c r="DI1155" s="264"/>
      <c r="DJ1155" s="264"/>
      <c r="DK1155" s="264"/>
      <c r="DL1155" s="264"/>
      <c r="DM1155" s="264"/>
      <c r="DN1155" s="264"/>
      <c r="DO1155" s="264"/>
      <c r="DP1155" s="264"/>
      <c r="DQ1155" s="264"/>
      <c r="DR1155" s="264"/>
      <c r="DS1155" s="264"/>
      <c r="DT1155" s="264"/>
      <c r="DU1155" s="264"/>
      <c r="DV1155" s="264"/>
      <c r="DW1155" s="264"/>
      <c r="DX1155" s="264"/>
      <c r="DY1155" s="264"/>
      <c r="DZ1155" s="264"/>
      <c r="EA1155" s="264"/>
      <c r="EB1155" s="264"/>
      <c r="EC1155" s="264"/>
      <c r="ED1155" s="264"/>
      <c r="EE1155" s="264"/>
      <c r="EF1155" s="264"/>
      <c r="EG1155" s="264"/>
      <c r="EH1155" s="264"/>
      <c r="EI1155" s="264"/>
      <c r="EJ1155" s="264"/>
      <c r="EK1155" s="264"/>
      <c r="EL1155" s="264"/>
      <c r="EM1155" s="264"/>
      <c r="EN1155" s="264"/>
      <c r="EO1155" s="264"/>
      <c r="EP1155" s="264"/>
      <c r="EQ1155" s="264"/>
      <c r="ER1155" s="264"/>
      <c r="ES1155" s="264"/>
      <c r="ET1155" s="264"/>
      <c r="EU1155" s="264"/>
      <c r="EV1155" s="264"/>
      <c r="EW1155" s="264"/>
      <c r="EX1155" s="264"/>
      <c r="EY1155" s="264"/>
      <c r="EZ1155" s="264"/>
      <c r="FA1155" s="264"/>
      <c r="FB1155" s="264"/>
      <c r="FC1155" s="264"/>
    </row>
    <row r="1156" spans="3:159" hidden="1">
      <c r="C1156" s="263"/>
      <c r="D1156" s="269"/>
      <c r="E1156" s="269"/>
      <c r="F1156" s="269"/>
      <c r="G1156" s="269"/>
      <c r="H1156" s="269"/>
      <c r="I1156" s="269"/>
      <c r="J1156" s="269"/>
      <c r="K1156" s="269"/>
      <c r="L1156" s="269"/>
      <c r="M1156" s="269"/>
      <c r="N1156" s="269"/>
      <c r="O1156" s="269"/>
      <c r="P1156" s="269"/>
      <c r="Q1156" s="269"/>
      <c r="R1156" s="269"/>
      <c r="S1156" s="269"/>
      <c r="T1156" s="269"/>
      <c r="U1156" s="269"/>
      <c r="V1156" s="269"/>
      <c r="W1156" s="269"/>
      <c r="X1156" s="269"/>
      <c r="Y1156" s="269"/>
      <c r="Z1156" s="269"/>
      <c r="AA1156" s="269"/>
      <c r="AB1156" s="269"/>
      <c r="AC1156" s="269"/>
      <c r="AD1156" s="269"/>
      <c r="AE1156" s="269"/>
      <c r="AF1156" s="269"/>
      <c r="AG1156" s="269"/>
      <c r="AO1156" s="338"/>
      <c r="AP1156" s="449"/>
      <c r="AR1156" s="449"/>
      <c r="AS1156" s="449"/>
      <c r="BA1156" s="269"/>
      <c r="BB1156" s="269"/>
      <c r="BC1156" s="269"/>
      <c r="BD1156" s="269"/>
      <c r="BE1156" s="269"/>
      <c r="BF1156" s="269"/>
      <c r="BG1156" s="269"/>
      <c r="BH1156" s="269"/>
      <c r="BI1156" s="269"/>
      <c r="BJ1156" s="269"/>
      <c r="BK1156" s="269"/>
      <c r="BL1156" s="269"/>
      <c r="BM1156" s="269"/>
      <c r="BN1156" s="269"/>
      <c r="BO1156" s="269"/>
      <c r="BP1156" s="269"/>
      <c r="BQ1156" s="269"/>
      <c r="BR1156" s="269"/>
      <c r="BS1156" s="269"/>
      <c r="BT1156" s="269"/>
      <c r="BU1156" s="269"/>
      <c r="BV1156" s="269"/>
      <c r="BW1156" s="269"/>
      <c r="BX1156" s="269"/>
      <c r="BY1156" s="269"/>
      <c r="BZ1156" s="269"/>
      <c r="CA1156" s="269"/>
      <c r="CB1156" s="269"/>
      <c r="CC1156" s="269"/>
      <c r="CD1156" s="269"/>
      <c r="CE1156" s="269"/>
      <c r="CF1156" s="269"/>
      <c r="CG1156" s="269"/>
      <c r="CH1156" s="269"/>
      <c r="CI1156" s="269"/>
      <c r="CJ1156" s="269"/>
      <c r="CK1156" s="269"/>
      <c r="CL1156" s="269"/>
      <c r="CM1156" s="269"/>
      <c r="CN1156" s="269"/>
      <c r="CO1156" s="302"/>
      <c r="CR1156" s="269"/>
      <c r="CS1156" s="269"/>
      <c r="CT1156" s="269"/>
      <c r="CU1156" s="269"/>
      <c r="CV1156" s="269"/>
      <c r="CW1156" s="269"/>
      <c r="CX1156" s="269"/>
      <c r="CY1156" s="269"/>
      <c r="CZ1156" s="269"/>
      <c r="DA1156" s="269"/>
      <c r="DB1156" s="269"/>
      <c r="DC1156" s="269"/>
      <c r="DD1156" s="269"/>
      <c r="DE1156" s="269"/>
      <c r="DF1156" s="269"/>
      <c r="DG1156" s="269"/>
      <c r="DH1156" s="269"/>
      <c r="DI1156" s="269"/>
      <c r="DJ1156" s="269"/>
      <c r="DK1156" s="269"/>
      <c r="DL1156" s="269"/>
      <c r="DM1156" s="269"/>
      <c r="DN1156" s="269"/>
      <c r="DO1156" s="269"/>
      <c r="DP1156" s="269"/>
      <c r="DQ1156" s="269"/>
      <c r="DR1156" s="269"/>
      <c r="DS1156" s="269"/>
      <c r="DT1156" s="269"/>
      <c r="DU1156" s="269"/>
      <c r="DV1156" s="269"/>
      <c r="DW1156" s="269"/>
      <c r="DX1156" s="269"/>
      <c r="DY1156" s="269"/>
      <c r="DZ1156" s="269"/>
      <c r="EA1156" s="269"/>
      <c r="EB1156" s="269"/>
      <c r="EC1156" s="269"/>
      <c r="ED1156" s="269"/>
      <c r="EE1156" s="269"/>
      <c r="EF1156" s="269"/>
      <c r="EG1156" s="269"/>
      <c r="EH1156" s="269"/>
      <c r="EI1156" s="269"/>
      <c r="EJ1156" s="269"/>
      <c r="EK1156" s="269"/>
      <c r="EL1156" s="269"/>
      <c r="EM1156" s="269"/>
      <c r="EN1156" s="269"/>
      <c r="EO1156" s="269"/>
      <c r="EP1156" s="269"/>
      <c r="EQ1156" s="269"/>
      <c r="ER1156" s="269"/>
      <c r="ES1156" s="269"/>
      <c r="ET1156" s="269"/>
      <c r="EU1156" s="269"/>
      <c r="EV1156" s="269"/>
      <c r="EW1156" s="269"/>
      <c r="EX1156" s="269"/>
      <c r="EY1156" s="269"/>
      <c r="EZ1156" s="269"/>
      <c r="FA1156" s="269"/>
      <c r="FB1156" s="269"/>
      <c r="FC1156" s="269"/>
    </row>
    <row r="1157" spans="3:159" hidden="1">
      <c r="C1157" s="435" t="s">
        <v>1325</v>
      </c>
      <c r="D1157" s="257"/>
      <c r="E1157" s="257"/>
      <c r="F1157" s="257"/>
      <c r="G1157" s="257"/>
      <c r="H1157" s="257"/>
      <c r="I1157" s="257"/>
      <c r="J1157" s="257"/>
      <c r="K1157" s="257"/>
      <c r="L1157" s="257"/>
      <c r="M1157" s="257"/>
      <c r="N1157" s="257">
        <v>-112</v>
      </c>
      <c r="O1157" s="257">
        <v>-159</v>
      </c>
      <c r="P1157" s="257">
        <v>-213</v>
      </c>
      <c r="Q1157" s="258">
        <v>-254</v>
      </c>
      <c r="R1157" s="258">
        <v>-308</v>
      </c>
      <c r="S1157" s="258">
        <v>-229</v>
      </c>
      <c r="T1157" s="258">
        <v>-218</v>
      </c>
      <c r="U1157" s="258">
        <v>-182</v>
      </c>
      <c r="V1157" s="258">
        <v>-237</v>
      </c>
      <c r="W1157" s="269"/>
      <c r="X1157" s="269"/>
      <c r="Y1157" s="269"/>
      <c r="Z1157" s="269"/>
      <c r="AA1157" s="269"/>
      <c r="AB1157" s="269"/>
      <c r="AC1157" s="269"/>
      <c r="AD1157" s="269"/>
      <c r="AE1157" s="269"/>
      <c r="AF1157" s="269"/>
      <c r="AG1157" s="269"/>
      <c r="AO1157" s="338"/>
      <c r="AP1157" s="449"/>
      <c r="AR1157" s="449"/>
      <c r="AS1157" s="449"/>
      <c r="BA1157" s="269"/>
      <c r="BB1157" s="269"/>
      <c r="BC1157" s="269"/>
      <c r="BD1157" s="269"/>
      <c r="BE1157" s="269"/>
      <c r="BF1157" s="269"/>
      <c r="BG1157" s="269"/>
      <c r="BH1157" s="269"/>
      <c r="BI1157" s="269"/>
      <c r="BJ1157" s="269"/>
      <c r="BK1157" s="269"/>
      <c r="BL1157" s="269"/>
      <c r="BM1157" s="269"/>
      <c r="BN1157" s="269"/>
      <c r="BO1157" s="269"/>
      <c r="BP1157" s="269"/>
      <c r="BQ1157" s="269"/>
      <c r="BR1157" s="269"/>
      <c r="BS1157" s="269"/>
      <c r="BT1157" s="269"/>
      <c r="BU1157" s="269"/>
      <c r="BV1157" s="269"/>
      <c r="BW1157" s="269"/>
      <c r="BX1157" s="269"/>
      <c r="BY1157" s="269"/>
      <c r="BZ1157" s="269"/>
      <c r="CA1157" s="269"/>
      <c r="CB1157" s="269"/>
      <c r="CC1157" s="269"/>
      <c r="CD1157" s="269"/>
      <c r="CE1157" s="269"/>
      <c r="CF1157" s="269"/>
      <c r="CG1157" s="269"/>
      <c r="CH1157" s="269"/>
      <c r="CI1157" s="269"/>
      <c r="CJ1157" s="269"/>
      <c r="CK1157" s="269"/>
      <c r="CL1157" s="269"/>
      <c r="CM1157" s="269"/>
      <c r="CN1157" s="269"/>
      <c r="CO1157" s="302"/>
      <c r="CR1157" s="269"/>
      <c r="CS1157" s="269"/>
      <c r="CT1157" s="269"/>
      <c r="CU1157" s="269"/>
      <c r="CV1157" s="269"/>
      <c r="CW1157" s="269"/>
      <c r="CX1157" s="269"/>
      <c r="CY1157" s="269"/>
      <c r="CZ1157" s="269"/>
      <c r="DA1157" s="269"/>
      <c r="DB1157" s="269"/>
      <c r="DC1157" s="269"/>
      <c r="DD1157" s="269"/>
      <c r="DE1157" s="269"/>
      <c r="DF1157" s="269"/>
      <c r="DG1157" s="269"/>
      <c r="DH1157" s="269"/>
      <c r="DI1157" s="269"/>
      <c r="DJ1157" s="269"/>
      <c r="DK1157" s="269"/>
      <c r="DL1157" s="269"/>
      <c r="DM1157" s="269"/>
      <c r="DN1157" s="269"/>
      <c r="DO1157" s="269"/>
      <c r="DP1157" s="269"/>
      <c r="DQ1157" s="269"/>
      <c r="DR1157" s="269"/>
      <c r="DS1157" s="269"/>
      <c r="DT1157" s="269"/>
      <c r="DU1157" s="269"/>
      <c r="DV1157" s="269"/>
      <c r="DW1157" s="269"/>
      <c r="DX1157" s="269"/>
      <c r="DY1157" s="269"/>
      <c r="DZ1157" s="269"/>
      <c r="EA1157" s="269"/>
      <c r="EB1157" s="269"/>
      <c r="EC1157" s="269"/>
      <c r="ED1157" s="269"/>
      <c r="EE1157" s="269"/>
      <c r="EF1157" s="269"/>
      <c r="EG1157" s="269"/>
      <c r="EH1157" s="269"/>
      <c r="EI1157" s="269"/>
      <c r="EJ1157" s="269"/>
      <c r="EK1157" s="269"/>
      <c r="EL1157" s="269"/>
      <c r="EM1157" s="269"/>
      <c r="EN1157" s="269"/>
      <c r="EO1157" s="269"/>
      <c r="EP1157" s="269"/>
      <c r="EQ1157" s="269"/>
      <c r="ER1157" s="269"/>
      <c r="ES1157" s="269"/>
      <c r="ET1157" s="269"/>
      <c r="EU1157" s="269"/>
      <c r="EV1157" s="269"/>
      <c r="EW1157" s="269"/>
      <c r="EX1157" s="269"/>
      <c r="EY1157" s="269"/>
      <c r="EZ1157" s="269"/>
      <c r="FA1157" s="269"/>
      <c r="FB1157" s="269"/>
      <c r="FC1157" s="269"/>
    </row>
    <row r="1158" spans="3:159" hidden="1">
      <c r="C1158" s="267" t="s">
        <v>971</v>
      </c>
      <c r="D1158" s="269"/>
      <c r="E1158" s="269"/>
      <c r="F1158" s="269"/>
      <c r="G1158" s="269"/>
      <c r="H1158" s="269"/>
      <c r="I1158" s="269"/>
      <c r="J1158" s="269"/>
      <c r="K1158" s="269"/>
      <c r="L1158" s="269"/>
      <c r="M1158" s="269"/>
      <c r="N1158" s="269">
        <v>26</v>
      </c>
      <c r="O1158" s="269">
        <v>29</v>
      </c>
      <c r="P1158" s="269">
        <v>29</v>
      </c>
      <c r="Q1158" s="269">
        <v>38</v>
      </c>
      <c r="R1158" s="269">
        <v>46</v>
      </c>
      <c r="S1158" s="269">
        <v>46</v>
      </c>
      <c r="T1158" s="269">
        <v>44</v>
      </c>
      <c r="U1158" s="302">
        <v>45</v>
      </c>
      <c r="V1158" s="302">
        <v>42</v>
      </c>
      <c r="W1158" s="269"/>
      <c r="X1158" s="269"/>
      <c r="Y1158" s="269"/>
      <c r="Z1158" s="269"/>
      <c r="AA1158" s="269"/>
      <c r="AB1158" s="269"/>
      <c r="AC1158" s="269"/>
      <c r="AD1158" s="269"/>
      <c r="AE1158" s="269"/>
      <c r="AF1158" s="269"/>
      <c r="AG1158" s="269"/>
      <c r="AO1158" s="338"/>
      <c r="AP1158" s="449"/>
      <c r="AR1158" s="449"/>
      <c r="AS1158" s="449"/>
      <c r="BA1158" s="269"/>
      <c r="BB1158" s="269"/>
      <c r="BC1158" s="269"/>
      <c r="BD1158" s="269"/>
      <c r="BE1158" s="269"/>
      <c r="BF1158" s="269"/>
      <c r="BG1158" s="269"/>
      <c r="BH1158" s="269"/>
      <c r="BI1158" s="269"/>
      <c r="BJ1158" s="269"/>
      <c r="BK1158" s="269"/>
      <c r="BL1158" s="269"/>
      <c r="BM1158" s="269"/>
      <c r="BN1158" s="269"/>
      <c r="BO1158" s="269"/>
      <c r="BP1158" s="269"/>
      <c r="BQ1158" s="269"/>
      <c r="BR1158" s="269"/>
      <c r="BS1158" s="269"/>
      <c r="BT1158" s="269"/>
      <c r="BU1158" s="269"/>
      <c r="BV1158" s="269"/>
      <c r="BW1158" s="269"/>
      <c r="BX1158" s="269"/>
      <c r="BY1158" s="269"/>
      <c r="BZ1158" s="269"/>
      <c r="CA1158" s="269"/>
      <c r="CB1158" s="269"/>
      <c r="CC1158" s="269"/>
      <c r="CD1158" s="269"/>
      <c r="CE1158" s="269"/>
      <c r="CF1158" s="269"/>
      <c r="CG1158" s="269"/>
      <c r="CH1158" s="269"/>
      <c r="CI1158" s="269"/>
      <c r="CJ1158" s="269"/>
      <c r="CK1158" s="269"/>
      <c r="CL1158" s="269"/>
      <c r="CM1158" s="269"/>
      <c r="CN1158" s="269"/>
      <c r="CO1158" s="302"/>
      <c r="CR1158" s="269"/>
      <c r="CS1158" s="269"/>
      <c r="CT1158" s="269"/>
      <c r="CU1158" s="269"/>
      <c r="CV1158" s="269"/>
      <c r="CW1158" s="269"/>
      <c r="CX1158" s="269"/>
      <c r="CY1158" s="269"/>
      <c r="CZ1158" s="269"/>
      <c r="DA1158" s="269"/>
      <c r="DB1158" s="269"/>
      <c r="DC1158" s="269"/>
      <c r="DD1158" s="269"/>
      <c r="DE1158" s="269"/>
      <c r="DF1158" s="269"/>
      <c r="DG1158" s="269"/>
      <c r="DH1158" s="269"/>
      <c r="DI1158" s="269"/>
      <c r="DJ1158" s="269"/>
      <c r="DK1158" s="269"/>
      <c r="DL1158" s="269"/>
      <c r="DM1158" s="269"/>
      <c r="DN1158" s="269"/>
      <c r="DO1158" s="269"/>
      <c r="DP1158" s="269"/>
      <c r="DQ1158" s="269"/>
      <c r="DR1158" s="269"/>
      <c r="DS1158" s="269"/>
      <c r="DT1158" s="269"/>
      <c r="DU1158" s="269"/>
      <c r="DV1158" s="269"/>
      <c r="DW1158" s="269"/>
      <c r="DX1158" s="269"/>
      <c r="DY1158" s="269"/>
      <c r="DZ1158" s="269"/>
      <c r="EA1158" s="269"/>
      <c r="EB1158" s="269"/>
      <c r="EC1158" s="269"/>
      <c r="ED1158" s="269"/>
      <c r="EE1158" s="269"/>
      <c r="EF1158" s="269"/>
      <c r="EG1158" s="269"/>
      <c r="EH1158" s="269"/>
      <c r="EI1158" s="269"/>
      <c r="EJ1158" s="269"/>
      <c r="EK1158" s="269"/>
      <c r="EL1158" s="269"/>
      <c r="EM1158" s="269"/>
      <c r="EN1158" s="269"/>
      <c r="EO1158" s="269"/>
      <c r="EP1158" s="269"/>
      <c r="EQ1158" s="269"/>
      <c r="ER1158" s="269"/>
      <c r="ES1158" s="269"/>
      <c r="ET1158" s="269"/>
      <c r="EU1158" s="269"/>
      <c r="EV1158" s="269"/>
      <c r="EW1158" s="269"/>
      <c r="EX1158" s="269"/>
      <c r="EY1158" s="269"/>
      <c r="EZ1158" s="269"/>
      <c r="FA1158" s="269"/>
      <c r="FB1158" s="269"/>
      <c r="FC1158" s="269"/>
    </row>
    <row r="1159" spans="3:159" hidden="1">
      <c r="C1159" s="266" t="s">
        <v>1030</v>
      </c>
      <c r="D1159" s="269"/>
      <c r="E1159" s="269"/>
      <c r="F1159" s="269"/>
      <c r="G1159" s="269"/>
      <c r="H1159" s="269"/>
      <c r="I1159" s="269"/>
      <c r="J1159" s="269">
        <v>-234</v>
      </c>
      <c r="K1159" s="269">
        <v>-204</v>
      </c>
      <c r="L1159" s="269">
        <v>-167</v>
      </c>
      <c r="M1159" s="269">
        <v>-141</v>
      </c>
      <c r="N1159" s="269">
        <v>-86</v>
      </c>
      <c r="O1159" s="269">
        <v>-130</v>
      </c>
      <c r="P1159" s="269">
        <v>-184</v>
      </c>
      <c r="Q1159" s="269">
        <v>-216</v>
      </c>
      <c r="R1159" s="436">
        <v>-262</v>
      </c>
      <c r="S1159" s="436">
        <v>-183</v>
      </c>
      <c r="T1159" s="436">
        <v>-174</v>
      </c>
      <c r="U1159" s="430">
        <v>-137</v>
      </c>
      <c r="V1159" s="436">
        <v>-195</v>
      </c>
      <c r="W1159" s="269"/>
      <c r="X1159" s="269"/>
      <c r="Y1159" s="269"/>
      <c r="Z1159" s="269"/>
      <c r="AA1159" s="269"/>
      <c r="AB1159" s="269"/>
      <c r="AC1159" s="269"/>
      <c r="AD1159" s="269"/>
      <c r="AE1159" s="269"/>
      <c r="AF1159" s="269"/>
      <c r="AG1159" s="269"/>
      <c r="AO1159" s="338"/>
      <c r="AP1159" s="449"/>
      <c r="AR1159" s="449"/>
      <c r="AS1159" s="449"/>
      <c r="BA1159" s="269"/>
      <c r="BB1159" s="269"/>
      <c r="BC1159" s="269"/>
      <c r="BD1159" s="269"/>
      <c r="BE1159" s="269"/>
      <c r="BF1159" s="269"/>
      <c r="BG1159" s="269"/>
      <c r="BH1159" s="269"/>
      <c r="BI1159" s="269"/>
      <c r="BJ1159" s="269"/>
      <c r="BK1159" s="269"/>
      <c r="BL1159" s="269"/>
      <c r="BM1159" s="269"/>
      <c r="BN1159" s="269"/>
      <c r="BO1159" s="269"/>
      <c r="BP1159" s="269"/>
      <c r="BQ1159" s="269"/>
      <c r="BR1159" s="269"/>
      <c r="BS1159" s="269"/>
      <c r="BT1159" s="269"/>
      <c r="BU1159" s="269"/>
      <c r="BV1159" s="269"/>
      <c r="BW1159" s="269"/>
      <c r="BX1159" s="269"/>
      <c r="BY1159" s="269"/>
      <c r="BZ1159" s="269"/>
      <c r="CA1159" s="269"/>
      <c r="CB1159" s="269"/>
      <c r="CC1159" s="269"/>
      <c r="CD1159" s="269"/>
      <c r="CE1159" s="269"/>
      <c r="CF1159" s="269"/>
      <c r="CG1159" s="269"/>
      <c r="CH1159" s="269"/>
      <c r="CI1159" s="269"/>
      <c r="CJ1159" s="269"/>
      <c r="CK1159" s="269"/>
      <c r="CL1159" s="269"/>
      <c r="CM1159" s="269"/>
      <c r="CN1159" s="269"/>
      <c r="CO1159" s="302"/>
      <c r="CR1159" s="269"/>
      <c r="CS1159" s="269"/>
      <c r="CT1159" s="269"/>
      <c r="CU1159" s="269"/>
      <c r="CV1159" s="269"/>
      <c r="CW1159" s="269"/>
      <c r="CX1159" s="269"/>
      <c r="CY1159" s="269"/>
      <c r="CZ1159" s="269"/>
      <c r="DA1159" s="269"/>
      <c r="DB1159" s="269"/>
      <c r="DC1159" s="269"/>
      <c r="DD1159" s="269"/>
      <c r="DE1159" s="269"/>
      <c r="DF1159" s="269"/>
      <c r="DG1159" s="269"/>
      <c r="DH1159" s="269"/>
      <c r="DI1159" s="269"/>
      <c r="DJ1159" s="269"/>
      <c r="DK1159" s="269"/>
      <c r="DL1159" s="269"/>
      <c r="DM1159" s="269"/>
      <c r="DN1159" s="269"/>
      <c r="DO1159" s="269"/>
      <c r="DP1159" s="269"/>
      <c r="DQ1159" s="269"/>
      <c r="DR1159" s="269"/>
      <c r="DS1159" s="269"/>
      <c r="DT1159" s="269"/>
      <c r="DU1159" s="269"/>
      <c r="DV1159" s="269"/>
      <c r="DW1159" s="269"/>
      <c r="DX1159" s="269"/>
      <c r="DY1159" s="269"/>
      <c r="DZ1159" s="269"/>
      <c r="EA1159" s="269"/>
      <c r="EB1159" s="269"/>
      <c r="EC1159" s="269"/>
      <c r="ED1159" s="269"/>
      <c r="EE1159" s="269"/>
      <c r="EF1159" s="269"/>
      <c r="EG1159" s="269"/>
      <c r="EH1159" s="269"/>
      <c r="EI1159" s="269"/>
      <c r="EJ1159" s="269"/>
      <c r="EK1159" s="269"/>
      <c r="EL1159" s="269"/>
      <c r="EM1159" s="269"/>
      <c r="EN1159" s="269"/>
      <c r="EO1159" s="269"/>
      <c r="EP1159" s="269"/>
      <c r="EQ1159" s="269"/>
      <c r="ER1159" s="269"/>
      <c r="ES1159" s="269"/>
      <c r="ET1159" s="269"/>
      <c r="EU1159" s="269"/>
      <c r="EV1159" s="269"/>
      <c r="EW1159" s="269"/>
      <c r="EX1159" s="269"/>
      <c r="EY1159" s="269"/>
      <c r="EZ1159" s="269"/>
      <c r="FA1159" s="269"/>
      <c r="FB1159" s="269"/>
      <c r="FC1159" s="269"/>
    </row>
    <row r="1160" spans="3:159" hidden="1">
      <c r="C1160" s="267" t="s">
        <v>1031</v>
      </c>
      <c r="D1160" s="269"/>
      <c r="E1160" s="269"/>
      <c r="F1160" s="269"/>
      <c r="G1160" s="269"/>
      <c r="H1160" s="269"/>
      <c r="I1160" s="269"/>
      <c r="J1160" s="269">
        <v>125</v>
      </c>
      <c r="K1160" s="269">
        <v>101</v>
      </c>
      <c r="L1160" s="269">
        <v>83</v>
      </c>
      <c r="M1160" s="269">
        <v>65</v>
      </c>
      <c r="N1160" s="269">
        <v>45</v>
      </c>
      <c r="O1160" s="269">
        <v>81</v>
      </c>
      <c r="P1160" s="269">
        <v>126</v>
      </c>
      <c r="Q1160" s="269">
        <v>129</v>
      </c>
      <c r="R1160" s="269">
        <v>122</v>
      </c>
      <c r="S1160" s="269">
        <v>98</v>
      </c>
      <c r="T1160" s="269">
        <v>82</v>
      </c>
      <c r="U1160" s="302">
        <v>56</v>
      </c>
      <c r="V1160" s="302">
        <v>108</v>
      </c>
      <c r="W1160" s="269"/>
      <c r="X1160" s="269"/>
      <c r="Y1160" s="269"/>
      <c r="Z1160" s="269"/>
      <c r="AA1160" s="269"/>
      <c r="AB1160" s="269"/>
      <c r="AC1160" s="269"/>
      <c r="AD1160" s="269"/>
      <c r="AE1160" s="269"/>
      <c r="AF1160" s="269"/>
      <c r="AG1160" s="269"/>
      <c r="AO1160" s="338"/>
      <c r="AP1160" s="449"/>
      <c r="AR1160" s="449"/>
      <c r="AS1160" s="449"/>
      <c r="BA1160" s="269"/>
      <c r="BB1160" s="269"/>
      <c r="BC1160" s="269"/>
      <c r="BD1160" s="269"/>
      <c r="BE1160" s="269"/>
      <c r="BF1160" s="269"/>
      <c r="BG1160" s="269"/>
      <c r="BH1160" s="269"/>
      <c r="BI1160" s="269"/>
      <c r="BJ1160" s="269"/>
      <c r="BK1160" s="269"/>
      <c r="BL1160" s="269"/>
      <c r="BM1160" s="269"/>
      <c r="BN1160" s="269"/>
      <c r="BO1160" s="269"/>
      <c r="BP1160" s="269"/>
      <c r="BQ1160" s="269"/>
      <c r="BR1160" s="269"/>
      <c r="BS1160" s="269"/>
      <c r="BT1160" s="269"/>
      <c r="BU1160" s="269"/>
      <c r="BV1160" s="269"/>
      <c r="BW1160" s="269"/>
      <c r="BX1160" s="269"/>
      <c r="BY1160" s="269"/>
      <c r="BZ1160" s="269"/>
      <c r="CA1160" s="269"/>
      <c r="CB1160" s="269"/>
      <c r="CC1160" s="269"/>
      <c r="CD1160" s="269"/>
      <c r="CE1160" s="269"/>
      <c r="CF1160" s="269"/>
      <c r="CG1160" s="269"/>
      <c r="CH1160" s="269"/>
      <c r="CI1160" s="269"/>
      <c r="CJ1160" s="269"/>
      <c r="CK1160" s="269"/>
      <c r="CL1160" s="269"/>
      <c r="CM1160" s="269"/>
      <c r="CN1160" s="269"/>
      <c r="CO1160" s="302"/>
      <c r="CR1160" s="269"/>
      <c r="CS1160" s="269"/>
      <c r="CT1160" s="269"/>
      <c r="CU1160" s="269"/>
      <c r="CV1160" s="269"/>
      <c r="CW1160" s="269"/>
      <c r="CX1160" s="269"/>
      <c r="CY1160" s="269"/>
      <c r="CZ1160" s="269"/>
      <c r="DA1160" s="269"/>
      <c r="DB1160" s="269"/>
      <c r="DC1160" s="269"/>
      <c r="DD1160" s="269"/>
      <c r="DE1160" s="269"/>
      <c r="DF1160" s="269"/>
      <c r="DG1160" s="269"/>
      <c r="DH1160" s="269"/>
      <c r="DI1160" s="269"/>
      <c r="DJ1160" s="269"/>
      <c r="DK1160" s="269"/>
      <c r="DL1160" s="269"/>
      <c r="DM1160" s="269"/>
      <c r="DN1160" s="269"/>
      <c r="DO1160" s="269"/>
      <c r="DP1160" s="269"/>
      <c r="DQ1160" s="269"/>
      <c r="DR1160" s="269"/>
      <c r="DS1160" s="269"/>
      <c r="DT1160" s="269"/>
      <c r="DU1160" s="269"/>
      <c r="DV1160" s="269"/>
      <c r="DW1160" s="269"/>
      <c r="DX1160" s="269"/>
      <c r="DY1160" s="269"/>
      <c r="DZ1160" s="269"/>
      <c r="EA1160" s="269"/>
      <c r="EB1160" s="269"/>
      <c r="EC1160" s="269"/>
      <c r="ED1160" s="269"/>
      <c r="EE1160" s="269"/>
      <c r="EF1160" s="269"/>
      <c r="EG1160" s="269"/>
      <c r="EH1160" s="269"/>
      <c r="EI1160" s="269"/>
      <c r="EJ1160" s="269"/>
      <c r="EK1160" s="269"/>
      <c r="EL1160" s="269"/>
      <c r="EM1160" s="269"/>
      <c r="EN1160" s="269"/>
      <c r="EO1160" s="269"/>
      <c r="EP1160" s="269"/>
      <c r="EQ1160" s="269"/>
      <c r="ER1160" s="269"/>
      <c r="ES1160" s="269"/>
      <c r="ET1160" s="269"/>
      <c r="EU1160" s="269"/>
      <c r="EV1160" s="269"/>
      <c r="EW1160" s="269"/>
      <c r="EX1160" s="269"/>
      <c r="EY1160" s="269"/>
      <c r="EZ1160" s="269"/>
      <c r="FA1160" s="269"/>
      <c r="FB1160" s="269"/>
      <c r="FC1160" s="269"/>
    </row>
    <row r="1161" spans="3:159" hidden="1">
      <c r="C1161" s="267" t="s">
        <v>1043</v>
      </c>
      <c r="D1161" s="269"/>
      <c r="E1161" s="269"/>
      <c r="F1161" s="269"/>
      <c r="G1161" s="269"/>
      <c r="H1161" s="269"/>
      <c r="I1161" s="269"/>
      <c r="J1161" s="269">
        <v>-27</v>
      </c>
      <c r="K1161" s="269">
        <v>-3</v>
      </c>
      <c r="L1161" s="269"/>
      <c r="M1161" s="269"/>
      <c r="N1161" s="269">
        <v>-40</v>
      </c>
      <c r="O1161" s="269">
        <v>-55</v>
      </c>
      <c r="P1161" s="269">
        <v>-32</v>
      </c>
      <c r="Q1161" s="269">
        <v>-36</v>
      </c>
      <c r="R1161" s="269">
        <v>-37</v>
      </c>
      <c r="S1161" s="269">
        <v>-40</v>
      </c>
      <c r="T1161" s="269">
        <v>-41</v>
      </c>
      <c r="U1161" s="302">
        <v>-77</v>
      </c>
      <c r="V1161" s="302">
        <v>-62</v>
      </c>
      <c r="W1161" s="269"/>
      <c r="X1161" s="269"/>
      <c r="Y1161" s="269"/>
      <c r="Z1161" s="269"/>
      <c r="AA1161" s="269"/>
      <c r="AB1161" s="269"/>
      <c r="AC1161" s="269"/>
      <c r="AD1161" s="269"/>
      <c r="AE1161" s="269"/>
      <c r="AF1161" s="269"/>
      <c r="AG1161" s="269"/>
      <c r="AO1161" s="338"/>
      <c r="AP1161" s="449"/>
      <c r="AR1161" s="449"/>
      <c r="AS1161" s="449"/>
      <c r="BA1161" s="269"/>
      <c r="BB1161" s="269"/>
      <c r="BC1161" s="269"/>
      <c r="BD1161" s="269"/>
      <c r="BE1161" s="269"/>
      <c r="BF1161" s="269"/>
      <c r="BG1161" s="269"/>
      <c r="BH1161" s="269"/>
      <c r="BI1161" s="269"/>
      <c r="BJ1161" s="269"/>
      <c r="BK1161" s="269"/>
      <c r="BL1161" s="269"/>
      <c r="BM1161" s="269"/>
      <c r="BN1161" s="269"/>
      <c r="BO1161" s="269"/>
      <c r="BP1161" s="269"/>
      <c r="BQ1161" s="269"/>
      <c r="BR1161" s="269"/>
      <c r="BS1161" s="269"/>
      <c r="BT1161" s="269"/>
      <c r="BU1161" s="269"/>
      <c r="BV1161" s="269"/>
      <c r="BW1161" s="269"/>
      <c r="BX1161" s="269"/>
      <c r="BY1161" s="269"/>
      <c r="BZ1161" s="269"/>
      <c r="CA1161" s="269"/>
      <c r="CB1161" s="269"/>
      <c r="CC1161" s="269"/>
      <c r="CD1161" s="269"/>
      <c r="CE1161" s="269"/>
      <c r="CF1161" s="269"/>
      <c r="CG1161" s="269"/>
      <c r="CH1161" s="269"/>
      <c r="CI1161" s="269"/>
      <c r="CJ1161" s="269"/>
      <c r="CK1161" s="269"/>
      <c r="CL1161" s="269"/>
      <c r="CM1161" s="269"/>
      <c r="CN1161" s="269"/>
      <c r="CO1161" s="302"/>
      <c r="CR1161" s="269"/>
      <c r="CS1161" s="269"/>
      <c r="CT1161" s="269"/>
      <c r="CU1161" s="269"/>
      <c r="CV1161" s="269"/>
      <c r="CW1161" s="269"/>
      <c r="CX1161" s="269"/>
      <c r="CY1161" s="269"/>
      <c r="CZ1161" s="269"/>
      <c r="DA1161" s="269"/>
      <c r="DB1161" s="269"/>
      <c r="DC1161" s="269"/>
      <c r="DD1161" s="269"/>
      <c r="DE1161" s="269"/>
      <c r="DF1161" s="269"/>
      <c r="DG1161" s="269"/>
      <c r="DH1161" s="269"/>
      <c r="DI1161" s="269"/>
      <c r="DJ1161" s="269"/>
      <c r="DK1161" s="269"/>
      <c r="DL1161" s="269"/>
      <c r="DM1161" s="269"/>
      <c r="DN1161" s="269"/>
      <c r="DO1161" s="269"/>
      <c r="DP1161" s="269"/>
      <c r="DQ1161" s="269"/>
      <c r="DR1161" s="269"/>
      <c r="DS1161" s="269"/>
      <c r="DT1161" s="269"/>
      <c r="DU1161" s="269"/>
      <c r="DV1161" s="269"/>
      <c r="DW1161" s="269"/>
      <c r="DX1161" s="269"/>
      <c r="DY1161" s="269"/>
      <c r="DZ1161" s="269"/>
      <c r="EA1161" s="269"/>
      <c r="EB1161" s="269"/>
      <c r="EC1161" s="269"/>
      <c r="ED1161" s="269"/>
      <c r="EE1161" s="269"/>
      <c r="EF1161" s="269"/>
      <c r="EG1161" s="269"/>
      <c r="EH1161" s="269"/>
      <c r="EI1161" s="269"/>
      <c r="EJ1161" s="269"/>
      <c r="EK1161" s="269"/>
      <c r="EL1161" s="269"/>
      <c r="EM1161" s="269"/>
      <c r="EN1161" s="269"/>
      <c r="EO1161" s="269"/>
      <c r="EP1161" s="269"/>
      <c r="EQ1161" s="269"/>
      <c r="ER1161" s="269"/>
      <c r="ES1161" s="269"/>
      <c r="ET1161" s="269"/>
      <c r="EU1161" s="269"/>
      <c r="EV1161" s="269"/>
      <c r="EW1161" s="269"/>
      <c r="EX1161" s="269"/>
      <c r="EY1161" s="269"/>
      <c r="EZ1161" s="269"/>
      <c r="FA1161" s="269"/>
      <c r="FB1161" s="269"/>
      <c r="FC1161" s="269"/>
    </row>
    <row r="1162" spans="3:159" hidden="1">
      <c r="C1162" s="261" t="s">
        <v>1032</v>
      </c>
      <c r="D1162" s="302"/>
      <c r="E1162" s="302"/>
      <c r="F1162" s="302"/>
      <c r="G1162" s="302"/>
      <c r="H1162" s="302"/>
      <c r="I1162" s="302"/>
      <c r="J1162" s="302">
        <v>-136</v>
      </c>
      <c r="K1162" s="302">
        <v>-106</v>
      </c>
      <c r="L1162" s="302">
        <v>-84</v>
      </c>
      <c r="M1162" s="302">
        <v>-76</v>
      </c>
      <c r="N1162" s="302">
        <v>-81</v>
      </c>
      <c r="O1162" s="302">
        <v>-104</v>
      </c>
      <c r="P1162" s="302">
        <v>-90</v>
      </c>
      <c r="Q1162" s="302">
        <v>-123</v>
      </c>
      <c r="R1162" s="430">
        <v>-177</v>
      </c>
      <c r="S1162" s="430">
        <v>-125</v>
      </c>
      <c r="T1162" s="430">
        <v>-133</v>
      </c>
      <c r="U1162" s="430">
        <v>-158</v>
      </c>
      <c r="V1162" s="430">
        <v>-149</v>
      </c>
      <c r="W1162" s="269"/>
      <c r="X1162" s="269"/>
      <c r="Y1162" s="269"/>
      <c r="Z1162" s="269"/>
      <c r="AA1162" s="269"/>
      <c r="AB1162" s="269"/>
      <c r="AC1162" s="269"/>
      <c r="AD1162" s="269"/>
      <c r="AE1162" s="269"/>
      <c r="AF1162" s="269"/>
      <c r="AG1162" s="269"/>
      <c r="AO1162" s="338"/>
      <c r="AP1162" s="449"/>
      <c r="AR1162" s="449"/>
      <c r="AS1162" s="449"/>
      <c r="BA1162" s="269"/>
      <c r="BB1162" s="269"/>
      <c r="BC1162" s="269"/>
      <c r="BD1162" s="269"/>
      <c r="BE1162" s="269"/>
      <c r="BF1162" s="269"/>
      <c r="BG1162" s="269"/>
      <c r="BH1162" s="269"/>
      <c r="BI1162" s="269"/>
      <c r="BJ1162" s="269"/>
      <c r="BK1162" s="269"/>
      <c r="BL1162" s="269"/>
      <c r="BM1162" s="269"/>
      <c r="BN1162" s="269"/>
      <c r="BO1162" s="269"/>
      <c r="BP1162" s="269"/>
      <c r="BQ1162" s="269"/>
      <c r="BR1162" s="269"/>
      <c r="BS1162" s="269"/>
      <c r="BT1162" s="269"/>
      <c r="BU1162" s="269"/>
      <c r="BV1162" s="269"/>
      <c r="BW1162" s="269"/>
      <c r="BX1162" s="269"/>
      <c r="BY1162" s="269"/>
      <c r="BZ1162" s="269"/>
      <c r="CA1162" s="269"/>
      <c r="CB1162" s="269"/>
      <c r="CC1162" s="269"/>
      <c r="CD1162" s="269"/>
      <c r="CE1162" s="269"/>
      <c r="CF1162" s="269"/>
      <c r="CG1162" s="269"/>
      <c r="CH1162" s="269"/>
      <c r="CI1162" s="269"/>
      <c r="CJ1162" s="269"/>
      <c r="CK1162" s="269"/>
      <c r="CL1162" s="269"/>
      <c r="CM1162" s="269"/>
      <c r="CN1162" s="269"/>
      <c r="CO1162" s="302"/>
      <c r="CR1162" s="269"/>
      <c r="CS1162" s="269"/>
      <c r="CT1162" s="269"/>
      <c r="CU1162" s="269"/>
      <c r="CV1162" s="269"/>
      <c r="CW1162" s="269"/>
      <c r="CX1162" s="269"/>
      <c r="CY1162" s="269"/>
      <c r="CZ1162" s="269"/>
      <c r="DA1162" s="269"/>
      <c r="DB1162" s="269"/>
      <c r="DC1162" s="269"/>
      <c r="DD1162" s="269"/>
      <c r="DE1162" s="269"/>
      <c r="DF1162" s="269"/>
      <c r="DG1162" s="269"/>
      <c r="DH1162" s="269"/>
      <c r="DI1162" s="269"/>
      <c r="DJ1162" s="269"/>
      <c r="DK1162" s="269"/>
      <c r="DL1162" s="269"/>
      <c r="DM1162" s="269"/>
      <c r="DN1162" s="269"/>
      <c r="DO1162" s="269"/>
      <c r="DP1162" s="269"/>
      <c r="DQ1162" s="269"/>
      <c r="DR1162" s="269"/>
      <c r="DS1162" s="269"/>
      <c r="DT1162" s="269"/>
      <c r="DU1162" s="269"/>
      <c r="DV1162" s="269"/>
      <c r="DW1162" s="269"/>
      <c r="DX1162" s="269"/>
      <c r="DY1162" s="269"/>
      <c r="DZ1162" s="269"/>
      <c r="EA1162" s="269"/>
      <c r="EB1162" s="269"/>
      <c r="EC1162" s="269"/>
      <c r="ED1162" s="269"/>
      <c r="EE1162" s="269"/>
      <c r="EF1162" s="269"/>
      <c r="EG1162" s="269"/>
      <c r="EH1162" s="269"/>
      <c r="EI1162" s="269"/>
      <c r="EJ1162" s="269"/>
      <c r="EK1162" s="269"/>
      <c r="EL1162" s="269"/>
      <c r="EM1162" s="269"/>
      <c r="EN1162" s="269"/>
      <c r="EO1162" s="269"/>
      <c r="EP1162" s="269"/>
      <c r="EQ1162" s="269"/>
      <c r="ER1162" s="269"/>
      <c r="ES1162" s="269"/>
      <c r="ET1162" s="269"/>
      <c r="EU1162" s="269"/>
      <c r="EV1162" s="269"/>
      <c r="EW1162" s="269"/>
      <c r="EX1162" s="269"/>
      <c r="EY1162" s="269"/>
      <c r="EZ1162" s="269"/>
      <c r="FA1162" s="269"/>
      <c r="FB1162" s="269"/>
      <c r="FC1162" s="269"/>
    </row>
    <row r="1163" spans="3:159" hidden="1">
      <c r="C1163" s="410" t="s">
        <v>781</v>
      </c>
      <c r="D1163" s="271"/>
      <c r="E1163" s="271"/>
      <c r="F1163" s="271"/>
      <c r="G1163" s="271"/>
      <c r="H1163" s="271"/>
      <c r="I1163" s="271"/>
      <c r="J1163" s="271">
        <v>-5.1437216338880487E-2</v>
      </c>
      <c r="K1163" s="271">
        <v>-3.9215686274509803E-2</v>
      </c>
      <c r="L1163" s="271">
        <v>-2.9411764705882353E-2</v>
      </c>
      <c r="M1163" s="271">
        <v>-2.7466570292735814E-2</v>
      </c>
      <c r="N1163" s="271">
        <v>-2.8581510232886381E-2</v>
      </c>
      <c r="O1163" s="271">
        <v>-3.3580884727155313E-2</v>
      </c>
      <c r="P1163" s="271">
        <v>-2.4383635871037659E-2</v>
      </c>
      <c r="Q1163" s="271">
        <v>-3.0065998533365924E-2</v>
      </c>
      <c r="R1163" s="271">
        <v>-3.9811066126855602E-2</v>
      </c>
      <c r="S1163" s="271">
        <v>-2.5288286465709083E-2</v>
      </c>
      <c r="T1163" s="271">
        <v>-2.5850340136054421E-2</v>
      </c>
      <c r="U1163" s="271">
        <v>-3.0038022813688212E-2</v>
      </c>
      <c r="V1163" s="271">
        <v>-2.8283978739559606E-2</v>
      </c>
      <c r="W1163" s="269"/>
      <c r="X1163" s="269"/>
      <c r="Y1163" s="269"/>
      <c r="Z1163" s="269"/>
      <c r="AA1163" s="269"/>
      <c r="AB1163" s="269"/>
      <c r="AC1163" s="269"/>
      <c r="AD1163" s="269"/>
      <c r="AE1163" s="269"/>
      <c r="AF1163" s="269"/>
      <c r="AG1163" s="269"/>
      <c r="AO1163" s="338"/>
      <c r="AP1163" s="449"/>
      <c r="AR1163" s="449"/>
      <c r="AS1163" s="449"/>
      <c r="BA1163" s="269"/>
      <c r="BB1163" s="269"/>
      <c r="BC1163" s="269"/>
      <c r="BD1163" s="269"/>
      <c r="BE1163" s="269"/>
      <c r="BF1163" s="269"/>
      <c r="BG1163" s="269"/>
      <c r="BH1163" s="269"/>
      <c r="BI1163" s="269"/>
      <c r="BJ1163" s="269"/>
      <c r="BK1163" s="269"/>
      <c r="BL1163" s="269"/>
      <c r="BM1163" s="269"/>
      <c r="BN1163" s="269"/>
      <c r="BO1163" s="269"/>
      <c r="BP1163" s="269"/>
      <c r="BQ1163" s="269"/>
      <c r="BR1163" s="269"/>
      <c r="BS1163" s="269"/>
      <c r="BT1163" s="269"/>
      <c r="BU1163" s="269"/>
      <c r="BV1163" s="269"/>
      <c r="BW1163" s="269"/>
      <c r="BX1163" s="269"/>
      <c r="BY1163" s="269"/>
      <c r="BZ1163" s="269"/>
      <c r="CA1163" s="269"/>
      <c r="CB1163" s="269"/>
      <c r="CC1163" s="269"/>
      <c r="CD1163" s="269"/>
      <c r="CE1163" s="269"/>
      <c r="CF1163" s="269"/>
      <c r="CG1163" s="269"/>
      <c r="CH1163" s="269"/>
      <c r="CI1163" s="269"/>
      <c r="CJ1163" s="269"/>
      <c r="CK1163" s="269"/>
      <c r="CL1163" s="269"/>
      <c r="CM1163" s="269"/>
      <c r="CN1163" s="269"/>
      <c r="CO1163" s="302"/>
      <c r="CR1163" s="269"/>
      <c r="CS1163" s="269"/>
      <c r="CT1163" s="269"/>
      <c r="CU1163" s="269"/>
      <c r="CV1163" s="269"/>
      <c r="CW1163" s="269"/>
      <c r="CX1163" s="269"/>
      <c r="CY1163" s="269"/>
      <c r="CZ1163" s="269"/>
      <c r="DA1163" s="269"/>
      <c r="DB1163" s="269"/>
      <c r="DC1163" s="269"/>
      <c r="DD1163" s="269"/>
      <c r="DE1163" s="269"/>
      <c r="DF1163" s="269"/>
      <c r="DG1163" s="269"/>
      <c r="DH1163" s="269"/>
      <c r="DI1163" s="269"/>
      <c r="DJ1163" s="269"/>
      <c r="DK1163" s="269"/>
      <c r="DL1163" s="269"/>
      <c r="DM1163" s="269"/>
      <c r="DN1163" s="269"/>
      <c r="DO1163" s="269"/>
      <c r="DP1163" s="269"/>
      <c r="DQ1163" s="269"/>
      <c r="DR1163" s="269"/>
      <c r="DS1163" s="269"/>
      <c r="DT1163" s="269"/>
      <c r="DU1163" s="269"/>
      <c r="DV1163" s="269"/>
      <c r="DW1163" s="269"/>
      <c r="DX1163" s="269"/>
      <c r="DY1163" s="269"/>
      <c r="DZ1163" s="269"/>
      <c r="EA1163" s="269"/>
      <c r="EB1163" s="269"/>
      <c r="EC1163" s="269"/>
      <c r="ED1163" s="269"/>
      <c r="EE1163" s="269"/>
      <c r="EF1163" s="269"/>
      <c r="EG1163" s="269"/>
      <c r="EH1163" s="269"/>
      <c r="EI1163" s="269"/>
      <c r="EJ1163" s="269"/>
      <c r="EK1163" s="269"/>
      <c r="EL1163" s="269"/>
      <c r="EM1163" s="269"/>
      <c r="EN1163" s="269"/>
      <c r="EO1163" s="269"/>
      <c r="EP1163" s="269"/>
      <c r="EQ1163" s="269"/>
      <c r="ER1163" s="269"/>
      <c r="ES1163" s="269"/>
      <c r="ET1163" s="269"/>
      <c r="EU1163" s="269"/>
      <c r="EV1163" s="269"/>
      <c r="EW1163" s="269"/>
      <c r="EX1163" s="269"/>
      <c r="EY1163" s="269"/>
      <c r="EZ1163" s="269"/>
      <c r="FA1163" s="269"/>
      <c r="FB1163" s="269"/>
      <c r="FC1163" s="269"/>
    </row>
    <row r="1164" spans="3:159" hidden="1">
      <c r="C1164" s="266" t="s">
        <v>1033</v>
      </c>
      <c r="D1164" s="271"/>
      <c r="E1164" s="271"/>
      <c r="F1164" s="271"/>
      <c r="G1164" s="271"/>
      <c r="H1164" s="271"/>
      <c r="I1164" s="271"/>
      <c r="J1164" s="271">
        <v>-8.8502269288956131E-2</v>
      </c>
      <c r="K1164" s="271">
        <v>-7.5471698113207544E-2</v>
      </c>
      <c r="L1164" s="271">
        <v>-5.8473389355742297E-2</v>
      </c>
      <c r="M1164" s="271">
        <v>-5.0957715937838814E-2</v>
      </c>
      <c r="N1164" s="271">
        <v>-3.0345800988002825E-2</v>
      </c>
      <c r="O1164" s="271">
        <v>-4.1976105908944142E-2</v>
      </c>
      <c r="P1164" s="271">
        <v>-4.9850988891899213E-2</v>
      </c>
      <c r="Q1164" s="271">
        <v>-5.2798826692740164E-2</v>
      </c>
      <c r="R1164" s="271">
        <v>-5.8929374718848404E-2</v>
      </c>
      <c r="S1164" s="271">
        <v>-3.7022051385798095E-2</v>
      </c>
      <c r="T1164" s="271">
        <v>-3.3819241982507291E-2</v>
      </c>
      <c r="U1164" s="271">
        <v>-2.6045627376425854E-2</v>
      </c>
      <c r="V1164" s="271">
        <v>-3.7015945330296125E-2</v>
      </c>
      <c r="W1164" s="269"/>
      <c r="X1164" s="269"/>
      <c r="Y1164" s="269"/>
      <c r="Z1164" s="269"/>
      <c r="AA1164" s="269"/>
      <c r="AB1164" s="269"/>
      <c r="AC1164" s="269"/>
      <c r="AD1164" s="269"/>
      <c r="AE1164" s="269"/>
      <c r="AF1164" s="269"/>
      <c r="AG1164" s="269"/>
      <c r="AO1164" s="338"/>
      <c r="AP1164" s="449"/>
      <c r="AR1164" s="449"/>
      <c r="AS1164" s="449"/>
      <c r="BA1164" s="269"/>
      <c r="BB1164" s="269"/>
      <c r="BC1164" s="269"/>
      <c r="BD1164" s="269"/>
      <c r="BE1164" s="269"/>
      <c r="BF1164" s="269"/>
      <c r="BG1164" s="269"/>
      <c r="BH1164" s="269"/>
      <c r="BI1164" s="269"/>
      <c r="BJ1164" s="269"/>
      <c r="BK1164" s="269"/>
      <c r="BL1164" s="269"/>
      <c r="BM1164" s="269"/>
      <c r="BN1164" s="269"/>
      <c r="BO1164" s="269"/>
      <c r="BP1164" s="269"/>
      <c r="BQ1164" s="269"/>
      <c r="BR1164" s="269"/>
      <c r="BS1164" s="269"/>
      <c r="BT1164" s="269"/>
      <c r="BU1164" s="269"/>
      <c r="BV1164" s="269"/>
      <c r="BW1164" s="269"/>
      <c r="BX1164" s="269"/>
      <c r="BY1164" s="269"/>
      <c r="BZ1164" s="269"/>
      <c r="CA1164" s="269"/>
      <c r="CB1164" s="269"/>
      <c r="CC1164" s="269"/>
      <c r="CD1164" s="269"/>
      <c r="CE1164" s="269"/>
      <c r="CF1164" s="269"/>
      <c r="CG1164" s="269"/>
      <c r="CH1164" s="269"/>
      <c r="CI1164" s="269"/>
      <c r="CJ1164" s="269"/>
      <c r="CK1164" s="269"/>
      <c r="CL1164" s="269"/>
      <c r="CM1164" s="269"/>
      <c r="CN1164" s="269"/>
      <c r="CO1164" s="302"/>
      <c r="CR1164" s="269"/>
      <c r="CS1164" s="269"/>
      <c r="CT1164" s="269"/>
      <c r="CU1164" s="269"/>
      <c r="CV1164" s="269"/>
      <c r="CW1164" s="269"/>
      <c r="CX1164" s="269"/>
      <c r="CY1164" s="269"/>
      <c r="CZ1164" s="269"/>
      <c r="DA1164" s="269"/>
      <c r="DB1164" s="269"/>
      <c r="DC1164" s="269"/>
      <c r="DD1164" s="269"/>
      <c r="DE1164" s="269"/>
      <c r="DF1164" s="269"/>
      <c r="DG1164" s="269"/>
      <c r="DH1164" s="269"/>
      <c r="DI1164" s="269"/>
      <c r="DJ1164" s="269"/>
      <c r="DK1164" s="269"/>
      <c r="DL1164" s="269"/>
      <c r="DM1164" s="269"/>
      <c r="DN1164" s="269"/>
      <c r="DO1164" s="269"/>
      <c r="DP1164" s="269"/>
      <c r="DQ1164" s="269"/>
      <c r="DR1164" s="269"/>
      <c r="DS1164" s="269"/>
      <c r="DT1164" s="269"/>
      <c r="DU1164" s="269"/>
      <c r="DV1164" s="269"/>
      <c r="DW1164" s="269"/>
      <c r="DX1164" s="269"/>
      <c r="DY1164" s="269"/>
      <c r="DZ1164" s="269"/>
      <c r="EA1164" s="269"/>
      <c r="EB1164" s="269"/>
      <c r="EC1164" s="269"/>
      <c r="ED1164" s="269"/>
      <c r="EE1164" s="269"/>
      <c r="EF1164" s="269"/>
      <c r="EG1164" s="269"/>
      <c r="EH1164" s="269"/>
      <c r="EI1164" s="269"/>
      <c r="EJ1164" s="269"/>
      <c r="EK1164" s="269"/>
      <c r="EL1164" s="269"/>
      <c r="EM1164" s="269"/>
      <c r="EN1164" s="269"/>
      <c r="EO1164" s="269"/>
      <c r="EP1164" s="269"/>
      <c r="EQ1164" s="269"/>
      <c r="ER1164" s="269"/>
      <c r="ES1164" s="269"/>
      <c r="ET1164" s="269"/>
      <c r="EU1164" s="269"/>
      <c r="EV1164" s="269"/>
      <c r="EW1164" s="269"/>
      <c r="EX1164" s="269"/>
      <c r="EY1164" s="269"/>
      <c r="EZ1164" s="269"/>
      <c r="FA1164" s="269"/>
      <c r="FB1164" s="269"/>
      <c r="FC1164" s="269"/>
    </row>
    <row r="1165" spans="3:159" hidden="1">
      <c r="C1165" s="263"/>
      <c r="D1165" s="269"/>
      <c r="E1165" s="269"/>
      <c r="F1165" s="269"/>
      <c r="G1165" s="269"/>
      <c r="H1165" s="269"/>
      <c r="I1165" s="269"/>
      <c r="J1165" s="269"/>
      <c r="K1165" s="269"/>
      <c r="L1165" s="269"/>
      <c r="M1165" s="269"/>
      <c r="N1165" s="269"/>
      <c r="O1165" s="269"/>
      <c r="P1165" s="269"/>
      <c r="Q1165" s="436"/>
      <c r="R1165" s="436"/>
      <c r="S1165" s="269"/>
      <c r="T1165" s="269"/>
      <c r="U1165" s="269"/>
      <c r="V1165" s="269"/>
      <c r="W1165" s="269"/>
      <c r="X1165" s="269"/>
      <c r="Y1165" s="269"/>
      <c r="Z1165" s="269"/>
      <c r="AA1165" s="269"/>
      <c r="AB1165" s="269"/>
      <c r="AC1165" s="269"/>
      <c r="AD1165" s="269"/>
      <c r="AE1165" s="269"/>
      <c r="AF1165" s="269"/>
      <c r="AG1165" s="269"/>
      <c r="AO1165" s="338"/>
      <c r="AP1165" s="449"/>
      <c r="AR1165" s="449"/>
      <c r="AS1165" s="449"/>
      <c r="BA1165" s="269"/>
      <c r="BB1165" s="269"/>
      <c r="BC1165" s="269"/>
      <c r="BD1165" s="269"/>
      <c r="BE1165" s="269"/>
      <c r="BF1165" s="269"/>
      <c r="BG1165" s="269"/>
      <c r="BH1165" s="269"/>
      <c r="BI1165" s="269"/>
      <c r="BJ1165" s="269"/>
      <c r="BK1165" s="269"/>
      <c r="BL1165" s="269"/>
      <c r="BM1165" s="269"/>
      <c r="BN1165" s="269"/>
      <c r="BO1165" s="269"/>
      <c r="BP1165" s="269"/>
      <c r="BQ1165" s="269"/>
      <c r="BR1165" s="269"/>
      <c r="BS1165" s="269"/>
      <c r="BT1165" s="269"/>
      <c r="BU1165" s="269"/>
      <c r="BV1165" s="269"/>
      <c r="BW1165" s="269"/>
      <c r="BX1165" s="269"/>
      <c r="BY1165" s="269"/>
      <c r="BZ1165" s="269"/>
      <c r="CA1165" s="269"/>
      <c r="CB1165" s="269"/>
      <c r="CC1165" s="269"/>
      <c r="CD1165" s="269"/>
      <c r="CE1165" s="269"/>
      <c r="CF1165" s="269"/>
      <c r="CG1165" s="269"/>
      <c r="CH1165" s="269"/>
      <c r="CI1165" s="269"/>
      <c r="CJ1165" s="269"/>
      <c r="CK1165" s="269"/>
      <c r="CL1165" s="269"/>
      <c r="CM1165" s="269"/>
      <c r="CN1165" s="269"/>
      <c r="CO1165" s="302"/>
      <c r="CR1165" s="269"/>
      <c r="CS1165" s="269"/>
      <c r="CT1165" s="269"/>
      <c r="CU1165" s="269"/>
      <c r="CV1165" s="269"/>
      <c r="CW1165" s="269"/>
      <c r="CX1165" s="269"/>
      <c r="CY1165" s="269"/>
      <c r="CZ1165" s="269"/>
      <c r="DA1165" s="269"/>
      <c r="DB1165" s="269"/>
      <c r="DC1165" s="269"/>
      <c r="DD1165" s="269"/>
      <c r="DE1165" s="269"/>
      <c r="DF1165" s="269"/>
      <c r="DG1165" s="269"/>
      <c r="DH1165" s="269"/>
      <c r="DI1165" s="269"/>
      <c r="DJ1165" s="269"/>
      <c r="DK1165" s="269"/>
      <c r="DL1165" s="269"/>
      <c r="DM1165" s="269"/>
      <c r="DN1165" s="269"/>
      <c r="DO1165" s="269"/>
      <c r="DP1165" s="269"/>
      <c r="DQ1165" s="269"/>
      <c r="DR1165" s="269"/>
      <c r="DS1165" s="269"/>
      <c r="DT1165" s="269"/>
      <c r="DU1165" s="269"/>
      <c r="DV1165" s="269"/>
      <c r="DW1165" s="269"/>
      <c r="DX1165" s="269"/>
      <c r="DY1165" s="269"/>
      <c r="DZ1165" s="269"/>
      <c r="EA1165" s="269"/>
      <c r="EB1165" s="269"/>
      <c r="EC1165" s="269"/>
      <c r="ED1165" s="269"/>
      <c r="EE1165" s="269"/>
      <c r="EF1165" s="269"/>
      <c r="EG1165" s="269"/>
      <c r="EH1165" s="269"/>
      <c r="EI1165" s="269"/>
      <c r="EJ1165" s="269"/>
      <c r="EK1165" s="269"/>
      <c r="EL1165" s="269"/>
      <c r="EM1165" s="269"/>
      <c r="EN1165" s="269"/>
      <c r="EO1165" s="269"/>
      <c r="EP1165" s="269"/>
      <c r="EQ1165" s="269"/>
      <c r="ER1165" s="269"/>
      <c r="ES1165" s="269"/>
      <c r="ET1165" s="269"/>
      <c r="EU1165" s="269"/>
      <c r="EV1165" s="269"/>
      <c r="EW1165" s="269"/>
      <c r="EX1165" s="269"/>
      <c r="EY1165" s="269"/>
      <c r="EZ1165" s="269"/>
      <c r="FA1165" s="269"/>
      <c r="FB1165" s="269"/>
      <c r="FC1165" s="269"/>
    </row>
    <row r="1166" spans="3:159" hidden="1">
      <c r="C1166" s="435" t="s">
        <v>1328</v>
      </c>
      <c r="D1166" s="257"/>
      <c r="E1166" s="257"/>
      <c r="F1166" s="257"/>
      <c r="G1166" s="257"/>
      <c r="H1166" s="257"/>
      <c r="I1166" s="257"/>
      <c r="J1166" s="257"/>
      <c r="K1166" s="257"/>
      <c r="L1166" s="257"/>
      <c r="M1166" s="257"/>
      <c r="N1166" s="257">
        <v>-109</v>
      </c>
      <c r="O1166" s="257">
        <v>-118</v>
      </c>
      <c r="P1166" s="257">
        <v>-117</v>
      </c>
      <c r="Q1166" s="258">
        <v>-126</v>
      </c>
      <c r="R1166" s="258">
        <v>-133</v>
      </c>
      <c r="S1166" s="258">
        <v>-119</v>
      </c>
      <c r="T1166" s="258">
        <v>-113</v>
      </c>
      <c r="U1166" s="258">
        <v>-123</v>
      </c>
      <c r="V1166" s="258">
        <v>-110.62615182097412</v>
      </c>
      <c r="W1166" s="269"/>
      <c r="X1166" s="269"/>
      <c r="Y1166" s="269"/>
      <c r="Z1166" s="269"/>
      <c r="AA1166" s="269"/>
      <c r="AB1166" s="269"/>
      <c r="AC1166" s="269"/>
      <c r="AD1166" s="269"/>
      <c r="AE1166" s="269"/>
      <c r="AF1166" s="269"/>
      <c r="AG1166" s="269"/>
      <c r="AO1166" s="338"/>
      <c r="AP1166" s="449"/>
      <c r="AR1166" s="449"/>
      <c r="AS1166" s="449"/>
      <c r="BA1166" s="269"/>
      <c r="BB1166" s="269"/>
      <c r="BC1166" s="269"/>
      <c r="BD1166" s="269"/>
      <c r="BE1166" s="269"/>
      <c r="BF1166" s="269"/>
      <c r="BG1166" s="269"/>
      <c r="BH1166" s="269"/>
      <c r="BI1166" s="269"/>
      <c r="BJ1166" s="269"/>
      <c r="BK1166" s="269"/>
      <c r="BL1166" s="269"/>
      <c r="BM1166" s="269"/>
      <c r="BN1166" s="269"/>
      <c r="BO1166" s="269"/>
      <c r="BP1166" s="269"/>
      <c r="BQ1166" s="269"/>
      <c r="BR1166" s="269"/>
      <c r="BS1166" s="269"/>
      <c r="BT1166" s="269"/>
      <c r="BU1166" s="269"/>
      <c r="BV1166" s="269"/>
      <c r="BW1166" s="269"/>
      <c r="BX1166" s="269"/>
      <c r="BY1166" s="269"/>
      <c r="BZ1166" s="269"/>
      <c r="CA1166" s="269"/>
      <c r="CB1166" s="269"/>
      <c r="CC1166" s="269"/>
      <c r="CD1166" s="269"/>
      <c r="CE1166" s="269"/>
      <c r="CF1166" s="269"/>
      <c r="CG1166" s="269"/>
      <c r="CH1166" s="269"/>
      <c r="CI1166" s="269"/>
      <c r="CJ1166" s="269"/>
      <c r="CK1166" s="269"/>
      <c r="CL1166" s="269"/>
      <c r="CM1166" s="269"/>
      <c r="CN1166" s="269"/>
      <c r="CO1166" s="302"/>
      <c r="CR1166" s="269"/>
      <c r="CS1166" s="269"/>
      <c r="CT1166" s="269"/>
      <c r="CU1166" s="269"/>
      <c r="CV1166" s="269"/>
      <c r="CW1166" s="269"/>
      <c r="CX1166" s="269"/>
      <c r="CY1166" s="269"/>
      <c r="CZ1166" s="269"/>
      <c r="DA1166" s="269"/>
      <c r="DB1166" s="269"/>
      <c r="DC1166" s="269"/>
      <c r="DD1166" s="269"/>
      <c r="DE1166" s="269"/>
      <c r="DF1166" s="269"/>
      <c r="DG1166" s="269"/>
      <c r="DH1166" s="269"/>
      <c r="DI1166" s="269"/>
      <c r="DJ1166" s="269"/>
      <c r="DK1166" s="269"/>
      <c r="DL1166" s="269"/>
      <c r="DM1166" s="269"/>
      <c r="DN1166" s="269"/>
      <c r="DO1166" s="269"/>
      <c r="DP1166" s="269"/>
      <c r="DQ1166" s="269"/>
      <c r="DR1166" s="269"/>
      <c r="DS1166" s="269"/>
      <c r="DT1166" s="269"/>
      <c r="DU1166" s="269"/>
      <c r="DV1166" s="269"/>
      <c r="DW1166" s="269"/>
      <c r="DX1166" s="269"/>
      <c r="DY1166" s="269"/>
      <c r="DZ1166" s="269"/>
      <c r="EA1166" s="269"/>
      <c r="EB1166" s="269"/>
      <c r="EC1166" s="269"/>
      <c r="ED1166" s="269"/>
      <c r="EE1166" s="269"/>
      <c r="EF1166" s="269"/>
      <c r="EG1166" s="269"/>
      <c r="EH1166" s="269"/>
      <c r="EI1166" s="269"/>
      <c r="EJ1166" s="269"/>
      <c r="EK1166" s="269"/>
      <c r="EL1166" s="269"/>
      <c r="EM1166" s="269"/>
      <c r="EN1166" s="269"/>
      <c r="EO1166" s="269"/>
      <c r="EP1166" s="269"/>
      <c r="EQ1166" s="269"/>
      <c r="ER1166" s="269"/>
      <c r="ES1166" s="269"/>
      <c r="ET1166" s="269"/>
      <c r="EU1166" s="269"/>
      <c r="EV1166" s="269"/>
      <c r="EW1166" s="269"/>
      <c r="EX1166" s="269"/>
      <c r="EY1166" s="269"/>
      <c r="EZ1166" s="269"/>
      <c r="FA1166" s="269"/>
      <c r="FB1166" s="269"/>
      <c r="FC1166" s="269"/>
    </row>
    <row r="1167" spans="3:159" hidden="1">
      <c r="C1167" s="267" t="s">
        <v>971</v>
      </c>
      <c r="D1167" s="269"/>
      <c r="E1167" s="269"/>
      <c r="F1167" s="269"/>
      <c r="G1167" s="269"/>
      <c r="H1167" s="269"/>
      <c r="I1167" s="269"/>
      <c r="J1167" s="269"/>
      <c r="K1167" s="269"/>
      <c r="L1167" s="269"/>
      <c r="M1167" s="269"/>
      <c r="N1167" s="269">
        <v>36</v>
      </c>
      <c r="O1167" s="269">
        <v>32</v>
      </c>
      <c r="P1167" s="269">
        <v>36</v>
      </c>
      <c r="Q1167" s="269">
        <v>39</v>
      </c>
      <c r="R1167" s="269">
        <v>35</v>
      </c>
      <c r="S1167" s="269">
        <v>37</v>
      </c>
      <c r="T1167" s="302">
        <v>36</v>
      </c>
      <c r="U1167" s="302">
        <v>37</v>
      </c>
      <c r="V1167" s="437">
        <v>37</v>
      </c>
      <c r="W1167" s="269"/>
      <c r="X1167" s="269"/>
      <c r="Y1167" s="269"/>
      <c r="Z1167" s="269"/>
      <c r="AA1167" s="269"/>
      <c r="AB1167" s="269"/>
      <c r="AC1167" s="269"/>
      <c r="AD1167" s="269"/>
      <c r="AE1167" s="269"/>
      <c r="AF1167" s="269"/>
      <c r="AG1167" s="269"/>
      <c r="AO1167" s="338"/>
      <c r="AP1167" s="449"/>
      <c r="AR1167" s="449"/>
      <c r="AS1167" s="449"/>
      <c r="BA1167" s="269"/>
      <c r="BB1167" s="269"/>
      <c r="BC1167" s="269"/>
      <c r="BD1167" s="269"/>
      <c r="BE1167" s="269"/>
      <c r="BF1167" s="269"/>
      <c r="BG1167" s="269"/>
      <c r="BH1167" s="269"/>
      <c r="BI1167" s="269"/>
      <c r="BJ1167" s="269"/>
      <c r="BK1167" s="269"/>
      <c r="BL1167" s="269"/>
      <c r="BM1167" s="269"/>
      <c r="BN1167" s="269"/>
      <c r="BO1167" s="269"/>
      <c r="BP1167" s="269"/>
      <c r="BQ1167" s="269"/>
      <c r="BR1167" s="269"/>
      <c r="BS1167" s="269"/>
      <c r="BT1167" s="269"/>
      <c r="BU1167" s="269"/>
      <c r="BV1167" s="269"/>
      <c r="BW1167" s="269"/>
      <c r="BX1167" s="269"/>
      <c r="BY1167" s="269"/>
      <c r="BZ1167" s="269"/>
      <c r="CA1167" s="269"/>
      <c r="CB1167" s="269"/>
      <c r="CC1167" s="269"/>
      <c r="CD1167" s="269"/>
      <c r="CE1167" s="269"/>
      <c r="CF1167" s="269"/>
      <c r="CG1167" s="269"/>
      <c r="CH1167" s="269"/>
      <c r="CI1167" s="269"/>
      <c r="CJ1167" s="269"/>
      <c r="CK1167" s="269"/>
      <c r="CL1167" s="269"/>
      <c r="CM1167" s="269"/>
      <c r="CN1167" s="269"/>
      <c r="CO1167" s="302"/>
      <c r="CR1167" s="269"/>
      <c r="CS1167" s="269"/>
      <c r="CT1167" s="269"/>
      <c r="CU1167" s="269"/>
      <c r="CV1167" s="269"/>
      <c r="CW1167" s="269"/>
      <c r="CX1167" s="269"/>
      <c r="CY1167" s="269"/>
      <c r="CZ1167" s="269"/>
      <c r="DA1167" s="269"/>
      <c r="DB1167" s="269"/>
      <c r="DC1167" s="269"/>
      <c r="DD1167" s="269"/>
      <c r="DE1167" s="269"/>
      <c r="DF1167" s="269"/>
      <c r="DG1167" s="269"/>
      <c r="DH1167" s="269"/>
      <c r="DI1167" s="269"/>
      <c r="DJ1167" s="269"/>
      <c r="DK1167" s="269"/>
      <c r="DL1167" s="269"/>
      <c r="DM1167" s="269"/>
      <c r="DN1167" s="269"/>
      <c r="DO1167" s="269"/>
      <c r="DP1167" s="269"/>
      <c r="DQ1167" s="269"/>
      <c r="DR1167" s="269"/>
      <c r="DS1167" s="269"/>
      <c r="DT1167" s="269"/>
      <c r="DU1167" s="269"/>
      <c r="DV1167" s="269"/>
      <c r="DW1167" s="269"/>
      <c r="DX1167" s="269"/>
      <c r="DY1167" s="269"/>
      <c r="DZ1167" s="269"/>
      <c r="EA1167" s="269"/>
      <c r="EB1167" s="269"/>
      <c r="EC1167" s="269"/>
      <c r="ED1167" s="269"/>
      <c r="EE1167" s="269"/>
      <c r="EF1167" s="269"/>
      <c r="EG1167" s="269"/>
      <c r="EH1167" s="269"/>
      <c r="EI1167" s="269"/>
      <c r="EJ1167" s="269"/>
      <c r="EK1167" s="269"/>
      <c r="EL1167" s="269"/>
      <c r="EM1167" s="269"/>
      <c r="EN1167" s="269"/>
      <c r="EO1167" s="269"/>
      <c r="EP1167" s="269"/>
      <c r="EQ1167" s="269"/>
      <c r="ER1167" s="269"/>
      <c r="ES1167" s="269"/>
      <c r="ET1167" s="269"/>
      <c r="EU1167" s="269"/>
      <c r="EV1167" s="269"/>
      <c r="EW1167" s="269"/>
      <c r="EX1167" s="269"/>
      <c r="EY1167" s="269"/>
      <c r="EZ1167" s="269"/>
      <c r="FA1167" s="269"/>
      <c r="FB1167" s="269"/>
      <c r="FC1167" s="269"/>
    </row>
    <row r="1168" spans="3:159" hidden="1">
      <c r="C1168" s="266" t="s">
        <v>1030</v>
      </c>
      <c r="D1168" s="269"/>
      <c r="E1168" s="269"/>
      <c r="F1168" s="269"/>
      <c r="G1168" s="269"/>
      <c r="H1168" s="269"/>
      <c r="I1168" s="269"/>
      <c r="J1168" s="269"/>
      <c r="K1168" s="269"/>
      <c r="L1168" s="269">
        <v>-114</v>
      </c>
      <c r="M1168" s="269">
        <v>-146</v>
      </c>
      <c r="N1168" s="269">
        <v>-73</v>
      </c>
      <c r="O1168" s="269">
        <v>-86</v>
      </c>
      <c r="P1168" s="269">
        <v>-81</v>
      </c>
      <c r="Q1168" s="269">
        <v>-87</v>
      </c>
      <c r="R1168" s="436">
        <v>-98</v>
      </c>
      <c r="S1168" s="436">
        <v>-82</v>
      </c>
      <c r="T1168" s="430">
        <v>-77</v>
      </c>
      <c r="U1168" s="430">
        <v>-86</v>
      </c>
      <c r="V1168" s="436">
        <v>-73.626151820974115</v>
      </c>
      <c r="W1168" s="269"/>
      <c r="X1168" s="269"/>
      <c r="Y1168" s="269"/>
      <c r="Z1168" s="269"/>
      <c r="AA1168" s="269"/>
      <c r="AB1168" s="269"/>
      <c r="AC1168" s="269"/>
      <c r="AD1168" s="269"/>
      <c r="AE1168" s="269"/>
      <c r="AF1168" s="269"/>
      <c r="AG1168" s="269"/>
      <c r="AO1168" s="338"/>
      <c r="AP1168" s="449"/>
      <c r="AR1168" s="449"/>
      <c r="AS1168" s="449"/>
      <c r="BA1168" s="269"/>
      <c r="BB1168" s="269"/>
      <c r="BC1168" s="269"/>
      <c r="BD1168" s="269"/>
      <c r="BE1168" s="269"/>
      <c r="BF1168" s="269"/>
      <c r="BG1168" s="269"/>
      <c r="BH1168" s="269"/>
      <c r="BI1168" s="269"/>
      <c r="BJ1168" s="269"/>
      <c r="BK1168" s="269"/>
      <c r="BL1168" s="269"/>
      <c r="BM1168" s="269"/>
      <c r="BN1168" s="269"/>
      <c r="BO1168" s="269"/>
      <c r="BP1168" s="269"/>
      <c r="BQ1168" s="269"/>
      <c r="BR1168" s="269"/>
      <c r="BS1168" s="269"/>
      <c r="BT1168" s="269"/>
      <c r="BU1168" s="269"/>
      <c r="BV1168" s="269"/>
      <c r="BW1168" s="269"/>
      <c r="BX1168" s="269"/>
      <c r="BY1168" s="269"/>
      <c r="BZ1168" s="269"/>
      <c r="CA1168" s="269"/>
      <c r="CB1168" s="269"/>
      <c r="CC1168" s="269"/>
      <c r="CD1168" s="269"/>
      <c r="CE1168" s="269"/>
      <c r="CF1168" s="269"/>
      <c r="CG1168" s="269"/>
      <c r="CH1168" s="269"/>
      <c r="CI1168" s="269"/>
      <c r="CJ1168" s="269"/>
      <c r="CK1168" s="269"/>
      <c r="CL1168" s="269"/>
      <c r="CM1168" s="269"/>
      <c r="CN1168" s="269"/>
      <c r="CO1168" s="302"/>
      <c r="CR1168" s="269"/>
      <c r="CS1168" s="269"/>
      <c r="CT1168" s="269"/>
      <c r="CU1168" s="269"/>
      <c r="CV1168" s="269"/>
      <c r="CW1168" s="269"/>
      <c r="CX1168" s="269"/>
      <c r="CY1168" s="269"/>
      <c r="CZ1168" s="269"/>
      <c r="DA1168" s="269"/>
      <c r="DB1168" s="269"/>
      <c r="DC1168" s="269"/>
      <c r="DD1168" s="269"/>
      <c r="DE1168" s="269"/>
      <c r="DF1168" s="269"/>
      <c r="DG1168" s="269"/>
      <c r="DH1168" s="269"/>
      <c r="DI1168" s="269"/>
      <c r="DJ1168" s="269"/>
      <c r="DK1168" s="269"/>
      <c r="DL1168" s="269"/>
      <c r="DM1168" s="269"/>
      <c r="DN1168" s="269"/>
      <c r="DO1168" s="269"/>
      <c r="DP1168" s="269"/>
      <c r="DQ1168" s="269"/>
      <c r="DR1168" s="269"/>
      <c r="DS1168" s="269"/>
      <c r="DT1168" s="269"/>
      <c r="DU1168" s="269"/>
      <c r="DV1168" s="269"/>
      <c r="DW1168" s="269"/>
      <c r="DX1168" s="269"/>
      <c r="DY1168" s="269"/>
      <c r="DZ1168" s="269"/>
      <c r="EA1168" s="269"/>
      <c r="EB1168" s="269"/>
      <c r="EC1168" s="269"/>
      <c r="ED1168" s="269"/>
      <c r="EE1168" s="269"/>
      <c r="EF1168" s="269"/>
      <c r="EG1168" s="269"/>
      <c r="EH1168" s="269"/>
      <c r="EI1168" s="269"/>
      <c r="EJ1168" s="269"/>
      <c r="EK1168" s="269"/>
      <c r="EL1168" s="269"/>
      <c r="EM1168" s="269"/>
      <c r="EN1168" s="269"/>
      <c r="EO1168" s="269"/>
      <c r="EP1168" s="269"/>
      <c r="EQ1168" s="269"/>
      <c r="ER1168" s="269"/>
      <c r="ES1168" s="269"/>
      <c r="ET1168" s="269"/>
      <c r="EU1168" s="269"/>
      <c r="EV1168" s="269"/>
      <c r="EW1168" s="269"/>
      <c r="EX1168" s="269"/>
      <c r="EY1168" s="269"/>
      <c r="EZ1168" s="269"/>
      <c r="FA1168" s="269"/>
      <c r="FB1168" s="269"/>
      <c r="FC1168" s="269"/>
    </row>
    <row r="1169" spans="3:159" hidden="1">
      <c r="C1169" s="267" t="s">
        <v>1031</v>
      </c>
      <c r="D1169" s="269"/>
      <c r="E1169" s="269"/>
      <c r="F1169" s="269"/>
      <c r="G1169" s="269"/>
      <c r="H1169" s="269"/>
      <c r="I1169" s="269"/>
      <c r="J1169" s="269"/>
      <c r="K1169" s="269"/>
      <c r="L1169" s="269">
        <v>20</v>
      </c>
      <c r="M1169" s="269">
        <v>33</v>
      </c>
      <c r="N1169" s="269">
        <v>18</v>
      </c>
      <c r="O1169" s="269">
        <v>24</v>
      </c>
      <c r="P1169" s="269">
        <v>22</v>
      </c>
      <c r="Q1169" s="269">
        <v>31</v>
      </c>
      <c r="R1169" s="269">
        <v>26</v>
      </c>
      <c r="S1169" s="269">
        <v>24</v>
      </c>
      <c r="T1169" s="302">
        <v>43</v>
      </c>
      <c r="U1169" s="302">
        <v>44</v>
      </c>
      <c r="V1169" s="437">
        <v>44</v>
      </c>
      <c r="W1169" s="269"/>
      <c r="X1169" s="269"/>
      <c r="Y1169" s="269"/>
      <c r="Z1169" s="269"/>
      <c r="AA1169" s="269"/>
      <c r="AB1169" s="269"/>
      <c r="AC1169" s="269"/>
      <c r="AD1169" s="269"/>
      <c r="AE1169" s="269"/>
      <c r="AF1169" s="269"/>
      <c r="AG1169" s="269"/>
      <c r="AO1169" s="338"/>
      <c r="AP1169" s="449"/>
      <c r="AR1169" s="449"/>
      <c r="AS1169" s="449"/>
      <c r="BA1169" s="269"/>
      <c r="BB1169" s="269"/>
      <c r="BC1169" s="269"/>
      <c r="BD1169" s="269"/>
      <c r="BE1169" s="269"/>
      <c r="BF1169" s="269"/>
      <c r="BG1169" s="269"/>
      <c r="BH1169" s="269"/>
      <c r="BI1169" s="269"/>
      <c r="BJ1169" s="269"/>
      <c r="BK1169" s="269"/>
      <c r="BL1169" s="269"/>
      <c r="BM1169" s="269"/>
      <c r="BN1169" s="269"/>
      <c r="BO1169" s="269"/>
      <c r="BP1169" s="269"/>
      <c r="BQ1169" s="269"/>
      <c r="BR1169" s="269"/>
      <c r="BS1169" s="269"/>
      <c r="BT1169" s="269"/>
      <c r="BU1169" s="269"/>
      <c r="BV1169" s="269"/>
      <c r="BW1169" s="269"/>
      <c r="BX1169" s="269"/>
      <c r="BY1169" s="269"/>
      <c r="BZ1169" s="269"/>
      <c r="CA1169" s="269"/>
      <c r="CB1169" s="269"/>
      <c r="CC1169" s="269"/>
      <c r="CD1169" s="269"/>
      <c r="CE1169" s="269"/>
      <c r="CF1169" s="269"/>
      <c r="CG1169" s="269"/>
      <c r="CH1169" s="269"/>
      <c r="CI1169" s="269"/>
      <c r="CJ1169" s="269"/>
      <c r="CK1169" s="269"/>
      <c r="CL1169" s="269"/>
      <c r="CM1169" s="269"/>
      <c r="CN1169" s="269"/>
      <c r="CO1169" s="302"/>
      <c r="CR1169" s="269"/>
      <c r="CS1169" s="269"/>
      <c r="CT1169" s="269"/>
      <c r="CU1169" s="269"/>
      <c r="CV1169" s="269"/>
      <c r="CW1169" s="269"/>
      <c r="CX1169" s="269"/>
      <c r="CY1169" s="269"/>
      <c r="CZ1169" s="269"/>
      <c r="DA1169" s="269"/>
      <c r="DB1169" s="269"/>
      <c r="DC1169" s="269"/>
      <c r="DD1169" s="269"/>
      <c r="DE1169" s="269"/>
      <c r="DF1169" s="269"/>
      <c r="DG1169" s="269"/>
      <c r="DH1169" s="269"/>
      <c r="DI1169" s="269"/>
      <c r="DJ1169" s="269"/>
      <c r="DK1169" s="269"/>
      <c r="DL1169" s="269"/>
      <c r="DM1169" s="269"/>
      <c r="DN1169" s="269"/>
      <c r="DO1169" s="269"/>
      <c r="DP1169" s="269"/>
      <c r="DQ1169" s="269"/>
      <c r="DR1169" s="269"/>
      <c r="DS1169" s="269"/>
      <c r="DT1169" s="269"/>
      <c r="DU1169" s="269"/>
      <c r="DV1169" s="269"/>
      <c r="DW1169" s="269"/>
      <c r="DX1169" s="269"/>
      <c r="DY1169" s="269"/>
      <c r="DZ1169" s="269"/>
      <c r="EA1169" s="269"/>
      <c r="EB1169" s="269"/>
      <c r="EC1169" s="269"/>
      <c r="ED1169" s="269"/>
      <c r="EE1169" s="269"/>
      <c r="EF1169" s="269"/>
      <c r="EG1169" s="269"/>
      <c r="EH1169" s="269"/>
      <c r="EI1169" s="269"/>
      <c r="EJ1169" s="269"/>
      <c r="EK1169" s="269"/>
      <c r="EL1169" s="269"/>
      <c r="EM1169" s="269"/>
      <c r="EN1169" s="269"/>
      <c r="EO1169" s="269"/>
      <c r="EP1169" s="269"/>
      <c r="EQ1169" s="269"/>
      <c r="ER1169" s="269"/>
      <c r="ES1169" s="269"/>
      <c r="ET1169" s="269"/>
      <c r="EU1169" s="269"/>
      <c r="EV1169" s="269"/>
      <c r="EW1169" s="269"/>
      <c r="EX1169" s="269"/>
      <c r="EY1169" s="269"/>
      <c r="EZ1169" s="269"/>
      <c r="FA1169" s="269"/>
      <c r="FB1169" s="269"/>
      <c r="FC1169" s="269"/>
    </row>
    <row r="1170" spans="3:159" hidden="1">
      <c r="C1170" s="267" t="s">
        <v>1043</v>
      </c>
      <c r="D1170" s="269"/>
      <c r="E1170" s="269"/>
      <c r="F1170" s="269"/>
      <c r="G1170" s="269"/>
      <c r="H1170" s="269"/>
      <c r="I1170" s="269"/>
      <c r="J1170" s="269"/>
      <c r="K1170" s="269"/>
      <c r="L1170" s="269"/>
      <c r="M1170" s="269"/>
      <c r="N1170" s="269">
        <v>-12</v>
      </c>
      <c r="O1170" s="269">
        <v>-7</v>
      </c>
      <c r="P1170" s="269">
        <v>-8</v>
      </c>
      <c r="Q1170" s="269">
        <v>-10</v>
      </c>
      <c r="R1170" s="269">
        <v>-11</v>
      </c>
      <c r="S1170" s="269">
        <v>-21</v>
      </c>
      <c r="T1170" s="302">
        <v>-17</v>
      </c>
      <c r="U1170" s="302">
        <v>-22</v>
      </c>
      <c r="V1170" s="437">
        <v>-22</v>
      </c>
      <c r="W1170" s="269"/>
      <c r="X1170" s="269"/>
      <c r="Y1170" s="269"/>
      <c r="Z1170" s="269"/>
      <c r="AA1170" s="269"/>
      <c r="AB1170" s="269"/>
      <c r="AC1170" s="269"/>
      <c r="AD1170" s="269"/>
      <c r="AE1170" s="269"/>
      <c r="AF1170" s="269"/>
      <c r="AG1170" s="269"/>
      <c r="AO1170" s="338"/>
      <c r="AP1170" s="449"/>
      <c r="AR1170" s="449"/>
      <c r="AS1170" s="449"/>
      <c r="BA1170" s="269"/>
      <c r="BB1170" s="269"/>
      <c r="BC1170" s="269"/>
      <c r="BD1170" s="269"/>
      <c r="BE1170" s="269"/>
      <c r="BF1170" s="269"/>
      <c r="BG1170" s="269"/>
      <c r="BH1170" s="269"/>
      <c r="BI1170" s="269"/>
      <c r="BJ1170" s="269"/>
      <c r="BK1170" s="269"/>
      <c r="BL1170" s="269"/>
      <c r="BM1170" s="269"/>
      <c r="BN1170" s="269"/>
      <c r="BO1170" s="269"/>
      <c r="BP1170" s="269"/>
      <c r="BQ1170" s="269"/>
      <c r="BR1170" s="269"/>
      <c r="BS1170" s="269"/>
      <c r="BT1170" s="269"/>
      <c r="BU1170" s="269"/>
      <c r="BV1170" s="269"/>
      <c r="BW1170" s="269"/>
      <c r="BX1170" s="269"/>
      <c r="BY1170" s="269"/>
      <c r="BZ1170" s="269"/>
      <c r="CA1170" s="269"/>
      <c r="CB1170" s="269"/>
      <c r="CC1170" s="269"/>
      <c r="CD1170" s="269"/>
      <c r="CE1170" s="269"/>
      <c r="CF1170" s="269"/>
      <c r="CG1170" s="269"/>
      <c r="CH1170" s="269"/>
      <c r="CI1170" s="269"/>
      <c r="CJ1170" s="269"/>
      <c r="CK1170" s="269"/>
      <c r="CL1170" s="269"/>
      <c r="CM1170" s="269"/>
      <c r="CN1170" s="269"/>
      <c r="CO1170" s="302"/>
      <c r="CR1170" s="269"/>
      <c r="CS1170" s="269"/>
      <c r="CT1170" s="269"/>
      <c r="CU1170" s="269"/>
      <c r="CV1170" s="269"/>
      <c r="CW1170" s="269"/>
      <c r="CX1170" s="269"/>
      <c r="CY1170" s="269"/>
      <c r="CZ1170" s="269"/>
      <c r="DA1170" s="269"/>
      <c r="DB1170" s="269"/>
      <c r="DC1170" s="269"/>
      <c r="DD1170" s="269"/>
      <c r="DE1170" s="269"/>
      <c r="DF1170" s="269"/>
      <c r="DG1170" s="269"/>
      <c r="DH1170" s="269"/>
      <c r="DI1170" s="269"/>
      <c r="DJ1170" s="269"/>
      <c r="DK1170" s="269"/>
      <c r="DL1170" s="269"/>
      <c r="DM1170" s="269"/>
      <c r="DN1170" s="269"/>
      <c r="DO1170" s="269"/>
      <c r="DP1170" s="269"/>
      <c r="DQ1170" s="269"/>
      <c r="DR1170" s="269"/>
      <c r="DS1170" s="269"/>
      <c r="DT1170" s="269"/>
      <c r="DU1170" s="269"/>
      <c r="DV1170" s="269"/>
      <c r="DW1170" s="269"/>
      <c r="DX1170" s="269"/>
      <c r="DY1170" s="269"/>
      <c r="DZ1170" s="269"/>
      <c r="EA1170" s="269"/>
      <c r="EB1170" s="269"/>
      <c r="EC1170" s="269"/>
      <c r="ED1170" s="269"/>
      <c r="EE1170" s="269"/>
      <c r="EF1170" s="269"/>
      <c r="EG1170" s="269"/>
      <c r="EH1170" s="269"/>
      <c r="EI1170" s="269"/>
      <c r="EJ1170" s="269"/>
      <c r="EK1170" s="269"/>
      <c r="EL1170" s="269"/>
      <c r="EM1170" s="269"/>
      <c r="EN1170" s="269"/>
      <c r="EO1170" s="269"/>
      <c r="EP1170" s="269"/>
      <c r="EQ1170" s="269"/>
      <c r="ER1170" s="269"/>
      <c r="ES1170" s="269"/>
      <c r="ET1170" s="269"/>
      <c r="EU1170" s="269"/>
      <c r="EV1170" s="269"/>
      <c r="EW1170" s="269"/>
      <c r="EX1170" s="269"/>
      <c r="EY1170" s="269"/>
      <c r="EZ1170" s="269"/>
      <c r="FA1170" s="269"/>
      <c r="FB1170" s="269"/>
      <c r="FC1170" s="269"/>
    </row>
    <row r="1171" spans="3:159" hidden="1">
      <c r="C1171" s="267" t="s">
        <v>1032</v>
      </c>
      <c r="D1171" s="269"/>
      <c r="E1171" s="269"/>
      <c r="F1171" s="269"/>
      <c r="G1171" s="269"/>
      <c r="H1171" s="269"/>
      <c r="I1171" s="269"/>
      <c r="J1171" s="269"/>
      <c r="K1171" s="269"/>
      <c r="L1171" s="269">
        <v>-94</v>
      </c>
      <c r="M1171" s="269">
        <v>-113</v>
      </c>
      <c r="N1171" s="269">
        <v>-67</v>
      </c>
      <c r="O1171" s="269">
        <v>-69</v>
      </c>
      <c r="P1171" s="269">
        <v>-67</v>
      </c>
      <c r="Q1171" s="436">
        <v>-66</v>
      </c>
      <c r="R1171" s="436">
        <v>-83</v>
      </c>
      <c r="S1171" s="436">
        <v>-79</v>
      </c>
      <c r="T1171" s="430">
        <v>-51</v>
      </c>
      <c r="U1171" s="430">
        <v>-64</v>
      </c>
      <c r="V1171" s="436">
        <v>-51.626151820974108</v>
      </c>
      <c r="W1171" s="269"/>
      <c r="X1171" s="269"/>
      <c r="Y1171" s="269"/>
      <c r="Z1171" s="269"/>
      <c r="AA1171" s="269"/>
      <c r="AB1171" s="269"/>
      <c r="AC1171" s="269"/>
      <c r="AD1171" s="269"/>
      <c r="AE1171" s="269"/>
      <c r="AF1171" s="269"/>
      <c r="AG1171" s="269"/>
      <c r="AO1171" s="338"/>
      <c r="AP1171" s="449"/>
      <c r="AR1171" s="449"/>
      <c r="AS1171" s="449"/>
      <c r="BA1171" s="269"/>
      <c r="BB1171" s="269"/>
      <c r="BC1171" s="269"/>
      <c r="BD1171" s="269"/>
      <c r="BE1171" s="269"/>
      <c r="BF1171" s="269"/>
      <c r="BG1171" s="269"/>
      <c r="BH1171" s="269"/>
      <c r="BI1171" s="269"/>
      <c r="BJ1171" s="269"/>
      <c r="BK1171" s="269"/>
      <c r="BL1171" s="269"/>
      <c r="BM1171" s="269"/>
      <c r="BN1171" s="269"/>
      <c r="BO1171" s="269"/>
      <c r="BP1171" s="269"/>
      <c r="BQ1171" s="269"/>
      <c r="BR1171" s="269"/>
      <c r="BS1171" s="269"/>
      <c r="BT1171" s="269"/>
      <c r="BU1171" s="269"/>
      <c r="BV1171" s="269"/>
      <c r="BW1171" s="269"/>
      <c r="BX1171" s="269"/>
      <c r="BY1171" s="269"/>
      <c r="BZ1171" s="269"/>
      <c r="CA1171" s="269"/>
      <c r="CB1171" s="269"/>
      <c r="CC1171" s="269"/>
      <c r="CD1171" s="269"/>
      <c r="CE1171" s="269"/>
      <c r="CF1171" s="269"/>
      <c r="CG1171" s="269"/>
      <c r="CH1171" s="269"/>
      <c r="CI1171" s="269"/>
      <c r="CJ1171" s="269"/>
      <c r="CK1171" s="269"/>
      <c r="CL1171" s="269"/>
      <c r="CM1171" s="269"/>
      <c r="CN1171" s="269"/>
      <c r="CO1171" s="302"/>
      <c r="CR1171" s="269"/>
      <c r="CS1171" s="269"/>
      <c r="CT1171" s="269"/>
      <c r="CU1171" s="269"/>
      <c r="CV1171" s="269"/>
      <c r="CW1171" s="269"/>
      <c r="CX1171" s="269"/>
      <c r="CY1171" s="269"/>
      <c r="CZ1171" s="269"/>
      <c r="DA1171" s="269"/>
      <c r="DB1171" s="269"/>
      <c r="DC1171" s="269"/>
      <c r="DD1171" s="269"/>
      <c r="DE1171" s="269"/>
      <c r="DF1171" s="269"/>
      <c r="DG1171" s="269"/>
      <c r="DH1171" s="269"/>
      <c r="DI1171" s="269"/>
      <c r="DJ1171" s="269"/>
      <c r="DK1171" s="269"/>
      <c r="DL1171" s="269"/>
      <c r="DM1171" s="269"/>
      <c r="DN1171" s="269"/>
      <c r="DO1171" s="269"/>
      <c r="DP1171" s="269"/>
      <c r="DQ1171" s="269"/>
      <c r="DR1171" s="269"/>
      <c r="DS1171" s="269"/>
      <c r="DT1171" s="269"/>
      <c r="DU1171" s="269"/>
      <c r="DV1171" s="269"/>
      <c r="DW1171" s="269"/>
      <c r="DX1171" s="269"/>
      <c r="DY1171" s="269"/>
      <c r="DZ1171" s="269"/>
      <c r="EA1171" s="269"/>
      <c r="EB1171" s="269"/>
      <c r="EC1171" s="269"/>
      <c r="ED1171" s="269"/>
      <c r="EE1171" s="269"/>
      <c r="EF1171" s="269"/>
      <c r="EG1171" s="269"/>
      <c r="EH1171" s="269"/>
      <c r="EI1171" s="269"/>
      <c r="EJ1171" s="269"/>
      <c r="EK1171" s="269"/>
      <c r="EL1171" s="269"/>
      <c r="EM1171" s="269"/>
      <c r="EN1171" s="269"/>
      <c r="EO1171" s="269"/>
      <c r="EP1171" s="269"/>
      <c r="EQ1171" s="269"/>
      <c r="ER1171" s="269"/>
      <c r="ES1171" s="269"/>
      <c r="ET1171" s="269"/>
      <c r="EU1171" s="269"/>
      <c r="EV1171" s="269"/>
      <c r="EW1171" s="269"/>
      <c r="EX1171" s="269"/>
      <c r="EY1171" s="269"/>
      <c r="EZ1171" s="269"/>
      <c r="FA1171" s="269"/>
      <c r="FB1171" s="269"/>
      <c r="FC1171" s="269"/>
    </row>
    <row r="1172" spans="3:159" hidden="1">
      <c r="C1172" s="410" t="s">
        <v>781</v>
      </c>
      <c r="D1172" s="271"/>
      <c r="E1172" s="271"/>
      <c r="F1172" s="271"/>
      <c r="G1172" s="271"/>
      <c r="H1172" s="271"/>
      <c r="I1172" s="271"/>
      <c r="J1172" s="271"/>
      <c r="K1172" s="271"/>
      <c r="L1172" s="271">
        <v>-9.2066601371204704E-2</v>
      </c>
      <c r="M1172" s="271">
        <v>-0.10650329877474081</v>
      </c>
      <c r="N1172" s="271">
        <v>-5.4032258064516128E-2</v>
      </c>
      <c r="O1172" s="271">
        <v>-5.4588607594936708E-2</v>
      </c>
      <c r="P1172" s="271">
        <v>-5.095057034220532E-2</v>
      </c>
      <c r="Q1172" s="271">
        <v>-5.5137844611528819E-2</v>
      </c>
      <c r="R1172" s="271">
        <v>-6.797706797706797E-2</v>
      </c>
      <c r="S1172" s="271">
        <v>-6.2401263823064768E-2</v>
      </c>
      <c r="T1172" s="438">
        <v>-4.1195476575121161E-2</v>
      </c>
      <c r="U1172" s="438">
        <v>-4.8632218844984802E-2</v>
      </c>
      <c r="V1172" s="439">
        <v>-3.7248305787138607E-2</v>
      </c>
      <c r="W1172" s="269"/>
      <c r="X1172" s="269"/>
      <c r="Y1172" s="269"/>
      <c r="Z1172" s="269"/>
      <c r="AA1172" s="269"/>
      <c r="AB1172" s="269"/>
      <c r="AC1172" s="269"/>
      <c r="AD1172" s="269"/>
      <c r="AE1172" s="269"/>
      <c r="AF1172" s="269"/>
      <c r="AG1172" s="269"/>
      <c r="AO1172" s="338"/>
      <c r="AP1172" s="449"/>
      <c r="AR1172" s="449"/>
      <c r="AS1172" s="449"/>
      <c r="BA1172" s="269"/>
      <c r="BB1172" s="269"/>
      <c r="BC1172" s="269"/>
      <c r="BD1172" s="269"/>
      <c r="BE1172" s="269"/>
      <c r="BF1172" s="269"/>
      <c r="BG1172" s="269"/>
      <c r="BH1172" s="269"/>
      <c r="BI1172" s="269"/>
      <c r="BJ1172" s="269"/>
      <c r="BK1172" s="269"/>
      <c r="BL1172" s="269"/>
      <c r="BM1172" s="269"/>
      <c r="BN1172" s="269"/>
      <c r="BO1172" s="269"/>
      <c r="BP1172" s="269"/>
      <c r="BQ1172" s="269"/>
      <c r="BR1172" s="269"/>
      <c r="BS1172" s="269"/>
      <c r="BT1172" s="269"/>
      <c r="BU1172" s="269"/>
      <c r="BV1172" s="269"/>
      <c r="BW1172" s="269"/>
      <c r="BX1172" s="269"/>
      <c r="BY1172" s="269"/>
      <c r="BZ1172" s="269"/>
      <c r="CA1172" s="269"/>
      <c r="CB1172" s="269"/>
      <c r="CC1172" s="269"/>
      <c r="CD1172" s="269"/>
      <c r="CE1172" s="269"/>
      <c r="CF1172" s="269"/>
      <c r="CG1172" s="269"/>
      <c r="CH1172" s="269"/>
      <c r="CI1172" s="269"/>
      <c r="CJ1172" s="269"/>
      <c r="CK1172" s="269"/>
      <c r="CL1172" s="269"/>
      <c r="CM1172" s="269"/>
      <c r="CN1172" s="269"/>
      <c r="CO1172" s="302"/>
      <c r="CR1172" s="269"/>
      <c r="CS1172" s="269"/>
      <c r="CT1172" s="269"/>
      <c r="CU1172" s="269"/>
      <c r="CV1172" s="269"/>
      <c r="CW1172" s="269"/>
      <c r="CX1172" s="269"/>
      <c r="CY1172" s="269"/>
      <c r="CZ1172" s="269"/>
      <c r="DA1172" s="269"/>
      <c r="DB1172" s="269"/>
      <c r="DC1172" s="269"/>
      <c r="DD1172" s="269"/>
      <c r="DE1172" s="269"/>
      <c r="DF1172" s="269"/>
      <c r="DG1172" s="269"/>
      <c r="DH1172" s="269"/>
      <c r="DI1172" s="269"/>
      <c r="DJ1172" s="269"/>
      <c r="DK1172" s="269"/>
      <c r="DL1172" s="269"/>
      <c r="DM1172" s="269"/>
      <c r="DN1172" s="269"/>
      <c r="DO1172" s="269"/>
      <c r="DP1172" s="269"/>
      <c r="DQ1172" s="269"/>
      <c r="DR1172" s="269"/>
      <c r="DS1172" s="269"/>
      <c r="DT1172" s="269"/>
      <c r="DU1172" s="269"/>
      <c r="DV1172" s="269"/>
      <c r="DW1172" s="269"/>
      <c r="DX1172" s="269"/>
      <c r="DY1172" s="269"/>
      <c r="DZ1172" s="269"/>
      <c r="EA1172" s="269"/>
      <c r="EB1172" s="269"/>
      <c r="EC1172" s="269"/>
      <c r="ED1172" s="269"/>
      <c r="EE1172" s="269"/>
      <c r="EF1172" s="269"/>
      <c r="EG1172" s="269"/>
      <c r="EH1172" s="269"/>
      <c r="EI1172" s="269"/>
      <c r="EJ1172" s="269"/>
      <c r="EK1172" s="269"/>
      <c r="EL1172" s="269"/>
      <c r="EM1172" s="269"/>
      <c r="EN1172" s="269"/>
      <c r="EO1172" s="269"/>
      <c r="EP1172" s="269"/>
      <c r="EQ1172" s="269"/>
      <c r="ER1172" s="269"/>
      <c r="ES1172" s="269"/>
      <c r="ET1172" s="269"/>
      <c r="EU1172" s="269"/>
      <c r="EV1172" s="269"/>
      <c r="EW1172" s="269"/>
      <c r="EX1172" s="269"/>
      <c r="EY1172" s="269"/>
      <c r="EZ1172" s="269"/>
      <c r="FA1172" s="269"/>
      <c r="FB1172" s="269"/>
      <c r="FC1172" s="269"/>
    </row>
    <row r="1173" spans="3:159" hidden="1">
      <c r="C1173" s="263"/>
      <c r="D1173" s="269"/>
      <c r="E1173" s="269"/>
      <c r="F1173" s="269"/>
      <c r="G1173" s="269"/>
      <c r="H1173" s="269"/>
      <c r="I1173" s="269"/>
      <c r="J1173" s="269"/>
      <c r="K1173" s="269"/>
      <c r="L1173" s="269"/>
      <c r="M1173" s="269"/>
      <c r="N1173" s="269"/>
      <c r="O1173" s="269"/>
      <c r="P1173" s="269"/>
      <c r="Q1173" s="436"/>
      <c r="R1173" s="436"/>
      <c r="S1173" s="269"/>
      <c r="T1173" s="269"/>
      <c r="U1173" s="269"/>
      <c r="V1173" s="269"/>
      <c r="W1173" s="269"/>
      <c r="X1173" s="269"/>
      <c r="Y1173" s="269"/>
      <c r="Z1173" s="269"/>
      <c r="AA1173" s="269"/>
      <c r="AB1173" s="269"/>
      <c r="AC1173" s="269"/>
      <c r="AD1173" s="269"/>
      <c r="AE1173" s="269"/>
      <c r="AF1173" s="269"/>
      <c r="AG1173" s="269"/>
      <c r="AO1173" s="338"/>
      <c r="AP1173" s="449"/>
      <c r="AR1173" s="449"/>
      <c r="AS1173" s="449"/>
      <c r="BA1173" s="269"/>
      <c r="BB1173" s="269"/>
      <c r="BC1173" s="269"/>
      <c r="BD1173" s="269"/>
      <c r="BE1173" s="269"/>
      <c r="BF1173" s="269"/>
      <c r="BG1173" s="269"/>
      <c r="BH1173" s="269"/>
      <c r="BI1173" s="269"/>
      <c r="BJ1173" s="269"/>
      <c r="BK1173" s="269"/>
      <c r="BL1173" s="269"/>
      <c r="BM1173" s="269"/>
      <c r="BN1173" s="269"/>
      <c r="BO1173" s="269"/>
      <c r="BP1173" s="269"/>
      <c r="BQ1173" s="269"/>
      <c r="BR1173" s="269"/>
      <c r="BS1173" s="269"/>
      <c r="BT1173" s="269"/>
      <c r="BU1173" s="269"/>
      <c r="BV1173" s="269"/>
      <c r="BW1173" s="269"/>
      <c r="BX1173" s="269"/>
      <c r="BY1173" s="269"/>
      <c r="BZ1173" s="269"/>
      <c r="CA1173" s="269"/>
      <c r="CB1173" s="269"/>
      <c r="CC1173" s="269"/>
      <c r="CD1173" s="269"/>
      <c r="CE1173" s="269"/>
      <c r="CF1173" s="269"/>
      <c r="CG1173" s="269"/>
      <c r="CH1173" s="269"/>
      <c r="CI1173" s="269"/>
      <c r="CJ1173" s="269"/>
      <c r="CK1173" s="269"/>
      <c r="CL1173" s="269"/>
      <c r="CM1173" s="269"/>
      <c r="CN1173" s="269"/>
      <c r="CO1173" s="302"/>
      <c r="CR1173" s="269"/>
      <c r="CS1173" s="269"/>
      <c r="CT1173" s="269"/>
      <c r="CU1173" s="269"/>
      <c r="CV1173" s="269"/>
      <c r="CW1173" s="269"/>
      <c r="CX1173" s="269"/>
      <c r="CY1173" s="269"/>
      <c r="CZ1173" s="269"/>
      <c r="DA1173" s="269"/>
      <c r="DB1173" s="269"/>
      <c r="DC1173" s="269"/>
      <c r="DD1173" s="269"/>
      <c r="DE1173" s="269"/>
      <c r="DF1173" s="269"/>
      <c r="DG1173" s="269"/>
      <c r="DH1173" s="269"/>
      <c r="DI1173" s="269"/>
      <c r="DJ1173" s="269"/>
      <c r="DK1173" s="269"/>
      <c r="DL1173" s="269"/>
      <c r="DM1173" s="269"/>
      <c r="DN1173" s="269"/>
      <c r="DO1173" s="269"/>
      <c r="DP1173" s="269"/>
      <c r="DQ1173" s="269"/>
      <c r="DR1173" s="269"/>
      <c r="DS1173" s="269"/>
      <c r="DT1173" s="269"/>
      <c r="DU1173" s="269"/>
      <c r="DV1173" s="269"/>
      <c r="DW1173" s="269"/>
      <c r="DX1173" s="269"/>
      <c r="DY1173" s="269"/>
      <c r="DZ1173" s="269"/>
      <c r="EA1173" s="269"/>
      <c r="EB1173" s="269"/>
      <c r="EC1173" s="269"/>
      <c r="ED1173" s="269"/>
      <c r="EE1173" s="269"/>
      <c r="EF1173" s="269"/>
      <c r="EG1173" s="269"/>
      <c r="EH1173" s="269"/>
      <c r="EI1173" s="269"/>
      <c r="EJ1173" s="269"/>
      <c r="EK1173" s="269"/>
      <c r="EL1173" s="269"/>
      <c r="EM1173" s="269"/>
      <c r="EN1173" s="269"/>
      <c r="EO1173" s="269"/>
      <c r="EP1173" s="269"/>
      <c r="EQ1173" s="269"/>
      <c r="ER1173" s="269"/>
      <c r="ES1173" s="269"/>
      <c r="ET1173" s="269"/>
      <c r="EU1173" s="269"/>
      <c r="EV1173" s="269"/>
      <c r="EW1173" s="269"/>
      <c r="EX1173" s="269"/>
      <c r="EY1173" s="269"/>
      <c r="EZ1173" s="269"/>
      <c r="FA1173" s="269"/>
      <c r="FB1173" s="269"/>
      <c r="FC1173" s="269"/>
    </row>
    <row r="1174" spans="3:159" hidden="1">
      <c r="C1174" s="424" t="s">
        <v>1330</v>
      </c>
      <c r="D1174" s="257"/>
      <c r="E1174" s="257"/>
      <c r="F1174" s="257"/>
      <c r="G1174" s="257"/>
      <c r="H1174" s="257"/>
      <c r="I1174" s="257"/>
      <c r="J1174" s="257"/>
      <c r="K1174" s="257"/>
      <c r="L1174" s="257"/>
      <c r="M1174" s="257"/>
      <c r="N1174" s="257"/>
      <c r="O1174" s="257"/>
      <c r="P1174" s="257"/>
      <c r="Q1174" s="257"/>
      <c r="R1174" s="257"/>
      <c r="S1174" s="257"/>
      <c r="T1174" s="257"/>
      <c r="U1174" s="440">
        <v>-125.12471596601773</v>
      </c>
      <c r="V1174" s="440">
        <v>-142</v>
      </c>
      <c r="W1174" s="269"/>
      <c r="X1174" s="269"/>
      <c r="Y1174" s="269"/>
      <c r="Z1174" s="269"/>
      <c r="AA1174" s="269"/>
      <c r="AB1174" s="269"/>
      <c r="AC1174" s="269"/>
      <c r="AD1174" s="269"/>
      <c r="AE1174" s="269"/>
      <c r="AF1174" s="269"/>
      <c r="AG1174" s="269"/>
      <c r="AO1174" s="338"/>
      <c r="AP1174" s="449"/>
      <c r="AR1174" s="449"/>
      <c r="AS1174" s="449"/>
      <c r="BA1174" s="269"/>
      <c r="BB1174" s="269"/>
      <c r="BC1174" s="269"/>
      <c r="BD1174" s="269"/>
      <c r="BE1174" s="269"/>
      <c r="BF1174" s="269"/>
      <c r="BG1174" s="269"/>
      <c r="BH1174" s="269"/>
      <c r="BI1174" s="269"/>
      <c r="BJ1174" s="269"/>
      <c r="BK1174" s="269"/>
      <c r="BL1174" s="269"/>
      <c r="BM1174" s="269"/>
      <c r="BN1174" s="269"/>
      <c r="BO1174" s="269"/>
      <c r="BP1174" s="269"/>
      <c r="BQ1174" s="269"/>
      <c r="BR1174" s="269"/>
      <c r="BS1174" s="269"/>
      <c r="BT1174" s="269"/>
      <c r="BU1174" s="269"/>
      <c r="BV1174" s="269"/>
      <c r="BW1174" s="269"/>
      <c r="BX1174" s="269"/>
      <c r="BY1174" s="269"/>
      <c r="BZ1174" s="269"/>
      <c r="CA1174" s="269"/>
      <c r="CB1174" s="269"/>
      <c r="CC1174" s="269"/>
      <c r="CD1174" s="269"/>
      <c r="CE1174" s="269"/>
      <c r="CF1174" s="269"/>
      <c r="CG1174" s="269"/>
      <c r="CH1174" s="269"/>
      <c r="CI1174" s="269"/>
      <c r="CJ1174" s="269"/>
      <c r="CK1174" s="269"/>
      <c r="CL1174" s="269"/>
      <c r="CM1174" s="269"/>
      <c r="CN1174" s="269"/>
      <c r="CO1174" s="302"/>
      <c r="CR1174" s="269"/>
      <c r="CS1174" s="269"/>
      <c r="CT1174" s="269"/>
      <c r="CU1174" s="269"/>
      <c r="CV1174" s="269"/>
      <c r="CW1174" s="269"/>
      <c r="CX1174" s="269"/>
      <c r="CY1174" s="269"/>
      <c r="CZ1174" s="269"/>
      <c r="DA1174" s="269"/>
      <c r="DB1174" s="269"/>
      <c r="DC1174" s="269"/>
      <c r="DD1174" s="269"/>
      <c r="DE1174" s="269"/>
      <c r="DF1174" s="269"/>
      <c r="DG1174" s="269"/>
      <c r="DH1174" s="269"/>
      <c r="DI1174" s="269"/>
      <c r="DJ1174" s="269"/>
      <c r="DK1174" s="269"/>
      <c r="DL1174" s="269"/>
      <c r="DM1174" s="269"/>
      <c r="DN1174" s="269"/>
      <c r="DO1174" s="269"/>
      <c r="DP1174" s="269"/>
      <c r="DQ1174" s="269"/>
      <c r="DR1174" s="269"/>
      <c r="DS1174" s="269"/>
      <c r="DT1174" s="269"/>
      <c r="DU1174" s="269"/>
      <c r="DV1174" s="269"/>
      <c r="DW1174" s="269"/>
      <c r="DX1174" s="269"/>
      <c r="DY1174" s="269"/>
      <c r="DZ1174" s="269"/>
      <c r="EA1174" s="269"/>
      <c r="EB1174" s="269"/>
      <c r="EC1174" s="269"/>
      <c r="ED1174" s="269"/>
      <c r="EE1174" s="269"/>
      <c r="EF1174" s="269"/>
      <c r="EG1174" s="269"/>
      <c r="EH1174" s="269"/>
      <c r="EI1174" s="269"/>
      <c r="EJ1174" s="269"/>
      <c r="EK1174" s="269"/>
      <c r="EL1174" s="269"/>
      <c r="EM1174" s="269"/>
      <c r="EN1174" s="269"/>
      <c r="EO1174" s="269"/>
      <c r="EP1174" s="269"/>
      <c r="EQ1174" s="269"/>
      <c r="ER1174" s="269"/>
      <c r="ES1174" s="269"/>
      <c r="ET1174" s="269"/>
      <c r="EU1174" s="269"/>
      <c r="EV1174" s="269"/>
      <c r="EW1174" s="269"/>
      <c r="EX1174" s="269"/>
      <c r="EY1174" s="269"/>
      <c r="EZ1174" s="269"/>
      <c r="FA1174" s="269"/>
      <c r="FB1174" s="269"/>
      <c r="FC1174" s="269"/>
    </row>
    <row r="1175" spans="3:159" hidden="1">
      <c r="C1175" s="396" t="s">
        <v>1262</v>
      </c>
      <c r="D1175" s="269"/>
      <c r="E1175" s="269"/>
      <c r="F1175" s="269"/>
      <c r="G1175" s="269"/>
      <c r="H1175" s="269"/>
      <c r="I1175" s="269"/>
      <c r="J1175" s="269"/>
      <c r="K1175" s="269"/>
      <c r="L1175" s="269"/>
      <c r="M1175" s="269"/>
      <c r="N1175" s="269"/>
      <c r="O1175" s="269"/>
      <c r="P1175" s="269"/>
      <c r="Q1175" s="269"/>
      <c r="R1175" s="269"/>
      <c r="S1175" s="269"/>
      <c r="T1175" s="269"/>
      <c r="U1175" s="271">
        <v>-5.5623073621786139E-2</v>
      </c>
      <c r="V1175" s="271">
        <v>-0.11024844720496894</v>
      </c>
      <c r="W1175" s="269"/>
      <c r="X1175" s="269"/>
      <c r="Y1175" s="269"/>
      <c r="Z1175" s="269"/>
      <c r="AA1175" s="269"/>
      <c r="AB1175" s="269"/>
      <c r="AC1175" s="269"/>
      <c r="AD1175" s="269"/>
      <c r="AE1175" s="269"/>
      <c r="AF1175" s="269"/>
      <c r="AG1175" s="269"/>
      <c r="AO1175" s="338"/>
      <c r="AP1175" s="449"/>
      <c r="AR1175" s="449"/>
      <c r="AS1175" s="449"/>
      <c r="BA1175" s="269"/>
      <c r="BB1175" s="269"/>
      <c r="BC1175" s="269"/>
      <c r="BD1175" s="269"/>
      <c r="BE1175" s="269"/>
      <c r="BF1175" s="269"/>
      <c r="BG1175" s="269"/>
      <c r="BH1175" s="269"/>
      <c r="BI1175" s="269"/>
      <c r="BJ1175" s="269"/>
      <c r="BK1175" s="269"/>
      <c r="BL1175" s="269"/>
      <c r="BM1175" s="269"/>
      <c r="BN1175" s="269"/>
      <c r="BO1175" s="269"/>
      <c r="BP1175" s="269"/>
      <c r="BQ1175" s="269"/>
      <c r="BR1175" s="269"/>
      <c r="BS1175" s="269"/>
      <c r="BT1175" s="269"/>
      <c r="BU1175" s="269"/>
      <c r="BV1175" s="269"/>
      <c r="BW1175" s="269"/>
      <c r="BX1175" s="269"/>
      <c r="BY1175" s="269"/>
      <c r="BZ1175" s="269"/>
      <c r="CA1175" s="269"/>
      <c r="CB1175" s="269"/>
      <c r="CC1175" s="269"/>
      <c r="CD1175" s="269"/>
      <c r="CE1175" s="269"/>
      <c r="CF1175" s="269"/>
      <c r="CG1175" s="269"/>
      <c r="CH1175" s="269"/>
      <c r="CI1175" s="269"/>
      <c r="CJ1175" s="269"/>
      <c r="CK1175" s="269"/>
      <c r="CL1175" s="269"/>
      <c r="CM1175" s="269"/>
      <c r="CN1175" s="269"/>
      <c r="CO1175" s="302"/>
      <c r="CR1175" s="269"/>
      <c r="CS1175" s="269"/>
      <c r="CT1175" s="269"/>
      <c r="CU1175" s="269"/>
      <c r="CV1175" s="269"/>
      <c r="CW1175" s="269"/>
      <c r="CX1175" s="269"/>
      <c r="CY1175" s="269"/>
      <c r="CZ1175" s="269"/>
      <c r="DA1175" s="269"/>
      <c r="DB1175" s="269"/>
      <c r="DC1175" s="269"/>
      <c r="DD1175" s="269"/>
      <c r="DE1175" s="269"/>
      <c r="DF1175" s="269"/>
      <c r="DG1175" s="269"/>
      <c r="DH1175" s="269"/>
      <c r="DI1175" s="269"/>
      <c r="DJ1175" s="269"/>
      <c r="DK1175" s="269"/>
      <c r="DL1175" s="269"/>
      <c r="DM1175" s="269"/>
      <c r="DN1175" s="269"/>
      <c r="DO1175" s="269"/>
      <c r="DP1175" s="269"/>
      <c r="DQ1175" s="269"/>
      <c r="DR1175" s="269"/>
      <c r="DS1175" s="269"/>
      <c r="DT1175" s="269"/>
      <c r="DU1175" s="269"/>
      <c r="DV1175" s="269"/>
      <c r="DW1175" s="269"/>
      <c r="DX1175" s="269"/>
      <c r="DY1175" s="269"/>
      <c r="DZ1175" s="269"/>
      <c r="EA1175" s="269"/>
      <c r="EB1175" s="269"/>
      <c r="EC1175" s="269"/>
      <c r="ED1175" s="269"/>
      <c r="EE1175" s="269"/>
      <c r="EF1175" s="269"/>
      <c r="EG1175" s="269"/>
      <c r="EH1175" s="269"/>
      <c r="EI1175" s="269"/>
      <c r="EJ1175" s="269"/>
      <c r="EK1175" s="269"/>
      <c r="EL1175" s="269"/>
      <c r="EM1175" s="269"/>
      <c r="EN1175" s="269"/>
      <c r="EO1175" s="269"/>
      <c r="EP1175" s="269"/>
      <c r="EQ1175" s="269"/>
      <c r="ER1175" s="269"/>
      <c r="ES1175" s="269"/>
      <c r="ET1175" s="269"/>
      <c r="EU1175" s="269"/>
      <c r="EV1175" s="269"/>
      <c r="EW1175" s="269"/>
      <c r="EX1175" s="269"/>
      <c r="EY1175" s="269"/>
      <c r="EZ1175" s="269"/>
      <c r="FA1175" s="269"/>
      <c r="FB1175" s="269"/>
      <c r="FC1175" s="269"/>
    </row>
    <row r="1176" spans="3:159" hidden="1">
      <c r="C1176" s="266" t="s">
        <v>984</v>
      </c>
      <c r="D1176" s="269"/>
      <c r="E1176" s="269"/>
      <c r="F1176" s="269"/>
      <c r="G1176" s="269"/>
      <c r="H1176" s="269"/>
      <c r="I1176" s="269"/>
      <c r="J1176" s="269"/>
      <c r="K1176" s="269"/>
      <c r="L1176" s="269"/>
      <c r="M1176" s="269"/>
      <c r="N1176" s="269"/>
      <c r="O1176" s="269"/>
      <c r="P1176" s="269"/>
      <c r="Q1176" s="269"/>
      <c r="R1176" s="269"/>
      <c r="S1176" s="269"/>
      <c r="T1176" s="269"/>
      <c r="U1176" s="271"/>
      <c r="V1176" s="269">
        <v>9</v>
      </c>
      <c r="W1176" s="269"/>
      <c r="X1176" s="269"/>
      <c r="Y1176" s="269"/>
      <c r="Z1176" s="269"/>
      <c r="AA1176" s="269"/>
      <c r="AB1176" s="269"/>
      <c r="AC1176" s="269"/>
      <c r="AD1176" s="269"/>
      <c r="AE1176" s="269"/>
      <c r="AF1176" s="269"/>
      <c r="AG1176" s="269"/>
      <c r="AO1176" s="338"/>
      <c r="AP1176" s="449"/>
      <c r="AR1176" s="449"/>
      <c r="AS1176" s="449"/>
      <c r="BA1176" s="269"/>
      <c r="BB1176" s="269"/>
      <c r="BC1176" s="269"/>
      <c r="BD1176" s="269"/>
      <c r="BE1176" s="269"/>
      <c r="BF1176" s="269"/>
      <c r="BG1176" s="269"/>
      <c r="BH1176" s="269"/>
      <c r="BI1176" s="269"/>
      <c r="BJ1176" s="269"/>
      <c r="BK1176" s="269"/>
      <c r="BL1176" s="269"/>
      <c r="BM1176" s="269"/>
      <c r="BN1176" s="269"/>
      <c r="BO1176" s="269"/>
      <c r="BP1176" s="269"/>
      <c r="BQ1176" s="269"/>
      <c r="BR1176" s="269"/>
      <c r="BS1176" s="269"/>
      <c r="BT1176" s="269"/>
      <c r="BU1176" s="269"/>
      <c r="BV1176" s="269"/>
      <c r="BW1176" s="269"/>
      <c r="BX1176" s="269"/>
      <c r="BY1176" s="269"/>
      <c r="BZ1176" s="269"/>
      <c r="CA1176" s="269"/>
      <c r="CB1176" s="269"/>
      <c r="CC1176" s="269"/>
      <c r="CD1176" s="269"/>
      <c r="CE1176" s="269"/>
      <c r="CF1176" s="269"/>
      <c r="CG1176" s="269"/>
      <c r="CH1176" s="269"/>
      <c r="CI1176" s="269"/>
      <c r="CJ1176" s="269"/>
      <c r="CK1176" s="269"/>
      <c r="CL1176" s="269"/>
      <c r="CM1176" s="269"/>
      <c r="CN1176" s="269"/>
      <c r="CO1176" s="302"/>
      <c r="CR1176" s="269"/>
      <c r="CS1176" s="269"/>
      <c r="CT1176" s="269"/>
      <c r="CU1176" s="269"/>
      <c r="CV1176" s="269"/>
      <c r="CW1176" s="269"/>
      <c r="CX1176" s="269"/>
      <c r="CY1176" s="269"/>
      <c r="CZ1176" s="269"/>
      <c r="DA1176" s="269"/>
      <c r="DB1176" s="269"/>
      <c r="DC1176" s="269"/>
      <c r="DD1176" s="269"/>
      <c r="DE1176" s="269"/>
      <c r="DF1176" s="269"/>
      <c r="DG1176" s="269"/>
      <c r="DH1176" s="269"/>
      <c r="DI1176" s="269"/>
      <c r="DJ1176" s="269"/>
      <c r="DK1176" s="269"/>
      <c r="DL1176" s="269"/>
      <c r="DM1176" s="269"/>
      <c r="DN1176" s="269"/>
      <c r="DO1176" s="269"/>
      <c r="DP1176" s="269"/>
      <c r="DQ1176" s="269"/>
      <c r="DR1176" s="269"/>
      <c r="DS1176" s="269"/>
      <c r="DT1176" s="269"/>
      <c r="DU1176" s="269"/>
      <c r="DV1176" s="269"/>
      <c r="DW1176" s="269"/>
      <c r="DX1176" s="269"/>
      <c r="DY1176" s="269"/>
      <c r="DZ1176" s="269"/>
      <c r="EA1176" s="269"/>
      <c r="EB1176" s="269"/>
      <c r="EC1176" s="269"/>
      <c r="ED1176" s="269"/>
      <c r="EE1176" s="269"/>
      <c r="EF1176" s="269"/>
      <c r="EG1176" s="269"/>
      <c r="EH1176" s="269"/>
      <c r="EI1176" s="269"/>
      <c r="EJ1176" s="269"/>
      <c r="EK1176" s="269"/>
      <c r="EL1176" s="269"/>
      <c r="EM1176" s="269"/>
      <c r="EN1176" s="269"/>
      <c r="EO1176" s="269"/>
      <c r="EP1176" s="269"/>
      <c r="EQ1176" s="269"/>
      <c r="ER1176" s="269"/>
      <c r="ES1176" s="269"/>
      <c r="ET1176" s="269"/>
      <c r="EU1176" s="269"/>
      <c r="EV1176" s="269"/>
      <c r="EW1176" s="269"/>
      <c r="EX1176" s="269"/>
      <c r="EY1176" s="269"/>
      <c r="EZ1176" s="269"/>
      <c r="FA1176" s="269"/>
      <c r="FB1176" s="269"/>
      <c r="FC1176" s="269"/>
    </row>
    <row r="1177" spans="3:159" hidden="1">
      <c r="C1177" s="266" t="s">
        <v>1030</v>
      </c>
      <c r="D1177" s="269"/>
      <c r="E1177" s="269"/>
      <c r="F1177" s="269"/>
      <c r="G1177" s="269"/>
      <c r="H1177" s="269"/>
      <c r="I1177" s="269"/>
      <c r="J1177" s="269"/>
      <c r="K1177" s="269"/>
      <c r="L1177" s="269"/>
      <c r="M1177" s="269"/>
      <c r="N1177" s="269"/>
      <c r="O1177" s="269"/>
      <c r="P1177" s="269"/>
      <c r="Q1177" s="269"/>
      <c r="R1177" s="269"/>
      <c r="S1177" s="269"/>
      <c r="T1177" s="269"/>
      <c r="U1177" s="271"/>
      <c r="V1177" s="269">
        <v>-133</v>
      </c>
      <c r="W1177" s="269"/>
      <c r="X1177" s="269"/>
      <c r="Y1177" s="269"/>
      <c r="Z1177" s="269"/>
      <c r="AA1177" s="269"/>
      <c r="AB1177" s="269"/>
      <c r="AC1177" s="269"/>
      <c r="AD1177" s="269"/>
      <c r="AE1177" s="269"/>
      <c r="AF1177" s="269"/>
      <c r="AG1177" s="269"/>
      <c r="AO1177" s="338"/>
      <c r="AP1177" s="449"/>
      <c r="AR1177" s="449"/>
      <c r="AS1177" s="449"/>
      <c r="BA1177" s="269"/>
      <c r="BB1177" s="269"/>
      <c r="BC1177" s="269"/>
      <c r="BD1177" s="269"/>
      <c r="BE1177" s="269"/>
      <c r="BF1177" s="269"/>
      <c r="BG1177" s="269"/>
      <c r="BH1177" s="269"/>
      <c r="BI1177" s="269"/>
      <c r="BJ1177" s="269"/>
      <c r="BK1177" s="269"/>
      <c r="BL1177" s="269"/>
      <c r="BM1177" s="269"/>
      <c r="BN1177" s="269"/>
      <c r="BO1177" s="269"/>
      <c r="BP1177" s="269"/>
      <c r="BQ1177" s="269"/>
      <c r="BR1177" s="269"/>
      <c r="BS1177" s="269"/>
      <c r="BT1177" s="269"/>
      <c r="BU1177" s="269"/>
      <c r="BV1177" s="269"/>
      <c r="BW1177" s="269"/>
      <c r="BX1177" s="269"/>
      <c r="BY1177" s="269"/>
      <c r="BZ1177" s="269"/>
      <c r="CA1177" s="269"/>
      <c r="CB1177" s="269"/>
      <c r="CC1177" s="269"/>
      <c r="CD1177" s="269"/>
      <c r="CE1177" s="269"/>
      <c r="CF1177" s="269"/>
      <c r="CG1177" s="269"/>
      <c r="CH1177" s="269"/>
      <c r="CI1177" s="269"/>
      <c r="CJ1177" s="269"/>
      <c r="CK1177" s="269"/>
      <c r="CL1177" s="269"/>
      <c r="CM1177" s="269"/>
      <c r="CN1177" s="269"/>
      <c r="CO1177" s="302"/>
      <c r="CR1177" s="269"/>
      <c r="CS1177" s="269"/>
      <c r="CT1177" s="269"/>
      <c r="CU1177" s="269"/>
      <c r="CV1177" s="269"/>
      <c r="CW1177" s="269"/>
      <c r="CX1177" s="269"/>
      <c r="CY1177" s="269"/>
      <c r="CZ1177" s="269"/>
      <c r="DA1177" s="269"/>
      <c r="DB1177" s="269"/>
      <c r="DC1177" s="269"/>
      <c r="DD1177" s="269"/>
      <c r="DE1177" s="269"/>
      <c r="DF1177" s="269"/>
      <c r="DG1177" s="269"/>
      <c r="DH1177" s="269"/>
      <c r="DI1177" s="269"/>
      <c r="DJ1177" s="269"/>
      <c r="DK1177" s="269"/>
      <c r="DL1177" s="269"/>
      <c r="DM1177" s="269"/>
      <c r="DN1177" s="269"/>
      <c r="DO1177" s="269"/>
      <c r="DP1177" s="269"/>
      <c r="DQ1177" s="269"/>
      <c r="DR1177" s="269"/>
      <c r="DS1177" s="269"/>
      <c r="DT1177" s="269"/>
      <c r="DU1177" s="269"/>
      <c r="DV1177" s="269"/>
      <c r="DW1177" s="269"/>
      <c r="DX1177" s="269"/>
      <c r="DY1177" s="269"/>
      <c r="DZ1177" s="269"/>
      <c r="EA1177" s="269"/>
      <c r="EB1177" s="269"/>
      <c r="EC1177" s="269"/>
      <c r="ED1177" s="269"/>
      <c r="EE1177" s="269"/>
      <c r="EF1177" s="269"/>
      <c r="EG1177" s="269"/>
      <c r="EH1177" s="269"/>
      <c r="EI1177" s="269"/>
      <c r="EJ1177" s="269"/>
      <c r="EK1177" s="269"/>
      <c r="EL1177" s="269"/>
      <c r="EM1177" s="269"/>
      <c r="EN1177" s="269"/>
      <c r="EO1177" s="269"/>
      <c r="EP1177" s="269"/>
      <c r="EQ1177" s="269"/>
      <c r="ER1177" s="269"/>
      <c r="ES1177" s="269"/>
      <c r="ET1177" s="269"/>
      <c r="EU1177" s="269"/>
      <c r="EV1177" s="269"/>
      <c r="EW1177" s="269"/>
      <c r="EX1177" s="269"/>
      <c r="EY1177" s="269"/>
      <c r="EZ1177" s="269"/>
      <c r="FA1177" s="269"/>
      <c r="FB1177" s="269"/>
      <c r="FC1177" s="269"/>
    </row>
    <row r="1178" spans="3:159" hidden="1">
      <c r="C1178" s="263" t="s">
        <v>1263</v>
      </c>
      <c r="D1178" s="269"/>
      <c r="E1178" s="269"/>
      <c r="F1178" s="269"/>
      <c r="G1178" s="269"/>
      <c r="H1178" s="269"/>
      <c r="I1178" s="269"/>
      <c r="J1178" s="269"/>
      <c r="K1178" s="269"/>
      <c r="L1178" s="269"/>
      <c r="M1178" s="269"/>
      <c r="N1178" s="269"/>
      <c r="O1178" s="269"/>
      <c r="P1178" s="269"/>
      <c r="Q1178" s="269"/>
      <c r="R1178" s="269"/>
      <c r="S1178" s="269"/>
      <c r="T1178" s="269"/>
      <c r="U1178" s="441">
        <v>24.41409708653584</v>
      </c>
      <c r="V1178" s="441">
        <v>19</v>
      </c>
      <c r="W1178" s="269"/>
      <c r="X1178" s="269"/>
      <c r="Y1178" s="269"/>
      <c r="Z1178" s="269"/>
      <c r="AA1178" s="269"/>
      <c r="AB1178" s="269"/>
      <c r="AC1178" s="269"/>
      <c r="AD1178" s="269"/>
      <c r="AE1178" s="269"/>
      <c r="AF1178" s="269"/>
      <c r="AG1178" s="269"/>
      <c r="AO1178" s="338"/>
      <c r="AP1178" s="449"/>
      <c r="AR1178" s="449"/>
      <c r="AS1178" s="449"/>
      <c r="BA1178" s="269"/>
      <c r="BB1178" s="269"/>
      <c r="BC1178" s="269"/>
      <c r="BD1178" s="269"/>
      <c r="BE1178" s="269"/>
      <c r="BF1178" s="269"/>
      <c r="BG1178" s="269"/>
      <c r="BH1178" s="269"/>
      <c r="BI1178" s="269"/>
      <c r="BJ1178" s="269"/>
      <c r="BK1178" s="269"/>
      <c r="BL1178" s="269"/>
      <c r="BM1178" s="269"/>
      <c r="BN1178" s="269"/>
      <c r="BO1178" s="269"/>
      <c r="BP1178" s="269"/>
      <c r="BQ1178" s="269"/>
      <c r="BR1178" s="269"/>
      <c r="BS1178" s="269"/>
      <c r="BT1178" s="269"/>
      <c r="BU1178" s="269"/>
      <c r="BV1178" s="269"/>
      <c r="BW1178" s="269"/>
      <c r="BX1178" s="269"/>
      <c r="BY1178" s="269"/>
      <c r="BZ1178" s="269"/>
      <c r="CA1178" s="269"/>
      <c r="CB1178" s="269"/>
      <c r="CC1178" s="269"/>
      <c r="CD1178" s="269"/>
      <c r="CE1178" s="269"/>
      <c r="CF1178" s="269"/>
      <c r="CG1178" s="269"/>
      <c r="CH1178" s="269"/>
      <c r="CI1178" s="269"/>
      <c r="CJ1178" s="269"/>
      <c r="CK1178" s="269"/>
      <c r="CL1178" s="269"/>
      <c r="CM1178" s="269"/>
      <c r="CN1178" s="269"/>
      <c r="CO1178" s="302"/>
      <c r="CR1178" s="269"/>
      <c r="CS1178" s="269"/>
      <c r="CT1178" s="269"/>
      <c r="CU1178" s="269"/>
      <c r="CV1178" s="269"/>
      <c r="CW1178" s="269"/>
      <c r="CX1178" s="269"/>
      <c r="CY1178" s="269"/>
      <c r="CZ1178" s="269"/>
      <c r="DA1178" s="269"/>
      <c r="DB1178" s="269"/>
      <c r="DC1178" s="269"/>
      <c r="DD1178" s="269"/>
      <c r="DE1178" s="269"/>
      <c r="DF1178" s="269"/>
      <c r="DG1178" s="269"/>
      <c r="DH1178" s="269"/>
      <c r="DI1178" s="269"/>
      <c r="DJ1178" s="269"/>
      <c r="DK1178" s="269"/>
      <c r="DL1178" s="269"/>
      <c r="DM1178" s="269"/>
      <c r="DN1178" s="269"/>
      <c r="DO1178" s="269"/>
      <c r="DP1178" s="269"/>
      <c r="DQ1178" s="269"/>
      <c r="DR1178" s="269"/>
      <c r="DS1178" s="269"/>
      <c r="DT1178" s="269"/>
      <c r="DU1178" s="269"/>
      <c r="DV1178" s="269"/>
      <c r="DW1178" s="269"/>
      <c r="DX1178" s="269"/>
      <c r="DY1178" s="269"/>
      <c r="DZ1178" s="269"/>
      <c r="EA1178" s="269"/>
      <c r="EB1178" s="269"/>
      <c r="EC1178" s="269"/>
      <c r="ED1178" s="269"/>
      <c r="EE1178" s="269"/>
      <c r="EF1178" s="269"/>
      <c r="EG1178" s="269"/>
      <c r="EH1178" s="269"/>
      <c r="EI1178" s="269"/>
      <c r="EJ1178" s="269"/>
      <c r="EK1178" s="269"/>
      <c r="EL1178" s="269"/>
      <c r="EM1178" s="269"/>
      <c r="EN1178" s="269"/>
      <c r="EO1178" s="269"/>
      <c r="EP1178" s="269"/>
      <c r="EQ1178" s="269"/>
      <c r="ER1178" s="269"/>
      <c r="ES1178" s="269"/>
      <c r="ET1178" s="269"/>
      <c r="EU1178" s="269"/>
      <c r="EV1178" s="269"/>
      <c r="EW1178" s="269"/>
      <c r="EX1178" s="269"/>
      <c r="EY1178" s="269"/>
      <c r="EZ1178" s="269"/>
      <c r="FA1178" s="269"/>
      <c r="FB1178" s="269"/>
      <c r="FC1178" s="269"/>
    </row>
    <row r="1179" spans="3:159" hidden="1">
      <c r="C1179" s="263" t="s">
        <v>1264</v>
      </c>
      <c r="D1179" s="269"/>
      <c r="E1179" s="269"/>
      <c r="F1179" s="269"/>
      <c r="G1179" s="269"/>
      <c r="H1179" s="269"/>
      <c r="I1179" s="269"/>
      <c r="J1179" s="269"/>
      <c r="K1179" s="269"/>
      <c r="L1179" s="269"/>
      <c r="M1179" s="269"/>
      <c r="N1179" s="269"/>
      <c r="O1179" s="269"/>
      <c r="P1179" s="269"/>
      <c r="Q1179" s="269"/>
      <c r="R1179" s="269"/>
      <c r="S1179" s="269"/>
      <c r="T1179" s="269"/>
      <c r="U1179" s="441">
        <v>-16.596846695602984</v>
      </c>
      <c r="V1179" s="441">
        <v>-18</v>
      </c>
      <c r="W1179" s="269"/>
      <c r="X1179" s="269"/>
      <c r="Y1179" s="269"/>
      <c r="Z1179" s="269"/>
      <c r="AA1179" s="269"/>
      <c r="AB1179" s="269"/>
      <c r="AC1179" s="269"/>
      <c r="AD1179" s="269"/>
      <c r="AE1179" s="269"/>
      <c r="AF1179" s="269"/>
      <c r="AG1179" s="269"/>
      <c r="AO1179" s="338"/>
      <c r="AP1179" s="449"/>
      <c r="AR1179" s="449"/>
      <c r="AS1179" s="449"/>
      <c r="BA1179" s="269"/>
      <c r="BB1179" s="269"/>
      <c r="BC1179" s="269"/>
      <c r="BD1179" s="269"/>
      <c r="BE1179" s="269"/>
      <c r="BF1179" s="269"/>
      <c r="BG1179" s="269"/>
      <c r="BH1179" s="269"/>
      <c r="BI1179" s="269"/>
      <c r="BJ1179" s="269"/>
      <c r="BK1179" s="269"/>
      <c r="BL1179" s="269"/>
      <c r="BM1179" s="269"/>
      <c r="BN1179" s="269"/>
      <c r="BO1179" s="269"/>
      <c r="BP1179" s="269"/>
      <c r="BQ1179" s="269"/>
      <c r="BR1179" s="269"/>
      <c r="BS1179" s="269"/>
      <c r="BT1179" s="269"/>
      <c r="BU1179" s="269"/>
      <c r="BV1179" s="269"/>
      <c r="BW1179" s="269"/>
      <c r="BX1179" s="269"/>
      <c r="BY1179" s="269"/>
      <c r="BZ1179" s="269"/>
      <c r="CA1179" s="269"/>
      <c r="CB1179" s="269"/>
      <c r="CC1179" s="269"/>
      <c r="CD1179" s="269"/>
      <c r="CE1179" s="269"/>
      <c r="CF1179" s="269"/>
      <c r="CG1179" s="269"/>
      <c r="CH1179" s="269"/>
      <c r="CI1179" s="269"/>
      <c r="CJ1179" s="269"/>
      <c r="CK1179" s="269"/>
      <c r="CL1179" s="269"/>
      <c r="CM1179" s="269"/>
      <c r="CN1179" s="269"/>
      <c r="CO1179" s="302"/>
      <c r="CR1179" s="269"/>
      <c r="CS1179" s="269"/>
      <c r="CT1179" s="269"/>
      <c r="CU1179" s="269"/>
      <c r="CV1179" s="269"/>
      <c r="CW1179" s="269"/>
      <c r="CX1179" s="269"/>
      <c r="CY1179" s="269"/>
      <c r="CZ1179" s="269"/>
      <c r="DA1179" s="269"/>
      <c r="DB1179" s="269"/>
      <c r="DC1179" s="269"/>
      <c r="DD1179" s="269"/>
      <c r="DE1179" s="269"/>
      <c r="DF1179" s="269"/>
      <c r="DG1179" s="269"/>
      <c r="DH1179" s="269"/>
      <c r="DI1179" s="269"/>
      <c r="DJ1179" s="269"/>
      <c r="DK1179" s="269"/>
      <c r="DL1179" s="269"/>
      <c r="DM1179" s="269"/>
      <c r="DN1179" s="269"/>
      <c r="DO1179" s="269"/>
      <c r="DP1179" s="269"/>
      <c r="DQ1179" s="269"/>
      <c r="DR1179" s="269"/>
      <c r="DS1179" s="269"/>
      <c r="DT1179" s="269"/>
      <c r="DU1179" s="269"/>
      <c r="DV1179" s="269"/>
      <c r="DW1179" s="269"/>
      <c r="DX1179" s="269"/>
      <c r="DY1179" s="269"/>
      <c r="DZ1179" s="269"/>
      <c r="EA1179" s="269"/>
      <c r="EB1179" s="269"/>
      <c r="EC1179" s="269"/>
      <c r="ED1179" s="269"/>
      <c r="EE1179" s="269"/>
      <c r="EF1179" s="269"/>
      <c r="EG1179" s="269"/>
      <c r="EH1179" s="269"/>
      <c r="EI1179" s="269"/>
      <c r="EJ1179" s="269"/>
      <c r="EK1179" s="269"/>
      <c r="EL1179" s="269"/>
      <c r="EM1179" s="269"/>
      <c r="EN1179" s="269"/>
      <c r="EO1179" s="269"/>
      <c r="EP1179" s="269"/>
      <c r="EQ1179" s="269"/>
      <c r="ER1179" s="269"/>
      <c r="ES1179" s="269"/>
      <c r="ET1179" s="269"/>
      <c r="EU1179" s="269"/>
      <c r="EV1179" s="269"/>
      <c r="EW1179" s="269"/>
      <c r="EX1179" s="269"/>
      <c r="EY1179" s="269"/>
      <c r="EZ1179" s="269"/>
      <c r="FA1179" s="269"/>
      <c r="FB1179" s="269"/>
      <c r="FC1179" s="269"/>
    </row>
    <row r="1180" spans="3:159" hidden="1">
      <c r="C1180" s="263" t="s">
        <v>1032</v>
      </c>
      <c r="D1180" s="269"/>
      <c r="E1180" s="269"/>
      <c r="F1180" s="269"/>
      <c r="G1180" s="269"/>
      <c r="H1180" s="269"/>
      <c r="I1180" s="269"/>
      <c r="J1180" s="269"/>
      <c r="K1180" s="269"/>
      <c r="L1180" s="269"/>
      <c r="M1180" s="269"/>
      <c r="N1180" s="269"/>
      <c r="O1180" s="269"/>
      <c r="P1180" s="269"/>
      <c r="Q1180" s="269"/>
      <c r="R1180" s="269"/>
      <c r="S1180" s="269"/>
      <c r="T1180" s="269"/>
      <c r="U1180" s="377">
        <v>-117.30746557508488</v>
      </c>
      <c r="V1180" s="377">
        <v>-132</v>
      </c>
      <c r="W1180" s="269"/>
      <c r="X1180" s="269"/>
      <c r="Y1180" s="269"/>
      <c r="Z1180" s="269"/>
      <c r="AA1180" s="269"/>
      <c r="AB1180" s="269"/>
      <c r="AC1180" s="269"/>
      <c r="AD1180" s="269"/>
      <c r="AE1180" s="269"/>
      <c r="AF1180" s="269"/>
      <c r="AG1180" s="269"/>
      <c r="AO1180" s="338"/>
      <c r="AP1180" s="449"/>
      <c r="AR1180" s="449"/>
      <c r="AS1180" s="449"/>
      <c r="BA1180" s="269"/>
      <c r="BB1180" s="269"/>
      <c r="BC1180" s="269"/>
      <c r="BD1180" s="269"/>
      <c r="BE1180" s="269"/>
      <c r="BF1180" s="269"/>
      <c r="BG1180" s="269"/>
      <c r="BH1180" s="269"/>
      <c r="BI1180" s="269"/>
      <c r="BJ1180" s="269"/>
      <c r="BK1180" s="269"/>
      <c r="BL1180" s="269"/>
      <c r="BM1180" s="269"/>
      <c r="BN1180" s="269"/>
      <c r="BO1180" s="269"/>
      <c r="BP1180" s="269"/>
      <c r="BQ1180" s="269"/>
      <c r="BR1180" s="269"/>
      <c r="BS1180" s="269"/>
      <c r="BT1180" s="269"/>
      <c r="BU1180" s="269"/>
      <c r="BV1180" s="269"/>
      <c r="BW1180" s="269"/>
      <c r="BX1180" s="269"/>
      <c r="BY1180" s="269"/>
      <c r="BZ1180" s="269"/>
      <c r="CA1180" s="269"/>
      <c r="CB1180" s="269"/>
      <c r="CC1180" s="269"/>
      <c r="CD1180" s="269"/>
      <c r="CE1180" s="269"/>
      <c r="CF1180" s="269"/>
      <c r="CG1180" s="269"/>
      <c r="CH1180" s="269"/>
      <c r="CI1180" s="269"/>
      <c r="CJ1180" s="269"/>
      <c r="CK1180" s="269"/>
      <c r="CL1180" s="269"/>
      <c r="CM1180" s="269"/>
      <c r="CN1180" s="269"/>
      <c r="CO1180" s="302"/>
      <c r="CR1180" s="269"/>
      <c r="CS1180" s="269"/>
      <c r="CT1180" s="269"/>
      <c r="CU1180" s="269"/>
      <c r="CV1180" s="269"/>
      <c r="CW1180" s="269"/>
      <c r="CX1180" s="269"/>
      <c r="CY1180" s="269"/>
      <c r="CZ1180" s="269"/>
      <c r="DA1180" s="269"/>
      <c r="DB1180" s="269"/>
      <c r="DC1180" s="269"/>
      <c r="DD1180" s="269"/>
      <c r="DE1180" s="269"/>
      <c r="DF1180" s="269"/>
      <c r="DG1180" s="269"/>
      <c r="DH1180" s="269"/>
      <c r="DI1180" s="269"/>
      <c r="DJ1180" s="269"/>
      <c r="DK1180" s="269"/>
      <c r="DL1180" s="269"/>
      <c r="DM1180" s="269"/>
      <c r="DN1180" s="269"/>
      <c r="DO1180" s="269"/>
      <c r="DP1180" s="269"/>
      <c r="DQ1180" s="269"/>
      <c r="DR1180" s="269"/>
      <c r="DS1180" s="269"/>
      <c r="DT1180" s="269"/>
      <c r="DU1180" s="269"/>
      <c r="DV1180" s="269"/>
      <c r="DW1180" s="269"/>
      <c r="DX1180" s="269"/>
      <c r="DY1180" s="269"/>
      <c r="DZ1180" s="269"/>
      <c r="EA1180" s="269"/>
      <c r="EB1180" s="269"/>
      <c r="EC1180" s="269"/>
      <c r="ED1180" s="269"/>
      <c r="EE1180" s="269"/>
      <c r="EF1180" s="269"/>
      <c r="EG1180" s="269"/>
      <c r="EH1180" s="269"/>
      <c r="EI1180" s="269"/>
      <c r="EJ1180" s="269"/>
      <c r="EK1180" s="269"/>
      <c r="EL1180" s="269"/>
      <c r="EM1180" s="269"/>
      <c r="EN1180" s="269"/>
      <c r="EO1180" s="269"/>
      <c r="EP1180" s="269"/>
      <c r="EQ1180" s="269"/>
      <c r="ER1180" s="269"/>
      <c r="ES1180" s="269"/>
      <c r="ET1180" s="269"/>
      <c r="EU1180" s="269"/>
      <c r="EV1180" s="269"/>
      <c r="EW1180" s="269"/>
      <c r="EX1180" s="269"/>
      <c r="EY1180" s="269"/>
      <c r="EZ1180" s="269"/>
      <c r="FA1180" s="269"/>
      <c r="FB1180" s="269"/>
      <c r="FC1180" s="269"/>
    </row>
    <row r="1181" spans="3:159" hidden="1">
      <c r="C1181" s="263" t="s">
        <v>1304</v>
      </c>
      <c r="D1181" s="269"/>
      <c r="E1181" s="269"/>
      <c r="F1181" s="269"/>
      <c r="G1181" s="269"/>
      <c r="H1181" s="269"/>
      <c r="I1181" s="269"/>
      <c r="J1181" s="269"/>
      <c r="K1181" s="269"/>
      <c r="L1181" s="269"/>
      <c r="M1181" s="269"/>
      <c r="N1181" s="269"/>
      <c r="O1181" s="269"/>
      <c r="P1181" s="269"/>
      <c r="Q1181" s="269"/>
      <c r="R1181" s="269"/>
      <c r="S1181" s="269"/>
      <c r="T1181" s="269"/>
      <c r="U1181" s="406">
        <v>-5.2147984862081095E-2</v>
      </c>
      <c r="V1181" s="406">
        <v>-0.10248447204968944</v>
      </c>
      <c r="W1181" s="269"/>
      <c r="X1181" s="269"/>
      <c r="Y1181" s="269"/>
      <c r="Z1181" s="269"/>
      <c r="AA1181" s="269"/>
      <c r="AB1181" s="269"/>
      <c r="AC1181" s="269"/>
      <c r="AD1181" s="269"/>
      <c r="AE1181" s="269"/>
      <c r="AF1181" s="269"/>
      <c r="AG1181" s="269"/>
      <c r="AO1181" s="338"/>
      <c r="AP1181" s="449"/>
      <c r="AR1181" s="449"/>
      <c r="AS1181" s="449"/>
      <c r="BA1181" s="269"/>
      <c r="BB1181" s="269"/>
      <c r="BC1181" s="269"/>
      <c r="BD1181" s="269"/>
      <c r="BE1181" s="269"/>
      <c r="BF1181" s="269"/>
      <c r="BG1181" s="269"/>
      <c r="BH1181" s="269"/>
      <c r="BI1181" s="269"/>
      <c r="BJ1181" s="269"/>
      <c r="BK1181" s="269"/>
      <c r="BL1181" s="269"/>
      <c r="BM1181" s="269"/>
      <c r="BN1181" s="269"/>
      <c r="BO1181" s="269"/>
      <c r="BP1181" s="269"/>
      <c r="BQ1181" s="269"/>
      <c r="BR1181" s="269"/>
      <c r="BS1181" s="269"/>
      <c r="BT1181" s="269"/>
      <c r="BU1181" s="269"/>
      <c r="BV1181" s="269"/>
      <c r="BW1181" s="269"/>
      <c r="BX1181" s="269"/>
      <c r="BY1181" s="269"/>
      <c r="BZ1181" s="269"/>
      <c r="CA1181" s="269"/>
      <c r="CB1181" s="269"/>
      <c r="CC1181" s="269"/>
      <c r="CD1181" s="269"/>
      <c r="CE1181" s="269"/>
      <c r="CF1181" s="269"/>
      <c r="CG1181" s="269"/>
      <c r="CH1181" s="269"/>
      <c r="CI1181" s="269"/>
      <c r="CJ1181" s="269"/>
      <c r="CK1181" s="269"/>
      <c r="CL1181" s="269"/>
      <c r="CM1181" s="269"/>
      <c r="CN1181" s="269"/>
      <c r="CO1181" s="302"/>
      <c r="CR1181" s="269"/>
      <c r="CS1181" s="269"/>
      <c r="CT1181" s="269"/>
      <c r="CU1181" s="269"/>
      <c r="CV1181" s="269"/>
      <c r="CW1181" s="269"/>
      <c r="CX1181" s="269"/>
      <c r="CY1181" s="269"/>
      <c r="CZ1181" s="269"/>
      <c r="DA1181" s="269"/>
      <c r="DB1181" s="269"/>
      <c r="DC1181" s="269"/>
      <c r="DD1181" s="269"/>
      <c r="DE1181" s="269"/>
      <c r="DF1181" s="269"/>
      <c r="DG1181" s="269"/>
      <c r="DH1181" s="269"/>
      <c r="DI1181" s="269"/>
      <c r="DJ1181" s="269"/>
      <c r="DK1181" s="269"/>
      <c r="DL1181" s="269"/>
      <c r="DM1181" s="269"/>
      <c r="DN1181" s="269"/>
      <c r="DO1181" s="269"/>
      <c r="DP1181" s="269"/>
      <c r="DQ1181" s="269"/>
      <c r="DR1181" s="269"/>
      <c r="DS1181" s="269"/>
      <c r="DT1181" s="269"/>
      <c r="DU1181" s="269"/>
      <c r="DV1181" s="269"/>
      <c r="DW1181" s="269"/>
      <c r="DX1181" s="269"/>
      <c r="DY1181" s="269"/>
      <c r="DZ1181" s="269"/>
      <c r="EA1181" s="269"/>
      <c r="EB1181" s="269"/>
      <c r="EC1181" s="269"/>
      <c r="ED1181" s="269"/>
      <c r="EE1181" s="269"/>
      <c r="EF1181" s="269"/>
      <c r="EG1181" s="269"/>
      <c r="EH1181" s="269"/>
      <c r="EI1181" s="269"/>
      <c r="EJ1181" s="269"/>
      <c r="EK1181" s="269"/>
      <c r="EL1181" s="269"/>
      <c r="EM1181" s="269"/>
      <c r="EN1181" s="269"/>
      <c r="EO1181" s="269"/>
      <c r="EP1181" s="269"/>
      <c r="EQ1181" s="269"/>
      <c r="ER1181" s="269"/>
      <c r="ES1181" s="269"/>
      <c r="ET1181" s="269"/>
      <c r="EU1181" s="269"/>
      <c r="EV1181" s="269"/>
      <c r="EW1181" s="269"/>
      <c r="EX1181" s="269"/>
      <c r="EY1181" s="269"/>
      <c r="EZ1181" s="269"/>
      <c r="FA1181" s="269"/>
      <c r="FB1181" s="269"/>
      <c r="FC1181" s="269"/>
    </row>
    <row r="1182" spans="3:159" hidden="1">
      <c r="C1182" s="263"/>
      <c r="D1182" s="269"/>
      <c r="E1182" s="269"/>
      <c r="F1182" s="269"/>
      <c r="G1182" s="269"/>
      <c r="H1182" s="269"/>
      <c r="I1182" s="269"/>
      <c r="J1182" s="269"/>
      <c r="K1182" s="269"/>
      <c r="L1182" s="269"/>
      <c r="M1182" s="269"/>
      <c r="N1182" s="269"/>
      <c r="O1182" s="269"/>
      <c r="P1182" s="269"/>
      <c r="Q1182" s="269"/>
      <c r="R1182" s="269"/>
      <c r="S1182" s="269"/>
      <c r="T1182" s="269"/>
      <c r="U1182" s="269"/>
      <c r="V1182" s="269"/>
      <c r="W1182" s="269"/>
      <c r="X1182" s="269"/>
      <c r="Y1182" s="269"/>
      <c r="Z1182" s="269"/>
      <c r="AA1182" s="269"/>
      <c r="AB1182" s="269"/>
      <c r="AC1182" s="269"/>
      <c r="AD1182" s="269"/>
      <c r="AE1182" s="269"/>
      <c r="AF1182" s="269"/>
      <c r="AG1182" s="269"/>
      <c r="AO1182" s="338"/>
      <c r="AP1182" s="449"/>
      <c r="AR1182" s="449"/>
      <c r="AS1182" s="449"/>
      <c r="BA1182" s="269"/>
      <c r="BB1182" s="269"/>
      <c r="BC1182" s="269"/>
      <c r="BD1182" s="269"/>
      <c r="BE1182" s="269"/>
      <c r="BF1182" s="269"/>
      <c r="BG1182" s="269"/>
      <c r="BH1182" s="269"/>
      <c r="BI1182" s="269"/>
      <c r="BJ1182" s="269"/>
      <c r="BK1182" s="269"/>
      <c r="BL1182" s="269"/>
      <c r="BM1182" s="269"/>
      <c r="BN1182" s="269"/>
      <c r="BO1182" s="269"/>
      <c r="BP1182" s="269"/>
      <c r="BQ1182" s="269"/>
      <c r="BR1182" s="269"/>
      <c r="BS1182" s="269"/>
      <c r="BT1182" s="269"/>
      <c r="BU1182" s="269"/>
      <c r="BV1182" s="269"/>
      <c r="BW1182" s="269"/>
      <c r="BX1182" s="269"/>
      <c r="BY1182" s="269"/>
      <c r="BZ1182" s="269"/>
      <c r="CA1182" s="269"/>
      <c r="CB1182" s="269"/>
      <c r="CC1182" s="269"/>
      <c r="CD1182" s="269"/>
      <c r="CE1182" s="269"/>
      <c r="CF1182" s="269"/>
      <c r="CG1182" s="269"/>
      <c r="CH1182" s="269"/>
      <c r="CI1182" s="269"/>
      <c r="CJ1182" s="269"/>
      <c r="CK1182" s="269"/>
      <c r="CL1182" s="269"/>
      <c r="CM1182" s="269"/>
      <c r="CN1182" s="269"/>
      <c r="CO1182" s="302"/>
      <c r="CR1182" s="269"/>
      <c r="CS1182" s="269"/>
      <c r="CT1182" s="269"/>
      <c r="CU1182" s="269"/>
      <c r="CV1182" s="269"/>
      <c r="CW1182" s="269"/>
      <c r="CX1182" s="269"/>
      <c r="CY1182" s="269"/>
      <c r="CZ1182" s="269"/>
      <c r="DA1182" s="269"/>
      <c r="DB1182" s="269"/>
      <c r="DC1182" s="269"/>
      <c r="DD1182" s="269"/>
      <c r="DE1182" s="269"/>
      <c r="DF1182" s="269"/>
      <c r="DG1182" s="269"/>
      <c r="DH1182" s="269"/>
      <c r="DI1182" s="269"/>
      <c r="DJ1182" s="269"/>
      <c r="DK1182" s="269"/>
      <c r="DL1182" s="269"/>
      <c r="DM1182" s="269"/>
      <c r="DN1182" s="269"/>
      <c r="DO1182" s="269"/>
      <c r="DP1182" s="269"/>
      <c r="DQ1182" s="269"/>
      <c r="DR1182" s="269"/>
      <c r="DS1182" s="269"/>
      <c r="DT1182" s="269"/>
      <c r="DU1182" s="269"/>
      <c r="DV1182" s="269"/>
      <c r="DW1182" s="269"/>
      <c r="DX1182" s="269"/>
      <c r="DY1182" s="269"/>
      <c r="DZ1182" s="269"/>
      <c r="EA1182" s="269"/>
      <c r="EB1182" s="269"/>
      <c r="EC1182" s="269"/>
      <c r="ED1182" s="269"/>
      <c r="EE1182" s="269"/>
      <c r="EF1182" s="269"/>
      <c r="EG1182" s="269"/>
      <c r="EH1182" s="269"/>
      <c r="EI1182" s="269"/>
      <c r="EJ1182" s="269"/>
      <c r="EK1182" s="269"/>
      <c r="EL1182" s="269"/>
      <c r="EM1182" s="269"/>
      <c r="EN1182" s="269"/>
      <c r="EO1182" s="269"/>
      <c r="EP1182" s="269"/>
      <c r="EQ1182" s="269"/>
      <c r="ER1182" s="269"/>
      <c r="ES1182" s="269"/>
      <c r="ET1182" s="269"/>
      <c r="EU1182" s="269"/>
      <c r="EV1182" s="269"/>
      <c r="EW1182" s="269"/>
      <c r="EX1182" s="269"/>
      <c r="EY1182" s="269"/>
      <c r="EZ1182" s="269"/>
      <c r="FA1182" s="269"/>
      <c r="FB1182" s="269"/>
      <c r="FC1182" s="269"/>
    </row>
    <row r="1183" spans="3:159" hidden="1">
      <c r="C1183" s="263" t="s">
        <v>1147</v>
      </c>
      <c r="D1183" s="269"/>
      <c r="E1183" s="269"/>
      <c r="F1183" s="269"/>
      <c r="G1183" s="269"/>
      <c r="H1183" s="269"/>
      <c r="I1183" s="269"/>
      <c r="J1183" s="269"/>
      <c r="K1183" s="269"/>
      <c r="L1183" s="269"/>
      <c r="M1183" s="269"/>
      <c r="N1183" s="269"/>
      <c r="O1183" s="269"/>
      <c r="P1183" s="269"/>
      <c r="Q1183" s="269"/>
      <c r="R1183" s="272">
        <v>53.822210069731803</v>
      </c>
      <c r="S1183" s="272">
        <v>-195.04380876894115</v>
      </c>
      <c r="T1183" s="272">
        <v>326.56172401859749</v>
      </c>
      <c r="U1183" s="272">
        <v>1275.203374161511</v>
      </c>
      <c r="V1183" s="272">
        <v>0</v>
      </c>
      <c r="W1183" s="272">
        <v>11.69171604511028</v>
      </c>
      <c r="X1183" s="272">
        <v>8.466415067148823</v>
      </c>
      <c r="Y1183" s="272">
        <v>13.304366534091008</v>
      </c>
      <c r="Z1183" s="272">
        <v>13.304366534091008</v>
      </c>
      <c r="AA1183" s="272">
        <v>13.304366534091008</v>
      </c>
      <c r="AB1183" s="272">
        <v>13.304366534091008</v>
      </c>
      <c r="AC1183" s="272">
        <v>0</v>
      </c>
      <c r="AD1183" s="272">
        <v>0</v>
      </c>
      <c r="AE1183" s="272">
        <v>0</v>
      </c>
      <c r="AF1183" s="272">
        <v>0</v>
      </c>
      <c r="AG1183" s="272"/>
      <c r="AO1183" s="338"/>
      <c r="AP1183" s="449"/>
      <c r="AR1183" s="449"/>
      <c r="AS1183" s="449"/>
      <c r="BA1183" s="272"/>
      <c r="BB1183" s="272"/>
      <c r="BC1183" s="272"/>
      <c r="BD1183" s="272"/>
      <c r="BE1183" s="272"/>
      <c r="BF1183" s="272"/>
      <c r="BG1183" s="272"/>
      <c r="BH1183" s="272"/>
      <c r="BI1183" s="272"/>
      <c r="BJ1183" s="272"/>
      <c r="BK1183" s="272"/>
      <c r="BL1183" s="272"/>
      <c r="BM1183" s="272"/>
      <c r="BN1183" s="272"/>
      <c r="BO1183" s="272"/>
      <c r="BP1183" s="272"/>
      <c r="BQ1183" s="272"/>
      <c r="BR1183" s="272"/>
      <c r="BS1183" s="272"/>
      <c r="BT1183" s="272"/>
      <c r="BU1183" s="272"/>
      <c r="BV1183" s="272"/>
      <c r="BW1183" s="272"/>
      <c r="BX1183" s="272"/>
      <c r="BY1183" s="272"/>
      <c r="BZ1183" s="272"/>
      <c r="CA1183" s="272"/>
      <c r="CB1183" s="272"/>
      <c r="CC1183" s="272"/>
      <c r="CD1183" s="272"/>
      <c r="CE1183" s="272"/>
      <c r="CF1183" s="272"/>
      <c r="CG1183" s="272"/>
      <c r="CH1183" s="272"/>
      <c r="CI1183" s="272"/>
      <c r="CJ1183" s="272"/>
      <c r="CK1183" s="272"/>
      <c r="CL1183" s="272"/>
      <c r="CM1183" s="272"/>
      <c r="CN1183" s="272"/>
      <c r="CO1183" s="491"/>
      <c r="CR1183" s="272"/>
      <c r="CS1183" s="272"/>
      <c r="CT1183" s="272"/>
      <c r="CU1183" s="272"/>
      <c r="CV1183" s="272"/>
      <c r="CW1183" s="272"/>
      <c r="CX1183" s="272"/>
      <c r="CY1183" s="272"/>
      <c r="CZ1183" s="272"/>
      <c r="DA1183" s="272"/>
      <c r="DB1183" s="272"/>
      <c r="DC1183" s="272"/>
      <c r="DD1183" s="272"/>
      <c r="DE1183" s="272"/>
      <c r="DF1183" s="272"/>
      <c r="DG1183" s="272"/>
      <c r="DH1183" s="272"/>
      <c r="DI1183" s="272"/>
      <c r="DJ1183" s="272"/>
      <c r="DK1183" s="272"/>
      <c r="DL1183" s="272"/>
      <c r="DM1183" s="272"/>
      <c r="DN1183" s="272"/>
      <c r="DO1183" s="272"/>
      <c r="DP1183" s="272"/>
      <c r="DQ1183" s="272"/>
      <c r="DR1183" s="272"/>
      <c r="DS1183" s="272"/>
      <c r="DT1183" s="272"/>
      <c r="DU1183" s="272"/>
      <c r="DV1183" s="272"/>
      <c r="DW1183" s="272"/>
      <c r="DX1183" s="272"/>
      <c r="DY1183" s="272"/>
      <c r="DZ1183" s="272"/>
      <c r="EA1183" s="272"/>
      <c r="EB1183" s="272"/>
      <c r="EC1183" s="272"/>
      <c r="ED1183" s="272"/>
      <c r="EE1183" s="272"/>
      <c r="EF1183" s="272"/>
      <c r="EG1183" s="272"/>
      <c r="EH1183" s="272"/>
      <c r="EI1183" s="272"/>
      <c r="EJ1183" s="272"/>
      <c r="EK1183" s="272"/>
      <c r="EL1183" s="272"/>
      <c r="EM1183" s="272"/>
      <c r="EN1183" s="272"/>
      <c r="EO1183" s="272"/>
      <c r="EP1183" s="272"/>
      <c r="EQ1183" s="272"/>
      <c r="ER1183" s="272"/>
      <c r="ES1183" s="272"/>
      <c r="ET1183" s="272"/>
      <c r="EU1183" s="272"/>
      <c r="EV1183" s="272"/>
      <c r="EW1183" s="272"/>
      <c r="EX1183" s="272"/>
      <c r="EY1183" s="272"/>
      <c r="EZ1183" s="272"/>
      <c r="FA1183" s="272"/>
      <c r="FB1183" s="272"/>
      <c r="FC1183" s="272"/>
    </row>
    <row r="1184" spans="3:159" hidden="1">
      <c r="C1184" s="267" t="s">
        <v>1022</v>
      </c>
      <c r="D1184" s="269"/>
      <c r="E1184" s="269"/>
      <c r="F1184" s="269"/>
      <c r="G1184" s="269"/>
      <c r="H1184" s="269"/>
      <c r="I1184" s="269"/>
      <c r="J1184" s="269"/>
      <c r="K1184" s="269"/>
      <c r="L1184" s="269"/>
      <c r="M1184" s="269"/>
      <c r="N1184" s="269"/>
      <c r="O1184" s="269"/>
      <c r="P1184" s="269"/>
      <c r="Q1184" s="269"/>
      <c r="R1184" s="272">
        <v>37.675547048812263</v>
      </c>
      <c r="S1184" s="272">
        <v>-136.53066613825879</v>
      </c>
      <c r="T1184" s="272">
        <v>228.59320681301821</v>
      </c>
      <c r="U1184" s="272">
        <v>892.64236191305758</v>
      </c>
      <c r="V1184" s="272">
        <v>0</v>
      </c>
      <c r="W1184" s="272">
        <v>8.1842012315771946</v>
      </c>
      <c r="X1184" s="272">
        <v>5.9264905470041755</v>
      </c>
      <c r="Y1184" s="272">
        <v>9.3130565738637046</v>
      </c>
      <c r="Z1184" s="272">
        <v>9.3130565738637046</v>
      </c>
      <c r="AA1184" s="272">
        <v>9.3130565738637046</v>
      </c>
      <c r="AB1184" s="272">
        <v>9.3130565738637046</v>
      </c>
      <c r="AC1184" s="272">
        <v>0</v>
      </c>
      <c r="AD1184" s="272">
        <v>0</v>
      </c>
      <c r="AE1184" s="272">
        <v>0</v>
      </c>
      <c r="AF1184" s="272">
        <v>0</v>
      </c>
      <c r="AG1184" s="272"/>
      <c r="AO1184" s="338"/>
      <c r="AP1184" s="449"/>
      <c r="AR1184" s="449"/>
      <c r="AS1184" s="449"/>
      <c r="BA1184" s="272"/>
      <c r="BB1184" s="272"/>
      <c r="BC1184" s="272"/>
      <c r="BD1184" s="272"/>
      <c r="BE1184" s="272"/>
      <c r="BF1184" s="272"/>
      <c r="BG1184" s="272"/>
      <c r="BH1184" s="272"/>
      <c r="BI1184" s="272"/>
      <c r="BJ1184" s="272"/>
      <c r="BK1184" s="272"/>
      <c r="BL1184" s="272"/>
      <c r="BM1184" s="272"/>
      <c r="BN1184" s="272"/>
      <c r="BO1184" s="272"/>
      <c r="BP1184" s="272"/>
      <c r="BQ1184" s="272"/>
      <c r="BR1184" s="272"/>
      <c r="BS1184" s="272"/>
      <c r="BT1184" s="272"/>
      <c r="BU1184" s="272"/>
      <c r="BV1184" s="272"/>
      <c r="BW1184" s="272"/>
      <c r="BX1184" s="272"/>
      <c r="BY1184" s="272"/>
      <c r="BZ1184" s="272"/>
      <c r="CA1184" s="272"/>
      <c r="CB1184" s="272"/>
      <c r="CC1184" s="272"/>
      <c r="CD1184" s="272"/>
      <c r="CE1184" s="272"/>
      <c r="CF1184" s="272"/>
      <c r="CG1184" s="272"/>
      <c r="CH1184" s="272"/>
      <c r="CI1184" s="272"/>
      <c r="CJ1184" s="272"/>
      <c r="CK1184" s="272"/>
      <c r="CL1184" s="272"/>
      <c r="CM1184" s="272"/>
      <c r="CN1184" s="272"/>
      <c r="CO1184" s="491"/>
      <c r="CR1184" s="272"/>
      <c r="CS1184" s="272"/>
      <c r="CT1184" s="272"/>
      <c r="CU1184" s="272"/>
      <c r="CV1184" s="272"/>
      <c r="CW1184" s="272"/>
      <c r="CX1184" s="272"/>
      <c r="CY1184" s="272"/>
      <c r="CZ1184" s="272"/>
      <c r="DA1184" s="272"/>
      <c r="DB1184" s="272"/>
      <c r="DC1184" s="272"/>
      <c r="DD1184" s="272"/>
      <c r="DE1184" s="272"/>
      <c r="DF1184" s="272"/>
      <c r="DG1184" s="272"/>
      <c r="DH1184" s="272"/>
      <c r="DI1184" s="272"/>
      <c r="DJ1184" s="272"/>
      <c r="DK1184" s="272"/>
      <c r="DL1184" s="272"/>
      <c r="DM1184" s="272"/>
      <c r="DN1184" s="272"/>
      <c r="DO1184" s="272"/>
      <c r="DP1184" s="272"/>
      <c r="DQ1184" s="272"/>
      <c r="DR1184" s="272"/>
      <c r="DS1184" s="272"/>
      <c r="DT1184" s="272"/>
      <c r="DU1184" s="272"/>
      <c r="DV1184" s="272"/>
      <c r="DW1184" s="272"/>
      <c r="DX1184" s="272"/>
      <c r="DY1184" s="272"/>
      <c r="DZ1184" s="272"/>
      <c r="EA1184" s="272"/>
      <c r="EB1184" s="272"/>
      <c r="EC1184" s="272"/>
      <c r="ED1184" s="272"/>
      <c r="EE1184" s="272"/>
      <c r="EF1184" s="272"/>
      <c r="EG1184" s="272"/>
      <c r="EH1184" s="272"/>
      <c r="EI1184" s="272"/>
      <c r="EJ1184" s="272"/>
      <c r="EK1184" s="272"/>
      <c r="EL1184" s="272"/>
      <c r="EM1184" s="272"/>
      <c r="EN1184" s="272"/>
      <c r="EO1184" s="272"/>
      <c r="EP1184" s="272"/>
      <c r="EQ1184" s="272"/>
      <c r="ER1184" s="272"/>
      <c r="ES1184" s="272"/>
      <c r="ET1184" s="272"/>
      <c r="EU1184" s="272"/>
      <c r="EV1184" s="272"/>
      <c r="EW1184" s="272"/>
      <c r="EX1184" s="272"/>
      <c r="EY1184" s="272"/>
      <c r="EZ1184" s="272"/>
      <c r="FA1184" s="272"/>
      <c r="FB1184" s="272"/>
      <c r="FC1184" s="272"/>
    </row>
    <row r="1185" spans="3:159" hidden="1">
      <c r="C1185" s="267" t="s">
        <v>1023</v>
      </c>
      <c r="D1185" s="269"/>
      <c r="E1185" s="269"/>
      <c r="F1185" s="269"/>
      <c r="G1185" s="269"/>
      <c r="H1185" s="269"/>
      <c r="I1185" s="269"/>
      <c r="J1185" s="269"/>
      <c r="K1185" s="269"/>
      <c r="L1185" s="269"/>
      <c r="M1185" s="269"/>
      <c r="N1185" s="269"/>
      <c r="O1185" s="269"/>
      <c r="P1185" s="269"/>
      <c r="Q1185" s="269"/>
      <c r="R1185" s="272">
        <v>11.302664114643678</v>
      </c>
      <c r="S1185" s="272">
        <v>-40.959199841477634</v>
      </c>
      <c r="T1185" s="272">
        <v>68.577962043905458</v>
      </c>
      <c r="U1185" s="272">
        <v>267.79270857391725</v>
      </c>
      <c r="V1185" s="272">
        <v>0</v>
      </c>
      <c r="W1185" s="272">
        <v>2.4552603694731583</v>
      </c>
      <c r="X1185" s="272">
        <v>1.7779471641012525</v>
      </c>
      <c r="Y1185" s="272">
        <v>2.7939169721591113</v>
      </c>
      <c r="Z1185" s="272">
        <v>2.7939169721591113</v>
      </c>
      <c r="AA1185" s="272">
        <v>2.7939169721591113</v>
      </c>
      <c r="AB1185" s="272">
        <v>2.7939169721591113</v>
      </c>
      <c r="AC1185" s="272">
        <v>0</v>
      </c>
      <c r="AD1185" s="272">
        <v>0</v>
      </c>
      <c r="AE1185" s="272">
        <v>0</v>
      </c>
      <c r="AF1185" s="272">
        <v>0</v>
      </c>
      <c r="AG1185" s="272"/>
      <c r="AO1185" s="338"/>
      <c r="AP1185" s="449"/>
      <c r="AR1185" s="449"/>
      <c r="AS1185" s="449"/>
      <c r="BA1185" s="272"/>
      <c r="BB1185" s="272"/>
      <c r="BC1185" s="272"/>
      <c r="BD1185" s="272"/>
      <c r="BE1185" s="272"/>
      <c r="BF1185" s="272"/>
      <c r="BG1185" s="272"/>
      <c r="BH1185" s="272"/>
      <c r="BI1185" s="272"/>
      <c r="BJ1185" s="272"/>
      <c r="BK1185" s="272"/>
      <c r="BL1185" s="272"/>
      <c r="BM1185" s="272"/>
      <c r="BN1185" s="272"/>
      <c r="BO1185" s="272"/>
      <c r="BP1185" s="272"/>
      <c r="BQ1185" s="272"/>
      <c r="BR1185" s="272"/>
      <c r="BS1185" s="272"/>
      <c r="BT1185" s="272"/>
      <c r="BU1185" s="272"/>
      <c r="BV1185" s="272"/>
      <c r="BW1185" s="272"/>
      <c r="BX1185" s="272"/>
      <c r="BY1185" s="272"/>
      <c r="BZ1185" s="272"/>
      <c r="CA1185" s="272"/>
      <c r="CB1185" s="272"/>
      <c r="CC1185" s="272"/>
      <c r="CD1185" s="272"/>
      <c r="CE1185" s="272"/>
      <c r="CF1185" s="272"/>
      <c r="CG1185" s="272"/>
      <c r="CH1185" s="272"/>
      <c r="CI1185" s="272"/>
      <c r="CJ1185" s="272"/>
      <c r="CK1185" s="272"/>
      <c r="CL1185" s="272"/>
      <c r="CM1185" s="272"/>
      <c r="CN1185" s="272"/>
      <c r="CO1185" s="491"/>
      <c r="CR1185" s="272"/>
      <c r="CS1185" s="272"/>
      <c r="CT1185" s="272"/>
      <c r="CU1185" s="272"/>
      <c r="CV1185" s="272"/>
      <c r="CW1185" s="272"/>
      <c r="CX1185" s="272"/>
      <c r="CY1185" s="272"/>
      <c r="CZ1185" s="272"/>
      <c r="DA1185" s="272"/>
      <c r="DB1185" s="272"/>
      <c r="DC1185" s="272"/>
      <c r="DD1185" s="272"/>
      <c r="DE1185" s="272"/>
      <c r="DF1185" s="272"/>
      <c r="DG1185" s="272"/>
      <c r="DH1185" s="272"/>
      <c r="DI1185" s="272"/>
      <c r="DJ1185" s="272"/>
      <c r="DK1185" s="272"/>
      <c r="DL1185" s="272"/>
      <c r="DM1185" s="272"/>
      <c r="DN1185" s="272"/>
      <c r="DO1185" s="272"/>
      <c r="DP1185" s="272"/>
      <c r="DQ1185" s="272"/>
      <c r="DR1185" s="272"/>
      <c r="DS1185" s="272"/>
      <c r="DT1185" s="272"/>
      <c r="DU1185" s="272"/>
      <c r="DV1185" s="272"/>
      <c r="DW1185" s="272"/>
      <c r="DX1185" s="272"/>
      <c r="DY1185" s="272"/>
      <c r="DZ1185" s="272"/>
      <c r="EA1185" s="272"/>
      <c r="EB1185" s="272"/>
      <c r="EC1185" s="272"/>
      <c r="ED1185" s="272"/>
      <c r="EE1185" s="272"/>
      <c r="EF1185" s="272"/>
      <c r="EG1185" s="272"/>
      <c r="EH1185" s="272"/>
      <c r="EI1185" s="272"/>
      <c r="EJ1185" s="272"/>
      <c r="EK1185" s="272"/>
      <c r="EL1185" s="272"/>
      <c r="EM1185" s="272"/>
      <c r="EN1185" s="272"/>
      <c r="EO1185" s="272"/>
      <c r="EP1185" s="272"/>
      <c r="EQ1185" s="272"/>
      <c r="ER1185" s="272"/>
      <c r="ES1185" s="272"/>
      <c r="ET1185" s="272"/>
      <c r="EU1185" s="272"/>
      <c r="EV1185" s="272"/>
      <c r="EW1185" s="272"/>
      <c r="EX1185" s="272"/>
      <c r="EY1185" s="272"/>
      <c r="EZ1185" s="272"/>
      <c r="FA1185" s="272"/>
      <c r="FB1185" s="272"/>
      <c r="FC1185" s="272"/>
    </row>
    <row r="1186" spans="3:159" hidden="1">
      <c r="C1186" s="263" t="s">
        <v>1148</v>
      </c>
      <c r="D1186" s="269"/>
      <c r="E1186" s="269"/>
      <c r="F1186" s="269"/>
      <c r="G1186" s="269"/>
      <c r="H1186" s="269"/>
      <c r="I1186" s="269"/>
      <c r="J1186" s="269"/>
      <c r="K1186" s="269"/>
      <c r="L1186" s="269"/>
      <c r="M1186" s="269"/>
      <c r="N1186" s="269"/>
      <c r="O1186" s="269"/>
      <c r="P1186" s="269"/>
      <c r="Q1186" s="269"/>
      <c r="R1186" s="272">
        <v>53.822210069731803</v>
      </c>
      <c r="S1186" s="272">
        <v>-141.22159869920935</v>
      </c>
      <c r="T1186" s="272">
        <v>185.34012531938814</v>
      </c>
      <c r="U1186" s="272">
        <v>1460.5434994808991</v>
      </c>
      <c r="V1186" s="272">
        <v>1460.5434994808991</v>
      </c>
      <c r="W1186" s="272">
        <v>1472.2352155260094</v>
      </c>
      <c r="X1186" s="272">
        <v>1480.7016305931581</v>
      </c>
      <c r="Y1186" s="272">
        <v>1494.0059971272492</v>
      </c>
      <c r="Z1186" s="272">
        <v>1507.3103636613403</v>
      </c>
      <c r="AA1186" s="272">
        <v>1520.6147301954313</v>
      </c>
      <c r="AB1186" s="272">
        <v>1533.9190967295224</v>
      </c>
      <c r="AC1186" s="272">
        <v>1533.9190967295224</v>
      </c>
      <c r="AD1186" s="272">
        <v>1533.9190967295224</v>
      </c>
      <c r="AE1186" s="272">
        <v>1533.9190967295224</v>
      </c>
      <c r="AF1186" s="272">
        <v>1533.9190967295224</v>
      </c>
      <c r="AG1186" s="272"/>
      <c r="AO1186" s="338"/>
      <c r="AP1186" s="449"/>
      <c r="AR1186" s="449"/>
      <c r="AS1186" s="449"/>
      <c r="BA1186" s="272"/>
      <c r="BB1186" s="272"/>
      <c r="BC1186" s="272"/>
      <c r="BD1186" s="272"/>
      <c r="BE1186" s="272"/>
      <c r="BF1186" s="272"/>
      <c r="BG1186" s="272"/>
      <c r="BH1186" s="272"/>
      <c r="BI1186" s="272"/>
      <c r="BJ1186" s="272"/>
      <c r="BK1186" s="272"/>
      <c r="BL1186" s="272"/>
      <c r="BM1186" s="272"/>
      <c r="BN1186" s="272"/>
      <c r="BO1186" s="272"/>
      <c r="BP1186" s="272"/>
      <c r="BQ1186" s="272"/>
      <c r="BR1186" s="272"/>
      <c r="BS1186" s="272"/>
      <c r="BT1186" s="272"/>
      <c r="BU1186" s="272"/>
      <c r="BV1186" s="272"/>
      <c r="BW1186" s="272"/>
      <c r="BX1186" s="272"/>
      <c r="BY1186" s="272"/>
      <c r="BZ1186" s="272"/>
      <c r="CA1186" s="272"/>
      <c r="CB1186" s="272"/>
      <c r="CC1186" s="272"/>
      <c r="CD1186" s="272"/>
      <c r="CE1186" s="272"/>
      <c r="CF1186" s="272"/>
      <c r="CG1186" s="272"/>
      <c r="CH1186" s="272"/>
      <c r="CI1186" s="272"/>
      <c r="CJ1186" s="272"/>
      <c r="CK1186" s="272"/>
      <c r="CL1186" s="272"/>
      <c r="CM1186" s="272"/>
      <c r="CN1186" s="272"/>
      <c r="CO1186" s="491"/>
      <c r="CR1186" s="272"/>
      <c r="CS1186" s="272"/>
      <c r="CT1186" s="272"/>
      <c r="CU1186" s="272"/>
      <c r="CV1186" s="272"/>
      <c r="CW1186" s="272"/>
      <c r="CX1186" s="272"/>
      <c r="CY1186" s="272"/>
      <c r="CZ1186" s="272"/>
      <c r="DA1186" s="272"/>
      <c r="DB1186" s="272"/>
      <c r="DC1186" s="272"/>
      <c r="DD1186" s="272"/>
      <c r="DE1186" s="272"/>
      <c r="DF1186" s="272"/>
      <c r="DG1186" s="272"/>
      <c r="DH1186" s="272"/>
      <c r="DI1186" s="272"/>
      <c r="DJ1186" s="272"/>
      <c r="DK1186" s="272"/>
      <c r="DL1186" s="272"/>
      <c r="DM1186" s="272"/>
      <c r="DN1186" s="272"/>
      <c r="DO1186" s="272"/>
      <c r="DP1186" s="272"/>
      <c r="DQ1186" s="272"/>
      <c r="DR1186" s="272"/>
      <c r="DS1186" s="272"/>
      <c r="DT1186" s="272"/>
      <c r="DU1186" s="272"/>
      <c r="DV1186" s="272"/>
      <c r="DW1186" s="272"/>
      <c r="DX1186" s="272"/>
      <c r="DY1186" s="272"/>
      <c r="DZ1186" s="272"/>
      <c r="EA1186" s="272"/>
      <c r="EB1186" s="272"/>
      <c r="EC1186" s="272"/>
      <c r="ED1186" s="272"/>
      <c r="EE1186" s="272"/>
      <c r="EF1186" s="272"/>
      <c r="EG1186" s="272"/>
      <c r="EH1186" s="272"/>
      <c r="EI1186" s="272"/>
      <c r="EJ1186" s="272"/>
      <c r="EK1186" s="272"/>
      <c r="EL1186" s="272"/>
      <c r="EM1186" s="272"/>
      <c r="EN1186" s="272"/>
      <c r="EO1186" s="272"/>
      <c r="EP1186" s="272"/>
      <c r="EQ1186" s="272"/>
      <c r="ER1186" s="272"/>
      <c r="ES1186" s="272"/>
      <c r="ET1186" s="272"/>
      <c r="EU1186" s="272"/>
      <c r="EV1186" s="272"/>
      <c r="EW1186" s="272"/>
      <c r="EX1186" s="272"/>
      <c r="EY1186" s="272"/>
      <c r="EZ1186" s="272"/>
      <c r="FA1186" s="272"/>
      <c r="FB1186" s="272"/>
      <c r="FC1186" s="272"/>
    </row>
    <row r="1187" spans="3:159" hidden="1">
      <c r="C1187" s="263"/>
      <c r="D1187" s="269"/>
      <c r="E1187" s="269"/>
      <c r="F1187" s="269"/>
      <c r="G1187" s="269"/>
      <c r="H1187" s="269"/>
      <c r="I1187" s="269"/>
      <c r="J1187" s="269"/>
      <c r="K1187" s="269"/>
      <c r="L1187" s="269"/>
      <c r="M1187" s="269"/>
      <c r="N1187" s="269"/>
      <c r="O1187" s="269"/>
      <c r="P1187" s="269"/>
      <c r="Q1187" s="269"/>
      <c r="R1187" s="442"/>
      <c r="S1187" s="442"/>
      <c r="T1187" s="442"/>
      <c r="U1187" s="442"/>
      <c r="V1187" s="442"/>
      <c r="W1187" s="442"/>
      <c r="X1187" s="442"/>
      <c r="Y1187" s="442"/>
      <c r="Z1187" s="442"/>
      <c r="AA1187" s="442"/>
      <c r="AB1187" s="442"/>
      <c r="AC1187" s="442"/>
      <c r="AD1187" s="442"/>
      <c r="AE1187" s="442"/>
      <c r="AF1187" s="442"/>
      <c r="AG1187" s="442"/>
      <c r="AO1187" s="338"/>
      <c r="AP1187" s="449"/>
      <c r="AR1187" s="449"/>
      <c r="AS1187" s="449"/>
      <c r="BA1187" s="442"/>
      <c r="BB1187" s="442"/>
      <c r="BC1187" s="442"/>
      <c r="BD1187" s="442"/>
      <c r="BE1187" s="442"/>
      <c r="BF1187" s="442"/>
      <c r="BG1187" s="442"/>
      <c r="BH1187" s="442"/>
      <c r="BI1187" s="442"/>
      <c r="BJ1187" s="442"/>
      <c r="BK1187" s="442"/>
      <c r="BL1187" s="442"/>
      <c r="BM1187" s="442"/>
      <c r="BN1187" s="442"/>
      <c r="BO1187" s="442"/>
      <c r="BP1187" s="442"/>
      <c r="BQ1187" s="442"/>
      <c r="BR1187" s="442"/>
      <c r="BS1187" s="442"/>
      <c r="BT1187" s="442"/>
      <c r="BU1187" s="442"/>
      <c r="BV1187" s="442"/>
      <c r="BW1187" s="442"/>
      <c r="BX1187" s="442"/>
      <c r="BY1187" s="442"/>
      <c r="BZ1187" s="442"/>
      <c r="CA1187" s="442"/>
      <c r="CB1187" s="442"/>
      <c r="CC1187" s="442"/>
      <c r="CD1187" s="442"/>
      <c r="CE1187" s="442"/>
      <c r="CF1187" s="442"/>
      <c r="CG1187" s="442"/>
      <c r="CH1187" s="442"/>
      <c r="CI1187" s="442"/>
      <c r="CJ1187" s="442"/>
      <c r="CK1187" s="442"/>
      <c r="CL1187" s="442"/>
      <c r="CM1187" s="442"/>
      <c r="CN1187" s="442"/>
      <c r="CO1187" s="492"/>
      <c r="CR1187" s="442"/>
      <c r="CS1187" s="442"/>
      <c r="CT1187" s="442"/>
      <c r="CU1187" s="442"/>
      <c r="CV1187" s="442"/>
      <c r="CW1187" s="442"/>
      <c r="CX1187" s="442"/>
      <c r="CY1187" s="442"/>
      <c r="CZ1187" s="442"/>
      <c r="DA1187" s="442"/>
      <c r="DB1187" s="442"/>
      <c r="DC1187" s="442"/>
      <c r="DD1187" s="442"/>
      <c r="DE1187" s="442"/>
      <c r="DF1187" s="442"/>
      <c r="DG1187" s="442"/>
      <c r="DH1187" s="442"/>
      <c r="DI1187" s="442"/>
      <c r="DJ1187" s="442"/>
      <c r="DK1187" s="442"/>
      <c r="DL1187" s="442"/>
      <c r="DM1187" s="442"/>
      <c r="DN1187" s="442"/>
      <c r="DO1187" s="442"/>
      <c r="DP1187" s="442"/>
      <c r="DQ1187" s="442"/>
      <c r="DR1187" s="442"/>
      <c r="DS1187" s="442"/>
      <c r="DT1187" s="442"/>
      <c r="DU1187" s="442"/>
      <c r="DV1187" s="442"/>
      <c r="DW1187" s="442"/>
      <c r="DX1187" s="442"/>
      <c r="DY1187" s="442"/>
      <c r="DZ1187" s="442"/>
      <c r="EA1187" s="442"/>
      <c r="EB1187" s="442"/>
      <c r="EC1187" s="442"/>
      <c r="ED1187" s="442"/>
      <c r="EE1187" s="442"/>
      <c r="EF1187" s="442"/>
      <c r="EG1187" s="442"/>
      <c r="EH1187" s="442"/>
      <c r="EI1187" s="442"/>
      <c r="EJ1187" s="442"/>
      <c r="EK1187" s="442"/>
      <c r="EL1187" s="442"/>
      <c r="EM1187" s="442"/>
      <c r="EN1187" s="442"/>
      <c r="EO1187" s="442"/>
      <c r="EP1187" s="442"/>
      <c r="EQ1187" s="442"/>
      <c r="ER1187" s="442"/>
      <c r="ES1187" s="442"/>
      <c r="ET1187" s="442"/>
      <c r="EU1187" s="442"/>
      <c r="EV1187" s="442"/>
      <c r="EW1187" s="442"/>
      <c r="EX1187" s="442"/>
      <c r="EY1187" s="442"/>
      <c r="EZ1187" s="442"/>
      <c r="FA1187" s="442"/>
      <c r="FB1187" s="442"/>
      <c r="FC1187" s="442"/>
    </row>
    <row r="1188" spans="3:159" hidden="1">
      <c r="C1188" s="263" t="s">
        <v>1042</v>
      </c>
      <c r="D1188" s="269"/>
      <c r="E1188" s="269"/>
      <c r="F1188" s="269"/>
      <c r="G1188" s="269"/>
      <c r="H1188" s="269"/>
      <c r="I1188" s="269"/>
      <c r="J1188" s="269"/>
      <c r="K1188" s="269"/>
      <c r="L1188" s="269"/>
      <c r="M1188" s="269"/>
      <c r="N1188" s="269"/>
      <c r="O1188" s="269"/>
      <c r="P1188" s="269"/>
      <c r="Q1188" s="269"/>
      <c r="R1188" s="269"/>
      <c r="S1188" s="269"/>
      <c r="T1188" s="269"/>
      <c r="U1188" s="269"/>
      <c r="V1188" s="269"/>
      <c r="W1188" s="269"/>
      <c r="X1188" s="269"/>
      <c r="Y1188" s="269"/>
      <c r="Z1188" s="269"/>
      <c r="AA1188" s="269"/>
      <c r="AB1188" s="269"/>
      <c r="AC1188" s="269"/>
      <c r="AD1188" s="269"/>
      <c r="AE1188" s="269"/>
      <c r="AF1188" s="269"/>
      <c r="AG1188" s="269"/>
      <c r="AO1188" s="338"/>
      <c r="AP1188" s="449"/>
      <c r="AR1188" s="449"/>
      <c r="AS1188" s="449"/>
      <c r="BA1188" s="269"/>
      <c r="BB1188" s="269"/>
      <c r="BC1188" s="269"/>
      <c r="BD1188" s="269"/>
      <c r="BE1188" s="269"/>
      <c r="BF1188" s="269"/>
      <c r="BG1188" s="269"/>
      <c r="BH1188" s="269"/>
      <c r="BI1188" s="269"/>
      <c r="BJ1188" s="269"/>
      <c r="BK1188" s="269"/>
      <c r="BL1188" s="269"/>
      <c r="BM1188" s="269"/>
      <c r="BN1188" s="269"/>
      <c r="BO1188" s="269"/>
      <c r="BP1188" s="269"/>
      <c r="BQ1188" s="269"/>
      <c r="BR1188" s="269"/>
      <c r="BS1188" s="269"/>
      <c r="BT1188" s="269"/>
      <c r="BU1188" s="269"/>
      <c r="BV1188" s="269"/>
      <c r="BW1188" s="269"/>
      <c r="BX1188" s="269"/>
      <c r="BY1188" s="269"/>
      <c r="BZ1188" s="269"/>
      <c r="CA1188" s="269"/>
      <c r="CB1188" s="269"/>
      <c r="CC1188" s="269"/>
      <c r="CD1188" s="269"/>
      <c r="CE1188" s="269"/>
      <c r="CF1188" s="269"/>
      <c r="CG1188" s="269"/>
      <c r="CH1188" s="269"/>
      <c r="CI1188" s="269"/>
      <c r="CJ1188" s="269"/>
      <c r="CK1188" s="269"/>
      <c r="CL1188" s="269"/>
      <c r="CM1188" s="269"/>
      <c r="CN1188" s="269"/>
      <c r="CO1188" s="302"/>
      <c r="CR1188" s="269"/>
      <c r="CS1188" s="269"/>
      <c r="CT1188" s="269"/>
      <c r="CU1188" s="269"/>
      <c r="CV1188" s="269"/>
      <c r="CW1188" s="269"/>
      <c r="CX1188" s="269"/>
      <c r="CY1188" s="269"/>
      <c r="CZ1188" s="269"/>
      <c r="DA1188" s="269"/>
      <c r="DB1188" s="269"/>
      <c r="DC1188" s="269"/>
      <c r="DD1188" s="269"/>
      <c r="DE1188" s="269"/>
      <c r="DF1188" s="269"/>
      <c r="DG1188" s="269"/>
      <c r="DH1188" s="269"/>
      <c r="DI1188" s="269"/>
      <c r="DJ1188" s="269"/>
      <c r="DK1188" s="269"/>
      <c r="DL1188" s="269"/>
      <c r="DM1188" s="269"/>
      <c r="DN1188" s="269"/>
      <c r="DO1188" s="269"/>
      <c r="DP1188" s="269"/>
      <c r="DQ1188" s="269"/>
      <c r="DR1188" s="269"/>
      <c r="DS1188" s="269"/>
      <c r="DT1188" s="269"/>
      <c r="DU1188" s="269"/>
      <c r="DV1188" s="269"/>
      <c r="DW1188" s="269"/>
      <c r="DX1188" s="269"/>
      <c r="DY1188" s="269"/>
      <c r="DZ1188" s="269"/>
      <c r="EA1188" s="269"/>
      <c r="EB1188" s="269"/>
      <c r="EC1188" s="269"/>
      <c r="ED1188" s="269"/>
      <c r="EE1188" s="269"/>
      <c r="EF1188" s="269"/>
      <c r="EG1188" s="269"/>
      <c r="EH1188" s="269"/>
      <c r="EI1188" s="269"/>
      <c r="EJ1188" s="269"/>
      <c r="EK1188" s="269"/>
      <c r="EL1188" s="269"/>
      <c r="EM1188" s="269"/>
      <c r="EN1188" s="269"/>
      <c r="EO1188" s="269"/>
      <c r="EP1188" s="269"/>
      <c r="EQ1188" s="269"/>
      <c r="ER1188" s="269"/>
      <c r="ES1188" s="269"/>
      <c r="ET1188" s="269"/>
      <c r="EU1188" s="269"/>
      <c r="EV1188" s="269"/>
      <c r="EW1188" s="269"/>
      <c r="EX1188" s="269"/>
      <c r="EY1188" s="269"/>
      <c r="EZ1188" s="269"/>
      <c r="FA1188" s="269"/>
      <c r="FB1188" s="269"/>
      <c r="FC1188" s="269"/>
    </row>
    <row r="1189" spans="3:159" hidden="1">
      <c r="C1189" s="263" t="s">
        <v>980</v>
      </c>
      <c r="D1189" s="269"/>
      <c r="E1189" s="269"/>
      <c r="F1189" s="269"/>
      <c r="G1189" s="269"/>
      <c r="H1189" s="269"/>
      <c r="I1189" s="269"/>
      <c r="J1189" s="269"/>
      <c r="K1189" s="269"/>
      <c r="L1189" s="269"/>
      <c r="M1189" s="443" t="s">
        <v>1040</v>
      </c>
      <c r="N1189" s="269"/>
      <c r="O1189" s="269"/>
      <c r="P1189" s="269"/>
      <c r="Q1189" s="269"/>
      <c r="R1189" s="269"/>
      <c r="S1189" s="269"/>
      <c r="T1189" s="269"/>
      <c r="U1189" s="269"/>
      <c r="V1189" s="269"/>
      <c r="W1189" s="269"/>
      <c r="X1189" s="269"/>
      <c r="Y1189" s="269"/>
      <c r="Z1189" s="269"/>
      <c r="AA1189" s="269"/>
      <c r="AB1189" s="269"/>
      <c r="AC1189" s="269"/>
      <c r="AD1189" s="269"/>
      <c r="AE1189" s="269"/>
      <c r="AF1189" s="269"/>
      <c r="AG1189" s="269"/>
      <c r="AO1189" s="338"/>
      <c r="AP1189" s="449"/>
      <c r="AR1189" s="449"/>
      <c r="AS1189" s="449"/>
      <c r="BA1189" s="269"/>
      <c r="BB1189" s="269"/>
      <c r="BC1189" s="269"/>
      <c r="BD1189" s="269"/>
      <c r="BE1189" s="269"/>
      <c r="BF1189" s="269"/>
      <c r="BG1189" s="269"/>
      <c r="BH1189" s="269"/>
      <c r="BI1189" s="269"/>
      <c r="BJ1189" s="269"/>
      <c r="BK1189" s="269"/>
      <c r="BL1189" s="269"/>
      <c r="BM1189" s="269"/>
      <c r="BN1189" s="269"/>
      <c r="BO1189" s="269"/>
      <c r="BP1189" s="269"/>
      <c r="BQ1189" s="269"/>
      <c r="BR1189" s="269"/>
      <c r="BS1189" s="269"/>
      <c r="BT1189" s="269"/>
      <c r="BU1189" s="269"/>
      <c r="BV1189" s="269"/>
      <c r="BW1189" s="269"/>
      <c r="BX1189" s="269"/>
      <c r="BY1189" s="269"/>
      <c r="BZ1189" s="269"/>
      <c r="CA1189" s="269"/>
      <c r="CB1189" s="269"/>
      <c r="CC1189" s="269"/>
      <c r="CD1189" s="269"/>
      <c r="CE1189" s="269"/>
      <c r="CF1189" s="269"/>
      <c r="CG1189" s="269"/>
      <c r="CH1189" s="269"/>
      <c r="CI1189" s="269"/>
      <c r="CJ1189" s="269"/>
      <c r="CK1189" s="269"/>
      <c r="CL1189" s="269"/>
      <c r="CM1189" s="269"/>
      <c r="CN1189" s="269"/>
      <c r="CO1189" s="302"/>
      <c r="CR1189" s="269"/>
      <c r="CS1189" s="269"/>
      <c r="CT1189" s="269"/>
      <c r="CU1189" s="269"/>
      <c r="CV1189" s="269"/>
      <c r="CW1189" s="269"/>
      <c r="CX1189" s="269"/>
      <c r="CY1189" s="269"/>
      <c r="CZ1189" s="269"/>
      <c r="DA1189" s="269"/>
      <c r="DB1189" s="269"/>
      <c r="DC1189" s="269"/>
      <c r="DD1189" s="269"/>
      <c r="DE1189" s="269"/>
      <c r="DF1189" s="269"/>
      <c r="DG1189" s="269"/>
      <c r="DH1189" s="269"/>
      <c r="DI1189" s="269"/>
      <c r="DJ1189" s="269"/>
      <c r="DK1189" s="269"/>
      <c r="DL1189" s="269"/>
      <c r="DM1189" s="269"/>
      <c r="DN1189" s="269"/>
      <c r="DO1189" s="269"/>
      <c r="DP1189" s="269"/>
      <c r="DQ1189" s="269"/>
      <c r="DR1189" s="269"/>
      <c r="DS1189" s="269"/>
      <c r="DT1189" s="269"/>
      <c r="DU1189" s="269"/>
      <c r="DV1189" s="269"/>
      <c r="DW1189" s="269"/>
      <c r="DX1189" s="269"/>
      <c r="DY1189" s="269"/>
      <c r="DZ1189" s="269"/>
      <c r="EA1189" s="269"/>
      <c r="EB1189" s="269"/>
      <c r="EC1189" s="269"/>
      <c r="ED1189" s="269"/>
      <c r="EE1189" s="269"/>
      <c r="EF1189" s="269"/>
      <c r="EG1189" s="269"/>
      <c r="EH1189" s="269"/>
      <c r="EI1189" s="269"/>
      <c r="EJ1189" s="269"/>
      <c r="EK1189" s="269"/>
      <c r="EL1189" s="269"/>
      <c r="EM1189" s="269"/>
      <c r="EN1189" s="269"/>
      <c r="EO1189" s="269"/>
      <c r="EP1189" s="269"/>
      <c r="EQ1189" s="269"/>
      <c r="ER1189" s="269"/>
      <c r="ES1189" s="269"/>
      <c r="ET1189" s="269"/>
      <c r="EU1189" s="269"/>
      <c r="EV1189" s="269"/>
      <c r="EW1189" s="269"/>
      <c r="EX1189" s="269"/>
      <c r="EY1189" s="269"/>
      <c r="EZ1189" s="269"/>
      <c r="FA1189" s="269"/>
      <c r="FB1189" s="269"/>
      <c r="FC1189" s="269"/>
    </row>
    <row r="1190" spans="3:159" hidden="1">
      <c r="C1190" s="263" t="s">
        <v>995</v>
      </c>
      <c r="D1190" s="269"/>
      <c r="E1190" s="269"/>
      <c r="F1190" s="269"/>
      <c r="G1190" s="269"/>
      <c r="H1190" s="269"/>
      <c r="I1190" s="269"/>
      <c r="J1190" s="269"/>
      <c r="K1190" s="269"/>
      <c r="L1190" s="269"/>
      <c r="M1190" s="443">
        <v>6</v>
      </c>
      <c r="N1190" s="269"/>
      <c r="O1190" s="269"/>
      <c r="P1190" s="269"/>
      <c r="Q1190" s="269"/>
      <c r="R1190" s="269"/>
      <c r="S1190" s="269"/>
      <c r="T1190" s="269"/>
      <c r="U1190" s="269"/>
      <c r="V1190" s="269"/>
      <c r="W1190" s="269"/>
      <c r="X1190" s="269"/>
      <c r="Y1190" s="269"/>
      <c r="Z1190" s="269"/>
      <c r="AA1190" s="269"/>
      <c r="AB1190" s="269"/>
      <c r="AC1190" s="269"/>
      <c r="AD1190" s="269"/>
      <c r="AE1190" s="269"/>
      <c r="AF1190" s="269"/>
      <c r="AG1190" s="269"/>
      <c r="AO1190" s="338"/>
      <c r="AP1190" s="449"/>
      <c r="AR1190" s="449"/>
      <c r="AS1190" s="449"/>
      <c r="BA1190" s="269"/>
      <c r="BB1190" s="269"/>
      <c r="BC1190" s="269"/>
      <c r="BD1190" s="269"/>
      <c r="BE1190" s="269"/>
      <c r="BF1190" s="269"/>
      <c r="BG1190" s="269"/>
      <c r="BH1190" s="269"/>
      <c r="BI1190" s="269"/>
      <c r="BJ1190" s="269"/>
      <c r="BK1190" s="269"/>
      <c r="BL1190" s="269"/>
      <c r="BM1190" s="269"/>
      <c r="BN1190" s="269"/>
      <c r="BO1190" s="269"/>
      <c r="BP1190" s="269"/>
      <c r="BQ1190" s="269"/>
      <c r="BR1190" s="269"/>
      <c r="BS1190" s="269"/>
      <c r="BT1190" s="269"/>
      <c r="BU1190" s="269"/>
      <c r="BV1190" s="269"/>
      <c r="BW1190" s="269"/>
      <c r="BX1190" s="269"/>
      <c r="BY1190" s="269"/>
      <c r="BZ1190" s="269"/>
      <c r="CA1190" s="269"/>
      <c r="CB1190" s="269"/>
      <c r="CC1190" s="269"/>
      <c r="CD1190" s="269"/>
      <c r="CE1190" s="269"/>
      <c r="CF1190" s="269"/>
      <c r="CG1190" s="269"/>
      <c r="CH1190" s="269"/>
      <c r="CI1190" s="269"/>
      <c r="CJ1190" s="269"/>
      <c r="CK1190" s="269"/>
      <c r="CL1190" s="269"/>
      <c r="CM1190" s="269"/>
      <c r="CN1190" s="269"/>
      <c r="CO1190" s="302"/>
      <c r="CR1190" s="269"/>
      <c r="CS1190" s="269"/>
      <c r="CT1190" s="269"/>
      <c r="CU1190" s="269"/>
      <c r="CV1190" s="269"/>
      <c r="CW1190" s="269"/>
      <c r="CX1190" s="269"/>
      <c r="CY1190" s="269"/>
      <c r="CZ1190" s="269"/>
      <c r="DA1190" s="269"/>
      <c r="DB1190" s="269"/>
      <c r="DC1190" s="269"/>
      <c r="DD1190" s="269"/>
      <c r="DE1190" s="269"/>
      <c r="DF1190" s="269"/>
      <c r="DG1190" s="269"/>
      <c r="DH1190" s="269"/>
      <c r="DI1190" s="269"/>
      <c r="DJ1190" s="269"/>
      <c r="DK1190" s="269"/>
      <c r="DL1190" s="269"/>
      <c r="DM1190" s="269"/>
      <c r="DN1190" s="269"/>
      <c r="DO1190" s="269"/>
      <c r="DP1190" s="269"/>
      <c r="DQ1190" s="269"/>
      <c r="DR1190" s="269"/>
      <c r="DS1190" s="269"/>
      <c r="DT1190" s="269"/>
      <c r="DU1190" s="269"/>
      <c r="DV1190" s="269"/>
      <c r="DW1190" s="269"/>
      <c r="DX1190" s="269"/>
      <c r="DY1190" s="269"/>
      <c r="DZ1190" s="269"/>
      <c r="EA1190" s="269"/>
      <c r="EB1190" s="269"/>
      <c r="EC1190" s="269"/>
      <c r="ED1190" s="269"/>
      <c r="EE1190" s="269"/>
      <c r="EF1190" s="269"/>
      <c r="EG1190" s="269"/>
      <c r="EH1190" s="269"/>
      <c r="EI1190" s="269"/>
      <c r="EJ1190" s="269"/>
      <c r="EK1190" s="269"/>
      <c r="EL1190" s="269"/>
      <c r="EM1190" s="269"/>
      <c r="EN1190" s="269"/>
      <c r="EO1190" s="269"/>
      <c r="EP1190" s="269"/>
      <c r="EQ1190" s="269"/>
      <c r="ER1190" s="269"/>
      <c r="ES1190" s="269"/>
      <c r="ET1190" s="269"/>
      <c r="EU1190" s="269"/>
      <c r="EV1190" s="269"/>
      <c r="EW1190" s="269"/>
      <c r="EX1190" s="269"/>
      <c r="EY1190" s="269"/>
      <c r="EZ1190" s="269"/>
      <c r="FA1190" s="269"/>
      <c r="FB1190" s="269"/>
      <c r="FC1190" s="269"/>
    </row>
    <row r="1191" spans="3:159" hidden="1">
      <c r="C1191" s="444" t="s">
        <v>1039</v>
      </c>
      <c r="D1191" s="269"/>
      <c r="E1191" s="269"/>
      <c r="F1191" s="269"/>
      <c r="G1191" s="269"/>
      <c r="H1191" s="269"/>
      <c r="I1191" s="269"/>
      <c r="J1191" s="269"/>
      <c r="K1191" s="269"/>
      <c r="L1191" s="269"/>
      <c r="M1191" s="445" t="s">
        <v>1041</v>
      </c>
      <c r="N1191" s="269"/>
      <c r="O1191" s="269"/>
      <c r="P1191" s="269"/>
      <c r="Q1191" s="269"/>
      <c r="R1191" s="269"/>
      <c r="S1191" s="269"/>
      <c r="T1191" s="269"/>
      <c r="U1191" s="269"/>
      <c r="V1191" s="269"/>
      <c r="W1191" s="269"/>
      <c r="X1191" s="269"/>
      <c r="Y1191" s="269"/>
      <c r="Z1191" s="269"/>
      <c r="AA1191" s="269"/>
      <c r="AB1191" s="269"/>
      <c r="AC1191" s="269"/>
      <c r="AD1191" s="269"/>
      <c r="AE1191" s="269"/>
      <c r="AF1191" s="269"/>
      <c r="AG1191" s="269"/>
      <c r="AO1191" s="338"/>
      <c r="AP1191" s="449"/>
      <c r="AR1191" s="449"/>
      <c r="AS1191" s="449"/>
      <c r="BA1191" s="269"/>
      <c r="BB1191" s="269"/>
      <c r="BC1191" s="269"/>
      <c r="BD1191" s="269"/>
      <c r="BE1191" s="269"/>
      <c r="BF1191" s="269"/>
      <c r="BG1191" s="269"/>
      <c r="BH1191" s="269"/>
      <c r="BI1191" s="269"/>
      <c r="BJ1191" s="269"/>
      <c r="BK1191" s="269"/>
      <c r="BL1191" s="269"/>
      <c r="BM1191" s="269"/>
      <c r="BN1191" s="269"/>
      <c r="BO1191" s="269"/>
      <c r="BP1191" s="269"/>
      <c r="BQ1191" s="269"/>
      <c r="BR1191" s="269"/>
      <c r="BS1191" s="269"/>
      <c r="BT1191" s="269"/>
      <c r="BU1191" s="269"/>
      <c r="BV1191" s="269"/>
      <c r="BW1191" s="269"/>
      <c r="BX1191" s="269"/>
      <c r="BY1191" s="269"/>
      <c r="BZ1191" s="269"/>
      <c r="CA1191" s="269"/>
      <c r="CB1191" s="269"/>
      <c r="CC1191" s="269"/>
      <c r="CD1191" s="269"/>
      <c r="CE1191" s="269"/>
      <c r="CF1191" s="269"/>
      <c r="CG1191" s="269"/>
      <c r="CH1191" s="269"/>
      <c r="CI1191" s="269"/>
      <c r="CJ1191" s="269"/>
      <c r="CK1191" s="269"/>
      <c r="CL1191" s="269"/>
      <c r="CM1191" s="269"/>
      <c r="CN1191" s="269"/>
      <c r="CO1191" s="302"/>
      <c r="CR1191" s="269"/>
      <c r="CS1191" s="269"/>
      <c r="CT1191" s="269"/>
      <c r="CU1191" s="269"/>
      <c r="CV1191" s="269"/>
      <c r="CW1191" s="269"/>
      <c r="CX1191" s="269"/>
      <c r="CY1191" s="269"/>
      <c r="CZ1191" s="269"/>
      <c r="DA1191" s="269"/>
      <c r="DB1191" s="269"/>
      <c r="DC1191" s="269"/>
      <c r="DD1191" s="269"/>
      <c r="DE1191" s="269"/>
      <c r="DF1191" s="269"/>
      <c r="DG1191" s="269"/>
      <c r="DH1191" s="269"/>
      <c r="DI1191" s="269"/>
      <c r="DJ1191" s="269"/>
      <c r="DK1191" s="269"/>
      <c r="DL1191" s="269"/>
      <c r="DM1191" s="269"/>
      <c r="DN1191" s="269"/>
      <c r="DO1191" s="269"/>
      <c r="DP1191" s="269"/>
      <c r="DQ1191" s="269"/>
      <c r="DR1191" s="269"/>
      <c r="DS1191" s="269"/>
      <c r="DT1191" s="269"/>
      <c r="DU1191" s="269"/>
      <c r="DV1191" s="269"/>
      <c r="DW1191" s="269"/>
      <c r="DX1191" s="269"/>
      <c r="DY1191" s="269"/>
      <c r="DZ1191" s="269"/>
      <c r="EA1191" s="269"/>
      <c r="EB1191" s="269"/>
      <c r="EC1191" s="269"/>
      <c r="ED1191" s="269"/>
      <c r="EE1191" s="269"/>
      <c r="EF1191" s="269"/>
      <c r="EG1191" s="269"/>
      <c r="EH1191" s="269"/>
      <c r="EI1191" s="269"/>
      <c r="EJ1191" s="269"/>
      <c r="EK1191" s="269"/>
      <c r="EL1191" s="269"/>
      <c r="EM1191" s="269"/>
      <c r="EN1191" s="269"/>
      <c r="EO1191" s="269"/>
      <c r="EP1191" s="269"/>
      <c r="EQ1191" s="269"/>
      <c r="ER1191" s="269"/>
      <c r="ES1191" s="269"/>
      <c r="ET1191" s="269"/>
      <c r="EU1191" s="269"/>
      <c r="EV1191" s="269"/>
      <c r="EW1191" s="269"/>
      <c r="EX1191" s="269"/>
      <c r="EY1191" s="269"/>
      <c r="EZ1191" s="269"/>
      <c r="FA1191" s="269"/>
      <c r="FB1191" s="269"/>
      <c r="FC1191" s="269"/>
    </row>
    <row r="1192" spans="3:159" hidden="1">
      <c r="C1192" s="263" t="s">
        <v>1038</v>
      </c>
      <c r="D1192" s="269"/>
      <c r="E1192" s="269"/>
      <c r="F1192" s="269"/>
      <c r="G1192" s="269"/>
      <c r="H1192" s="269"/>
      <c r="I1192" s="269"/>
      <c r="J1192" s="269"/>
      <c r="K1192" s="269"/>
      <c r="L1192" s="269"/>
      <c r="M1192" s="443">
        <v>4</v>
      </c>
      <c r="N1192" s="269"/>
      <c r="O1192" s="269"/>
      <c r="P1192" s="269"/>
      <c r="Q1192" s="269"/>
      <c r="R1192" s="269"/>
      <c r="S1192" s="269"/>
      <c r="T1192" s="269"/>
      <c r="U1192" s="269"/>
      <c r="V1192" s="269"/>
      <c r="W1192" s="269"/>
      <c r="X1192" s="269"/>
      <c r="Y1192" s="269"/>
      <c r="Z1192" s="269"/>
      <c r="AA1192" s="269"/>
      <c r="AB1192" s="269"/>
      <c r="AC1192" s="269"/>
      <c r="AD1192" s="269"/>
      <c r="AE1192" s="269"/>
      <c r="AF1192" s="269"/>
      <c r="AG1192" s="269"/>
      <c r="AO1192" s="338"/>
      <c r="AP1192" s="449"/>
      <c r="AR1192" s="449"/>
      <c r="AS1192" s="449"/>
      <c r="BA1192" s="269"/>
      <c r="BB1192" s="269"/>
      <c r="BC1192" s="269"/>
      <c r="BD1192" s="269"/>
      <c r="BE1192" s="269"/>
      <c r="BF1192" s="269"/>
      <c r="BG1192" s="269"/>
      <c r="BH1192" s="269"/>
      <c r="BI1192" s="269"/>
      <c r="BJ1192" s="269"/>
      <c r="BK1192" s="269"/>
      <c r="BL1192" s="269"/>
      <c r="BM1192" s="269"/>
      <c r="BN1192" s="269"/>
      <c r="BO1192" s="269"/>
      <c r="BP1192" s="269"/>
      <c r="BQ1192" s="269"/>
      <c r="BR1192" s="269"/>
      <c r="BS1192" s="269"/>
      <c r="BT1192" s="269"/>
      <c r="BU1192" s="269"/>
      <c r="BV1192" s="269"/>
      <c r="BW1192" s="269"/>
      <c r="BX1192" s="269"/>
      <c r="BY1192" s="269"/>
      <c r="BZ1192" s="269"/>
      <c r="CA1192" s="269"/>
      <c r="CB1192" s="269"/>
      <c r="CC1192" s="269"/>
      <c r="CD1192" s="269"/>
      <c r="CE1192" s="269"/>
      <c r="CF1192" s="269"/>
      <c r="CG1192" s="269"/>
      <c r="CH1192" s="269"/>
      <c r="CI1192" s="269"/>
      <c r="CJ1192" s="269"/>
      <c r="CK1192" s="269"/>
      <c r="CL1192" s="269"/>
      <c r="CM1192" s="269"/>
      <c r="CN1192" s="269"/>
      <c r="CO1192" s="302"/>
      <c r="CR1192" s="269"/>
      <c r="CS1192" s="269"/>
      <c r="CT1192" s="269"/>
      <c r="CU1192" s="269"/>
      <c r="CV1192" s="269"/>
      <c r="CW1192" s="269"/>
      <c r="CX1192" s="269"/>
      <c r="CY1192" s="269"/>
      <c r="CZ1192" s="269"/>
      <c r="DA1192" s="269"/>
      <c r="DB1192" s="269"/>
      <c r="DC1192" s="269"/>
      <c r="DD1192" s="269"/>
      <c r="DE1192" s="269"/>
      <c r="DF1192" s="269"/>
      <c r="DG1192" s="269"/>
      <c r="DH1192" s="269"/>
      <c r="DI1192" s="269"/>
      <c r="DJ1192" s="269"/>
      <c r="DK1192" s="269"/>
      <c r="DL1192" s="269"/>
      <c r="DM1192" s="269"/>
      <c r="DN1192" s="269"/>
      <c r="DO1192" s="269"/>
      <c r="DP1192" s="269"/>
      <c r="DQ1192" s="269"/>
      <c r="DR1192" s="269"/>
      <c r="DS1192" s="269"/>
      <c r="DT1192" s="269"/>
      <c r="DU1192" s="269"/>
      <c r="DV1192" s="269"/>
      <c r="DW1192" s="269"/>
      <c r="DX1192" s="269"/>
      <c r="DY1192" s="269"/>
      <c r="DZ1192" s="269"/>
      <c r="EA1192" s="269"/>
      <c r="EB1192" s="269"/>
      <c r="EC1192" s="269"/>
      <c r="ED1192" s="269"/>
      <c r="EE1192" s="269"/>
      <c r="EF1192" s="269"/>
      <c r="EG1192" s="269"/>
      <c r="EH1192" s="269"/>
      <c r="EI1192" s="269"/>
      <c r="EJ1192" s="269"/>
      <c r="EK1192" s="269"/>
      <c r="EL1192" s="269"/>
      <c r="EM1192" s="269"/>
      <c r="EN1192" s="269"/>
      <c r="EO1192" s="269"/>
      <c r="EP1192" s="269"/>
      <c r="EQ1192" s="269"/>
      <c r="ER1192" s="269"/>
      <c r="ES1192" s="269"/>
      <c r="ET1192" s="269"/>
      <c r="EU1192" s="269"/>
      <c r="EV1192" s="269"/>
      <c r="EW1192" s="269"/>
      <c r="EX1192" s="269"/>
      <c r="EY1192" s="269"/>
      <c r="EZ1192" s="269"/>
      <c r="FA1192" s="269"/>
      <c r="FB1192" s="269"/>
      <c r="FC1192" s="269"/>
    </row>
    <row r="1193" spans="3:159" hidden="1">
      <c r="C1193" s="263"/>
      <c r="D1193" s="269"/>
      <c r="E1193" s="269"/>
      <c r="F1193" s="269"/>
      <c r="G1193" s="269"/>
      <c r="H1193" s="269"/>
      <c r="I1193" s="269"/>
      <c r="J1193" s="269"/>
      <c r="K1193" s="269"/>
      <c r="L1193" s="269"/>
      <c r="M1193" s="269"/>
      <c r="N1193" s="269"/>
      <c r="O1193" s="269"/>
      <c r="P1193" s="269"/>
      <c r="Q1193" s="269"/>
      <c r="R1193" s="269"/>
      <c r="S1193" s="269"/>
      <c r="T1193" s="269"/>
      <c r="U1193" s="269"/>
      <c r="V1193" s="269"/>
      <c r="W1193" s="269"/>
      <c r="X1193" s="269"/>
      <c r="Y1193" s="269"/>
      <c r="Z1193" s="269"/>
      <c r="AA1193" s="269"/>
      <c r="AB1193" s="269"/>
      <c r="AC1193" s="269"/>
      <c r="AD1193" s="269"/>
      <c r="AE1193" s="269"/>
      <c r="AF1193" s="269"/>
      <c r="AG1193" s="269"/>
      <c r="AO1193" s="338"/>
      <c r="AP1193" s="449"/>
      <c r="AR1193" s="449"/>
      <c r="AS1193" s="449"/>
      <c r="BA1193" s="269"/>
      <c r="BB1193" s="269"/>
      <c r="BC1193" s="269"/>
      <c r="BD1193" s="269"/>
      <c r="BE1193" s="269"/>
      <c r="BF1193" s="269"/>
      <c r="BG1193" s="269"/>
      <c r="BH1193" s="269"/>
      <c r="BI1193" s="269"/>
      <c r="BJ1193" s="269"/>
      <c r="BK1193" s="269"/>
      <c r="BL1193" s="269"/>
      <c r="BM1193" s="269"/>
      <c r="BN1193" s="269"/>
      <c r="BO1193" s="269"/>
      <c r="BP1193" s="269"/>
      <c r="BQ1193" s="269"/>
      <c r="BR1193" s="269"/>
      <c r="BS1193" s="269"/>
      <c r="BT1193" s="269"/>
      <c r="BU1193" s="269"/>
      <c r="BV1193" s="269"/>
      <c r="BW1193" s="269"/>
      <c r="BX1193" s="269"/>
      <c r="BY1193" s="269"/>
      <c r="BZ1193" s="269"/>
      <c r="CA1193" s="269"/>
      <c r="CB1193" s="269"/>
      <c r="CC1193" s="269"/>
      <c r="CD1193" s="269"/>
      <c r="CE1193" s="269"/>
      <c r="CF1193" s="269"/>
      <c r="CG1193" s="269"/>
      <c r="CH1193" s="269"/>
      <c r="CI1193" s="269"/>
      <c r="CJ1193" s="269"/>
      <c r="CK1193" s="269"/>
      <c r="CL1193" s="269"/>
      <c r="CM1193" s="269"/>
      <c r="CN1193" s="269"/>
      <c r="CO1193" s="302"/>
      <c r="CR1193" s="269"/>
      <c r="CS1193" s="269"/>
      <c r="CT1193" s="269"/>
      <c r="CU1193" s="269"/>
      <c r="CV1193" s="269"/>
      <c r="CW1193" s="269"/>
      <c r="CX1193" s="269"/>
      <c r="CY1193" s="269"/>
      <c r="CZ1193" s="269"/>
      <c r="DA1193" s="269"/>
      <c r="DB1193" s="269"/>
      <c r="DC1193" s="269"/>
      <c r="DD1193" s="269"/>
      <c r="DE1193" s="269"/>
      <c r="DF1193" s="269"/>
      <c r="DG1193" s="269"/>
      <c r="DH1193" s="269"/>
      <c r="DI1193" s="269"/>
      <c r="DJ1193" s="269"/>
      <c r="DK1193" s="269"/>
      <c r="DL1193" s="269"/>
      <c r="DM1193" s="269"/>
      <c r="DN1193" s="269"/>
      <c r="DO1193" s="269"/>
      <c r="DP1193" s="269"/>
      <c r="DQ1193" s="269"/>
      <c r="DR1193" s="269"/>
      <c r="DS1193" s="269"/>
      <c r="DT1193" s="269"/>
      <c r="DU1193" s="269"/>
      <c r="DV1193" s="269"/>
      <c r="DW1193" s="269"/>
      <c r="DX1193" s="269"/>
      <c r="DY1193" s="269"/>
      <c r="DZ1193" s="269"/>
      <c r="EA1193" s="269"/>
      <c r="EB1193" s="269"/>
      <c r="EC1193" s="269"/>
      <c r="ED1193" s="269"/>
      <c r="EE1193" s="269"/>
      <c r="EF1193" s="269"/>
      <c r="EG1193" s="269"/>
      <c r="EH1193" s="269"/>
      <c r="EI1193" s="269"/>
      <c r="EJ1193" s="269"/>
      <c r="EK1193" s="269"/>
      <c r="EL1193" s="269"/>
      <c r="EM1193" s="269"/>
      <c r="EN1193" s="269"/>
      <c r="EO1193" s="269"/>
      <c r="EP1193" s="269"/>
      <c r="EQ1193" s="269"/>
      <c r="ER1193" s="269"/>
      <c r="ES1193" s="269"/>
      <c r="ET1193" s="269"/>
      <c r="EU1193" s="269"/>
      <c r="EV1193" s="269"/>
      <c r="EW1193" s="269"/>
      <c r="EX1193" s="269"/>
      <c r="EY1193" s="269"/>
      <c r="EZ1193" s="269"/>
      <c r="FA1193" s="269"/>
      <c r="FB1193" s="269"/>
      <c r="FC1193" s="269"/>
    </row>
    <row r="1194" spans="3:159" hidden="1">
      <c r="C1194" s="424" t="s">
        <v>1135</v>
      </c>
      <c r="D1194" s="257"/>
      <c r="E1194" s="257"/>
      <c r="F1194" s="257"/>
      <c r="G1194" s="257"/>
      <c r="H1194" s="257"/>
      <c r="I1194" s="257"/>
      <c r="J1194" s="257"/>
      <c r="K1194" s="257"/>
      <c r="L1194" s="257"/>
      <c r="M1194" s="257"/>
      <c r="N1194" s="257"/>
      <c r="O1194" s="257"/>
      <c r="P1194" s="257"/>
      <c r="Q1194" s="257"/>
      <c r="R1194" s="257"/>
      <c r="S1194" s="257"/>
      <c r="T1194" s="257"/>
      <c r="U1194" s="257"/>
      <c r="V1194" s="257"/>
      <c r="W1194" s="257"/>
      <c r="X1194" s="257"/>
      <c r="Y1194" s="257"/>
      <c r="Z1194" s="257"/>
      <c r="AA1194" s="257"/>
      <c r="AB1194" s="257"/>
      <c r="AC1194" s="257"/>
      <c r="AD1194" s="257"/>
      <c r="AE1194" s="257"/>
      <c r="AF1194" s="257"/>
      <c r="AG1194" s="257"/>
      <c r="AO1194" s="338"/>
      <c r="AP1194" s="449"/>
      <c r="AR1194" s="449"/>
      <c r="AS1194" s="449"/>
      <c r="BA1194" s="257"/>
      <c r="BB1194" s="257"/>
      <c r="BC1194" s="257"/>
      <c r="BD1194" s="257"/>
      <c r="BE1194" s="257"/>
      <c r="BF1194" s="257"/>
      <c r="BG1194" s="257"/>
      <c r="BH1194" s="257"/>
      <c r="BI1194" s="257"/>
      <c r="BJ1194" s="257"/>
      <c r="BK1194" s="257"/>
      <c r="BL1194" s="257"/>
      <c r="BM1194" s="257"/>
      <c r="BN1194" s="257"/>
      <c r="BO1194" s="257"/>
      <c r="BP1194" s="257"/>
      <c r="BQ1194" s="257"/>
      <c r="BR1194" s="257"/>
      <c r="BS1194" s="257"/>
      <c r="BT1194" s="257"/>
      <c r="BU1194" s="257"/>
      <c r="BV1194" s="257"/>
      <c r="BW1194" s="257"/>
      <c r="BX1194" s="257"/>
      <c r="BY1194" s="257"/>
      <c r="BZ1194" s="257"/>
      <c r="CA1194" s="257"/>
      <c r="CB1194" s="257"/>
      <c r="CC1194" s="257"/>
      <c r="CD1194" s="257"/>
      <c r="CE1194" s="257"/>
      <c r="CF1194" s="257"/>
      <c r="CG1194" s="257"/>
      <c r="CH1194" s="257"/>
      <c r="CI1194" s="257"/>
      <c r="CJ1194" s="257"/>
      <c r="CK1194" s="257"/>
      <c r="CL1194" s="257"/>
      <c r="CM1194" s="257"/>
      <c r="CN1194" s="257"/>
      <c r="CO1194" s="302"/>
      <c r="CR1194" s="257"/>
      <c r="CS1194" s="257"/>
      <c r="CT1194" s="257"/>
      <c r="CU1194" s="257"/>
      <c r="CV1194" s="257"/>
      <c r="CW1194" s="257"/>
      <c r="CX1194" s="257"/>
      <c r="CY1194" s="257"/>
      <c r="CZ1194" s="257"/>
      <c r="DA1194" s="257"/>
      <c r="DB1194" s="257"/>
      <c r="DC1194" s="257"/>
      <c r="DD1194" s="257"/>
      <c r="DE1194" s="257"/>
      <c r="DF1194" s="257"/>
      <c r="DG1194" s="257"/>
      <c r="DH1194" s="257"/>
      <c r="DI1194" s="257"/>
      <c r="DJ1194" s="257"/>
      <c r="DK1194" s="257"/>
      <c r="DL1194" s="257"/>
      <c r="DM1194" s="257"/>
      <c r="DN1194" s="257"/>
      <c r="DO1194" s="257"/>
      <c r="DP1194" s="257"/>
      <c r="DQ1194" s="257"/>
      <c r="DR1194" s="257"/>
      <c r="DS1194" s="257"/>
      <c r="DT1194" s="257"/>
      <c r="DU1194" s="257"/>
      <c r="DV1194" s="257"/>
      <c r="DW1194" s="257"/>
      <c r="DX1194" s="257"/>
      <c r="DY1194" s="257"/>
      <c r="DZ1194" s="257"/>
      <c r="EA1194" s="257"/>
      <c r="EB1194" s="257"/>
      <c r="EC1194" s="257"/>
      <c r="ED1194" s="257"/>
      <c r="EE1194" s="257"/>
      <c r="EF1194" s="257"/>
      <c r="EG1194" s="257"/>
      <c r="EH1194" s="257"/>
      <c r="EI1194" s="257"/>
      <c r="EJ1194" s="257"/>
      <c r="EK1194" s="257"/>
      <c r="EL1194" s="257"/>
      <c r="EM1194" s="257"/>
      <c r="EN1194" s="257"/>
      <c r="EO1194" s="257"/>
      <c r="EP1194" s="257"/>
      <c r="EQ1194" s="257"/>
      <c r="ER1194" s="257"/>
      <c r="ES1194" s="257"/>
      <c r="ET1194" s="257"/>
      <c r="EU1194" s="257"/>
      <c r="EV1194" s="257"/>
      <c r="EW1194" s="257"/>
      <c r="EX1194" s="257"/>
      <c r="EY1194" s="257"/>
      <c r="EZ1194" s="257"/>
      <c r="FA1194" s="257"/>
      <c r="FB1194" s="257"/>
      <c r="FC1194" s="257"/>
    </row>
    <row r="1195" spans="3:159" hidden="1">
      <c r="C1195" s="266" t="s">
        <v>980</v>
      </c>
      <c r="D1195" s="268"/>
      <c r="E1195" s="268"/>
      <c r="F1195" s="268"/>
      <c r="G1195" s="268"/>
      <c r="H1195" s="268"/>
      <c r="I1195" s="268"/>
      <c r="J1195" s="268">
        <v>15.78618998563573</v>
      </c>
      <c r="K1195" s="268">
        <v>16.180844735276622</v>
      </c>
      <c r="L1195" s="268">
        <v>16.585365853658537</v>
      </c>
      <c r="M1195" s="268">
        <v>17</v>
      </c>
      <c r="N1195" s="268">
        <v>16.585365853658537</v>
      </c>
      <c r="O1195" s="268">
        <v>16.180844735276622</v>
      </c>
      <c r="P1195" s="268">
        <v>15.78618998563573</v>
      </c>
      <c r="Q1195" s="258">
        <v>16.180844735276622</v>
      </c>
      <c r="R1195" s="258">
        <v>16.585365853658537</v>
      </c>
      <c r="S1195" s="258">
        <v>17</v>
      </c>
      <c r="T1195" s="258">
        <v>17.424999999999997</v>
      </c>
      <c r="U1195" s="258">
        <v>17.860624999999995</v>
      </c>
      <c r="V1195" s="269"/>
      <c r="W1195" s="269"/>
      <c r="X1195" s="269"/>
      <c r="Y1195" s="269"/>
      <c r="Z1195" s="269"/>
      <c r="AA1195" s="269"/>
      <c r="AB1195" s="269"/>
      <c r="AC1195" s="269"/>
      <c r="AD1195" s="269"/>
      <c r="AE1195" s="269"/>
      <c r="AF1195" s="269"/>
      <c r="AG1195" s="269"/>
      <c r="AO1195" s="338"/>
      <c r="AP1195" s="449"/>
      <c r="AR1195" s="449"/>
      <c r="AS1195" s="449"/>
      <c r="BA1195" s="269"/>
      <c r="BB1195" s="269"/>
      <c r="BC1195" s="269"/>
      <c r="BD1195" s="269"/>
      <c r="BE1195" s="269"/>
      <c r="BF1195" s="269"/>
      <c r="BG1195" s="269"/>
      <c r="BH1195" s="269"/>
      <c r="BI1195" s="269"/>
      <c r="BJ1195" s="269"/>
      <c r="BK1195" s="269"/>
      <c r="BL1195" s="269"/>
      <c r="BM1195" s="269"/>
      <c r="BN1195" s="269"/>
      <c r="BO1195" s="269"/>
      <c r="BP1195" s="269"/>
      <c r="BQ1195" s="269"/>
      <c r="BR1195" s="269"/>
      <c r="BS1195" s="269"/>
      <c r="BT1195" s="269"/>
      <c r="BU1195" s="269"/>
      <c r="BV1195" s="269"/>
      <c r="BW1195" s="269"/>
      <c r="BX1195" s="269"/>
      <c r="BY1195" s="269"/>
      <c r="BZ1195" s="269"/>
      <c r="CA1195" s="269"/>
      <c r="CB1195" s="269"/>
      <c r="CC1195" s="269"/>
      <c r="CD1195" s="269"/>
      <c r="CE1195" s="269"/>
      <c r="CF1195" s="269"/>
      <c r="CG1195" s="269"/>
      <c r="CH1195" s="269"/>
      <c r="CI1195" s="269"/>
      <c r="CJ1195" s="269"/>
      <c r="CK1195" s="269"/>
      <c r="CL1195" s="269"/>
      <c r="CM1195" s="269"/>
      <c r="CN1195" s="269"/>
      <c r="CO1195" s="302"/>
      <c r="CR1195" s="269"/>
      <c r="CS1195" s="269"/>
      <c r="CT1195" s="269"/>
      <c r="CU1195" s="269"/>
      <c r="CV1195" s="269"/>
      <c r="CW1195" s="269"/>
      <c r="CX1195" s="269"/>
      <c r="CY1195" s="269"/>
      <c r="CZ1195" s="269"/>
      <c r="DA1195" s="269"/>
      <c r="DB1195" s="269"/>
      <c r="DC1195" s="269"/>
      <c r="DD1195" s="269"/>
      <c r="DE1195" s="269"/>
      <c r="DF1195" s="269"/>
      <c r="DG1195" s="269"/>
      <c r="DH1195" s="269"/>
      <c r="DI1195" s="269"/>
      <c r="DJ1195" s="269"/>
      <c r="DK1195" s="269"/>
      <c r="DL1195" s="269"/>
      <c r="DM1195" s="269"/>
      <c r="DN1195" s="269"/>
      <c r="DO1195" s="269"/>
      <c r="DP1195" s="269"/>
      <c r="DQ1195" s="269"/>
      <c r="DR1195" s="269"/>
      <c r="DS1195" s="269"/>
      <c r="DT1195" s="269"/>
      <c r="DU1195" s="269"/>
      <c r="DV1195" s="269"/>
      <c r="DW1195" s="269"/>
      <c r="DX1195" s="269"/>
      <c r="DY1195" s="269"/>
      <c r="DZ1195" s="269"/>
      <c r="EA1195" s="269"/>
      <c r="EB1195" s="269"/>
      <c r="EC1195" s="269"/>
      <c r="ED1195" s="269"/>
      <c r="EE1195" s="269"/>
      <c r="EF1195" s="269"/>
      <c r="EG1195" s="269"/>
      <c r="EH1195" s="269"/>
      <c r="EI1195" s="269"/>
      <c r="EJ1195" s="269"/>
      <c r="EK1195" s="269"/>
      <c r="EL1195" s="269"/>
      <c r="EM1195" s="269"/>
      <c r="EN1195" s="269"/>
      <c r="EO1195" s="269"/>
      <c r="EP1195" s="269"/>
      <c r="EQ1195" s="269"/>
      <c r="ER1195" s="269"/>
      <c r="ES1195" s="269"/>
      <c r="ET1195" s="269"/>
      <c r="EU1195" s="269"/>
      <c r="EV1195" s="269"/>
      <c r="EW1195" s="269"/>
      <c r="EX1195" s="269"/>
      <c r="EY1195" s="269"/>
      <c r="EZ1195" s="269"/>
      <c r="FA1195" s="269"/>
      <c r="FB1195" s="269"/>
      <c r="FC1195" s="269"/>
    </row>
    <row r="1196" spans="3:159" hidden="1">
      <c r="C1196" s="266">
        <v>787</v>
      </c>
      <c r="D1196" s="268"/>
      <c r="E1196" s="268"/>
      <c r="F1196" s="268"/>
      <c r="G1196" s="268"/>
      <c r="H1196" s="268"/>
      <c r="I1196" s="268"/>
      <c r="J1196" s="268">
        <v>4.1786973491388704</v>
      </c>
      <c r="K1196" s="268">
        <v>4.2831647828673418</v>
      </c>
      <c r="L1196" s="268">
        <v>4.3902439024390247</v>
      </c>
      <c r="M1196" s="268">
        <v>4.5</v>
      </c>
      <c r="N1196" s="268">
        <v>4.3902439024390247</v>
      </c>
      <c r="O1196" s="268">
        <v>4.2831647828673418</v>
      </c>
      <c r="P1196" s="268">
        <v>4.1786973491388704</v>
      </c>
      <c r="Q1196" s="258">
        <v>4.2831647828673418</v>
      </c>
      <c r="R1196" s="258">
        <v>4.3902439024390247</v>
      </c>
      <c r="S1196" s="258">
        <v>4.5</v>
      </c>
      <c r="T1196" s="258">
        <v>4.6124999999999998</v>
      </c>
      <c r="U1196" s="258">
        <v>4.7278124999999998</v>
      </c>
      <c r="V1196" s="269"/>
      <c r="W1196" s="269"/>
      <c r="X1196" s="269"/>
      <c r="Y1196" s="269"/>
      <c r="Z1196" s="269"/>
      <c r="AA1196" s="269"/>
      <c r="AB1196" s="269"/>
      <c r="AC1196" s="269"/>
      <c r="AD1196" s="269"/>
      <c r="AE1196" s="269"/>
      <c r="AF1196" s="269"/>
      <c r="AG1196" s="269"/>
      <c r="AO1196" s="338"/>
      <c r="AP1196" s="449"/>
      <c r="AR1196" s="449"/>
      <c r="AS1196" s="449"/>
      <c r="BA1196" s="269"/>
      <c r="BB1196" s="269"/>
      <c r="BC1196" s="269"/>
      <c r="BD1196" s="269"/>
      <c r="BE1196" s="269"/>
      <c r="BF1196" s="269"/>
      <c r="BG1196" s="269"/>
      <c r="BH1196" s="269"/>
      <c r="BI1196" s="269"/>
      <c r="BJ1196" s="269"/>
      <c r="BK1196" s="269"/>
      <c r="BL1196" s="269"/>
      <c r="BM1196" s="269"/>
      <c r="BN1196" s="269"/>
      <c r="BO1196" s="269"/>
      <c r="BP1196" s="269"/>
      <c r="BQ1196" s="269"/>
      <c r="BR1196" s="269"/>
      <c r="BS1196" s="269"/>
      <c r="BT1196" s="269"/>
      <c r="BU1196" s="269"/>
      <c r="BV1196" s="269"/>
      <c r="BW1196" s="269"/>
      <c r="BX1196" s="269"/>
      <c r="BY1196" s="269"/>
      <c r="BZ1196" s="269"/>
      <c r="CA1196" s="269"/>
      <c r="CB1196" s="269"/>
      <c r="CC1196" s="269"/>
      <c r="CD1196" s="269"/>
      <c r="CE1196" s="269"/>
      <c r="CF1196" s="269"/>
      <c r="CG1196" s="269"/>
      <c r="CH1196" s="269"/>
      <c r="CI1196" s="269"/>
      <c r="CJ1196" s="269"/>
      <c r="CK1196" s="269"/>
      <c r="CL1196" s="269"/>
      <c r="CM1196" s="269"/>
      <c r="CN1196" s="269"/>
      <c r="CO1196" s="302"/>
      <c r="CR1196" s="269"/>
      <c r="CS1196" s="269"/>
      <c r="CT1196" s="269"/>
      <c r="CU1196" s="269"/>
      <c r="CV1196" s="269"/>
      <c r="CW1196" s="269"/>
      <c r="CX1196" s="269"/>
      <c r="CY1196" s="269"/>
      <c r="CZ1196" s="269"/>
      <c r="DA1196" s="269"/>
      <c r="DB1196" s="269"/>
      <c r="DC1196" s="269"/>
      <c r="DD1196" s="269"/>
      <c r="DE1196" s="269"/>
      <c r="DF1196" s="269"/>
      <c r="DG1196" s="269"/>
      <c r="DH1196" s="269"/>
      <c r="DI1196" s="269"/>
      <c r="DJ1196" s="269"/>
      <c r="DK1196" s="269"/>
      <c r="DL1196" s="269"/>
      <c r="DM1196" s="269"/>
      <c r="DN1196" s="269"/>
      <c r="DO1196" s="269"/>
      <c r="DP1196" s="269"/>
      <c r="DQ1196" s="269"/>
      <c r="DR1196" s="269"/>
      <c r="DS1196" s="269"/>
      <c r="DT1196" s="269"/>
      <c r="DU1196" s="269"/>
      <c r="DV1196" s="269"/>
      <c r="DW1196" s="269"/>
      <c r="DX1196" s="269"/>
      <c r="DY1196" s="269"/>
      <c r="DZ1196" s="269"/>
      <c r="EA1196" s="269"/>
      <c r="EB1196" s="269"/>
      <c r="EC1196" s="269"/>
      <c r="ED1196" s="269"/>
      <c r="EE1196" s="269"/>
      <c r="EF1196" s="269"/>
      <c r="EG1196" s="269"/>
      <c r="EH1196" s="269"/>
      <c r="EI1196" s="269"/>
      <c r="EJ1196" s="269"/>
      <c r="EK1196" s="269"/>
      <c r="EL1196" s="269"/>
      <c r="EM1196" s="269"/>
      <c r="EN1196" s="269"/>
      <c r="EO1196" s="269"/>
      <c r="EP1196" s="269"/>
      <c r="EQ1196" s="269"/>
      <c r="ER1196" s="269"/>
      <c r="ES1196" s="269"/>
      <c r="ET1196" s="269"/>
      <c r="EU1196" s="269"/>
      <c r="EV1196" s="269"/>
      <c r="EW1196" s="269"/>
      <c r="EX1196" s="269"/>
      <c r="EY1196" s="269"/>
      <c r="EZ1196" s="269"/>
      <c r="FA1196" s="269"/>
      <c r="FB1196" s="269"/>
      <c r="FC1196" s="269"/>
    </row>
    <row r="1197" spans="3:159" hidden="1">
      <c r="C1197" s="266" t="s">
        <v>981</v>
      </c>
      <c r="D1197" s="268"/>
      <c r="E1197" s="268"/>
      <c r="F1197" s="268"/>
      <c r="G1197" s="268"/>
      <c r="H1197" s="268"/>
      <c r="I1197" s="268"/>
      <c r="J1197" s="268">
        <v>4.1786973491388704</v>
      </c>
      <c r="K1197" s="268">
        <v>4.2831647828673418</v>
      </c>
      <c r="L1197" s="268">
        <v>4.3902439024390247</v>
      </c>
      <c r="M1197" s="268">
        <v>4.5</v>
      </c>
      <c r="N1197" s="268">
        <v>4.3902439024390247</v>
      </c>
      <c r="O1197" s="268">
        <v>4.2831647828673418</v>
      </c>
      <c r="P1197" s="268">
        <v>4.1786973491388704</v>
      </c>
      <c r="Q1197" s="258">
        <v>4.2831647828673418</v>
      </c>
      <c r="R1197" s="258">
        <v>4.3902439024390247</v>
      </c>
      <c r="S1197" s="258">
        <v>4.5</v>
      </c>
      <c r="T1197" s="258">
        <v>4.6124999999999998</v>
      </c>
      <c r="U1197" s="258">
        <v>4.7278124999999998</v>
      </c>
      <c r="V1197" s="269"/>
      <c r="W1197" s="269"/>
      <c r="X1197" s="269"/>
      <c r="Y1197" s="269"/>
      <c r="Z1197" s="269"/>
      <c r="AA1197" s="269"/>
      <c r="AB1197" s="269"/>
      <c r="AC1197" s="269"/>
      <c r="AD1197" s="269"/>
      <c r="AE1197" s="269"/>
      <c r="AF1197" s="269"/>
      <c r="AG1197" s="269"/>
      <c r="AO1197" s="338"/>
      <c r="AP1197" s="449"/>
      <c r="AR1197" s="449"/>
      <c r="AS1197" s="449"/>
      <c r="BA1197" s="269"/>
      <c r="BB1197" s="269"/>
      <c r="BC1197" s="269"/>
      <c r="BD1197" s="269"/>
      <c r="BE1197" s="269"/>
      <c r="BF1197" s="269"/>
      <c r="BG1197" s="269"/>
      <c r="BH1197" s="269"/>
      <c r="BI1197" s="269"/>
      <c r="BJ1197" s="269"/>
      <c r="BK1197" s="269"/>
      <c r="BL1197" s="269"/>
      <c r="BM1197" s="269"/>
      <c r="BN1197" s="269"/>
      <c r="BO1197" s="269"/>
      <c r="BP1197" s="269"/>
      <c r="BQ1197" s="269"/>
      <c r="BR1197" s="269"/>
      <c r="BS1197" s="269"/>
      <c r="BT1197" s="269"/>
      <c r="BU1197" s="269"/>
      <c r="BV1197" s="269"/>
      <c r="BW1197" s="269"/>
      <c r="BX1197" s="269"/>
      <c r="BY1197" s="269"/>
      <c r="BZ1197" s="269"/>
      <c r="CA1197" s="269"/>
      <c r="CB1197" s="269"/>
      <c r="CC1197" s="269"/>
      <c r="CD1197" s="269"/>
      <c r="CE1197" s="269"/>
      <c r="CF1197" s="269"/>
      <c r="CG1197" s="269"/>
      <c r="CH1197" s="269"/>
      <c r="CI1197" s="269"/>
      <c r="CJ1197" s="269"/>
      <c r="CK1197" s="269"/>
      <c r="CL1197" s="269"/>
      <c r="CM1197" s="269"/>
      <c r="CN1197" s="269"/>
      <c r="CO1197" s="302"/>
      <c r="CR1197" s="269"/>
      <c r="CS1197" s="269"/>
      <c r="CT1197" s="269"/>
      <c r="CU1197" s="269"/>
      <c r="CV1197" s="269"/>
      <c r="CW1197" s="269"/>
      <c r="CX1197" s="269"/>
      <c r="CY1197" s="269"/>
      <c r="CZ1197" s="269"/>
      <c r="DA1197" s="269"/>
      <c r="DB1197" s="269"/>
      <c r="DC1197" s="269"/>
      <c r="DD1197" s="269"/>
      <c r="DE1197" s="269"/>
      <c r="DF1197" s="269"/>
      <c r="DG1197" s="269"/>
      <c r="DH1197" s="269"/>
      <c r="DI1197" s="269"/>
      <c r="DJ1197" s="269"/>
      <c r="DK1197" s="269"/>
      <c r="DL1197" s="269"/>
      <c r="DM1197" s="269"/>
      <c r="DN1197" s="269"/>
      <c r="DO1197" s="269"/>
      <c r="DP1197" s="269"/>
      <c r="DQ1197" s="269"/>
      <c r="DR1197" s="269"/>
      <c r="DS1197" s="269"/>
      <c r="DT1197" s="269"/>
      <c r="DU1197" s="269"/>
      <c r="DV1197" s="269"/>
      <c r="DW1197" s="269"/>
      <c r="DX1197" s="269"/>
      <c r="DY1197" s="269"/>
      <c r="DZ1197" s="269"/>
      <c r="EA1197" s="269"/>
      <c r="EB1197" s="269"/>
      <c r="EC1197" s="269"/>
      <c r="ED1197" s="269"/>
      <c r="EE1197" s="269"/>
      <c r="EF1197" s="269"/>
      <c r="EG1197" s="269"/>
      <c r="EH1197" s="269"/>
      <c r="EI1197" s="269"/>
      <c r="EJ1197" s="269"/>
      <c r="EK1197" s="269"/>
      <c r="EL1197" s="269"/>
      <c r="EM1197" s="269"/>
      <c r="EN1197" s="269"/>
      <c r="EO1197" s="269"/>
      <c r="EP1197" s="269"/>
      <c r="EQ1197" s="269"/>
      <c r="ER1197" s="269"/>
      <c r="ES1197" s="269"/>
      <c r="ET1197" s="269"/>
      <c r="EU1197" s="269"/>
      <c r="EV1197" s="269"/>
      <c r="EW1197" s="269"/>
      <c r="EX1197" s="269"/>
      <c r="EY1197" s="269"/>
      <c r="EZ1197" s="269"/>
      <c r="FA1197" s="269"/>
      <c r="FB1197" s="269"/>
      <c r="FC1197" s="269"/>
    </row>
    <row r="1198" spans="3:159" hidden="1">
      <c r="C1198" s="263"/>
      <c r="D1198" s="269"/>
      <c r="E1198" s="269"/>
      <c r="F1198" s="269"/>
      <c r="G1198" s="269"/>
      <c r="H1198" s="269"/>
      <c r="I1198" s="269"/>
      <c r="J1198" s="269"/>
      <c r="K1198" s="269"/>
      <c r="L1198" s="269"/>
      <c r="M1198" s="269"/>
      <c r="N1198" s="269"/>
      <c r="O1198" s="269"/>
      <c r="P1198" s="269"/>
      <c r="Q1198" s="269"/>
      <c r="R1198" s="269"/>
      <c r="S1198" s="269"/>
      <c r="T1198" s="269"/>
      <c r="U1198" s="269"/>
      <c r="V1198" s="269"/>
      <c r="W1198" s="269"/>
      <c r="X1198" s="269"/>
      <c r="Y1198" s="269"/>
      <c r="Z1198" s="269"/>
      <c r="AA1198" s="269"/>
      <c r="AB1198" s="269"/>
      <c r="AC1198" s="269"/>
      <c r="AD1198" s="269"/>
      <c r="AE1198" s="269"/>
      <c r="AF1198" s="269"/>
      <c r="AG1198" s="269"/>
      <c r="AO1198" s="338"/>
      <c r="AP1198" s="449"/>
      <c r="AR1198" s="449"/>
      <c r="AS1198" s="449"/>
      <c r="BA1198" s="269"/>
      <c r="BB1198" s="269"/>
      <c r="BC1198" s="269"/>
      <c r="BD1198" s="269"/>
      <c r="BE1198" s="269"/>
      <c r="BF1198" s="269"/>
      <c r="BG1198" s="269"/>
      <c r="BH1198" s="269"/>
      <c r="BI1198" s="269"/>
      <c r="BJ1198" s="269"/>
      <c r="BK1198" s="269"/>
      <c r="BL1198" s="269"/>
      <c r="BM1198" s="269"/>
      <c r="BN1198" s="269"/>
      <c r="BO1198" s="269"/>
      <c r="BP1198" s="269"/>
      <c r="BQ1198" s="269"/>
      <c r="BR1198" s="269"/>
      <c r="BS1198" s="269"/>
      <c r="BT1198" s="269"/>
      <c r="BU1198" s="269"/>
      <c r="BV1198" s="269"/>
      <c r="BW1198" s="269"/>
      <c r="BX1198" s="269"/>
      <c r="BY1198" s="269"/>
      <c r="BZ1198" s="269"/>
      <c r="CA1198" s="269"/>
      <c r="CB1198" s="269"/>
      <c r="CC1198" s="269"/>
      <c r="CD1198" s="269"/>
      <c r="CE1198" s="269"/>
      <c r="CF1198" s="269"/>
      <c r="CG1198" s="269"/>
      <c r="CH1198" s="269"/>
      <c r="CI1198" s="269"/>
      <c r="CJ1198" s="269"/>
      <c r="CK1198" s="269"/>
      <c r="CL1198" s="269"/>
      <c r="CM1198" s="269"/>
      <c r="CN1198" s="269"/>
      <c r="CO1198" s="302"/>
      <c r="CR1198" s="269"/>
      <c r="CS1198" s="269"/>
      <c r="CT1198" s="269"/>
      <c r="CU1198" s="269"/>
      <c r="CV1198" s="269"/>
      <c r="CW1198" s="269"/>
      <c r="CX1198" s="269"/>
      <c r="CY1198" s="269"/>
      <c r="CZ1198" s="269"/>
      <c r="DA1198" s="269"/>
      <c r="DB1198" s="269"/>
      <c r="DC1198" s="269"/>
      <c r="DD1198" s="269"/>
      <c r="DE1198" s="269"/>
      <c r="DF1198" s="269"/>
      <c r="DG1198" s="269"/>
      <c r="DH1198" s="269"/>
      <c r="DI1198" s="269"/>
      <c r="DJ1198" s="269"/>
      <c r="DK1198" s="269"/>
      <c r="DL1198" s="269"/>
      <c r="DM1198" s="269"/>
      <c r="DN1198" s="269"/>
      <c r="DO1198" s="269"/>
      <c r="DP1198" s="269"/>
      <c r="DQ1198" s="269"/>
      <c r="DR1198" s="269"/>
      <c r="DS1198" s="269"/>
      <c r="DT1198" s="269"/>
      <c r="DU1198" s="269"/>
      <c r="DV1198" s="269"/>
      <c r="DW1198" s="269"/>
      <c r="DX1198" s="269"/>
      <c r="DY1198" s="269"/>
      <c r="DZ1198" s="269"/>
      <c r="EA1198" s="269"/>
      <c r="EB1198" s="269"/>
      <c r="EC1198" s="269"/>
      <c r="ED1198" s="269"/>
      <c r="EE1198" s="269"/>
      <c r="EF1198" s="269"/>
      <c r="EG1198" s="269"/>
      <c r="EH1198" s="269"/>
      <c r="EI1198" s="269"/>
      <c r="EJ1198" s="269"/>
      <c r="EK1198" s="269"/>
      <c r="EL1198" s="269"/>
      <c r="EM1198" s="269"/>
      <c r="EN1198" s="269"/>
      <c r="EO1198" s="269"/>
      <c r="EP1198" s="269"/>
      <c r="EQ1198" s="269"/>
      <c r="ER1198" s="269"/>
      <c r="ES1198" s="269"/>
      <c r="ET1198" s="269"/>
      <c r="EU1198" s="269"/>
      <c r="EV1198" s="269"/>
      <c r="EW1198" s="269"/>
      <c r="EX1198" s="269"/>
      <c r="EY1198" s="269"/>
      <c r="EZ1198" s="269"/>
      <c r="FA1198" s="269"/>
      <c r="FB1198" s="269"/>
      <c r="FC1198" s="269"/>
    </row>
    <row r="1199" spans="3:159" hidden="1">
      <c r="C1199" s="263" t="s">
        <v>1133</v>
      </c>
      <c r="D1199" s="269"/>
      <c r="E1199" s="269"/>
      <c r="F1199" s="269"/>
      <c r="G1199" s="269"/>
      <c r="H1199" s="269"/>
      <c r="I1199" s="269"/>
      <c r="J1199" s="269"/>
      <c r="K1199" s="269"/>
      <c r="L1199" s="269"/>
      <c r="M1199" s="269"/>
      <c r="N1199" s="269"/>
      <c r="O1199" s="269"/>
      <c r="P1199" s="269"/>
      <c r="Q1199" s="269"/>
      <c r="R1199" s="269"/>
      <c r="S1199" s="269"/>
      <c r="T1199" s="269"/>
      <c r="U1199" s="269"/>
      <c r="V1199" s="269"/>
      <c r="W1199" s="269"/>
      <c r="X1199" s="269"/>
      <c r="Y1199" s="269"/>
      <c r="Z1199" s="269"/>
      <c r="AA1199" s="269"/>
      <c r="AB1199" s="269"/>
      <c r="AC1199" s="269"/>
      <c r="AD1199" s="269"/>
      <c r="AE1199" s="269"/>
      <c r="AF1199" s="269"/>
      <c r="AG1199" s="269"/>
      <c r="AO1199" s="338"/>
      <c r="AP1199" s="449"/>
      <c r="AR1199" s="449"/>
      <c r="AS1199" s="449"/>
      <c r="BA1199" s="269"/>
      <c r="BB1199" s="269"/>
      <c r="BC1199" s="269"/>
      <c r="BD1199" s="269"/>
      <c r="BE1199" s="269"/>
      <c r="BF1199" s="269"/>
      <c r="BG1199" s="269"/>
      <c r="BH1199" s="269"/>
      <c r="BI1199" s="269"/>
      <c r="BJ1199" s="269"/>
      <c r="BK1199" s="269"/>
      <c r="BL1199" s="269"/>
      <c r="BM1199" s="269"/>
      <c r="BN1199" s="269"/>
      <c r="BO1199" s="269"/>
      <c r="BP1199" s="269"/>
      <c r="BQ1199" s="269"/>
      <c r="BR1199" s="269"/>
      <c r="BS1199" s="269"/>
      <c r="BT1199" s="269"/>
      <c r="BU1199" s="269"/>
      <c r="BV1199" s="269"/>
      <c r="BW1199" s="269"/>
      <c r="BX1199" s="269"/>
      <c r="BY1199" s="269"/>
      <c r="BZ1199" s="269"/>
      <c r="CA1199" s="269"/>
      <c r="CB1199" s="269"/>
      <c r="CC1199" s="269"/>
      <c r="CD1199" s="269"/>
      <c r="CE1199" s="269"/>
      <c r="CF1199" s="269"/>
      <c r="CG1199" s="269"/>
      <c r="CH1199" s="269"/>
      <c r="CI1199" s="269"/>
      <c r="CJ1199" s="269"/>
      <c r="CK1199" s="269"/>
      <c r="CL1199" s="269"/>
      <c r="CM1199" s="269"/>
      <c r="CN1199" s="269"/>
      <c r="CO1199" s="302"/>
      <c r="CR1199" s="269"/>
      <c r="CS1199" s="269"/>
      <c r="CT1199" s="269"/>
      <c r="CU1199" s="269"/>
      <c r="CV1199" s="269"/>
      <c r="CW1199" s="269"/>
      <c r="CX1199" s="269"/>
      <c r="CY1199" s="269"/>
      <c r="CZ1199" s="269"/>
      <c r="DA1199" s="269"/>
      <c r="DB1199" s="269"/>
      <c r="DC1199" s="269"/>
      <c r="DD1199" s="269"/>
      <c r="DE1199" s="269"/>
      <c r="DF1199" s="269"/>
      <c r="DG1199" s="269"/>
      <c r="DH1199" s="269"/>
      <c r="DI1199" s="269"/>
      <c r="DJ1199" s="269"/>
      <c r="DK1199" s="269"/>
      <c r="DL1199" s="269"/>
      <c r="DM1199" s="269"/>
      <c r="DN1199" s="269"/>
      <c r="DO1199" s="269"/>
      <c r="DP1199" s="269"/>
      <c r="DQ1199" s="269"/>
      <c r="DR1199" s="269"/>
      <c r="DS1199" s="269"/>
      <c r="DT1199" s="269"/>
      <c r="DU1199" s="269"/>
      <c r="DV1199" s="269"/>
      <c r="DW1199" s="269"/>
      <c r="DX1199" s="269"/>
      <c r="DY1199" s="269"/>
      <c r="DZ1199" s="269"/>
      <c r="EA1199" s="269"/>
      <c r="EB1199" s="269"/>
      <c r="EC1199" s="269"/>
      <c r="ED1199" s="269"/>
      <c r="EE1199" s="269"/>
      <c r="EF1199" s="269"/>
      <c r="EG1199" s="269"/>
      <c r="EH1199" s="269"/>
      <c r="EI1199" s="269"/>
      <c r="EJ1199" s="269"/>
      <c r="EK1199" s="269"/>
      <c r="EL1199" s="269"/>
      <c r="EM1199" s="269"/>
      <c r="EN1199" s="269"/>
      <c r="EO1199" s="269"/>
      <c r="EP1199" s="269"/>
      <c r="EQ1199" s="269"/>
      <c r="ER1199" s="269"/>
      <c r="ES1199" s="269"/>
      <c r="ET1199" s="269"/>
      <c r="EU1199" s="269"/>
      <c r="EV1199" s="269"/>
      <c r="EW1199" s="269"/>
      <c r="EX1199" s="269"/>
      <c r="EY1199" s="269"/>
      <c r="EZ1199" s="269"/>
      <c r="FA1199" s="269"/>
      <c r="FB1199" s="269"/>
      <c r="FC1199" s="269"/>
    </row>
    <row r="1200" spans="3:159" hidden="1">
      <c r="C1200" s="266" t="s">
        <v>980</v>
      </c>
      <c r="D1200" s="269"/>
      <c r="E1200" s="269"/>
      <c r="F1200" s="269"/>
      <c r="G1200" s="269"/>
      <c r="H1200" s="269"/>
      <c r="I1200" s="269"/>
      <c r="J1200" s="269"/>
      <c r="K1200" s="269">
        <v>1</v>
      </c>
      <c r="L1200" s="269">
        <v>12</v>
      </c>
      <c r="M1200" s="269">
        <v>10</v>
      </c>
      <c r="N1200" s="269">
        <v>18</v>
      </c>
      <c r="O1200" s="269">
        <v>26</v>
      </c>
      <c r="P1200" s="269">
        <v>30</v>
      </c>
      <c r="Q1200" s="257">
        <v>25</v>
      </c>
      <c r="R1200" s="257">
        <v>30</v>
      </c>
      <c r="S1200" s="257">
        <v>25</v>
      </c>
      <c r="T1200" s="257">
        <v>25</v>
      </c>
      <c r="U1200" s="257">
        <v>25</v>
      </c>
      <c r="V1200" s="269"/>
      <c r="W1200" s="269"/>
      <c r="X1200" s="269"/>
      <c r="Y1200" s="269"/>
      <c r="Z1200" s="269"/>
      <c r="AA1200" s="269"/>
      <c r="AB1200" s="269"/>
      <c r="AC1200" s="269"/>
      <c r="AD1200" s="269"/>
      <c r="AE1200" s="269"/>
      <c r="AF1200" s="269"/>
      <c r="AG1200" s="269"/>
      <c r="AO1200" s="338"/>
      <c r="AP1200" s="449"/>
      <c r="AR1200" s="449"/>
      <c r="AS1200" s="449"/>
      <c r="BA1200" s="269"/>
      <c r="BB1200" s="269"/>
      <c r="BC1200" s="269"/>
      <c r="BD1200" s="269"/>
      <c r="BE1200" s="269"/>
      <c r="BF1200" s="269"/>
      <c r="BG1200" s="269"/>
      <c r="BH1200" s="269"/>
      <c r="BI1200" s="269"/>
      <c r="BJ1200" s="269"/>
      <c r="BK1200" s="269"/>
      <c r="BL1200" s="269"/>
      <c r="BM1200" s="269"/>
      <c r="BN1200" s="269"/>
      <c r="BO1200" s="269"/>
      <c r="BP1200" s="269"/>
      <c r="BQ1200" s="269"/>
      <c r="BR1200" s="269"/>
      <c r="BS1200" s="269"/>
      <c r="BT1200" s="269"/>
      <c r="BU1200" s="269"/>
      <c r="BV1200" s="269"/>
      <c r="BW1200" s="269"/>
      <c r="BX1200" s="269"/>
      <c r="BY1200" s="269"/>
      <c r="BZ1200" s="269"/>
      <c r="CA1200" s="269"/>
      <c r="CB1200" s="269"/>
      <c r="CC1200" s="269"/>
      <c r="CD1200" s="269"/>
      <c r="CE1200" s="269"/>
      <c r="CF1200" s="269"/>
      <c r="CG1200" s="269"/>
      <c r="CH1200" s="269"/>
      <c r="CI1200" s="269"/>
      <c r="CJ1200" s="269"/>
      <c r="CK1200" s="269"/>
      <c r="CL1200" s="269"/>
      <c r="CM1200" s="269"/>
      <c r="CN1200" s="269"/>
      <c r="CO1200" s="302"/>
      <c r="CR1200" s="269"/>
      <c r="CS1200" s="269"/>
      <c r="CT1200" s="269"/>
      <c r="CU1200" s="269"/>
      <c r="CV1200" s="269"/>
      <c r="CW1200" s="269"/>
      <c r="CX1200" s="269"/>
      <c r="CY1200" s="269"/>
      <c r="CZ1200" s="269"/>
      <c r="DA1200" s="269"/>
      <c r="DB1200" s="269"/>
      <c r="DC1200" s="269"/>
      <c r="DD1200" s="269"/>
      <c r="DE1200" s="269"/>
      <c r="DF1200" s="269"/>
      <c r="DG1200" s="269"/>
      <c r="DH1200" s="269"/>
      <c r="DI1200" s="269"/>
      <c r="DJ1200" s="269"/>
      <c r="DK1200" s="269"/>
      <c r="DL1200" s="269"/>
      <c r="DM1200" s="269"/>
      <c r="DN1200" s="269"/>
      <c r="DO1200" s="269"/>
      <c r="DP1200" s="269"/>
      <c r="DQ1200" s="269"/>
      <c r="DR1200" s="269"/>
      <c r="DS1200" s="269"/>
      <c r="DT1200" s="269"/>
      <c r="DU1200" s="269"/>
      <c r="DV1200" s="269"/>
      <c r="DW1200" s="269"/>
      <c r="DX1200" s="269"/>
      <c r="DY1200" s="269"/>
      <c r="DZ1200" s="269"/>
      <c r="EA1200" s="269"/>
      <c r="EB1200" s="269"/>
      <c r="EC1200" s="269"/>
      <c r="ED1200" s="269"/>
      <c r="EE1200" s="269"/>
      <c r="EF1200" s="269"/>
      <c r="EG1200" s="269"/>
      <c r="EH1200" s="269"/>
      <c r="EI1200" s="269"/>
      <c r="EJ1200" s="269"/>
      <c r="EK1200" s="269"/>
      <c r="EL1200" s="269"/>
      <c r="EM1200" s="269"/>
      <c r="EN1200" s="269"/>
      <c r="EO1200" s="269"/>
      <c r="EP1200" s="269"/>
      <c r="EQ1200" s="269"/>
      <c r="ER1200" s="269"/>
      <c r="ES1200" s="269"/>
      <c r="ET1200" s="269"/>
      <c r="EU1200" s="269"/>
      <c r="EV1200" s="269"/>
      <c r="EW1200" s="269"/>
      <c r="EX1200" s="269"/>
      <c r="EY1200" s="269"/>
      <c r="EZ1200" s="269"/>
      <c r="FA1200" s="269"/>
      <c r="FB1200" s="269"/>
      <c r="FC1200" s="269"/>
    </row>
    <row r="1201" spans="3:159" hidden="1">
      <c r="C1201" s="266">
        <v>787</v>
      </c>
      <c r="D1201" s="269"/>
      <c r="E1201" s="269"/>
      <c r="F1201" s="269"/>
      <c r="G1201" s="269"/>
      <c r="H1201" s="269"/>
      <c r="I1201" s="269"/>
      <c r="J1201" s="269"/>
      <c r="K1201" s="269"/>
      <c r="L1201" s="269"/>
      <c r="M1201" s="269"/>
      <c r="N1201" s="269"/>
      <c r="O1201" s="269">
        <v>3</v>
      </c>
      <c r="P1201" s="269">
        <v>46</v>
      </c>
      <c r="Q1201" s="257">
        <v>65</v>
      </c>
      <c r="R1201" s="257">
        <v>100</v>
      </c>
      <c r="S1201" s="257">
        <v>120</v>
      </c>
      <c r="T1201" s="257">
        <v>125</v>
      </c>
      <c r="U1201" s="257">
        <v>130</v>
      </c>
      <c r="V1201" s="269"/>
      <c r="W1201" s="269"/>
      <c r="X1201" s="269"/>
      <c r="Y1201" s="269"/>
      <c r="Z1201" s="269"/>
      <c r="AA1201" s="269"/>
      <c r="AB1201" s="269"/>
      <c r="AC1201" s="269"/>
      <c r="AD1201" s="269"/>
      <c r="AE1201" s="269"/>
      <c r="AF1201" s="269"/>
      <c r="AG1201" s="269"/>
      <c r="AO1201" s="338"/>
      <c r="AP1201" s="449"/>
      <c r="AR1201" s="449"/>
      <c r="AS1201" s="449"/>
      <c r="BA1201" s="269"/>
      <c r="BB1201" s="269"/>
      <c r="BC1201" s="269"/>
      <c r="BD1201" s="269"/>
      <c r="BE1201" s="269"/>
      <c r="BF1201" s="269"/>
      <c r="BG1201" s="269"/>
      <c r="BH1201" s="269"/>
      <c r="BI1201" s="269"/>
      <c r="BJ1201" s="269"/>
      <c r="BK1201" s="269"/>
      <c r="BL1201" s="269"/>
      <c r="BM1201" s="269"/>
      <c r="BN1201" s="269"/>
      <c r="BO1201" s="269"/>
      <c r="BP1201" s="269"/>
      <c r="BQ1201" s="269"/>
      <c r="BR1201" s="269"/>
      <c r="BS1201" s="269"/>
      <c r="BT1201" s="269"/>
      <c r="BU1201" s="269"/>
      <c r="BV1201" s="269"/>
      <c r="BW1201" s="269"/>
      <c r="BX1201" s="269"/>
      <c r="BY1201" s="269"/>
      <c r="BZ1201" s="269"/>
      <c r="CA1201" s="269"/>
      <c r="CB1201" s="269"/>
      <c r="CC1201" s="269"/>
      <c r="CD1201" s="269"/>
      <c r="CE1201" s="269"/>
      <c r="CF1201" s="269"/>
      <c r="CG1201" s="269"/>
      <c r="CH1201" s="269"/>
      <c r="CI1201" s="269"/>
      <c r="CJ1201" s="269"/>
      <c r="CK1201" s="269"/>
      <c r="CL1201" s="269"/>
      <c r="CM1201" s="269"/>
      <c r="CN1201" s="269"/>
      <c r="CO1201" s="302"/>
      <c r="CR1201" s="269"/>
      <c r="CS1201" s="269"/>
      <c r="CT1201" s="269"/>
      <c r="CU1201" s="269"/>
      <c r="CV1201" s="269"/>
      <c r="CW1201" s="269"/>
      <c r="CX1201" s="269"/>
      <c r="CY1201" s="269"/>
      <c r="CZ1201" s="269"/>
      <c r="DA1201" s="269"/>
      <c r="DB1201" s="269"/>
      <c r="DC1201" s="269"/>
      <c r="DD1201" s="269"/>
      <c r="DE1201" s="269"/>
      <c r="DF1201" s="269"/>
      <c r="DG1201" s="269"/>
      <c r="DH1201" s="269"/>
      <c r="DI1201" s="269"/>
      <c r="DJ1201" s="269"/>
      <c r="DK1201" s="269"/>
      <c r="DL1201" s="269"/>
      <c r="DM1201" s="269"/>
      <c r="DN1201" s="269"/>
      <c r="DO1201" s="269"/>
      <c r="DP1201" s="269"/>
      <c r="DQ1201" s="269"/>
      <c r="DR1201" s="269"/>
      <c r="DS1201" s="269"/>
      <c r="DT1201" s="269"/>
      <c r="DU1201" s="269"/>
      <c r="DV1201" s="269"/>
      <c r="DW1201" s="269"/>
      <c r="DX1201" s="269"/>
      <c r="DY1201" s="269"/>
      <c r="DZ1201" s="269"/>
      <c r="EA1201" s="269"/>
      <c r="EB1201" s="269"/>
      <c r="EC1201" s="269"/>
      <c r="ED1201" s="269"/>
      <c r="EE1201" s="269"/>
      <c r="EF1201" s="269"/>
      <c r="EG1201" s="269"/>
      <c r="EH1201" s="269"/>
      <c r="EI1201" s="269"/>
      <c r="EJ1201" s="269"/>
      <c r="EK1201" s="269"/>
      <c r="EL1201" s="269"/>
      <c r="EM1201" s="269"/>
      <c r="EN1201" s="269"/>
      <c r="EO1201" s="269"/>
      <c r="EP1201" s="269"/>
      <c r="EQ1201" s="269"/>
      <c r="ER1201" s="269"/>
      <c r="ES1201" s="269"/>
      <c r="ET1201" s="269"/>
      <c r="EU1201" s="269"/>
      <c r="EV1201" s="269"/>
      <c r="EW1201" s="269"/>
      <c r="EX1201" s="269"/>
      <c r="EY1201" s="269"/>
      <c r="EZ1201" s="269"/>
      <c r="FA1201" s="269"/>
      <c r="FB1201" s="269"/>
      <c r="FC1201" s="269"/>
    </row>
    <row r="1202" spans="3:159" hidden="1">
      <c r="C1202" s="266" t="s">
        <v>981</v>
      </c>
      <c r="D1202" s="269"/>
      <c r="E1202" s="269"/>
      <c r="F1202" s="269"/>
      <c r="G1202" s="269"/>
      <c r="H1202" s="269"/>
      <c r="I1202" s="269"/>
      <c r="J1202" s="269"/>
      <c r="K1202" s="269">
        <v>62</v>
      </c>
      <c r="L1202" s="269">
        <v>68</v>
      </c>
      <c r="M1202" s="269">
        <v>72</v>
      </c>
      <c r="N1202" s="269">
        <v>76</v>
      </c>
      <c r="O1202" s="269">
        <v>87</v>
      </c>
      <c r="P1202" s="269">
        <v>87</v>
      </c>
      <c r="Q1202" s="257">
        <v>101</v>
      </c>
      <c r="R1202" s="257">
        <v>104</v>
      </c>
      <c r="S1202" s="257">
        <v>106</v>
      </c>
      <c r="T1202" s="257">
        <v>112</v>
      </c>
      <c r="U1202" s="257">
        <v>106</v>
      </c>
      <c r="V1202" s="269"/>
      <c r="W1202" s="269"/>
      <c r="X1202" s="269"/>
      <c r="Y1202" s="269"/>
      <c r="Z1202" s="269"/>
      <c r="AA1202" s="269"/>
      <c r="AB1202" s="269"/>
      <c r="AC1202" s="269"/>
      <c r="AD1202" s="269"/>
      <c r="AE1202" s="269"/>
      <c r="AF1202" s="269"/>
      <c r="AG1202" s="269"/>
      <c r="AO1202" s="338"/>
      <c r="AP1202" s="449"/>
      <c r="AR1202" s="449"/>
      <c r="AS1202" s="449"/>
      <c r="BA1202" s="269"/>
      <c r="BB1202" s="269"/>
      <c r="BC1202" s="269"/>
      <c r="BD1202" s="269"/>
      <c r="BE1202" s="269"/>
      <c r="BF1202" s="269"/>
      <c r="BG1202" s="269"/>
      <c r="BH1202" s="269"/>
      <c r="BI1202" s="269"/>
      <c r="BJ1202" s="269"/>
      <c r="BK1202" s="269"/>
      <c r="BL1202" s="269"/>
      <c r="BM1202" s="269"/>
      <c r="BN1202" s="269"/>
      <c r="BO1202" s="269"/>
      <c r="BP1202" s="269"/>
      <c r="BQ1202" s="269"/>
      <c r="BR1202" s="269"/>
      <c r="BS1202" s="269"/>
      <c r="BT1202" s="269"/>
      <c r="BU1202" s="269"/>
      <c r="BV1202" s="269"/>
      <c r="BW1202" s="269"/>
      <c r="BX1202" s="269"/>
      <c r="BY1202" s="269"/>
      <c r="BZ1202" s="269"/>
      <c r="CA1202" s="269"/>
      <c r="CB1202" s="269"/>
      <c r="CC1202" s="269"/>
      <c r="CD1202" s="269"/>
      <c r="CE1202" s="269"/>
      <c r="CF1202" s="269"/>
      <c r="CG1202" s="269"/>
      <c r="CH1202" s="269"/>
      <c r="CI1202" s="269"/>
      <c r="CJ1202" s="269"/>
      <c r="CK1202" s="269"/>
      <c r="CL1202" s="269"/>
      <c r="CM1202" s="269"/>
      <c r="CN1202" s="269"/>
      <c r="CO1202" s="302"/>
      <c r="CR1202" s="269"/>
      <c r="CS1202" s="269"/>
      <c r="CT1202" s="269"/>
      <c r="CU1202" s="269"/>
      <c r="CV1202" s="269"/>
      <c r="CW1202" s="269"/>
      <c r="CX1202" s="269"/>
      <c r="CY1202" s="269"/>
      <c r="CZ1202" s="269"/>
      <c r="DA1202" s="269"/>
      <c r="DB1202" s="269"/>
      <c r="DC1202" s="269"/>
      <c r="DD1202" s="269"/>
      <c r="DE1202" s="269"/>
      <c r="DF1202" s="269"/>
      <c r="DG1202" s="269"/>
      <c r="DH1202" s="269"/>
      <c r="DI1202" s="269"/>
      <c r="DJ1202" s="269"/>
      <c r="DK1202" s="269"/>
      <c r="DL1202" s="269"/>
      <c r="DM1202" s="269"/>
      <c r="DN1202" s="269"/>
      <c r="DO1202" s="269"/>
      <c r="DP1202" s="269"/>
      <c r="DQ1202" s="269"/>
      <c r="DR1202" s="269"/>
      <c r="DS1202" s="269"/>
      <c r="DT1202" s="269"/>
      <c r="DU1202" s="269"/>
      <c r="DV1202" s="269"/>
      <c r="DW1202" s="269"/>
      <c r="DX1202" s="269"/>
      <c r="DY1202" s="269"/>
      <c r="DZ1202" s="269"/>
      <c r="EA1202" s="269"/>
      <c r="EB1202" s="269"/>
      <c r="EC1202" s="269"/>
      <c r="ED1202" s="269"/>
      <c r="EE1202" s="269"/>
      <c r="EF1202" s="269"/>
      <c r="EG1202" s="269"/>
      <c r="EH1202" s="269"/>
      <c r="EI1202" s="269"/>
      <c r="EJ1202" s="269"/>
      <c r="EK1202" s="269"/>
      <c r="EL1202" s="269"/>
      <c r="EM1202" s="269"/>
      <c r="EN1202" s="269"/>
      <c r="EO1202" s="269"/>
      <c r="EP1202" s="269"/>
      <c r="EQ1202" s="269"/>
      <c r="ER1202" s="269"/>
      <c r="ES1202" s="269"/>
      <c r="ET1202" s="269"/>
      <c r="EU1202" s="269"/>
      <c r="EV1202" s="269"/>
      <c r="EW1202" s="269"/>
      <c r="EX1202" s="269"/>
      <c r="EY1202" s="269"/>
      <c r="EZ1202" s="269"/>
      <c r="FA1202" s="269"/>
      <c r="FB1202" s="269"/>
      <c r="FC1202" s="269"/>
    </row>
    <row r="1203" spans="3:159" hidden="1">
      <c r="C1203" s="263"/>
      <c r="D1203" s="269"/>
      <c r="E1203" s="269"/>
      <c r="F1203" s="269"/>
      <c r="G1203" s="269"/>
      <c r="H1203" s="269"/>
      <c r="I1203" s="269"/>
      <c r="J1203" s="269"/>
      <c r="K1203" s="269"/>
      <c r="L1203" s="269"/>
      <c r="M1203" s="269"/>
      <c r="N1203" s="269"/>
      <c r="O1203" s="269"/>
      <c r="P1203" s="269"/>
      <c r="Q1203" s="269"/>
      <c r="R1203" s="269"/>
      <c r="S1203" s="269"/>
      <c r="T1203" s="269"/>
      <c r="U1203" s="269"/>
      <c r="V1203" s="269"/>
      <c r="W1203" s="269"/>
      <c r="X1203" s="269"/>
      <c r="Y1203" s="269"/>
      <c r="Z1203" s="269"/>
      <c r="AA1203" s="269"/>
      <c r="AB1203" s="269"/>
      <c r="AC1203" s="269"/>
      <c r="AD1203" s="269"/>
      <c r="AE1203" s="269"/>
      <c r="AF1203" s="269"/>
      <c r="AG1203" s="269"/>
      <c r="AO1203" s="338"/>
      <c r="AP1203" s="449"/>
      <c r="AR1203" s="449"/>
      <c r="AS1203" s="449"/>
      <c r="BA1203" s="269"/>
      <c r="BB1203" s="269"/>
      <c r="BC1203" s="269"/>
      <c r="BD1203" s="269"/>
      <c r="BE1203" s="269"/>
      <c r="BF1203" s="269"/>
      <c r="BG1203" s="269"/>
      <c r="BH1203" s="269"/>
      <c r="BI1203" s="269"/>
      <c r="BJ1203" s="269"/>
      <c r="BK1203" s="269"/>
      <c r="BL1203" s="269"/>
      <c r="BM1203" s="269"/>
      <c r="BN1203" s="269"/>
      <c r="BO1203" s="269"/>
      <c r="BP1203" s="269"/>
      <c r="BQ1203" s="269"/>
      <c r="BR1203" s="269"/>
      <c r="BS1203" s="269"/>
      <c r="BT1203" s="269"/>
      <c r="BU1203" s="269"/>
      <c r="BV1203" s="269"/>
      <c r="BW1203" s="269"/>
      <c r="BX1203" s="269"/>
      <c r="BY1203" s="269"/>
      <c r="BZ1203" s="269"/>
      <c r="CA1203" s="269"/>
      <c r="CB1203" s="269"/>
      <c r="CC1203" s="269"/>
      <c r="CD1203" s="269"/>
      <c r="CE1203" s="269"/>
      <c r="CF1203" s="269"/>
      <c r="CG1203" s="269"/>
      <c r="CH1203" s="269"/>
      <c r="CI1203" s="269"/>
      <c r="CJ1203" s="269"/>
      <c r="CK1203" s="269"/>
      <c r="CL1203" s="269"/>
      <c r="CM1203" s="269"/>
      <c r="CN1203" s="269"/>
      <c r="CO1203" s="302"/>
      <c r="CR1203" s="269"/>
      <c r="CS1203" s="269"/>
      <c r="CT1203" s="269"/>
      <c r="CU1203" s="269"/>
      <c r="CV1203" s="269"/>
      <c r="CW1203" s="269"/>
      <c r="CX1203" s="269"/>
      <c r="CY1203" s="269"/>
      <c r="CZ1203" s="269"/>
      <c r="DA1203" s="269"/>
      <c r="DB1203" s="269"/>
      <c r="DC1203" s="269"/>
      <c r="DD1203" s="269"/>
      <c r="DE1203" s="269"/>
      <c r="DF1203" s="269"/>
      <c r="DG1203" s="269"/>
      <c r="DH1203" s="269"/>
      <c r="DI1203" s="269"/>
      <c r="DJ1203" s="269"/>
      <c r="DK1203" s="269"/>
      <c r="DL1203" s="269"/>
      <c r="DM1203" s="269"/>
      <c r="DN1203" s="269"/>
      <c r="DO1203" s="269"/>
      <c r="DP1203" s="269"/>
      <c r="DQ1203" s="269"/>
      <c r="DR1203" s="269"/>
      <c r="DS1203" s="269"/>
      <c r="DT1203" s="269"/>
      <c r="DU1203" s="269"/>
      <c r="DV1203" s="269"/>
      <c r="DW1203" s="269"/>
      <c r="DX1203" s="269"/>
      <c r="DY1203" s="269"/>
      <c r="DZ1203" s="269"/>
      <c r="EA1203" s="269"/>
      <c r="EB1203" s="269"/>
      <c r="EC1203" s="269"/>
      <c r="ED1203" s="269"/>
      <c r="EE1203" s="269"/>
      <c r="EF1203" s="269"/>
      <c r="EG1203" s="269"/>
      <c r="EH1203" s="269"/>
      <c r="EI1203" s="269"/>
      <c r="EJ1203" s="269"/>
      <c r="EK1203" s="269"/>
      <c r="EL1203" s="269"/>
      <c r="EM1203" s="269"/>
      <c r="EN1203" s="269"/>
      <c r="EO1203" s="269"/>
      <c r="EP1203" s="269"/>
      <c r="EQ1203" s="269"/>
      <c r="ER1203" s="269"/>
      <c r="ES1203" s="269"/>
      <c r="ET1203" s="269"/>
      <c r="EU1203" s="269"/>
      <c r="EV1203" s="269"/>
      <c r="EW1203" s="269"/>
      <c r="EX1203" s="269"/>
      <c r="EY1203" s="269"/>
      <c r="EZ1203" s="269"/>
      <c r="FA1203" s="269"/>
      <c r="FB1203" s="269"/>
      <c r="FC1203" s="269"/>
    </row>
    <row r="1204" spans="3:159" hidden="1">
      <c r="C1204" s="263"/>
      <c r="D1204" s="269"/>
      <c r="E1204" s="269"/>
      <c r="F1204" s="269"/>
      <c r="G1204" s="269"/>
      <c r="H1204" s="269"/>
      <c r="I1204" s="269"/>
      <c r="J1204" s="269"/>
      <c r="K1204" s="269"/>
      <c r="L1204" s="269"/>
      <c r="M1204" s="269"/>
      <c r="N1204" s="269"/>
      <c r="O1204" s="269"/>
      <c r="P1204" s="269"/>
      <c r="Q1204" s="269"/>
      <c r="R1204" s="269"/>
      <c r="S1204" s="269"/>
      <c r="T1204" s="269"/>
      <c r="U1204" s="269"/>
      <c r="V1204" s="269"/>
      <c r="W1204" s="269"/>
      <c r="X1204" s="269"/>
      <c r="Y1204" s="269"/>
      <c r="Z1204" s="269"/>
      <c r="AA1204" s="269"/>
      <c r="AB1204" s="269"/>
      <c r="AC1204" s="269"/>
      <c r="AD1204" s="269"/>
      <c r="AE1204" s="269"/>
      <c r="AF1204" s="269"/>
      <c r="AG1204" s="269"/>
      <c r="AO1204" s="338"/>
      <c r="AP1204" s="449"/>
      <c r="AR1204" s="449"/>
      <c r="AS1204" s="449"/>
      <c r="BA1204" s="269"/>
      <c r="BB1204" s="269"/>
      <c r="BC1204" s="269"/>
      <c r="BD1204" s="269"/>
      <c r="BE1204" s="269"/>
      <c r="BF1204" s="269"/>
      <c r="BG1204" s="269"/>
      <c r="BH1204" s="269"/>
      <c r="BI1204" s="269"/>
      <c r="BJ1204" s="269"/>
      <c r="BK1204" s="269"/>
      <c r="BL1204" s="269"/>
      <c r="BM1204" s="269"/>
      <c r="BN1204" s="269"/>
      <c r="BO1204" s="269"/>
      <c r="BP1204" s="269"/>
      <c r="BQ1204" s="269"/>
      <c r="BR1204" s="269"/>
      <c r="BS1204" s="269"/>
      <c r="BT1204" s="269"/>
      <c r="BU1204" s="269"/>
      <c r="BV1204" s="269"/>
      <c r="BW1204" s="269"/>
      <c r="BX1204" s="269"/>
      <c r="BY1204" s="269"/>
      <c r="BZ1204" s="269"/>
      <c r="CA1204" s="269"/>
      <c r="CB1204" s="269"/>
      <c r="CC1204" s="269"/>
      <c r="CD1204" s="269"/>
      <c r="CE1204" s="269"/>
      <c r="CF1204" s="269"/>
      <c r="CG1204" s="269"/>
      <c r="CH1204" s="269"/>
      <c r="CI1204" s="269"/>
      <c r="CJ1204" s="269"/>
      <c r="CK1204" s="269"/>
      <c r="CL1204" s="269"/>
      <c r="CM1204" s="269"/>
      <c r="CN1204" s="269"/>
      <c r="CO1204" s="302"/>
      <c r="CR1204" s="269"/>
      <c r="CS1204" s="269"/>
      <c r="CT1204" s="269"/>
      <c r="CU1204" s="269"/>
      <c r="CV1204" s="269"/>
      <c r="CW1204" s="269"/>
      <c r="CX1204" s="269"/>
      <c r="CY1204" s="269"/>
      <c r="CZ1204" s="269"/>
      <c r="DA1204" s="269"/>
      <c r="DB1204" s="269"/>
      <c r="DC1204" s="269"/>
      <c r="DD1204" s="269"/>
      <c r="DE1204" s="269"/>
      <c r="DF1204" s="269"/>
      <c r="DG1204" s="269"/>
      <c r="DH1204" s="269"/>
      <c r="DI1204" s="269"/>
      <c r="DJ1204" s="269"/>
      <c r="DK1204" s="269"/>
      <c r="DL1204" s="269"/>
      <c r="DM1204" s="269"/>
      <c r="DN1204" s="269"/>
      <c r="DO1204" s="269"/>
      <c r="DP1204" s="269"/>
      <c r="DQ1204" s="269"/>
      <c r="DR1204" s="269"/>
      <c r="DS1204" s="269"/>
      <c r="DT1204" s="269"/>
      <c r="DU1204" s="269"/>
      <c r="DV1204" s="269"/>
      <c r="DW1204" s="269"/>
      <c r="DX1204" s="269"/>
      <c r="DY1204" s="269"/>
      <c r="DZ1204" s="269"/>
      <c r="EA1204" s="269"/>
      <c r="EB1204" s="269"/>
      <c r="EC1204" s="269"/>
      <c r="ED1204" s="269"/>
      <c r="EE1204" s="269"/>
      <c r="EF1204" s="269"/>
      <c r="EG1204" s="269"/>
      <c r="EH1204" s="269"/>
      <c r="EI1204" s="269"/>
      <c r="EJ1204" s="269"/>
      <c r="EK1204" s="269"/>
      <c r="EL1204" s="269"/>
      <c r="EM1204" s="269"/>
      <c r="EN1204" s="269"/>
      <c r="EO1204" s="269"/>
      <c r="EP1204" s="269"/>
      <c r="EQ1204" s="269"/>
      <c r="ER1204" s="269"/>
      <c r="ES1204" s="269"/>
      <c r="ET1204" s="269"/>
      <c r="EU1204" s="269"/>
      <c r="EV1204" s="269"/>
      <c r="EW1204" s="269"/>
      <c r="EX1204" s="269"/>
      <c r="EY1204" s="269"/>
      <c r="EZ1204" s="269"/>
      <c r="FA1204" s="269"/>
      <c r="FB1204" s="269"/>
      <c r="FC1204" s="269"/>
    </row>
    <row r="1205" spans="3:159" hidden="1">
      <c r="C1205" s="263" t="s">
        <v>1136</v>
      </c>
      <c r="D1205" s="268"/>
      <c r="E1205" s="268"/>
      <c r="F1205" s="268"/>
      <c r="G1205" s="268"/>
      <c r="H1205" s="268"/>
      <c r="I1205" s="268"/>
      <c r="J1205" s="268">
        <v>0</v>
      </c>
      <c r="K1205" s="268">
        <v>281.73706127305184</v>
      </c>
      <c r="L1205" s="268">
        <v>497.56097560975616</v>
      </c>
      <c r="M1205" s="268">
        <v>494</v>
      </c>
      <c r="N1205" s="268">
        <v>632.19512195121956</v>
      </c>
      <c r="O1205" s="268">
        <v>806.18679357525298</v>
      </c>
      <c r="P1205" s="268">
        <v>1029.3524470045418</v>
      </c>
      <c r="Q1205" s="268">
        <v>1115.5264723378943</v>
      </c>
      <c r="R1205" s="268">
        <v>1393.1707317073171</v>
      </c>
      <c r="S1205" s="268">
        <v>1442</v>
      </c>
      <c r="T1205" s="268">
        <v>1528.7874999999999</v>
      </c>
      <c r="U1205" s="268">
        <v>1562.2793749999998</v>
      </c>
      <c r="V1205" s="269"/>
      <c r="W1205" s="269"/>
      <c r="X1205" s="269"/>
      <c r="Y1205" s="269"/>
      <c r="Z1205" s="269"/>
      <c r="AA1205" s="269"/>
      <c r="AB1205" s="269"/>
      <c r="AC1205" s="269"/>
      <c r="AD1205" s="269"/>
      <c r="AE1205" s="269"/>
      <c r="AF1205" s="269"/>
      <c r="AG1205" s="269"/>
      <c r="AO1205" s="338"/>
      <c r="AP1205" s="449"/>
      <c r="AR1205" s="449"/>
      <c r="AS1205" s="449"/>
      <c r="BA1205" s="269"/>
      <c r="BB1205" s="269"/>
      <c r="BC1205" s="269"/>
      <c r="BD1205" s="269"/>
      <c r="BE1205" s="269"/>
      <c r="BF1205" s="269"/>
      <c r="BG1205" s="269"/>
      <c r="BH1205" s="269"/>
      <c r="BI1205" s="269"/>
      <c r="BJ1205" s="269"/>
      <c r="BK1205" s="269"/>
      <c r="BL1205" s="269"/>
      <c r="BM1205" s="269"/>
      <c r="BN1205" s="269"/>
      <c r="BO1205" s="269"/>
      <c r="BP1205" s="269"/>
      <c r="BQ1205" s="269"/>
      <c r="BR1205" s="269"/>
      <c r="BS1205" s="269"/>
      <c r="BT1205" s="269"/>
      <c r="BU1205" s="269"/>
      <c r="BV1205" s="269"/>
      <c r="BW1205" s="269"/>
      <c r="BX1205" s="269"/>
      <c r="BY1205" s="269"/>
      <c r="BZ1205" s="269"/>
      <c r="CA1205" s="269"/>
      <c r="CB1205" s="269"/>
      <c r="CC1205" s="269"/>
      <c r="CD1205" s="269"/>
      <c r="CE1205" s="269"/>
      <c r="CF1205" s="269"/>
      <c r="CG1205" s="269"/>
      <c r="CH1205" s="269"/>
      <c r="CI1205" s="269"/>
      <c r="CJ1205" s="269"/>
      <c r="CK1205" s="269"/>
      <c r="CL1205" s="269"/>
      <c r="CM1205" s="269"/>
      <c r="CN1205" s="269"/>
      <c r="CO1205" s="302"/>
      <c r="CR1205" s="269"/>
      <c r="CS1205" s="269"/>
      <c r="CT1205" s="269"/>
      <c r="CU1205" s="269"/>
      <c r="CV1205" s="269"/>
      <c r="CW1205" s="269"/>
      <c r="CX1205" s="269"/>
      <c r="CY1205" s="269"/>
      <c r="CZ1205" s="269"/>
      <c r="DA1205" s="269"/>
      <c r="DB1205" s="269"/>
      <c r="DC1205" s="269"/>
      <c r="DD1205" s="269"/>
      <c r="DE1205" s="269"/>
      <c r="DF1205" s="269"/>
      <c r="DG1205" s="269"/>
      <c r="DH1205" s="269"/>
      <c r="DI1205" s="269"/>
      <c r="DJ1205" s="269"/>
      <c r="DK1205" s="269"/>
      <c r="DL1205" s="269"/>
      <c r="DM1205" s="269"/>
      <c r="DN1205" s="269"/>
      <c r="DO1205" s="269"/>
      <c r="DP1205" s="269"/>
      <c r="DQ1205" s="269"/>
      <c r="DR1205" s="269"/>
      <c r="DS1205" s="269"/>
      <c r="DT1205" s="269"/>
      <c r="DU1205" s="269"/>
      <c r="DV1205" s="269"/>
      <c r="DW1205" s="269"/>
      <c r="DX1205" s="269"/>
      <c r="DY1205" s="269"/>
      <c r="DZ1205" s="269"/>
      <c r="EA1205" s="269"/>
      <c r="EB1205" s="269"/>
      <c r="EC1205" s="269"/>
      <c r="ED1205" s="269"/>
      <c r="EE1205" s="269"/>
      <c r="EF1205" s="269"/>
      <c r="EG1205" s="269"/>
      <c r="EH1205" s="269"/>
      <c r="EI1205" s="269"/>
      <c r="EJ1205" s="269"/>
      <c r="EK1205" s="269"/>
      <c r="EL1205" s="269"/>
      <c r="EM1205" s="269"/>
      <c r="EN1205" s="269"/>
      <c r="EO1205" s="269"/>
      <c r="EP1205" s="269"/>
      <c r="EQ1205" s="269"/>
      <c r="ER1205" s="269"/>
      <c r="ES1205" s="269"/>
      <c r="ET1205" s="269"/>
      <c r="EU1205" s="269"/>
      <c r="EV1205" s="269"/>
      <c r="EW1205" s="269"/>
      <c r="EX1205" s="269"/>
      <c r="EY1205" s="269"/>
      <c r="EZ1205" s="269"/>
      <c r="FA1205" s="269"/>
      <c r="FB1205" s="269"/>
      <c r="FC1205" s="269"/>
    </row>
    <row r="1206" spans="3:159" hidden="1">
      <c r="C1206" s="267" t="s">
        <v>953</v>
      </c>
      <c r="D1206" s="269"/>
      <c r="E1206" s="269"/>
      <c r="F1206" s="269"/>
      <c r="G1206" s="269"/>
      <c r="H1206" s="269"/>
      <c r="I1206" s="269"/>
      <c r="J1206" s="269"/>
      <c r="K1206" s="269"/>
      <c r="L1206" s="264">
        <v>0.76604729729729693</v>
      </c>
      <c r="M1206" s="264">
        <v>-7.1568627450981914E-3</v>
      </c>
      <c r="N1206" s="264">
        <v>0.27974721042757</v>
      </c>
      <c r="O1206" s="264">
        <v>0.27521830773863298</v>
      </c>
      <c r="P1206" s="264">
        <v>0.27681631007573371</v>
      </c>
      <c r="Q1206" s="264">
        <v>8.3716734325665287E-2</v>
      </c>
      <c r="R1206" s="264">
        <v>0.24889078498293493</v>
      </c>
      <c r="S1206" s="264">
        <v>3.5049019607843013E-2</v>
      </c>
      <c r="T1206" s="264">
        <v>6.0185506241331455E-2</v>
      </c>
      <c r="U1206" s="264">
        <v>2.1907475695608358E-2</v>
      </c>
      <c r="V1206" s="269"/>
      <c r="W1206" s="269"/>
      <c r="X1206" s="269"/>
      <c r="Y1206" s="269"/>
      <c r="Z1206" s="269"/>
      <c r="AA1206" s="269"/>
      <c r="AB1206" s="269"/>
      <c r="AC1206" s="269"/>
      <c r="AD1206" s="269"/>
      <c r="AE1206" s="269"/>
      <c r="AF1206" s="269"/>
      <c r="AG1206" s="269"/>
      <c r="AO1206" s="338"/>
      <c r="AP1206" s="449"/>
      <c r="AR1206" s="449"/>
      <c r="AS1206" s="449"/>
      <c r="BA1206" s="269"/>
      <c r="BB1206" s="269"/>
      <c r="BC1206" s="269"/>
      <c r="BD1206" s="269"/>
      <c r="BE1206" s="269"/>
      <c r="BF1206" s="269"/>
      <c r="BG1206" s="269"/>
      <c r="BH1206" s="269"/>
      <c r="BI1206" s="269"/>
      <c r="BJ1206" s="269"/>
      <c r="BK1206" s="269"/>
      <c r="BL1206" s="269"/>
      <c r="BM1206" s="269"/>
      <c r="BN1206" s="269"/>
      <c r="BO1206" s="269"/>
      <c r="BP1206" s="269"/>
      <c r="BQ1206" s="269"/>
      <c r="BR1206" s="269"/>
      <c r="BS1206" s="269"/>
      <c r="BT1206" s="269"/>
      <c r="BU1206" s="269"/>
      <c r="BV1206" s="269"/>
      <c r="BW1206" s="269"/>
      <c r="BX1206" s="269"/>
      <c r="BY1206" s="269"/>
      <c r="BZ1206" s="269"/>
      <c r="CA1206" s="269"/>
      <c r="CB1206" s="269"/>
      <c r="CC1206" s="269"/>
      <c r="CD1206" s="269"/>
      <c r="CE1206" s="269"/>
      <c r="CF1206" s="269"/>
      <c r="CG1206" s="269"/>
      <c r="CH1206" s="269"/>
      <c r="CI1206" s="269"/>
      <c r="CJ1206" s="269"/>
      <c r="CK1206" s="269"/>
      <c r="CL1206" s="269"/>
      <c r="CM1206" s="269"/>
      <c r="CN1206" s="269"/>
      <c r="CO1206" s="302"/>
      <c r="CR1206" s="269"/>
      <c r="CS1206" s="269"/>
      <c r="CT1206" s="269"/>
      <c r="CU1206" s="269"/>
      <c r="CV1206" s="269"/>
      <c r="CW1206" s="269"/>
      <c r="CX1206" s="269"/>
      <c r="CY1206" s="269"/>
      <c r="CZ1206" s="269"/>
      <c r="DA1206" s="269"/>
      <c r="DB1206" s="269"/>
      <c r="DC1206" s="269"/>
      <c r="DD1206" s="269"/>
      <c r="DE1206" s="269"/>
      <c r="DF1206" s="269"/>
      <c r="DG1206" s="269"/>
      <c r="DH1206" s="269"/>
      <c r="DI1206" s="269"/>
      <c r="DJ1206" s="269"/>
      <c r="DK1206" s="269"/>
      <c r="DL1206" s="269"/>
      <c r="DM1206" s="269"/>
      <c r="DN1206" s="269"/>
      <c r="DO1206" s="269"/>
      <c r="DP1206" s="269"/>
      <c r="DQ1206" s="269"/>
      <c r="DR1206" s="269"/>
      <c r="DS1206" s="269"/>
      <c r="DT1206" s="269"/>
      <c r="DU1206" s="269"/>
      <c r="DV1206" s="269"/>
      <c r="DW1206" s="269"/>
      <c r="DX1206" s="269"/>
      <c r="DY1206" s="269"/>
      <c r="DZ1206" s="269"/>
      <c r="EA1206" s="269"/>
      <c r="EB1206" s="269"/>
      <c r="EC1206" s="269"/>
      <c r="ED1206" s="269"/>
      <c r="EE1206" s="269"/>
      <c r="EF1206" s="269"/>
      <c r="EG1206" s="269"/>
      <c r="EH1206" s="269"/>
      <c r="EI1206" s="269"/>
      <c r="EJ1206" s="269"/>
      <c r="EK1206" s="269"/>
      <c r="EL1206" s="269"/>
      <c r="EM1206" s="269"/>
      <c r="EN1206" s="269"/>
      <c r="EO1206" s="269"/>
      <c r="EP1206" s="269"/>
      <c r="EQ1206" s="269"/>
      <c r="ER1206" s="269"/>
      <c r="ES1206" s="269"/>
      <c r="ET1206" s="269"/>
      <c r="EU1206" s="269"/>
      <c r="EV1206" s="269"/>
      <c r="EW1206" s="269"/>
      <c r="EX1206" s="269"/>
      <c r="EY1206" s="269"/>
      <c r="EZ1206" s="269"/>
      <c r="FA1206" s="269"/>
      <c r="FB1206" s="269"/>
      <c r="FC1206" s="269"/>
    </row>
    <row r="1207" spans="3:159" hidden="1">
      <c r="C1207" s="263" t="s">
        <v>1137</v>
      </c>
      <c r="D1207" s="269"/>
      <c r="E1207" s="269"/>
      <c r="F1207" s="269"/>
      <c r="G1207" s="269"/>
      <c r="H1207" s="269"/>
      <c r="I1207" s="269"/>
      <c r="J1207" s="269"/>
      <c r="K1207" s="269"/>
      <c r="L1207" s="268">
        <v>1467.3670243902438</v>
      </c>
      <c r="M1207" s="268">
        <v>1393.0940000000001</v>
      </c>
      <c r="N1207" s="268">
        <v>1314.8048780487804</v>
      </c>
      <c r="O1207" s="268">
        <v>1331.813206424747</v>
      </c>
      <c r="P1207" s="268">
        <v>1607.6475529954582</v>
      </c>
      <c r="Q1207" s="268">
        <v>1720.1828817051403</v>
      </c>
      <c r="R1207" s="268">
        <v>1840.5956834245003</v>
      </c>
      <c r="S1207" s="268">
        <v>1969.4373812642154</v>
      </c>
      <c r="T1207" s="268">
        <v>2107.2979979527108</v>
      </c>
      <c r="U1207" s="268">
        <v>2254.8088578094007</v>
      </c>
      <c r="V1207" s="269"/>
      <c r="W1207" s="269"/>
      <c r="X1207" s="269"/>
      <c r="Y1207" s="269"/>
      <c r="Z1207" s="269"/>
      <c r="AA1207" s="269"/>
      <c r="AB1207" s="269"/>
      <c r="AC1207" s="269"/>
      <c r="AD1207" s="269"/>
      <c r="AE1207" s="269"/>
      <c r="AF1207" s="269"/>
      <c r="AG1207" s="269"/>
      <c r="AO1207" s="338"/>
      <c r="AP1207" s="449"/>
      <c r="AR1207" s="449"/>
      <c r="AS1207" s="449"/>
      <c r="BA1207" s="269"/>
      <c r="BB1207" s="269"/>
      <c r="BC1207" s="269"/>
      <c r="BD1207" s="269"/>
      <c r="BE1207" s="269"/>
      <c r="BF1207" s="269"/>
      <c r="BG1207" s="269"/>
      <c r="BH1207" s="269"/>
      <c r="BI1207" s="269"/>
      <c r="BJ1207" s="269"/>
      <c r="BK1207" s="269"/>
      <c r="BL1207" s="269"/>
      <c r="BM1207" s="269"/>
      <c r="BN1207" s="269"/>
      <c r="BO1207" s="269"/>
      <c r="BP1207" s="269"/>
      <c r="BQ1207" s="269"/>
      <c r="BR1207" s="269"/>
      <c r="BS1207" s="269"/>
      <c r="BT1207" s="269"/>
      <c r="BU1207" s="269"/>
      <c r="BV1207" s="269"/>
      <c r="BW1207" s="269"/>
      <c r="BX1207" s="269"/>
      <c r="BY1207" s="269"/>
      <c r="BZ1207" s="269"/>
      <c r="CA1207" s="269"/>
      <c r="CB1207" s="269"/>
      <c r="CC1207" s="269"/>
      <c r="CD1207" s="269"/>
      <c r="CE1207" s="269"/>
      <c r="CF1207" s="269"/>
      <c r="CG1207" s="269"/>
      <c r="CH1207" s="269"/>
      <c r="CI1207" s="269"/>
      <c r="CJ1207" s="269"/>
      <c r="CK1207" s="269"/>
      <c r="CL1207" s="269"/>
      <c r="CM1207" s="269"/>
      <c r="CN1207" s="269"/>
      <c r="CO1207" s="302"/>
      <c r="CR1207" s="269"/>
      <c r="CS1207" s="269"/>
      <c r="CT1207" s="269"/>
      <c r="CU1207" s="269"/>
      <c r="CV1207" s="269"/>
      <c r="CW1207" s="269"/>
      <c r="CX1207" s="269"/>
      <c r="CY1207" s="269"/>
      <c r="CZ1207" s="269"/>
      <c r="DA1207" s="269"/>
      <c r="DB1207" s="269"/>
      <c r="DC1207" s="269"/>
      <c r="DD1207" s="269"/>
      <c r="DE1207" s="269"/>
      <c r="DF1207" s="269"/>
      <c r="DG1207" s="269"/>
      <c r="DH1207" s="269"/>
      <c r="DI1207" s="269"/>
      <c r="DJ1207" s="269"/>
      <c r="DK1207" s="269"/>
      <c r="DL1207" s="269"/>
      <c r="DM1207" s="269"/>
      <c r="DN1207" s="269"/>
      <c r="DO1207" s="269"/>
      <c r="DP1207" s="269"/>
      <c r="DQ1207" s="269"/>
      <c r="DR1207" s="269"/>
      <c r="DS1207" s="269"/>
      <c r="DT1207" s="269"/>
      <c r="DU1207" s="269"/>
      <c r="DV1207" s="269"/>
      <c r="DW1207" s="269"/>
      <c r="DX1207" s="269"/>
      <c r="DY1207" s="269"/>
      <c r="DZ1207" s="269"/>
      <c r="EA1207" s="269"/>
      <c r="EB1207" s="269"/>
      <c r="EC1207" s="269"/>
      <c r="ED1207" s="269"/>
      <c r="EE1207" s="269"/>
      <c r="EF1207" s="269"/>
      <c r="EG1207" s="269"/>
      <c r="EH1207" s="269"/>
      <c r="EI1207" s="269"/>
      <c r="EJ1207" s="269"/>
      <c r="EK1207" s="269"/>
      <c r="EL1207" s="269"/>
      <c r="EM1207" s="269"/>
      <c r="EN1207" s="269"/>
      <c r="EO1207" s="269"/>
      <c r="EP1207" s="269"/>
      <c r="EQ1207" s="269"/>
      <c r="ER1207" s="269"/>
      <c r="ES1207" s="269"/>
      <c r="ET1207" s="269"/>
      <c r="EU1207" s="269"/>
      <c r="EV1207" s="269"/>
      <c r="EW1207" s="269"/>
      <c r="EX1207" s="269"/>
      <c r="EY1207" s="269"/>
      <c r="EZ1207" s="269"/>
      <c r="FA1207" s="269"/>
      <c r="FB1207" s="269"/>
      <c r="FC1207" s="269"/>
    </row>
    <row r="1208" spans="3:159" hidden="1">
      <c r="C1208" s="267" t="s">
        <v>953</v>
      </c>
      <c r="D1208" s="269"/>
      <c r="E1208" s="269"/>
      <c r="F1208" s="269"/>
      <c r="G1208" s="269"/>
      <c r="H1208" s="269"/>
      <c r="I1208" s="269"/>
      <c r="J1208" s="269"/>
      <c r="K1208" s="269"/>
      <c r="L1208" s="269"/>
      <c r="M1208" s="264">
        <v>-5.0616528213933032E-2</v>
      </c>
      <c r="N1208" s="264">
        <v>-5.6198018189167143E-2</v>
      </c>
      <c r="O1208" s="264">
        <v>1.2936009486979927E-2</v>
      </c>
      <c r="P1208" s="264">
        <v>0.20711188719264073</v>
      </c>
      <c r="Q1208" s="270">
        <v>7.0000000000000007E-2</v>
      </c>
      <c r="R1208" s="270">
        <v>7.0000000000000007E-2</v>
      </c>
      <c r="S1208" s="270">
        <v>7.0000000000000007E-2</v>
      </c>
      <c r="T1208" s="270">
        <v>7.0000000000000007E-2</v>
      </c>
      <c r="U1208" s="270">
        <v>7.0000000000000007E-2</v>
      </c>
      <c r="V1208" s="269"/>
      <c r="W1208" s="269"/>
      <c r="X1208" s="269"/>
      <c r="Y1208" s="269"/>
      <c r="Z1208" s="269"/>
      <c r="AA1208" s="269"/>
      <c r="AB1208" s="269"/>
      <c r="AC1208" s="269"/>
      <c r="AD1208" s="269"/>
      <c r="AE1208" s="269"/>
      <c r="AF1208" s="269"/>
      <c r="AG1208" s="269"/>
      <c r="AO1208" s="338"/>
      <c r="AP1208" s="449"/>
      <c r="AR1208" s="449"/>
      <c r="AS1208" s="449"/>
      <c r="BA1208" s="269"/>
      <c r="BB1208" s="269"/>
      <c r="BC1208" s="269"/>
      <c r="BD1208" s="269"/>
      <c r="BE1208" s="269"/>
      <c r="BF1208" s="269"/>
      <c r="BG1208" s="269"/>
      <c r="BH1208" s="269"/>
      <c r="BI1208" s="269"/>
      <c r="BJ1208" s="269"/>
      <c r="BK1208" s="269"/>
      <c r="BL1208" s="269"/>
      <c r="BM1208" s="269"/>
      <c r="BN1208" s="269"/>
      <c r="BO1208" s="269"/>
      <c r="BP1208" s="269"/>
      <c r="BQ1208" s="269"/>
      <c r="BR1208" s="269"/>
      <c r="BS1208" s="269"/>
      <c r="BT1208" s="269"/>
      <c r="BU1208" s="269"/>
      <c r="BV1208" s="269"/>
      <c r="BW1208" s="269"/>
      <c r="BX1208" s="269"/>
      <c r="BY1208" s="269"/>
      <c r="BZ1208" s="269"/>
      <c r="CA1208" s="269"/>
      <c r="CB1208" s="269"/>
      <c r="CC1208" s="269"/>
      <c r="CD1208" s="269"/>
      <c r="CE1208" s="269"/>
      <c r="CF1208" s="269"/>
      <c r="CG1208" s="269"/>
      <c r="CH1208" s="269"/>
      <c r="CI1208" s="269"/>
      <c r="CJ1208" s="269"/>
      <c r="CK1208" s="269"/>
      <c r="CL1208" s="269"/>
      <c r="CM1208" s="269"/>
      <c r="CN1208" s="269"/>
      <c r="CO1208" s="302"/>
      <c r="CR1208" s="269"/>
      <c r="CS1208" s="269"/>
      <c r="CT1208" s="269"/>
      <c r="CU1208" s="269"/>
      <c r="CV1208" s="269"/>
      <c r="CW1208" s="269"/>
      <c r="CX1208" s="269"/>
      <c r="CY1208" s="269"/>
      <c r="CZ1208" s="269"/>
      <c r="DA1208" s="269"/>
      <c r="DB1208" s="269"/>
      <c r="DC1208" s="269"/>
      <c r="DD1208" s="269"/>
      <c r="DE1208" s="269"/>
      <c r="DF1208" s="269"/>
      <c r="DG1208" s="269"/>
      <c r="DH1208" s="269"/>
      <c r="DI1208" s="269"/>
      <c r="DJ1208" s="269"/>
      <c r="DK1208" s="269"/>
      <c r="DL1208" s="269"/>
      <c r="DM1208" s="269"/>
      <c r="DN1208" s="269"/>
      <c r="DO1208" s="269"/>
      <c r="DP1208" s="269"/>
      <c r="DQ1208" s="269"/>
      <c r="DR1208" s="269"/>
      <c r="DS1208" s="269"/>
      <c r="DT1208" s="269"/>
      <c r="DU1208" s="269"/>
      <c r="DV1208" s="269"/>
      <c r="DW1208" s="269"/>
      <c r="DX1208" s="269"/>
      <c r="DY1208" s="269"/>
      <c r="DZ1208" s="269"/>
      <c r="EA1208" s="269"/>
      <c r="EB1208" s="269"/>
      <c r="EC1208" s="269"/>
      <c r="ED1208" s="269"/>
      <c r="EE1208" s="269"/>
      <c r="EF1208" s="269"/>
      <c r="EG1208" s="269"/>
      <c r="EH1208" s="269"/>
      <c r="EI1208" s="269"/>
      <c r="EJ1208" s="269"/>
      <c r="EK1208" s="269"/>
      <c r="EL1208" s="269"/>
      <c r="EM1208" s="269"/>
      <c r="EN1208" s="269"/>
      <c r="EO1208" s="269"/>
      <c r="EP1208" s="269"/>
      <c r="EQ1208" s="269"/>
      <c r="ER1208" s="269"/>
      <c r="ES1208" s="269"/>
      <c r="ET1208" s="269"/>
      <c r="EU1208" s="269"/>
      <c r="EV1208" s="269"/>
      <c r="EW1208" s="269"/>
      <c r="EX1208" s="269"/>
      <c r="EY1208" s="269"/>
      <c r="EZ1208" s="269"/>
      <c r="FA1208" s="269"/>
      <c r="FB1208" s="269"/>
      <c r="FC1208" s="269"/>
    </row>
    <row r="1209" spans="3:159" hidden="1">
      <c r="C1209" s="263" t="s">
        <v>1138</v>
      </c>
      <c r="D1209" s="269"/>
      <c r="E1209" s="269"/>
      <c r="F1209" s="269"/>
      <c r="G1209" s="269"/>
      <c r="H1209" s="269"/>
      <c r="I1209" s="269"/>
      <c r="J1209" s="269"/>
      <c r="K1209" s="269"/>
      <c r="L1209" s="268">
        <v>1964.9279999999999</v>
      </c>
      <c r="M1209" s="268">
        <v>1887.0940000000001</v>
      </c>
      <c r="N1209" s="268">
        <v>1947</v>
      </c>
      <c r="O1209" s="268">
        <v>2138</v>
      </c>
      <c r="P1209" s="268">
        <v>2637</v>
      </c>
      <c r="Q1209" s="268">
        <v>2835.7093540430346</v>
      </c>
      <c r="R1209" s="268">
        <v>3233.7664151318177</v>
      </c>
      <c r="S1209" s="268">
        <v>3411.4373812642152</v>
      </c>
      <c r="T1209" s="268">
        <v>3636.0854979527107</v>
      </c>
      <c r="U1209" s="268">
        <v>3817.0882328094003</v>
      </c>
      <c r="V1209" s="269"/>
      <c r="W1209" s="269"/>
      <c r="X1209" s="269"/>
      <c r="Y1209" s="269"/>
      <c r="Z1209" s="269"/>
      <c r="AA1209" s="269"/>
      <c r="AB1209" s="269"/>
      <c r="AC1209" s="269"/>
      <c r="AD1209" s="269"/>
      <c r="AE1209" s="269"/>
      <c r="AF1209" s="269"/>
      <c r="AG1209" s="269"/>
      <c r="AO1209" s="338"/>
      <c r="AP1209" s="449"/>
      <c r="AR1209" s="449"/>
      <c r="AS1209" s="449"/>
      <c r="BA1209" s="269"/>
      <c r="BB1209" s="269"/>
      <c r="BC1209" s="269"/>
      <c r="BD1209" s="269"/>
      <c r="BE1209" s="269"/>
      <c r="BF1209" s="269"/>
      <c r="BG1209" s="269"/>
      <c r="BH1209" s="269"/>
      <c r="BI1209" s="269"/>
      <c r="BJ1209" s="269"/>
      <c r="BK1209" s="269"/>
      <c r="BL1209" s="269"/>
      <c r="BM1209" s="269"/>
      <c r="BN1209" s="269"/>
      <c r="BO1209" s="269"/>
      <c r="BP1209" s="269"/>
      <c r="BQ1209" s="269"/>
      <c r="BR1209" s="269"/>
      <c r="BS1209" s="269"/>
      <c r="BT1209" s="269"/>
      <c r="BU1209" s="269"/>
      <c r="BV1209" s="269"/>
      <c r="BW1209" s="269"/>
      <c r="BX1209" s="269"/>
      <c r="BY1209" s="269"/>
      <c r="BZ1209" s="269"/>
      <c r="CA1209" s="269"/>
      <c r="CB1209" s="269"/>
      <c r="CC1209" s="269"/>
      <c r="CD1209" s="269"/>
      <c r="CE1209" s="269"/>
      <c r="CF1209" s="269"/>
      <c r="CG1209" s="269"/>
      <c r="CH1209" s="269"/>
      <c r="CI1209" s="269"/>
      <c r="CJ1209" s="269"/>
      <c r="CK1209" s="269"/>
      <c r="CL1209" s="269"/>
      <c r="CM1209" s="269"/>
      <c r="CN1209" s="269"/>
      <c r="CO1209" s="302"/>
      <c r="CR1209" s="269"/>
      <c r="CS1209" s="269"/>
      <c r="CT1209" s="269"/>
      <c r="CU1209" s="269"/>
      <c r="CV1209" s="269"/>
      <c r="CW1209" s="269"/>
      <c r="CX1209" s="269"/>
      <c r="CY1209" s="269"/>
      <c r="CZ1209" s="269"/>
      <c r="DA1209" s="269"/>
      <c r="DB1209" s="269"/>
      <c r="DC1209" s="269"/>
      <c r="DD1209" s="269"/>
      <c r="DE1209" s="269"/>
      <c r="DF1209" s="269"/>
      <c r="DG1209" s="269"/>
      <c r="DH1209" s="269"/>
      <c r="DI1209" s="269"/>
      <c r="DJ1209" s="269"/>
      <c r="DK1209" s="269"/>
      <c r="DL1209" s="269"/>
      <c r="DM1209" s="269"/>
      <c r="DN1209" s="269"/>
      <c r="DO1209" s="269"/>
      <c r="DP1209" s="269"/>
      <c r="DQ1209" s="269"/>
      <c r="DR1209" s="269"/>
      <c r="DS1209" s="269"/>
      <c r="DT1209" s="269"/>
      <c r="DU1209" s="269"/>
      <c r="DV1209" s="269"/>
      <c r="DW1209" s="269"/>
      <c r="DX1209" s="269"/>
      <c r="DY1209" s="269"/>
      <c r="DZ1209" s="269"/>
      <c r="EA1209" s="269"/>
      <c r="EB1209" s="269"/>
      <c r="EC1209" s="269"/>
      <c r="ED1209" s="269"/>
      <c r="EE1209" s="269"/>
      <c r="EF1209" s="269"/>
      <c r="EG1209" s="269"/>
      <c r="EH1209" s="269"/>
      <c r="EI1209" s="269"/>
      <c r="EJ1209" s="269"/>
      <c r="EK1209" s="269"/>
      <c r="EL1209" s="269"/>
      <c r="EM1209" s="269"/>
      <c r="EN1209" s="269"/>
      <c r="EO1209" s="269"/>
      <c r="EP1209" s="269"/>
      <c r="EQ1209" s="269"/>
      <c r="ER1209" s="269"/>
      <c r="ES1209" s="269"/>
      <c r="ET1209" s="269"/>
      <c r="EU1209" s="269"/>
      <c r="EV1209" s="269"/>
      <c r="EW1209" s="269"/>
      <c r="EX1209" s="269"/>
      <c r="EY1209" s="269"/>
      <c r="EZ1209" s="269"/>
      <c r="FA1209" s="269"/>
      <c r="FB1209" s="269"/>
      <c r="FC1209" s="269"/>
    </row>
    <row r="1210" spans="3:159" hidden="1">
      <c r="C1210" s="267" t="s">
        <v>953</v>
      </c>
      <c r="D1210" s="269"/>
      <c r="E1210" s="269"/>
      <c r="F1210" s="269"/>
      <c r="G1210" s="269"/>
      <c r="H1210" s="269"/>
      <c r="I1210" s="269"/>
      <c r="J1210" s="269"/>
      <c r="K1210" s="269"/>
      <c r="L1210" s="271"/>
      <c r="M1210" s="271">
        <v>-3.9611629535535098E-2</v>
      </c>
      <c r="N1210" s="271">
        <v>3.1745106497079512E-2</v>
      </c>
      <c r="O1210" s="271">
        <v>9.8099640472521843E-2</v>
      </c>
      <c r="P1210" s="271">
        <v>0.23339569691300288</v>
      </c>
      <c r="Q1210" s="271">
        <v>7.5354324627620262E-2</v>
      </c>
      <c r="R1210" s="271">
        <v>0.14037301126127399</v>
      </c>
      <c r="S1210" s="271">
        <v>5.494242419644757E-2</v>
      </c>
      <c r="T1210" s="271">
        <v>6.5851455437017314E-2</v>
      </c>
      <c r="U1210" s="271">
        <v>4.9779559627682879E-2</v>
      </c>
      <c r="V1210" s="269"/>
      <c r="W1210" s="269"/>
      <c r="X1210" s="269"/>
      <c r="Y1210" s="269"/>
      <c r="Z1210" s="269"/>
      <c r="AA1210" s="269"/>
      <c r="AB1210" s="269"/>
      <c r="AC1210" s="269"/>
      <c r="AD1210" s="269"/>
      <c r="AE1210" s="269"/>
      <c r="AF1210" s="269"/>
      <c r="AG1210" s="269"/>
      <c r="AO1210" s="338"/>
      <c r="AP1210" s="449"/>
      <c r="AR1210" s="449"/>
      <c r="AS1210" s="449"/>
      <c r="BA1210" s="269"/>
      <c r="BB1210" s="269"/>
      <c r="BC1210" s="269"/>
      <c r="BD1210" s="269"/>
      <c r="BE1210" s="269"/>
      <c r="BF1210" s="269"/>
      <c r="BG1210" s="269"/>
      <c r="BH1210" s="269"/>
      <c r="BI1210" s="269"/>
      <c r="BJ1210" s="269"/>
      <c r="BK1210" s="269"/>
      <c r="BL1210" s="269"/>
      <c r="BM1210" s="269"/>
      <c r="BN1210" s="269"/>
      <c r="BO1210" s="269"/>
      <c r="BP1210" s="269"/>
      <c r="BQ1210" s="269"/>
      <c r="BR1210" s="269"/>
      <c r="BS1210" s="269"/>
      <c r="BT1210" s="269"/>
      <c r="BU1210" s="269"/>
      <c r="BV1210" s="269"/>
      <c r="BW1210" s="269"/>
      <c r="BX1210" s="269"/>
      <c r="BY1210" s="269"/>
      <c r="BZ1210" s="269"/>
      <c r="CA1210" s="269"/>
      <c r="CB1210" s="269"/>
      <c r="CC1210" s="269"/>
      <c r="CD1210" s="269"/>
      <c r="CE1210" s="269"/>
      <c r="CF1210" s="269"/>
      <c r="CG1210" s="269"/>
      <c r="CH1210" s="269"/>
      <c r="CI1210" s="269"/>
      <c r="CJ1210" s="269"/>
      <c r="CK1210" s="269"/>
      <c r="CL1210" s="269"/>
      <c r="CM1210" s="269"/>
      <c r="CN1210" s="269"/>
      <c r="CO1210" s="302"/>
      <c r="CR1210" s="269"/>
      <c r="CS1210" s="269"/>
      <c r="CT1210" s="269"/>
      <c r="CU1210" s="269"/>
      <c r="CV1210" s="269"/>
      <c r="CW1210" s="269"/>
      <c r="CX1210" s="269"/>
      <c r="CY1210" s="269"/>
      <c r="CZ1210" s="269"/>
      <c r="DA1210" s="269"/>
      <c r="DB1210" s="269"/>
      <c r="DC1210" s="269"/>
      <c r="DD1210" s="269"/>
      <c r="DE1210" s="269"/>
      <c r="DF1210" s="269"/>
      <c r="DG1210" s="269"/>
      <c r="DH1210" s="269"/>
      <c r="DI1210" s="269"/>
      <c r="DJ1210" s="269"/>
      <c r="DK1210" s="269"/>
      <c r="DL1210" s="269"/>
      <c r="DM1210" s="269"/>
      <c r="DN1210" s="269"/>
      <c r="DO1210" s="269"/>
      <c r="DP1210" s="269"/>
      <c r="DQ1210" s="269"/>
      <c r="DR1210" s="269"/>
      <c r="DS1210" s="269"/>
      <c r="DT1210" s="269"/>
      <c r="DU1210" s="269"/>
      <c r="DV1210" s="269"/>
      <c r="DW1210" s="269"/>
      <c r="DX1210" s="269"/>
      <c r="DY1210" s="269"/>
      <c r="DZ1210" s="269"/>
      <c r="EA1210" s="269"/>
      <c r="EB1210" s="269"/>
      <c r="EC1210" s="269"/>
      <c r="ED1210" s="269"/>
      <c r="EE1210" s="269"/>
      <c r="EF1210" s="269"/>
      <c r="EG1210" s="269"/>
      <c r="EH1210" s="269"/>
      <c r="EI1210" s="269"/>
      <c r="EJ1210" s="269"/>
      <c r="EK1210" s="269"/>
      <c r="EL1210" s="269"/>
      <c r="EM1210" s="269"/>
      <c r="EN1210" s="269"/>
      <c r="EO1210" s="269"/>
      <c r="EP1210" s="269"/>
      <c r="EQ1210" s="269"/>
      <c r="ER1210" s="269"/>
      <c r="ES1210" s="269"/>
      <c r="ET1210" s="269"/>
      <c r="EU1210" s="269"/>
      <c r="EV1210" s="269"/>
      <c r="EW1210" s="269"/>
      <c r="EX1210" s="269"/>
      <c r="EY1210" s="269"/>
      <c r="EZ1210" s="269"/>
      <c r="FA1210" s="269"/>
      <c r="FB1210" s="269"/>
      <c r="FC1210" s="269"/>
    </row>
    <row r="1211" spans="3:159" hidden="1">
      <c r="C1211" s="263"/>
      <c r="D1211" s="269"/>
      <c r="E1211" s="269"/>
      <c r="F1211" s="269"/>
      <c r="G1211" s="269"/>
      <c r="H1211" s="269"/>
      <c r="I1211" s="269"/>
      <c r="J1211" s="269"/>
      <c r="K1211" s="269"/>
      <c r="L1211" s="269"/>
      <c r="M1211" s="269"/>
      <c r="N1211" s="269"/>
      <c r="O1211" s="269"/>
      <c r="P1211" s="269"/>
      <c r="Q1211" s="269"/>
      <c r="R1211" s="271">
        <v>0.10786366794444713</v>
      </c>
      <c r="S1211" s="271">
        <v>9.7657717728860782E-2</v>
      </c>
      <c r="T1211" s="271">
        <v>6.0396939816732442E-2</v>
      </c>
      <c r="U1211" s="271">
        <v>5.7815507532350097E-2</v>
      </c>
      <c r="V1211" s="269"/>
      <c r="W1211" s="269"/>
      <c r="X1211" s="269"/>
      <c r="Y1211" s="269"/>
      <c r="Z1211" s="269"/>
      <c r="AA1211" s="269"/>
      <c r="AB1211" s="269"/>
      <c r="AC1211" s="269"/>
      <c r="AD1211" s="269"/>
      <c r="AE1211" s="269"/>
      <c r="AF1211" s="269"/>
      <c r="AG1211" s="269"/>
      <c r="AO1211" s="338"/>
      <c r="AP1211" s="449"/>
      <c r="AR1211" s="449"/>
      <c r="AS1211" s="449"/>
      <c r="BA1211" s="269"/>
      <c r="BB1211" s="269"/>
      <c r="BC1211" s="269"/>
      <c r="BD1211" s="269"/>
      <c r="BE1211" s="269"/>
      <c r="BF1211" s="269"/>
      <c r="BG1211" s="269"/>
      <c r="BH1211" s="269"/>
      <c r="BI1211" s="269"/>
      <c r="BJ1211" s="269"/>
      <c r="BK1211" s="269"/>
      <c r="BL1211" s="269"/>
      <c r="BM1211" s="269"/>
      <c r="BN1211" s="269"/>
      <c r="BO1211" s="269"/>
      <c r="BP1211" s="269"/>
      <c r="BQ1211" s="269"/>
      <c r="BR1211" s="269"/>
      <c r="BS1211" s="269"/>
      <c r="BT1211" s="269"/>
      <c r="BU1211" s="269"/>
      <c r="BV1211" s="269"/>
      <c r="BW1211" s="269"/>
      <c r="BX1211" s="269"/>
      <c r="BY1211" s="269"/>
      <c r="BZ1211" s="269"/>
      <c r="CA1211" s="269"/>
      <c r="CB1211" s="269"/>
      <c r="CC1211" s="269"/>
      <c r="CD1211" s="269"/>
      <c r="CE1211" s="269"/>
      <c r="CF1211" s="269"/>
      <c r="CG1211" s="269"/>
      <c r="CH1211" s="269"/>
      <c r="CI1211" s="269"/>
      <c r="CJ1211" s="269"/>
      <c r="CK1211" s="269"/>
      <c r="CL1211" s="269"/>
      <c r="CM1211" s="269"/>
      <c r="CN1211" s="269"/>
      <c r="CO1211" s="302"/>
      <c r="CR1211" s="269"/>
      <c r="CS1211" s="269"/>
      <c r="CT1211" s="269"/>
      <c r="CU1211" s="269"/>
      <c r="CV1211" s="269"/>
      <c r="CW1211" s="269"/>
      <c r="CX1211" s="269"/>
      <c r="CY1211" s="269"/>
      <c r="CZ1211" s="269"/>
      <c r="DA1211" s="269"/>
      <c r="DB1211" s="269"/>
      <c r="DC1211" s="269"/>
      <c r="DD1211" s="269"/>
      <c r="DE1211" s="269"/>
      <c r="DF1211" s="269"/>
      <c r="DG1211" s="269"/>
      <c r="DH1211" s="269"/>
      <c r="DI1211" s="269"/>
      <c r="DJ1211" s="269"/>
      <c r="DK1211" s="269"/>
      <c r="DL1211" s="269"/>
      <c r="DM1211" s="269"/>
      <c r="DN1211" s="269"/>
      <c r="DO1211" s="269"/>
      <c r="DP1211" s="269"/>
      <c r="DQ1211" s="269"/>
      <c r="DR1211" s="269"/>
      <c r="DS1211" s="269"/>
      <c r="DT1211" s="269"/>
      <c r="DU1211" s="269"/>
      <c r="DV1211" s="269"/>
      <c r="DW1211" s="269"/>
      <c r="DX1211" s="269"/>
      <c r="DY1211" s="269"/>
      <c r="DZ1211" s="269"/>
      <c r="EA1211" s="269"/>
      <c r="EB1211" s="269"/>
      <c r="EC1211" s="269"/>
      <c r="ED1211" s="269"/>
      <c r="EE1211" s="269"/>
      <c r="EF1211" s="269"/>
      <c r="EG1211" s="269"/>
      <c r="EH1211" s="269"/>
      <c r="EI1211" s="269"/>
      <c r="EJ1211" s="269"/>
      <c r="EK1211" s="269"/>
      <c r="EL1211" s="269"/>
      <c r="EM1211" s="269"/>
      <c r="EN1211" s="269"/>
      <c r="EO1211" s="269"/>
      <c r="EP1211" s="269"/>
      <c r="EQ1211" s="269"/>
      <c r="ER1211" s="269"/>
      <c r="ES1211" s="269"/>
      <c r="ET1211" s="269"/>
      <c r="EU1211" s="269"/>
      <c r="EV1211" s="269"/>
      <c r="EW1211" s="269"/>
      <c r="EX1211" s="269"/>
      <c r="EY1211" s="269"/>
      <c r="EZ1211" s="269"/>
      <c r="FA1211" s="269"/>
      <c r="FB1211" s="269"/>
      <c r="FC1211" s="269"/>
    </row>
    <row r="1212" spans="3:159" hidden="1">
      <c r="C1212" s="263"/>
      <c r="D1212" s="269"/>
      <c r="E1212" s="269"/>
      <c r="F1212" s="269"/>
      <c r="G1212" s="269"/>
      <c r="H1212" s="269"/>
      <c r="I1212" s="269"/>
      <c r="J1212" s="269"/>
      <c r="K1212" s="269"/>
      <c r="L1212" s="269"/>
      <c r="M1212" s="269"/>
      <c r="N1212" s="269"/>
      <c r="O1212" s="269"/>
      <c r="P1212" s="269"/>
      <c r="Q1212" s="269"/>
      <c r="R1212" s="269"/>
      <c r="S1212" s="269"/>
      <c r="T1212" s="269"/>
      <c r="U1212" s="269"/>
      <c r="V1212" s="269"/>
      <c r="W1212" s="269"/>
      <c r="X1212" s="269"/>
      <c r="Y1212" s="269"/>
      <c r="Z1212" s="269"/>
      <c r="AA1212" s="269"/>
      <c r="AB1212" s="269"/>
      <c r="AC1212" s="269"/>
      <c r="AD1212" s="269"/>
      <c r="AE1212" s="269"/>
      <c r="AF1212" s="269"/>
      <c r="AG1212" s="269"/>
      <c r="AO1212" s="338"/>
      <c r="AP1212" s="449"/>
      <c r="AR1212" s="449"/>
      <c r="AS1212" s="449"/>
      <c r="BA1212" s="269"/>
      <c r="BB1212" s="269"/>
      <c r="BC1212" s="269"/>
      <c r="BD1212" s="269"/>
      <c r="BE1212" s="269"/>
      <c r="BF1212" s="269"/>
      <c r="BG1212" s="269"/>
      <c r="BH1212" s="269"/>
      <c r="BI1212" s="269"/>
      <c r="BJ1212" s="269"/>
      <c r="BK1212" s="269"/>
      <c r="BL1212" s="269"/>
      <c r="BM1212" s="269"/>
      <c r="BN1212" s="269"/>
      <c r="BO1212" s="269"/>
      <c r="BP1212" s="269"/>
      <c r="BQ1212" s="269"/>
      <c r="BR1212" s="269"/>
      <c r="BS1212" s="269"/>
      <c r="BT1212" s="269"/>
      <c r="BU1212" s="269"/>
      <c r="BV1212" s="269"/>
      <c r="BW1212" s="269"/>
      <c r="BX1212" s="269"/>
      <c r="BY1212" s="269"/>
      <c r="BZ1212" s="269"/>
      <c r="CA1212" s="269"/>
      <c r="CB1212" s="269"/>
      <c r="CC1212" s="269"/>
      <c r="CD1212" s="269"/>
      <c r="CE1212" s="269"/>
      <c r="CF1212" s="269"/>
      <c r="CG1212" s="269"/>
      <c r="CH1212" s="269"/>
      <c r="CI1212" s="269"/>
      <c r="CJ1212" s="269"/>
      <c r="CK1212" s="269"/>
      <c r="CL1212" s="269"/>
      <c r="CM1212" s="269"/>
      <c r="CN1212" s="269"/>
      <c r="CO1212" s="302"/>
      <c r="CR1212" s="269"/>
      <c r="CS1212" s="269"/>
      <c r="CT1212" s="269"/>
      <c r="CU1212" s="269"/>
      <c r="CV1212" s="269"/>
      <c r="CW1212" s="269"/>
      <c r="CX1212" s="269"/>
      <c r="CY1212" s="269"/>
      <c r="CZ1212" s="269"/>
      <c r="DA1212" s="269"/>
      <c r="DB1212" s="269"/>
      <c r="DC1212" s="269"/>
      <c r="DD1212" s="269"/>
      <c r="DE1212" s="269"/>
      <c r="DF1212" s="269"/>
      <c r="DG1212" s="269"/>
      <c r="DH1212" s="269"/>
      <c r="DI1212" s="269"/>
      <c r="DJ1212" s="269"/>
      <c r="DK1212" s="269"/>
      <c r="DL1212" s="269"/>
      <c r="DM1212" s="269"/>
      <c r="DN1212" s="269"/>
      <c r="DO1212" s="269"/>
      <c r="DP1212" s="269"/>
      <c r="DQ1212" s="269"/>
      <c r="DR1212" s="269"/>
      <c r="DS1212" s="269"/>
      <c r="DT1212" s="269"/>
      <c r="DU1212" s="269"/>
      <c r="DV1212" s="269"/>
      <c r="DW1212" s="269"/>
      <c r="DX1212" s="269"/>
      <c r="DY1212" s="269"/>
      <c r="DZ1212" s="269"/>
      <c r="EA1212" s="269"/>
      <c r="EB1212" s="269"/>
      <c r="EC1212" s="269"/>
      <c r="ED1212" s="269"/>
      <c r="EE1212" s="269"/>
      <c r="EF1212" s="269"/>
      <c r="EG1212" s="269"/>
      <c r="EH1212" s="269"/>
      <c r="EI1212" s="269"/>
      <c r="EJ1212" s="269"/>
      <c r="EK1212" s="269"/>
      <c r="EL1212" s="269"/>
      <c r="EM1212" s="269"/>
      <c r="EN1212" s="269"/>
      <c r="EO1212" s="269"/>
      <c r="EP1212" s="269"/>
      <c r="EQ1212" s="269"/>
      <c r="ER1212" s="269"/>
      <c r="ES1212" s="269"/>
      <c r="ET1212" s="269"/>
      <c r="EU1212" s="269"/>
      <c r="EV1212" s="269"/>
      <c r="EW1212" s="269"/>
      <c r="EX1212" s="269"/>
      <c r="EY1212" s="269"/>
      <c r="EZ1212" s="269"/>
      <c r="FA1212" s="269"/>
      <c r="FB1212" s="269"/>
      <c r="FC1212" s="269"/>
    </row>
    <row r="1213" spans="3:159" hidden="1">
      <c r="C1213" s="446" t="s">
        <v>1335</v>
      </c>
      <c r="D1213" s="447"/>
      <c r="E1213" s="447"/>
      <c r="F1213" s="447"/>
      <c r="G1213" s="447"/>
      <c r="H1213" s="447"/>
      <c r="I1213" s="447"/>
      <c r="J1213" s="447"/>
      <c r="K1213" s="447"/>
      <c r="L1213" s="447"/>
      <c r="M1213" s="447"/>
      <c r="N1213" s="447"/>
      <c r="O1213" s="447"/>
      <c r="P1213" s="447"/>
      <c r="Q1213" s="447"/>
      <c r="R1213" s="447"/>
      <c r="S1213" s="447"/>
      <c r="T1213" s="447"/>
      <c r="U1213" s="448"/>
      <c r="V1213" s="448"/>
      <c r="W1213" s="448"/>
      <c r="X1213" s="448"/>
      <c r="Y1213" s="448"/>
      <c r="Z1213" s="448"/>
      <c r="AA1213" s="448"/>
      <c r="AB1213" s="448"/>
      <c r="AC1213" s="448"/>
      <c r="AD1213" s="448"/>
      <c r="AE1213" s="448"/>
      <c r="AF1213" s="448"/>
      <c r="AG1213" s="448"/>
      <c r="AO1213" s="338"/>
      <c r="AP1213" s="449"/>
      <c r="AR1213" s="449"/>
      <c r="AS1213" s="449"/>
      <c r="BA1213" s="448"/>
      <c r="BB1213" s="448"/>
      <c r="BC1213" s="448"/>
      <c r="BD1213" s="448"/>
      <c r="BE1213" s="448"/>
      <c r="BF1213" s="448"/>
      <c r="BG1213" s="448"/>
      <c r="BH1213" s="448"/>
      <c r="BI1213" s="448"/>
      <c r="BJ1213" s="448"/>
      <c r="BK1213" s="448"/>
      <c r="BL1213" s="448"/>
      <c r="BM1213" s="448"/>
      <c r="BN1213" s="448"/>
      <c r="BO1213" s="448"/>
      <c r="BP1213" s="448"/>
      <c r="BQ1213" s="448"/>
      <c r="BR1213" s="448"/>
      <c r="BS1213" s="448"/>
      <c r="BT1213" s="448"/>
      <c r="BU1213" s="448"/>
      <c r="BV1213" s="448"/>
      <c r="BW1213" s="448"/>
      <c r="BX1213" s="448"/>
      <c r="BY1213" s="448"/>
      <c r="BZ1213" s="448"/>
      <c r="CA1213" s="448"/>
      <c r="CB1213" s="448"/>
      <c r="CC1213" s="448"/>
      <c r="CD1213" s="448"/>
      <c r="CE1213" s="448"/>
      <c r="CF1213" s="448"/>
      <c r="CG1213" s="448"/>
      <c r="CH1213" s="448"/>
      <c r="CI1213" s="448"/>
      <c r="CJ1213" s="448"/>
      <c r="CK1213" s="448"/>
      <c r="CL1213" s="448"/>
      <c r="CM1213" s="448"/>
      <c r="CN1213" s="448"/>
      <c r="CO1213" s="493"/>
      <c r="CR1213" s="448"/>
      <c r="CS1213" s="448"/>
      <c r="CT1213" s="448"/>
      <c r="CU1213" s="448"/>
      <c r="CV1213" s="448"/>
      <c r="CW1213" s="448"/>
      <c r="CX1213" s="448"/>
      <c r="CY1213" s="448"/>
      <c r="CZ1213" s="448"/>
      <c r="DA1213" s="448"/>
      <c r="DB1213" s="448"/>
      <c r="DC1213" s="448"/>
      <c r="DD1213" s="448"/>
      <c r="DE1213" s="448"/>
      <c r="DF1213" s="448"/>
      <c r="DG1213" s="448"/>
      <c r="DH1213" s="448"/>
      <c r="DI1213" s="448"/>
      <c r="DJ1213" s="448"/>
      <c r="DK1213" s="448"/>
      <c r="DL1213" s="448"/>
      <c r="DM1213" s="448"/>
      <c r="DN1213" s="448"/>
      <c r="DO1213" s="448"/>
      <c r="DP1213" s="448"/>
      <c r="DQ1213" s="448"/>
      <c r="DR1213" s="448"/>
      <c r="DS1213" s="448"/>
      <c r="DT1213" s="448"/>
      <c r="DU1213" s="448"/>
      <c r="DV1213" s="448"/>
      <c r="DW1213" s="448"/>
      <c r="DX1213" s="448"/>
      <c r="DY1213" s="448"/>
      <c r="DZ1213" s="448"/>
      <c r="EA1213" s="448"/>
      <c r="EB1213" s="448"/>
      <c r="EC1213" s="448"/>
      <c r="ED1213" s="448"/>
      <c r="EE1213" s="448"/>
      <c r="EF1213" s="448"/>
      <c r="EG1213" s="448"/>
      <c r="EH1213" s="448"/>
      <c r="EI1213" s="448"/>
      <c r="EJ1213" s="448"/>
      <c r="EK1213" s="448"/>
      <c r="EL1213" s="448"/>
      <c r="EM1213" s="448"/>
      <c r="EN1213" s="448"/>
      <c r="EO1213" s="448"/>
      <c r="EP1213" s="448"/>
      <c r="EQ1213" s="448"/>
      <c r="ER1213" s="448"/>
      <c r="ES1213" s="448"/>
      <c r="ET1213" s="448"/>
      <c r="EU1213" s="448"/>
      <c r="EV1213" s="448"/>
      <c r="EW1213" s="448"/>
      <c r="EX1213" s="448"/>
      <c r="EY1213" s="448"/>
      <c r="EZ1213" s="448"/>
      <c r="FA1213" s="448"/>
      <c r="FB1213" s="448"/>
      <c r="FC1213" s="448"/>
    </row>
    <row r="1214" spans="3:159" hidden="1">
      <c r="C1214" s="449" t="s">
        <v>1244</v>
      </c>
      <c r="D1214" s="437"/>
      <c r="E1214" s="437"/>
      <c r="F1214" s="437"/>
      <c r="G1214" s="437"/>
      <c r="H1214" s="437"/>
      <c r="I1214" s="437"/>
      <c r="J1214" s="437"/>
      <c r="K1214" s="437"/>
      <c r="L1214" s="437"/>
      <c r="M1214" s="437"/>
      <c r="N1214" s="437"/>
      <c r="O1214" s="437"/>
      <c r="P1214" s="437"/>
      <c r="Q1214" s="437"/>
      <c r="R1214" s="437"/>
      <c r="S1214" s="437"/>
      <c r="T1214" s="437"/>
      <c r="U1214" s="450" t="s">
        <v>1253</v>
      </c>
      <c r="V1214" s="450" t="s">
        <v>1252</v>
      </c>
      <c r="W1214" s="450" t="s">
        <v>1256</v>
      </c>
      <c r="X1214" s="450" t="s">
        <v>1257</v>
      </c>
      <c r="Y1214" s="450" t="s">
        <v>1258</v>
      </c>
      <c r="Z1214" s="450" t="s">
        <v>1265</v>
      </c>
      <c r="AA1214" s="450" t="s">
        <v>1265</v>
      </c>
      <c r="AB1214" s="450" t="s">
        <v>1265</v>
      </c>
      <c r="AC1214" s="450" t="s">
        <v>1265</v>
      </c>
      <c r="AD1214" s="450" t="s">
        <v>1265</v>
      </c>
      <c r="AE1214" s="450" t="s">
        <v>1265</v>
      </c>
      <c r="AF1214" s="450" t="s">
        <v>1265</v>
      </c>
      <c r="AG1214" s="450"/>
      <c r="AO1214" s="338"/>
      <c r="AP1214" s="449"/>
      <c r="AR1214" s="449"/>
      <c r="AS1214" s="449"/>
      <c r="BA1214" s="450"/>
      <c r="BB1214" s="450"/>
      <c r="BC1214" s="450"/>
      <c r="BD1214" s="450"/>
      <c r="BE1214" s="450"/>
      <c r="BF1214" s="450"/>
      <c r="BG1214" s="450"/>
      <c r="BH1214" s="450"/>
      <c r="BI1214" s="450"/>
      <c r="BJ1214" s="450"/>
      <c r="BK1214" s="450"/>
      <c r="BL1214" s="450"/>
      <c r="BM1214" s="450"/>
      <c r="BN1214" s="450"/>
      <c r="BO1214" s="450"/>
      <c r="BP1214" s="450"/>
      <c r="BQ1214" s="450"/>
      <c r="BR1214" s="450"/>
      <c r="BS1214" s="450"/>
      <c r="BT1214" s="450"/>
      <c r="BU1214" s="450"/>
      <c r="BV1214" s="450"/>
      <c r="BW1214" s="450"/>
      <c r="BX1214" s="450"/>
      <c r="BY1214" s="450"/>
      <c r="BZ1214" s="450"/>
      <c r="CA1214" s="450"/>
      <c r="CB1214" s="450"/>
      <c r="CC1214" s="450"/>
      <c r="CD1214" s="450"/>
      <c r="CE1214" s="450"/>
      <c r="CF1214" s="450"/>
      <c r="CG1214" s="450"/>
      <c r="CH1214" s="450"/>
      <c r="CI1214" s="450"/>
      <c r="CJ1214" s="450"/>
      <c r="CK1214" s="450"/>
      <c r="CL1214" s="450"/>
      <c r="CM1214" s="450"/>
      <c r="CN1214" s="450"/>
      <c r="CO1214" s="494"/>
      <c r="CR1214" s="450"/>
      <c r="CS1214" s="450"/>
      <c r="CT1214" s="450"/>
      <c r="CU1214" s="450"/>
      <c r="CV1214" s="450"/>
      <c r="CW1214" s="450"/>
      <c r="CX1214" s="450"/>
      <c r="CY1214" s="450"/>
      <c r="CZ1214" s="450"/>
      <c r="DA1214" s="450"/>
      <c r="DB1214" s="450"/>
      <c r="DC1214" s="450"/>
      <c r="DD1214" s="450"/>
      <c r="DE1214" s="450"/>
      <c r="DF1214" s="450"/>
      <c r="DG1214" s="450"/>
      <c r="DH1214" s="450"/>
      <c r="DI1214" s="450"/>
      <c r="DJ1214" s="450"/>
      <c r="DK1214" s="450"/>
      <c r="DL1214" s="450"/>
      <c r="DM1214" s="450"/>
      <c r="DN1214" s="450"/>
      <c r="DO1214" s="450"/>
      <c r="DP1214" s="450"/>
      <c r="DQ1214" s="450"/>
      <c r="DR1214" s="450"/>
      <c r="DS1214" s="450"/>
      <c r="DT1214" s="450"/>
      <c r="DU1214" s="450"/>
      <c r="DV1214" s="450"/>
      <c r="DW1214" s="450"/>
      <c r="DX1214" s="450"/>
      <c r="DY1214" s="450"/>
      <c r="DZ1214" s="450"/>
      <c r="EA1214" s="450"/>
      <c r="EB1214" s="450"/>
      <c r="EC1214" s="450"/>
      <c r="ED1214" s="450"/>
      <c r="EE1214" s="450"/>
      <c r="EF1214" s="450"/>
      <c r="EG1214" s="450"/>
      <c r="EH1214" s="450"/>
      <c r="EI1214" s="450"/>
      <c r="EJ1214" s="450"/>
      <c r="EK1214" s="450"/>
      <c r="EL1214" s="450"/>
      <c r="EM1214" s="450"/>
      <c r="EN1214" s="450"/>
      <c r="EO1214" s="450"/>
      <c r="EP1214" s="450"/>
      <c r="EQ1214" s="450"/>
      <c r="ER1214" s="450"/>
      <c r="ES1214" s="450"/>
      <c r="ET1214" s="450"/>
      <c r="EU1214" s="450"/>
      <c r="EV1214" s="450"/>
      <c r="EW1214" s="450"/>
      <c r="EX1214" s="450"/>
      <c r="EY1214" s="450"/>
      <c r="EZ1214" s="450"/>
      <c r="FA1214" s="450"/>
      <c r="FB1214" s="450"/>
      <c r="FC1214" s="450"/>
    </row>
    <row r="1215" spans="3:159" hidden="1">
      <c r="C1215" s="263" t="s">
        <v>1245</v>
      </c>
      <c r="D1215" s="269"/>
      <c r="E1215" s="269"/>
      <c r="F1215" s="269"/>
      <c r="G1215" s="269"/>
      <c r="H1215" s="269"/>
      <c r="I1215" s="269"/>
      <c r="J1215" s="269"/>
      <c r="K1215" s="269"/>
      <c r="L1215" s="269"/>
      <c r="M1215" s="269"/>
      <c r="N1215" s="269"/>
      <c r="O1215" s="269"/>
      <c r="P1215" s="269"/>
      <c r="Q1215" s="269"/>
      <c r="R1215" s="269"/>
      <c r="S1215" s="269"/>
      <c r="T1215" s="269"/>
      <c r="U1215" s="268">
        <v>822.63218390804604</v>
      </c>
      <c r="V1215" s="268">
        <v>959.33888888888885</v>
      </c>
      <c r="W1215" s="268">
        <v>685.17035674275519</v>
      </c>
      <c r="X1215" s="268">
        <v>787.87514424824337</v>
      </c>
      <c r="Y1215" s="268">
        <v>370.99040169666586</v>
      </c>
      <c r="Z1215" s="268">
        <v>274.23101679605571</v>
      </c>
      <c r="AA1215" s="268">
        <v>386.54114014688059</v>
      </c>
      <c r="AB1215" s="268">
        <v>442.20918838422017</v>
      </c>
      <c r="AC1215" s="268">
        <v>504.99690197805336</v>
      </c>
      <c r="AD1215" s="268">
        <v>592.74339888888346</v>
      </c>
      <c r="AE1215" s="268">
        <v>592.74339888888346</v>
      </c>
      <c r="AF1215" s="268">
        <v>592.74339888888346</v>
      </c>
      <c r="AG1215" s="268"/>
      <c r="AO1215" s="338"/>
      <c r="AP1215" s="449"/>
      <c r="AR1215" s="449"/>
      <c r="AS1215" s="449"/>
      <c r="BA1215" s="268"/>
      <c r="BB1215" s="268"/>
      <c r="BC1215" s="268"/>
      <c r="BD1215" s="268"/>
      <c r="BE1215" s="268"/>
      <c r="BF1215" s="268"/>
      <c r="BG1215" s="268"/>
      <c r="BH1215" s="268"/>
      <c r="BI1215" s="268"/>
      <c r="BJ1215" s="268"/>
      <c r="BK1215" s="268"/>
      <c r="BL1215" s="268"/>
      <c r="BM1215" s="268"/>
      <c r="BN1215" s="268"/>
      <c r="BO1215" s="268"/>
      <c r="BP1215" s="268"/>
      <c r="BQ1215" s="268"/>
      <c r="BR1215" s="268"/>
      <c r="BS1215" s="268"/>
      <c r="BT1215" s="268"/>
      <c r="BU1215" s="268"/>
      <c r="BV1215" s="268"/>
      <c r="BW1215" s="268"/>
      <c r="BX1215" s="268"/>
      <c r="BY1215" s="268"/>
      <c r="BZ1215" s="268"/>
      <c r="CA1215" s="268"/>
      <c r="CB1215" s="268"/>
      <c r="CC1215" s="268"/>
      <c r="CD1215" s="268"/>
      <c r="CE1215" s="268"/>
      <c r="CF1215" s="268"/>
      <c r="CG1215" s="268"/>
      <c r="CH1215" s="268"/>
      <c r="CI1215" s="268"/>
      <c r="CJ1215" s="268"/>
      <c r="CK1215" s="268"/>
      <c r="CL1215" s="268"/>
      <c r="CM1215" s="268"/>
      <c r="CN1215" s="268"/>
      <c r="CO1215" s="260"/>
      <c r="CR1215" s="268"/>
      <c r="CS1215" s="268"/>
      <c r="CT1215" s="268"/>
      <c r="CU1215" s="268"/>
      <c r="CV1215" s="268"/>
      <c r="CW1215" s="268"/>
      <c r="CX1215" s="268"/>
      <c r="CY1215" s="268"/>
      <c r="CZ1215" s="268"/>
      <c r="DA1215" s="268"/>
      <c r="DB1215" s="268"/>
      <c r="DC1215" s="268"/>
      <c r="DD1215" s="268"/>
      <c r="DE1215" s="268"/>
      <c r="DF1215" s="268"/>
      <c r="DG1215" s="268"/>
      <c r="DH1215" s="268"/>
      <c r="DI1215" s="268"/>
      <c r="DJ1215" s="268"/>
      <c r="DK1215" s="268"/>
      <c r="DL1215" s="268"/>
      <c r="DM1215" s="268"/>
      <c r="DN1215" s="268"/>
      <c r="DO1215" s="268"/>
      <c r="DP1215" s="268"/>
      <c r="DQ1215" s="268"/>
      <c r="DR1215" s="268"/>
      <c r="DS1215" s="268"/>
      <c r="DT1215" s="268"/>
      <c r="DU1215" s="268"/>
      <c r="DV1215" s="268"/>
      <c r="DW1215" s="268"/>
      <c r="DX1215" s="268"/>
      <c r="DY1215" s="268"/>
      <c r="DZ1215" s="268"/>
      <c r="EA1215" s="268"/>
      <c r="EB1215" s="268"/>
      <c r="EC1215" s="268"/>
      <c r="ED1215" s="268"/>
      <c r="EE1215" s="268"/>
      <c r="EF1215" s="268"/>
      <c r="EG1215" s="268"/>
      <c r="EH1215" s="268"/>
      <c r="EI1215" s="268"/>
      <c r="EJ1215" s="268"/>
      <c r="EK1215" s="268"/>
      <c r="EL1215" s="268"/>
      <c r="EM1215" s="268"/>
      <c r="EN1215" s="268"/>
      <c r="EO1215" s="268"/>
      <c r="EP1215" s="268"/>
      <c r="EQ1215" s="268"/>
      <c r="ER1215" s="268"/>
      <c r="ES1215" s="268"/>
      <c r="ET1215" s="268"/>
      <c r="EU1215" s="268"/>
      <c r="EV1215" s="268"/>
      <c r="EW1215" s="268"/>
      <c r="EX1215" s="268"/>
      <c r="EY1215" s="268"/>
      <c r="EZ1215" s="268"/>
      <c r="FA1215" s="268"/>
      <c r="FB1215" s="268"/>
      <c r="FC1215" s="268"/>
    </row>
    <row r="1216" spans="3:159" hidden="1">
      <c r="C1216" s="263" t="s">
        <v>1247</v>
      </c>
      <c r="D1216" s="269"/>
      <c r="E1216" s="269"/>
      <c r="F1216" s="269"/>
      <c r="G1216" s="269"/>
      <c r="H1216" s="269"/>
      <c r="I1216" s="269"/>
      <c r="J1216" s="269"/>
      <c r="K1216" s="269"/>
      <c r="L1216" s="269"/>
      <c r="M1216" s="269"/>
      <c r="N1216" s="269"/>
      <c r="O1216" s="269"/>
      <c r="P1216" s="269"/>
      <c r="Q1216" s="269"/>
      <c r="R1216" s="269"/>
      <c r="S1216" s="269"/>
      <c r="T1216" s="269"/>
      <c r="U1216" s="436">
        <v>715.69</v>
      </c>
      <c r="V1216" s="268">
        <v>863.40499999999997</v>
      </c>
      <c r="W1216" s="268">
        <v>164.59</v>
      </c>
      <c r="X1216" s="269">
        <v>0</v>
      </c>
      <c r="Y1216" s="269">
        <v>0</v>
      </c>
      <c r="Z1216" s="269">
        <v>0</v>
      </c>
      <c r="AA1216" s="269">
        <v>0</v>
      </c>
      <c r="AB1216" s="269">
        <v>0</v>
      </c>
      <c r="AC1216" s="269">
        <v>0</v>
      </c>
      <c r="AD1216" s="269">
        <v>0</v>
      </c>
      <c r="AE1216" s="269">
        <v>0</v>
      </c>
      <c r="AF1216" s="269">
        <v>0</v>
      </c>
      <c r="AG1216" s="269"/>
      <c r="AO1216" s="338"/>
      <c r="AP1216" s="449"/>
      <c r="AR1216" s="449"/>
      <c r="AS1216" s="449"/>
      <c r="BA1216" s="269"/>
      <c r="BB1216" s="269"/>
      <c r="BC1216" s="269"/>
      <c r="BD1216" s="269"/>
      <c r="BE1216" s="269"/>
      <c r="BF1216" s="269"/>
      <c r="BG1216" s="269"/>
      <c r="BH1216" s="269"/>
      <c r="BI1216" s="269"/>
      <c r="BJ1216" s="269"/>
      <c r="BK1216" s="269"/>
      <c r="BL1216" s="269"/>
      <c r="BM1216" s="269"/>
      <c r="BN1216" s="269"/>
      <c r="BO1216" s="269"/>
      <c r="BP1216" s="269"/>
      <c r="BQ1216" s="269"/>
      <c r="BR1216" s="269"/>
      <c r="BS1216" s="269"/>
      <c r="BT1216" s="269"/>
      <c r="BU1216" s="269"/>
      <c r="BV1216" s="269"/>
      <c r="BW1216" s="269"/>
      <c r="BX1216" s="269"/>
      <c r="BY1216" s="269"/>
      <c r="BZ1216" s="269"/>
      <c r="CA1216" s="269"/>
      <c r="CB1216" s="269"/>
      <c r="CC1216" s="269"/>
      <c r="CD1216" s="269"/>
      <c r="CE1216" s="269"/>
      <c r="CF1216" s="269"/>
      <c r="CG1216" s="269"/>
      <c r="CH1216" s="269"/>
      <c r="CI1216" s="269"/>
      <c r="CJ1216" s="269"/>
      <c r="CK1216" s="269"/>
      <c r="CL1216" s="269"/>
      <c r="CM1216" s="269"/>
      <c r="CN1216" s="269"/>
      <c r="CO1216" s="302"/>
      <c r="CR1216" s="269"/>
      <c r="CS1216" s="269"/>
      <c r="CT1216" s="269"/>
      <c r="CU1216" s="269"/>
      <c r="CV1216" s="269"/>
      <c r="CW1216" s="269"/>
      <c r="CX1216" s="269"/>
      <c r="CY1216" s="269"/>
      <c r="CZ1216" s="269"/>
      <c r="DA1216" s="269"/>
      <c r="DB1216" s="269"/>
      <c r="DC1216" s="269"/>
      <c r="DD1216" s="269"/>
      <c r="DE1216" s="269"/>
      <c r="DF1216" s="269"/>
      <c r="DG1216" s="269"/>
      <c r="DH1216" s="269"/>
      <c r="DI1216" s="269"/>
      <c r="DJ1216" s="269"/>
      <c r="DK1216" s="269"/>
      <c r="DL1216" s="269"/>
      <c r="DM1216" s="269"/>
      <c r="DN1216" s="269"/>
      <c r="DO1216" s="269"/>
      <c r="DP1216" s="269"/>
      <c r="DQ1216" s="269"/>
      <c r="DR1216" s="269"/>
      <c r="DS1216" s="269"/>
      <c r="DT1216" s="269"/>
      <c r="DU1216" s="269"/>
      <c r="DV1216" s="269"/>
      <c r="DW1216" s="269"/>
      <c r="DX1216" s="269"/>
      <c r="DY1216" s="269"/>
      <c r="DZ1216" s="269"/>
      <c r="EA1216" s="269"/>
      <c r="EB1216" s="269"/>
      <c r="EC1216" s="269"/>
      <c r="ED1216" s="269"/>
      <c r="EE1216" s="269"/>
      <c r="EF1216" s="269"/>
      <c r="EG1216" s="269"/>
      <c r="EH1216" s="269"/>
      <c r="EI1216" s="269"/>
      <c r="EJ1216" s="269"/>
      <c r="EK1216" s="269"/>
      <c r="EL1216" s="269"/>
      <c r="EM1216" s="269"/>
      <c r="EN1216" s="269"/>
      <c r="EO1216" s="269"/>
      <c r="EP1216" s="269"/>
      <c r="EQ1216" s="269"/>
      <c r="ER1216" s="269"/>
      <c r="ES1216" s="269"/>
      <c r="ET1216" s="269"/>
      <c r="EU1216" s="269"/>
      <c r="EV1216" s="269"/>
      <c r="EW1216" s="269"/>
      <c r="EX1216" s="269"/>
      <c r="EY1216" s="269"/>
      <c r="EZ1216" s="269"/>
      <c r="FA1216" s="269"/>
      <c r="FB1216" s="269"/>
      <c r="FC1216" s="269"/>
    </row>
    <row r="1217" spans="3:159" hidden="1">
      <c r="C1217" s="263" t="s">
        <v>1246</v>
      </c>
      <c r="D1217" s="269"/>
      <c r="E1217" s="269"/>
      <c r="F1217" s="269"/>
      <c r="G1217" s="269"/>
      <c r="H1217" s="269"/>
      <c r="I1217" s="269"/>
      <c r="J1217" s="269"/>
      <c r="K1217" s="269"/>
      <c r="L1217" s="269"/>
      <c r="M1217" s="269"/>
      <c r="N1217" s="269"/>
      <c r="O1217" s="269"/>
      <c r="P1217" s="269"/>
      <c r="Q1217" s="269"/>
      <c r="R1217" s="269"/>
      <c r="S1217" s="269"/>
      <c r="T1217" s="269"/>
      <c r="U1217" s="264">
        <v>0.87</v>
      </c>
      <c r="V1217" s="264">
        <v>0.9</v>
      </c>
      <c r="W1217" s="264">
        <v>0.24021763110483593</v>
      </c>
      <c r="X1217" s="264">
        <v>0</v>
      </c>
      <c r="Y1217" s="264">
        <v>0</v>
      </c>
      <c r="Z1217" s="264">
        <v>0</v>
      </c>
      <c r="AA1217" s="264">
        <v>0</v>
      </c>
      <c r="AB1217" s="264">
        <v>0</v>
      </c>
      <c r="AC1217" s="264">
        <v>0</v>
      </c>
      <c r="AD1217" s="264">
        <v>0</v>
      </c>
      <c r="AE1217" s="264">
        <v>0</v>
      </c>
      <c r="AF1217" s="264">
        <v>0</v>
      </c>
      <c r="AG1217" s="264"/>
      <c r="AO1217" s="338"/>
      <c r="AP1217" s="449"/>
      <c r="AR1217" s="449"/>
      <c r="AS1217" s="449"/>
      <c r="BA1217" s="264"/>
      <c r="BB1217" s="264"/>
      <c r="BC1217" s="264"/>
      <c r="BD1217" s="264"/>
      <c r="BE1217" s="264"/>
      <c r="BF1217" s="264"/>
      <c r="BG1217" s="264"/>
      <c r="BH1217" s="264"/>
      <c r="BI1217" s="264"/>
      <c r="BJ1217" s="264"/>
      <c r="BK1217" s="264"/>
      <c r="BL1217" s="264"/>
      <c r="BM1217" s="264"/>
      <c r="BN1217" s="264"/>
      <c r="BO1217" s="264"/>
      <c r="BP1217" s="264"/>
      <c r="BQ1217" s="264"/>
      <c r="BR1217" s="264"/>
      <c r="BS1217" s="264"/>
      <c r="BT1217" s="264"/>
      <c r="BU1217" s="264"/>
      <c r="BV1217" s="264"/>
      <c r="BW1217" s="264"/>
      <c r="BX1217" s="264"/>
      <c r="BY1217" s="264"/>
      <c r="BZ1217" s="264"/>
      <c r="CA1217" s="264"/>
      <c r="CB1217" s="264"/>
      <c r="CC1217" s="264"/>
      <c r="CD1217" s="264"/>
      <c r="CE1217" s="264"/>
      <c r="CF1217" s="264"/>
      <c r="CG1217" s="264"/>
      <c r="CH1217" s="264"/>
      <c r="CI1217" s="264"/>
      <c r="CJ1217" s="264"/>
      <c r="CK1217" s="264"/>
      <c r="CL1217" s="264"/>
      <c r="CM1217" s="264"/>
      <c r="CN1217" s="264"/>
      <c r="CO1217" s="265"/>
      <c r="CR1217" s="264"/>
      <c r="CS1217" s="264"/>
      <c r="CT1217" s="264"/>
      <c r="CU1217" s="264"/>
      <c r="CV1217" s="264"/>
      <c r="CW1217" s="264"/>
      <c r="CX1217" s="264"/>
      <c r="CY1217" s="264"/>
      <c r="CZ1217" s="264"/>
      <c r="DA1217" s="264"/>
      <c r="DB1217" s="264"/>
      <c r="DC1217" s="264"/>
      <c r="DD1217" s="264"/>
      <c r="DE1217" s="264"/>
      <c r="DF1217" s="264"/>
      <c r="DG1217" s="264"/>
      <c r="DH1217" s="264"/>
      <c r="DI1217" s="264"/>
      <c r="DJ1217" s="264"/>
      <c r="DK1217" s="264"/>
      <c r="DL1217" s="264"/>
      <c r="DM1217" s="264"/>
      <c r="DN1217" s="264"/>
      <c r="DO1217" s="264"/>
      <c r="DP1217" s="264"/>
      <c r="DQ1217" s="264"/>
      <c r="DR1217" s="264"/>
      <c r="DS1217" s="264"/>
      <c r="DT1217" s="264"/>
      <c r="DU1217" s="264"/>
      <c r="DV1217" s="264"/>
      <c r="DW1217" s="264"/>
      <c r="DX1217" s="264"/>
      <c r="DY1217" s="264"/>
      <c r="DZ1217" s="264"/>
      <c r="EA1217" s="264"/>
      <c r="EB1217" s="264"/>
      <c r="EC1217" s="264"/>
      <c r="ED1217" s="264"/>
      <c r="EE1217" s="264"/>
      <c r="EF1217" s="264"/>
      <c r="EG1217" s="264"/>
      <c r="EH1217" s="264"/>
      <c r="EI1217" s="264"/>
      <c r="EJ1217" s="264"/>
      <c r="EK1217" s="264"/>
      <c r="EL1217" s="264"/>
      <c r="EM1217" s="264"/>
      <c r="EN1217" s="264"/>
      <c r="EO1217" s="264"/>
      <c r="EP1217" s="264"/>
      <c r="EQ1217" s="264"/>
      <c r="ER1217" s="264"/>
      <c r="ES1217" s="264"/>
      <c r="ET1217" s="264"/>
      <c r="EU1217" s="264"/>
      <c r="EV1217" s="264"/>
      <c r="EW1217" s="264"/>
      <c r="EX1217" s="264"/>
      <c r="EY1217" s="264"/>
      <c r="EZ1217" s="264"/>
      <c r="FA1217" s="264"/>
      <c r="FB1217" s="264"/>
      <c r="FC1217" s="264"/>
    </row>
    <row r="1218" spans="3:159" hidden="1">
      <c r="C1218" s="263" t="s">
        <v>1248</v>
      </c>
      <c r="D1218" s="269"/>
      <c r="E1218" s="269"/>
      <c r="F1218" s="269"/>
      <c r="G1218" s="269"/>
      <c r="H1218" s="269"/>
      <c r="I1218" s="269"/>
      <c r="J1218" s="269"/>
      <c r="K1218" s="269"/>
      <c r="L1218" s="269"/>
      <c r="M1218" s="269"/>
      <c r="N1218" s="269"/>
      <c r="O1218" s="269"/>
      <c r="P1218" s="269"/>
      <c r="Q1218" s="269"/>
      <c r="R1218" s="269"/>
      <c r="S1218" s="269"/>
      <c r="T1218" s="269"/>
      <c r="U1218" s="269">
        <v>1.1184000000000001</v>
      </c>
      <c r="V1218" s="269">
        <v>1.0941000000000001</v>
      </c>
      <c r="W1218" s="257">
        <v>1.0941000000000001</v>
      </c>
      <c r="X1218" s="257">
        <v>1.0941000000000001</v>
      </c>
      <c r="Y1218" s="257">
        <v>1.0941000000000001</v>
      </c>
      <c r="Z1218" s="257">
        <v>1.0941000000000001</v>
      </c>
      <c r="AA1218" s="257">
        <v>1.0941000000000001</v>
      </c>
      <c r="AB1218" s="257">
        <v>1.0941000000000001</v>
      </c>
      <c r="AC1218" s="257">
        <v>1.0941000000000001</v>
      </c>
      <c r="AD1218" s="257">
        <v>1.0941000000000001</v>
      </c>
      <c r="AE1218" s="257">
        <v>1.0941000000000001</v>
      </c>
      <c r="AF1218" s="257">
        <v>1.0941000000000001</v>
      </c>
      <c r="AG1218" s="257"/>
      <c r="AO1218" s="338"/>
      <c r="AP1218" s="449"/>
      <c r="AR1218" s="449"/>
      <c r="AS1218" s="449"/>
      <c r="BA1218" s="257"/>
      <c r="BB1218" s="257"/>
      <c r="BC1218" s="257"/>
      <c r="BD1218" s="257"/>
      <c r="BE1218" s="257"/>
      <c r="BF1218" s="257"/>
      <c r="BG1218" s="257"/>
      <c r="BH1218" s="257"/>
      <c r="BI1218" s="257"/>
      <c r="BJ1218" s="257"/>
      <c r="BK1218" s="257"/>
      <c r="BL1218" s="257"/>
      <c r="BM1218" s="257"/>
      <c r="BN1218" s="257"/>
      <c r="BO1218" s="257"/>
      <c r="BP1218" s="257"/>
      <c r="BQ1218" s="257"/>
      <c r="BR1218" s="257"/>
      <c r="BS1218" s="257"/>
      <c r="BT1218" s="257"/>
      <c r="BU1218" s="257"/>
      <c r="BV1218" s="257"/>
      <c r="BW1218" s="257"/>
      <c r="BX1218" s="257"/>
      <c r="BY1218" s="257"/>
      <c r="BZ1218" s="257"/>
      <c r="CA1218" s="257"/>
      <c r="CB1218" s="257"/>
      <c r="CC1218" s="257"/>
      <c r="CD1218" s="257"/>
      <c r="CE1218" s="257"/>
      <c r="CF1218" s="257"/>
      <c r="CG1218" s="257"/>
      <c r="CH1218" s="257"/>
      <c r="CI1218" s="257"/>
      <c r="CJ1218" s="257"/>
      <c r="CK1218" s="257"/>
      <c r="CL1218" s="257"/>
      <c r="CM1218" s="257"/>
      <c r="CN1218" s="257"/>
      <c r="CO1218" s="302"/>
      <c r="CR1218" s="257"/>
      <c r="CS1218" s="257"/>
      <c r="CT1218" s="257"/>
      <c r="CU1218" s="257"/>
      <c r="CV1218" s="257"/>
      <c r="CW1218" s="257"/>
      <c r="CX1218" s="257"/>
      <c r="CY1218" s="257"/>
      <c r="CZ1218" s="257"/>
      <c r="DA1218" s="257"/>
      <c r="DB1218" s="257"/>
      <c r="DC1218" s="257"/>
      <c r="DD1218" s="257"/>
      <c r="DE1218" s="257"/>
      <c r="DF1218" s="257"/>
      <c r="DG1218" s="257"/>
      <c r="DH1218" s="257"/>
      <c r="DI1218" s="257"/>
      <c r="DJ1218" s="257"/>
      <c r="DK1218" s="257"/>
      <c r="DL1218" s="257"/>
      <c r="DM1218" s="257"/>
      <c r="DN1218" s="257"/>
      <c r="DO1218" s="257"/>
      <c r="DP1218" s="257"/>
      <c r="DQ1218" s="257"/>
      <c r="DR1218" s="257"/>
      <c r="DS1218" s="257"/>
      <c r="DT1218" s="257"/>
      <c r="DU1218" s="257"/>
      <c r="DV1218" s="257"/>
      <c r="DW1218" s="257"/>
      <c r="DX1218" s="257"/>
      <c r="DY1218" s="257"/>
      <c r="DZ1218" s="257"/>
      <c r="EA1218" s="257"/>
      <c r="EB1218" s="257"/>
      <c r="EC1218" s="257"/>
      <c r="ED1218" s="257"/>
      <c r="EE1218" s="257"/>
      <c r="EF1218" s="257"/>
      <c r="EG1218" s="257"/>
      <c r="EH1218" s="257"/>
      <c r="EI1218" s="257"/>
      <c r="EJ1218" s="257"/>
      <c r="EK1218" s="257"/>
      <c r="EL1218" s="257"/>
      <c r="EM1218" s="257"/>
      <c r="EN1218" s="257"/>
      <c r="EO1218" s="257"/>
      <c r="EP1218" s="257"/>
      <c r="EQ1218" s="257"/>
      <c r="ER1218" s="257"/>
      <c r="ES1218" s="257"/>
      <c r="ET1218" s="257"/>
      <c r="EU1218" s="257"/>
      <c r="EV1218" s="257"/>
      <c r="EW1218" s="257"/>
      <c r="EX1218" s="257"/>
      <c r="EY1218" s="257"/>
      <c r="EZ1218" s="257"/>
      <c r="FA1218" s="257"/>
      <c r="FB1218" s="257"/>
      <c r="FC1218" s="257"/>
    </row>
    <row r="1219" spans="3:159" hidden="1">
      <c r="C1219" s="263" t="s">
        <v>1249</v>
      </c>
      <c r="D1219" s="269"/>
      <c r="E1219" s="269"/>
      <c r="F1219" s="269"/>
      <c r="G1219" s="269"/>
      <c r="H1219" s="269"/>
      <c r="I1219" s="269"/>
      <c r="J1219" s="269"/>
      <c r="K1219" s="269"/>
      <c r="L1219" s="269"/>
      <c r="M1219" s="269"/>
      <c r="N1219" s="269"/>
      <c r="O1219" s="269"/>
      <c r="P1219" s="269"/>
      <c r="Q1219" s="269"/>
      <c r="R1219" s="269"/>
      <c r="S1219" s="269"/>
      <c r="T1219" s="269"/>
      <c r="U1219" s="451">
        <v>1.1296999999999999</v>
      </c>
      <c r="V1219" s="451">
        <v>1.1808000000000001</v>
      </c>
      <c r="W1219" s="451">
        <v>1.1202219216417912</v>
      </c>
      <c r="X1219" s="451">
        <v>1.1417730410447762</v>
      </c>
      <c r="Y1219" s="451">
        <v>1.1826485576923091</v>
      </c>
      <c r="Z1219" s="451">
        <v>1.0995711238887531</v>
      </c>
      <c r="AA1219" s="451">
        <v>1.09205</v>
      </c>
      <c r="AB1219" s="451">
        <v>1.09205</v>
      </c>
      <c r="AC1219" s="451">
        <v>1.09205</v>
      </c>
      <c r="AD1219" s="451">
        <v>1.09205</v>
      </c>
      <c r="AE1219" s="451">
        <v>1.09205</v>
      </c>
      <c r="AF1219" s="451">
        <v>1.09205</v>
      </c>
      <c r="AG1219" s="451"/>
      <c r="AO1219" s="338"/>
      <c r="AP1219" s="449"/>
      <c r="AR1219" s="449"/>
      <c r="AS1219" s="449"/>
      <c r="BA1219" s="451"/>
      <c r="BB1219" s="451"/>
      <c r="BC1219" s="451"/>
      <c r="BD1219" s="451"/>
      <c r="BE1219" s="451"/>
      <c r="BF1219" s="451"/>
      <c r="BG1219" s="451"/>
      <c r="BH1219" s="451"/>
      <c r="BI1219" s="451"/>
      <c r="BJ1219" s="451"/>
      <c r="BK1219" s="451"/>
      <c r="BL1219" s="451"/>
      <c r="BM1219" s="451"/>
      <c r="BN1219" s="451"/>
      <c r="BO1219" s="451"/>
      <c r="BP1219" s="451"/>
      <c r="BQ1219" s="451"/>
      <c r="BR1219" s="451"/>
      <c r="BS1219" s="451"/>
      <c r="BT1219" s="451"/>
      <c r="BU1219" s="451"/>
      <c r="BV1219" s="451"/>
      <c r="BW1219" s="451"/>
      <c r="BX1219" s="451"/>
      <c r="BY1219" s="451"/>
      <c r="BZ1219" s="451"/>
      <c r="CA1219" s="451"/>
      <c r="CB1219" s="451"/>
      <c r="CC1219" s="451"/>
      <c r="CD1219" s="451"/>
      <c r="CE1219" s="451"/>
      <c r="CF1219" s="451"/>
      <c r="CG1219" s="451"/>
      <c r="CH1219" s="451"/>
      <c r="CI1219" s="451"/>
      <c r="CJ1219" s="451"/>
      <c r="CK1219" s="451"/>
      <c r="CL1219" s="451"/>
      <c r="CM1219" s="451"/>
      <c r="CN1219" s="451"/>
      <c r="CO1219" s="495"/>
      <c r="CR1219" s="451"/>
      <c r="CS1219" s="451"/>
      <c r="CT1219" s="451"/>
      <c r="CU1219" s="451"/>
      <c r="CV1219" s="451"/>
      <c r="CW1219" s="451"/>
      <c r="CX1219" s="451"/>
      <c r="CY1219" s="451"/>
      <c r="CZ1219" s="451"/>
      <c r="DA1219" s="451"/>
      <c r="DB1219" s="451"/>
      <c r="DC1219" s="451"/>
      <c r="DD1219" s="451"/>
      <c r="DE1219" s="451"/>
      <c r="DF1219" s="451"/>
      <c r="DG1219" s="451"/>
      <c r="DH1219" s="451"/>
      <c r="DI1219" s="451"/>
      <c r="DJ1219" s="451"/>
      <c r="DK1219" s="451"/>
      <c r="DL1219" s="451"/>
      <c r="DM1219" s="451"/>
      <c r="DN1219" s="451"/>
      <c r="DO1219" s="451"/>
      <c r="DP1219" s="451"/>
      <c r="DQ1219" s="451"/>
      <c r="DR1219" s="451"/>
      <c r="DS1219" s="451"/>
      <c r="DT1219" s="451"/>
      <c r="DU1219" s="451"/>
      <c r="DV1219" s="451"/>
      <c r="DW1219" s="451"/>
      <c r="DX1219" s="451"/>
      <c r="DY1219" s="451"/>
      <c r="DZ1219" s="451"/>
      <c r="EA1219" s="451"/>
      <c r="EB1219" s="451"/>
      <c r="EC1219" s="451"/>
      <c r="ED1219" s="451"/>
      <c r="EE1219" s="451"/>
      <c r="EF1219" s="451"/>
      <c r="EG1219" s="451"/>
      <c r="EH1219" s="451"/>
      <c r="EI1219" s="451"/>
      <c r="EJ1219" s="451"/>
      <c r="EK1219" s="451"/>
      <c r="EL1219" s="451"/>
      <c r="EM1219" s="451"/>
      <c r="EN1219" s="451"/>
      <c r="EO1219" s="451"/>
      <c r="EP1219" s="451"/>
      <c r="EQ1219" s="451"/>
      <c r="ER1219" s="451"/>
      <c r="ES1219" s="451"/>
      <c r="ET1219" s="451"/>
      <c r="EU1219" s="451"/>
      <c r="EV1219" s="451"/>
      <c r="EW1219" s="451"/>
      <c r="EX1219" s="451"/>
      <c r="EY1219" s="451"/>
      <c r="EZ1219" s="451"/>
      <c r="FA1219" s="451"/>
      <c r="FB1219" s="451"/>
      <c r="FC1219" s="451"/>
    </row>
    <row r="1220" spans="3:159" hidden="1">
      <c r="C1220" s="263" t="s">
        <v>1250</v>
      </c>
      <c r="D1220" s="269"/>
      <c r="E1220" s="269"/>
      <c r="F1220" s="269"/>
      <c r="G1220" s="269"/>
      <c r="H1220" s="269"/>
      <c r="I1220" s="269"/>
      <c r="J1220" s="269"/>
      <c r="K1220" s="269"/>
      <c r="L1220" s="269"/>
      <c r="M1220" s="269"/>
      <c r="N1220" s="269"/>
      <c r="O1220" s="269"/>
      <c r="P1220" s="269"/>
      <c r="Q1220" s="269"/>
      <c r="R1220" s="269"/>
      <c r="S1220" s="269"/>
      <c r="T1220" s="269"/>
      <c r="U1220" s="452">
        <v>1.119869</v>
      </c>
      <c r="V1220" s="452">
        <v>1.10277</v>
      </c>
      <c r="W1220" s="452">
        <v>1.1139469755050939</v>
      </c>
      <c r="X1220" s="452">
        <v>1.1417730410447762</v>
      </c>
      <c r="Y1220" s="452">
        <v>1.1826485576923091</v>
      </c>
      <c r="Z1220" s="452">
        <v>1.0995711238887531</v>
      </c>
      <c r="AA1220" s="452">
        <v>1.09205</v>
      </c>
      <c r="AB1220" s="452">
        <v>1.09205</v>
      </c>
      <c r="AC1220" s="452">
        <v>1.09205</v>
      </c>
      <c r="AD1220" s="452">
        <v>1.09205</v>
      </c>
      <c r="AE1220" s="452">
        <v>1.09205</v>
      </c>
      <c r="AF1220" s="452">
        <v>1.09205</v>
      </c>
      <c r="AG1220" s="452"/>
      <c r="AO1220" s="338"/>
      <c r="AP1220" s="449"/>
      <c r="AR1220" s="449"/>
      <c r="AS1220" s="449"/>
      <c r="BA1220" s="452"/>
      <c r="BB1220" s="452"/>
      <c r="BC1220" s="452"/>
      <c r="BD1220" s="452"/>
      <c r="BE1220" s="452"/>
      <c r="BF1220" s="452"/>
      <c r="BG1220" s="452"/>
      <c r="BH1220" s="452"/>
      <c r="BI1220" s="452"/>
      <c r="BJ1220" s="452"/>
      <c r="BK1220" s="452"/>
      <c r="BL1220" s="452"/>
      <c r="BM1220" s="452"/>
      <c r="BN1220" s="452"/>
      <c r="BO1220" s="452"/>
      <c r="BP1220" s="452"/>
      <c r="BQ1220" s="452"/>
      <c r="BR1220" s="452"/>
      <c r="BS1220" s="452"/>
      <c r="BT1220" s="452"/>
      <c r="BU1220" s="452"/>
      <c r="BV1220" s="452"/>
      <c r="BW1220" s="452"/>
      <c r="BX1220" s="452"/>
      <c r="BY1220" s="452"/>
      <c r="BZ1220" s="452"/>
      <c r="CA1220" s="452"/>
      <c r="CB1220" s="452"/>
      <c r="CC1220" s="452"/>
      <c r="CD1220" s="452"/>
      <c r="CE1220" s="452"/>
      <c r="CF1220" s="452"/>
      <c r="CG1220" s="452"/>
      <c r="CH1220" s="452"/>
      <c r="CI1220" s="452"/>
      <c r="CJ1220" s="452"/>
      <c r="CK1220" s="452"/>
      <c r="CL1220" s="452"/>
      <c r="CM1220" s="452"/>
      <c r="CN1220" s="452"/>
      <c r="CO1220" s="496"/>
      <c r="CR1220" s="452"/>
      <c r="CS1220" s="452"/>
      <c r="CT1220" s="452"/>
      <c r="CU1220" s="452"/>
      <c r="CV1220" s="452"/>
      <c r="CW1220" s="452"/>
      <c r="CX1220" s="452"/>
      <c r="CY1220" s="452"/>
      <c r="CZ1220" s="452"/>
      <c r="DA1220" s="452"/>
      <c r="DB1220" s="452"/>
      <c r="DC1220" s="452"/>
      <c r="DD1220" s="452"/>
      <c r="DE1220" s="452"/>
      <c r="DF1220" s="452"/>
      <c r="DG1220" s="452"/>
      <c r="DH1220" s="452"/>
      <c r="DI1220" s="452"/>
      <c r="DJ1220" s="452"/>
      <c r="DK1220" s="452"/>
      <c r="DL1220" s="452"/>
      <c r="DM1220" s="452"/>
      <c r="DN1220" s="452"/>
      <c r="DO1220" s="452"/>
      <c r="DP1220" s="452"/>
      <c r="DQ1220" s="452"/>
      <c r="DR1220" s="452"/>
      <c r="DS1220" s="452"/>
      <c r="DT1220" s="452"/>
      <c r="DU1220" s="452"/>
      <c r="DV1220" s="452"/>
      <c r="DW1220" s="452"/>
      <c r="DX1220" s="452"/>
      <c r="DY1220" s="452"/>
      <c r="DZ1220" s="452"/>
      <c r="EA1220" s="452"/>
      <c r="EB1220" s="452"/>
      <c r="EC1220" s="452"/>
      <c r="ED1220" s="452"/>
      <c r="EE1220" s="452"/>
      <c r="EF1220" s="452"/>
      <c r="EG1220" s="452"/>
      <c r="EH1220" s="452"/>
      <c r="EI1220" s="452"/>
      <c r="EJ1220" s="452"/>
      <c r="EK1220" s="452"/>
      <c r="EL1220" s="452"/>
      <c r="EM1220" s="452"/>
      <c r="EN1220" s="452"/>
      <c r="EO1220" s="452"/>
      <c r="EP1220" s="452"/>
      <c r="EQ1220" s="452"/>
      <c r="ER1220" s="452"/>
      <c r="ES1220" s="452"/>
      <c r="ET1220" s="452"/>
      <c r="EU1220" s="452"/>
      <c r="EV1220" s="452"/>
      <c r="EW1220" s="452"/>
      <c r="EX1220" s="452"/>
      <c r="EY1220" s="452"/>
      <c r="EZ1220" s="452"/>
      <c r="FA1220" s="452"/>
      <c r="FB1220" s="452"/>
      <c r="FC1220" s="452"/>
    </row>
    <row r="1221" spans="3:159" hidden="1">
      <c r="C1221" s="263" t="s">
        <v>1251</v>
      </c>
      <c r="D1221" s="269"/>
      <c r="E1221" s="269"/>
      <c r="F1221" s="269"/>
      <c r="G1221" s="269"/>
      <c r="H1221" s="269"/>
      <c r="I1221" s="269"/>
      <c r="J1221" s="269"/>
      <c r="K1221" s="269"/>
      <c r="L1221" s="269"/>
      <c r="M1221" s="269"/>
      <c r="N1221" s="269"/>
      <c r="O1221" s="269"/>
      <c r="P1221" s="269"/>
      <c r="Q1221" s="269"/>
      <c r="R1221" s="269"/>
      <c r="S1221" s="269"/>
      <c r="T1221" s="269"/>
      <c r="U1221" s="269"/>
      <c r="V1221" s="441">
        <v>13.282829453473369</v>
      </c>
      <c r="W1221" s="441">
        <v>-6.2340948101833646</v>
      </c>
      <c r="X1221" s="441">
        <v>-17.237127745516318</v>
      </c>
      <c r="Y1221" s="441">
        <v>-11.230276204291897</v>
      </c>
      <c r="Z1221" s="441">
        <v>17.519455904707513</v>
      </c>
      <c r="AA1221" s="441">
        <v>2.4210993794857245</v>
      </c>
      <c r="AB1221" s="441">
        <v>0</v>
      </c>
      <c r="AC1221" s="441">
        <v>0</v>
      </c>
      <c r="AD1221" s="441">
        <v>0</v>
      </c>
      <c r="AE1221" s="441">
        <v>0</v>
      </c>
      <c r="AF1221" s="441">
        <v>0</v>
      </c>
      <c r="AG1221" s="441"/>
      <c r="AO1221" s="338"/>
      <c r="AP1221" s="449"/>
      <c r="AR1221" s="449"/>
      <c r="AS1221" s="449"/>
      <c r="BA1221" s="441"/>
      <c r="BB1221" s="441"/>
      <c r="BC1221" s="441"/>
      <c r="BD1221" s="441"/>
      <c r="BE1221" s="441"/>
      <c r="BF1221" s="441"/>
      <c r="BG1221" s="441"/>
      <c r="BH1221" s="441"/>
      <c r="BI1221" s="441"/>
      <c r="BJ1221" s="441"/>
      <c r="BK1221" s="441"/>
      <c r="BL1221" s="441"/>
      <c r="BM1221" s="441"/>
      <c r="BN1221" s="441"/>
      <c r="BO1221" s="441"/>
      <c r="BP1221" s="441"/>
      <c r="BQ1221" s="441"/>
      <c r="BR1221" s="441"/>
      <c r="BS1221" s="441"/>
      <c r="BT1221" s="441"/>
      <c r="BU1221" s="441"/>
      <c r="BV1221" s="441"/>
      <c r="BW1221" s="441"/>
      <c r="BX1221" s="441"/>
      <c r="BY1221" s="441"/>
      <c r="BZ1221" s="441"/>
      <c r="CA1221" s="441"/>
      <c r="CB1221" s="441"/>
      <c r="CC1221" s="441"/>
      <c r="CD1221" s="441"/>
      <c r="CE1221" s="441"/>
      <c r="CF1221" s="441"/>
      <c r="CG1221" s="441"/>
      <c r="CH1221" s="441"/>
      <c r="CI1221" s="441"/>
      <c r="CJ1221" s="441"/>
      <c r="CK1221" s="441"/>
      <c r="CL1221" s="441"/>
      <c r="CM1221" s="441"/>
      <c r="CN1221" s="441"/>
      <c r="CO1221" s="377"/>
      <c r="CR1221" s="441"/>
      <c r="CS1221" s="441"/>
      <c r="CT1221" s="441"/>
      <c r="CU1221" s="441"/>
      <c r="CV1221" s="441"/>
      <c r="CW1221" s="441"/>
      <c r="CX1221" s="441"/>
      <c r="CY1221" s="441"/>
      <c r="CZ1221" s="441"/>
      <c r="DA1221" s="441"/>
      <c r="DB1221" s="441"/>
      <c r="DC1221" s="441"/>
      <c r="DD1221" s="441"/>
      <c r="DE1221" s="441"/>
      <c r="DF1221" s="441"/>
      <c r="DG1221" s="441"/>
      <c r="DH1221" s="441"/>
      <c r="DI1221" s="441"/>
      <c r="DJ1221" s="441"/>
      <c r="DK1221" s="441"/>
      <c r="DL1221" s="441"/>
      <c r="DM1221" s="441"/>
      <c r="DN1221" s="441"/>
      <c r="DO1221" s="441"/>
      <c r="DP1221" s="441"/>
      <c r="DQ1221" s="441"/>
      <c r="DR1221" s="441"/>
      <c r="DS1221" s="441"/>
      <c r="DT1221" s="441"/>
      <c r="DU1221" s="441"/>
      <c r="DV1221" s="441"/>
      <c r="DW1221" s="441"/>
      <c r="DX1221" s="441"/>
      <c r="DY1221" s="441"/>
      <c r="DZ1221" s="441"/>
      <c r="EA1221" s="441"/>
      <c r="EB1221" s="441"/>
      <c r="EC1221" s="441"/>
      <c r="ED1221" s="441"/>
      <c r="EE1221" s="441"/>
      <c r="EF1221" s="441"/>
      <c r="EG1221" s="441"/>
      <c r="EH1221" s="441"/>
      <c r="EI1221" s="441"/>
      <c r="EJ1221" s="441"/>
      <c r="EK1221" s="441"/>
      <c r="EL1221" s="441"/>
      <c r="EM1221" s="441"/>
      <c r="EN1221" s="441"/>
      <c r="EO1221" s="441"/>
      <c r="EP1221" s="441"/>
      <c r="EQ1221" s="441"/>
      <c r="ER1221" s="441"/>
      <c r="ES1221" s="441"/>
      <c r="ET1221" s="441"/>
      <c r="EU1221" s="441"/>
      <c r="EV1221" s="441"/>
      <c r="EW1221" s="441"/>
      <c r="EX1221" s="441"/>
      <c r="EY1221" s="441"/>
      <c r="EZ1221" s="441"/>
      <c r="FA1221" s="441"/>
      <c r="FB1221" s="441"/>
      <c r="FC1221" s="441"/>
    </row>
    <row r="1222" spans="3:159" hidden="1">
      <c r="C1222" s="263"/>
      <c r="D1222" s="269"/>
      <c r="E1222" s="269"/>
      <c r="F1222" s="269"/>
      <c r="G1222" s="269"/>
      <c r="H1222" s="269"/>
      <c r="I1222" s="269"/>
      <c r="J1222" s="269"/>
      <c r="K1222" s="269"/>
      <c r="L1222" s="269"/>
      <c r="M1222" s="269"/>
      <c r="N1222" s="269"/>
      <c r="O1222" s="269"/>
      <c r="P1222" s="269"/>
      <c r="Q1222" s="269"/>
      <c r="R1222" s="269"/>
      <c r="S1222" s="269"/>
      <c r="T1222" s="269"/>
      <c r="U1222" s="269"/>
      <c r="V1222" s="269"/>
      <c r="W1222" s="269"/>
      <c r="X1222" s="269"/>
      <c r="Y1222" s="269"/>
      <c r="Z1222" s="269"/>
      <c r="AA1222" s="269"/>
      <c r="AB1222" s="269"/>
      <c r="AC1222" s="269"/>
      <c r="AD1222" s="269"/>
      <c r="AE1222" s="269"/>
      <c r="AF1222" s="269"/>
      <c r="AG1222" s="269"/>
      <c r="AO1222" s="338"/>
      <c r="AP1222" s="449"/>
      <c r="AR1222" s="449"/>
      <c r="AS1222" s="449"/>
      <c r="BA1222" s="269"/>
      <c r="BB1222" s="269"/>
      <c r="BC1222" s="269"/>
      <c r="BD1222" s="269"/>
      <c r="BE1222" s="269"/>
      <c r="BF1222" s="269"/>
      <c r="BG1222" s="269"/>
      <c r="BH1222" s="269"/>
      <c r="BI1222" s="269"/>
      <c r="BJ1222" s="269"/>
      <c r="BK1222" s="269"/>
      <c r="BL1222" s="269"/>
      <c r="BM1222" s="269"/>
      <c r="BN1222" s="269"/>
      <c r="BO1222" s="269"/>
      <c r="BP1222" s="269"/>
      <c r="BQ1222" s="269"/>
      <c r="BR1222" s="269"/>
      <c r="BS1222" s="269"/>
      <c r="BT1222" s="269"/>
      <c r="BU1222" s="269"/>
      <c r="BV1222" s="269"/>
      <c r="BW1222" s="269"/>
      <c r="BX1222" s="269"/>
      <c r="BY1222" s="269"/>
      <c r="BZ1222" s="269"/>
      <c r="CA1222" s="269"/>
      <c r="CB1222" s="269"/>
      <c r="CC1222" s="269"/>
      <c r="CD1222" s="269"/>
      <c r="CE1222" s="269"/>
      <c r="CF1222" s="269"/>
      <c r="CG1222" s="269"/>
      <c r="CH1222" s="269"/>
      <c r="CI1222" s="269"/>
      <c r="CJ1222" s="269"/>
      <c r="CK1222" s="269"/>
      <c r="CL1222" s="269"/>
      <c r="CM1222" s="269"/>
      <c r="CN1222" s="269"/>
      <c r="CO1222" s="302"/>
      <c r="CR1222" s="269"/>
      <c r="CS1222" s="269"/>
      <c r="CT1222" s="269"/>
      <c r="CU1222" s="269"/>
      <c r="CV1222" s="269"/>
      <c r="CW1222" s="269"/>
      <c r="CX1222" s="269"/>
      <c r="CY1222" s="269"/>
      <c r="CZ1222" s="269"/>
      <c r="DA1222" s="269"/>
      <c r="DB1222" s="269"/>
      <c r="DC1222" s="269"/>
      <c r="DD1222" s="269"/>
      <c r="DE1222" s="269"/>
      <c r="DF1222" s="269"/>
      <c r="DG1222" s="269"/>
      <c r="DH1222" s="269"/>
      <c r="DI1222" s="269"/>
      <c r="DJ1222" s="269"/>
      <c r="DK1222" s="269"/>
      <c r="DL1222" s="269"/>
      <c r="DM1222" s="269"/>
      <c r="DN1222" s="269"/>
      <c r="DO1222" s="269"/>
      <c r="DP1222" s="269"/>
      <c r="DQ1222" s="269"/>
      <c r="DR1222" s="269"/>
      <c r="DS1222" s="269"/>
      <c r="DT1222" s="269"/>
      <c r="DU1222" s="269"/>
      <c r="DV1222" s="269"/>
      <c r="DW1222" s="269"/>
      <c r="DX1222" s="269"/>
      <c r="DY1222" s="269"/>
      <c r="DZ1222" s="269"/>
      <c r="EA1222" s="269"/>
      <c r="EB1222" s="269"/>
      <c r="EC1222" s="269"/>
      <c r="ED1222" s="269"/>
      <c r="EE1222" s="269"/>
      <c r="EF1222" s="269"/>
      <c r="EG1222" s="269"/>
      <c r="EH1222" s="269"/>
      <c r="EI1222" s="269"/>
      <c r="EJ1222" s="269"/>
      <c r="EK1222" s="269"/>
      <c r="EL1222" s="269"/>
      <c r="EM1222" s="269"/>
      <c r="EN1222" s="269"/>
      <c r="EO1222" s="269"/>
      <c r="EP1222" s="269"/>
      <c r="EQ1222" s="269"/>
      <c r="ER1222" s="269"/>
      <c r="ES1222" s="269"/>
      <c r="ET1222" s="269"/>
      <c r="EU1222" s="269"/>
      <c r="EV1222" s="269"/>
      <c r="EW1222" s="269"/>
      <c r="EX1222" s="269"/>
      <c r="EY1222" s="269"/>
      <c r="EZ1222" s="269"/>
      <c r="FA1222" s="269"/>
      <c r="FB1222" s="269"/>
      <c r="FC1222" s="269"/>
    </row>
    <row r="1223" spans="3:159" hidden="1">
      <c r="C1223" s="449" t="s">
        <v>1259</v>
      </c>
      <c r="D1223" s="437"/>
      <c r="E1223" s="437"/>
      <c r="F1223" s="437"/>
      <c r="G1223" s="437"/>
      <c r="H1223" s="437"/>
      <c r="I1223" s="437"/>
      <c r="J1223" s="437"/>
      <c r="K1223" s="437"/>
      <c r="L1223" s="437"/>
      <c r="M1223" s="437"/>
      <c r="N1223" s="437"/>
      <c r="O1223" s="437"/>
      <c r="P1223" s="437"/>
      <c r="Q1223" s="437"/>
      <c r="R1223" s="437"/>
      <c r="S1223" s="437"/>
      <c r="T1223" s="437"/>
      <c r="U1223" s="450" t="s">
        <v>962</v>
      </c>
      <c r="V1223" s="450" t="s">
        <v>961</v>
      </c>
      <c r="W1223" s="450" t="s">
        <v>960</v>
      </c>
      <c r="X1223" s="450" t="s">
        <v>959</v>
      </c>
      <c r="Y1223" s="450" t="s">
        <v>958</v>
      </c>
      <c r="Z1223" s="450" t="s">
        <v>957</v>
      </c>
      <c r="AA1223" s="450" t="s">
        <v>957</v>
      </c>
      <c r="AB1223" s="450" t="s">
        <v>957</v>
      </c>
      <c r="AC1223" s="450" t="s">
        <v>957</v>
      </c>
      <c r="AD1223" s="450" t="s">
        <v>957</v>
      </c>
      <c r="AE1223" s="450" t="s">
        <v>957</v>
      </c>
      <c r="AF1223" s="450" t="s">
        <v>957</v>
      </c>
      <c r="AG1223" s="450"/>
      <c r="AO1223" s="338"/>
      <c r="AP1223" s="449"/>
      <c r="AR1223" s="449"/>
      <c r="AS1223" s="449"/>
      <c r="BA1223" s="450"/>
      <c r="BB1223" s="450"/>
      <c r="BC1223" s="450"/>
      <c r="BD1223" s="450"/>
      <c r="BE1223" s="450"/>
      <c r="BF1223" s="450"/>
      <c r="BG1223" s="450"/>
      <c r="BH1223" s="450"/>
      <c r="BI1223" s="450"/>
      <c r="BJ1223" s="450"/>
      <c r="BK1223" s="450"/>
      <c r="BL1223" s="450"/>
      <c r="BM1223" s="450"/>
      <c r="BN1223" s="450"/>
      <c r="BO1223" s="450"/>
      <c r="BP1223" s="450"/>
      <c r="BQ1223" s="450"/>
      <c r="BR1223" s="450"/>
      <c r="BS1223" s="450"/>
      <c r="BT1223" s="450"/>
      <c r="BU1223" s="450"/>
      <c r="BV1223" s="450"/>
      <c r="BW1223" s="450"/>
      <c r="BX1223" s="450"/>
      <c r="BY1223" s="450"/>
      <c r="BZ1223" s="450"/>
      <c r="CA1223" s="450"/>
      <c r="CB1223" s="450"/>
      <c r="CC1223" s="450"/>
      <c r="CD1223" s="450"/>
      <c r="CE1223" s="450"/>
      <c r="CF1223" s="450"/>
      <c r="CG1223" s="450"/>
      <c r="CH1223" s="450"/>
      <c r="CI1223" s="450"/>
      <c r="CJ1223" s="450"/>
      <c r="CK1223" s="450"/>
      <c r="CL1223" s="450"/>
      <c r="CM1223" s="450"/>
      <c r="CN1223" s="450"/>
      <c r="CO1223" s="494"/>
      <c r="CR1223" s="450"/>
      <c r="CS1223" s="450"/>
      <c r="CT1223" s="450"/>
      <c r="CU1223" s="450"/>
      <c r="CV1223" s="450"/>
      <c r="CW1223" s="450"/>
      <c r="CX1223" s="450"/>
      <c r="CY1223" s="450"/>
      <c r="CZ1223" s="450"/>
      <c r="DA1223" s="450"/>
      <c r="DB1223" s="450"/>
      <c r="DC1223" s="450"/>
      <c r="DD1223" s="450"/>
      <c r="DE1223" s="450"/>
      <c r="DF1223" s="450"/>
      <c r="DG1223" s="450"/>
      <c r="DH1223" s="450"/>
      <c r="DI1223" s="450"/>
      <c r="DJ1223" s="450"/>
      <c r="DK1223" s="450"/>
      <c r="DL1223" s="450"/>
      <c r="DM1223" s="450"/>
      <c r="DN1223" s="450"/>
      <c r="DO1223" s="450"/>
      <c r="DP1223" s="450"/>
      <c r="DQ1223" s="450"/>
      <c r="DR1223" s="450"/>
      <c r="DS1223" s="450"/>
      <c r="DT1223" s="450"/>
      <c r="DU1223" s="450"/>
      <c r="DV1223" s="450"/>
      <c r="DW1223" s="450"/>
      <c r="DX1223" s="450"/>
      <c r="DY1223" s="450"/>
      <c r="DZ1223" s="450"/>
      <c r="EA1223" s="450"/>
      <c r="EB1223" s="450"/>
      <c r="EC1223" s="450"/>
      <c r="ED1223" s="450"/>
      <c r="EE1223" s="450"/>
      <c r="EF1223" s="450"/>
      <c r="EG1223" s="450"/>
      <c r="EH1223" s="450"/>
      <c r="EI1223" s="450"/>
      <c r="EJ1223" s="450"/>
      <c r="EK1223" s="450"/>
      <c r="EL1223" s="450"/>
      <c r="EM1223" s="450"/>
      <c r="EN1223" s="450"/>
      <c r="EO1223" s="450"/>
      <c r="EP1223" s="450"/>
      <c r="EQ1223" s="450"/>
      <c r="ER1223" s="450"/>
      <c r="ES1223" s="450"/>
      <c r="ET1223" s="450"/>
      <c r="EU1223" s="450"/>
      <c r="EV1223" s="450"/>
      <c r="EW1223" s="450"/>
      <c r="EX1223" s="450"/>
      <c r="EY1223" s="450"/>
      <c r="EZ1223" s="450"/>
      <c r="FA1223" s="450"/>
      <c r="FB1223" s="450"/>
      <c r="FC1223" s="450"/>
    </row>
    <row r="1224" spans="3:159" hidden="1">
      <c r="C1224" s="263" t="s">
        <v>1254</v>
      </c>
      <c r="D1224" s="269"/>
      <c r="E1224" s="269"/>
      <c r="F1224" s="269"/>
      <c r="G1224" s="269"/>
      <c r="H1224" s="269"/>
      <c r="I1224" s="269"/>
      <c r="J1224" s="269"/>
      <c r="K1224" s="269"/>
      <c r="L1224" s="269"/>
      <c r="M1224" s="269"/>
      <c r="N1224" s="269"/>
      <c r="O1224" s="269"/>
      <c r="P1224" s="269"/>
      <c r="Q1224" s="269"/>
      <c r="R1224" s="269"/>
      <c r="S1224" s="269"/>
      <c r="T1224" s="269"/>
      <c r="U1224" s="264">
        <v>0.14405865230688716</v>
      </c>
      <c r="V1224" s="264">
        <v>0.17379167054874023</v>
      </c>
      <c r="W1224" s="264">
        <v>4.3324559094498553E-2</v>
      </c>
      <c r="X1224" s="264">
        <v>0</v>
      </c>
      <c r="Y1224" s="264">
        <v>0</v>
      </c>
      <c r="Z1224" s="264">
        <v>0</v>
      </c>
      <c r="AA1224" s="264">
        <v>0</v>
      </c>
      <c r="AB1224" s="264">
        <v>0</v>
      </c>
      <c r="AC1224" s="264">
        <v>0</v>
      </c>
      <c r="AD1224" s="264">
        <v>0</v>
      </c>
      <c r="AE1224" s="264">
        <v>0</v>
      </c>
      <c r="AF1224" s="264">
        <v>0</v>
      </c>
      <c r="AG1224" s="264"/>
      <c r="AO1224" s="338"/>
      <c r="AP1224" s="449"/>
      <c r="AR1224" s="449"/>
      <c r="AS1224" s="449"/>
      <c r="BA1224" s="264"/>
      <c r="BB1224" s="264"/>
      <c r="BC1224" s="264"/>
      <c r="BD1224" s="264"/>
      <c r="BE1224" s="264"/>
      <c r="BF1224" s="264"/>
      <c r="BG1224" s="264"/>
      <c r="BH1224" s="264"/>
      <c r="BI1224" s="264"/>
      <c r="BJ1224" s="264"/>
      <c r="BK1224" s="264"/>
      <c r="BL1224" s="264"/>
      <c r="BM1224" s="264"/>
      <c r="BN1224" s="264"/>
      <c r="BO1224" s="264"/>
      <c r="BP1224" s="264"/>
      <c r="BQ1224" s="264"/>
      <c r="BR1224" s="264"/>
      <c r="BS1224" s="264"/>
      <c r="BT1224" s="264"/>
      <c r="BU1224" s="264"/>
      <c r="BV1224" s="264"/>
      <c r="BW1224" s="264"/>
      <c r="BX1224" s="264"/>
      <c r="BY1224" s="264"/>
      <c r="BZ1224" s="264"/>
      <c r="CA1224" s="264"/>
      <c r="CB1224" s="264"/>
      <c r="CC1224" s="264"/>
      <c r="CD1224" s="264"/>
      <c r="CE1224" s="264"/>
      <c r="CF1224" s="264"/>
      <c r="CG1224" s="264"/>
      <c r="CH1224" s="264"/>
      <c r="CI1224" s="264"/>
      <c r="CJ1224" s="264"/>
      <c r="CK1224" s="264"/>
      <c r="CL1224" s="264"/>
      <c r="CM1224" s="264"/>
      <c r="CN1224" s="264"/>
      <c r="CO1224" s="265"/>
      <c r="CR1224" s="264"/>
      <c r="CS1224" s="264"/>
      <c r="CT1224" s="264"/>
      <c r="CU1224" s="264"/>
      <c r="CV1224" s="264"/>
      <c r="CW1224" s="264"/>
      <c r="CX1224" s="264"/>
      <c r="CY1224" s="264"/>
      <c r="CZ1224" s="264"/>
      <c r="DA1224" s="264"/>
      <c r="DB1224" s="264"/>
      <c r="DC1224" s="264"/>
      <c r="DD1224" s="264"/>
      <c r="DE1224" s="264"/>
      <c r="DF1224" s="264"/>
      <c r="DG1224" s="264"/>
      <c r="DH1224" s="264"/>
      <c r="DI1224" s="264"/>
      <c r="DJ1224" s="264"/>
      <c r="DK1224" s="264"/>
      <c r="DL1224" s="264"/>
      <c r="DM1224" s="264"/>
      <c r="DN1224" s="264"/>
      <c r="DO1224" s="264"/>
      <c r="DP1224" s="264"/>
      <c r="DQ1224" s="264"/>
      <c r="DR1224" s="264"/>
      <c r="DS1224" s="264"/>
      <c r="DT1224" s="264"/>
      <c r="DU1224" s="264"/>
      <c r="DV1224" s="264"/>
      <c r="DW1224" s="264"/>
      <c r="DX1224" s="264"/>
      <c r="DY1224" s="264"/>
      <c r="DZ1224" s="264"/>
      <c r="EA1224" s="264"/>
      <c r="EB1224" s="264"/>
      <c r="EC1224" s="264"/>
      <c r="ED1224" s="264"/>
      <c r="EE1224" s="264"/>
      <c r="EF1224" s="264"/>
      <c r="EG1224" s="264"/>
      <c r="EH1224" s="264"/>
      <c r="EI1224" s="264"/>
      <c r="EJ1224" s="264"/>
      <c r="EK1224" s="264"/>
      <c r="EL1224" s="264"/>
      <c r="EM1224" s="264"/>
      <c r="EN1224" s="264"/>
      <c r="EO1224" s="264"/>
      <c r="EP1224" s="264"/>
      <c r="EQ1224" s="264"/>
      <c r="ER1224" s="264"/>
      <c r="ES1224" s="264"/>
      <c r="ET1224" s="264"/>
      <c r="EU1224" s="264"/>
      <c r="EV1224" s="264"/>
      <c r="EW1224" s="264"/>
      <c r="EX1224" s="264"/>
      <c r="EY1224" s="264"/>
      <c r="EZ1224" s="264"/>
      <c r="FA1224" s="264"/>
      <c r="FB1224" s="264"/>
      <c r="FC1224" s="264"/>
    </row>
    <row r="1225" spans="3:159" hidden="1" collapsed="1">
      <c r="C1225" s="263" t="s">
        <v>1255</v>
      </c>
      <c r="D1225" s="269"/>
      <c r="E1225" s="269"/>
      <c r="F1225" s="269"/>
      <c r="G1225" s="269"/>
      <c r="H1225" s="269"/>
      <c r="I1225" s="269"/>
      <c r="J1225" s="269"/>
      <c r="K1225" s="269"/>
      <c r="L1225" s="269"/>
      <c r="M1225" s="269"/>
      <c r="N1225" s="269"/>
      <c r="O1225" s="269"/>
      <c r="P1225" s="269"/>
      <c r="Q1225" s="269"/>
      <c r="R1225" s="269"/>
      <c r="S1225" s="269"/>
      <c r="T1225" s="269"/>
      <c r="U1225" s="451">
        <v>1.1280721372289322</v>
      </c>
      <c r="V1225" s="451">
        <v>1.1657322621634243</v>
      </c>
      <c r="W1225" s="451">
        <v>1.1190902009039596</v>
      </c>
      <c r="X1225" s="451">
        <v>1.1417730410447762</v>
      </c>
      <c r="Y1225" s="451">
        <v>1.1826485576923091</v>
      </c>
      <c r="Z1225" s="451">
        <v>1.0995711238887531</v>
      </c>
      <c r="AA1225" s="451">
        <v>1.09205</v>
      </c>
      <c r="AB1225" s="451">
        <v>1.09205</v>
      </c>
      <c r="AC1225" s="451">
        <v>1.09205</v>
      </c>
      <c r="AD1225" s="451">
        <v>1.09205</v>
      </c>
      <c r="AE1225" s="451">
        <v>1.09205</v>
      </c>
      <c r="AF1225" s="451">
        <v>1.09205</v>
      </c>
      <c r="AG1225" s="451"/>
      <c r="AO1225" s="338"/>
      <c r="AP1225" s="449"/>
      <c r="AR1225" s="449"/>
      <c r="AS1225" s="449"/>
      <c r="BA1225" s="451"/>
      <c r="BB1225" s="451"/>
      <c r="BC1225" s="451"/>
      <c r="BD1225" s="451"/>
      <c r="BE1225" s="451"/>
      <c r="BF1225" s="451"/>
      <c r="BG1225" s="451"/>
      <c r="BH1225" s="451"/>
      <c r="BI1225" s="451"/>
      <c r="BJ1225" s="451"/>
      <c r="BK1225" s="451"/>
      <c r="BL1225" s="451"/>
      <c r="BM1225" s="451"/>
      <c r="BN1225" s="451"/>
      <c r="BO1225" s="451"/>
      <c r="BP1225" s="451"/>
      <c r="BQ1225" s="451"/>
      <c r="BR1225" s="451"/>
      <c r="BS1225" s="451"/>
      <c r="BT1225" s="451"/>
      <c r="BU1225" s="451"/>
      <c r="BV1225" s="451"/>
      <c r="BW1225" s="451"/>
      <c r="BX1225" s="451"/>
      <c r="BY1225" s="451"/>
      <c r="BZ1225" s="451"/>
      <c r="CA1225" s="451"/>
      <c r="CB1225" s="451"/>
      <c r="CC1225" s="451"/>
      <c r="CD1225" s="451"/>
      <c r="CE1225" s="451"/>
      <c r="CF1225" s="451"/>
      <c r="CG1225" s="451"/>
      <c r="CH1225" s="451"/>
      <c r="CI1225" s="451"/>
      <c r="CJ1225" s="451"/>
      <c r="CK1225" s="451"/>
      <c r="CL1225" s="451"/>
      <c r="CM1225" s="451"/>
      <c r="CN1225" s="451"/>
      <c r="CO1225" s="495"/>
      <c r="CR1225" s="451"/>
      <c r="CS1225" s="451"/>
      <c r="CT1225" s="451"/>
      <c r="CU1225" s="451"/>
      <c r="CV1225" s="451"/>
      <c r="CW1225" s="451"/>
      <c r="CX1225" s="451"/>
      <c r="CY1225" s="451"/>
      <c r="CZ1225" s="451"/>
      <c r="DA1225" s="451"/>
      <c r="DB1225" s="451"/>
      <c r="DC1225" s="451"/>
      <c r="DD1225" s="451"/>
      <c r="DE1225" s="451"/>
      <c r="DF1225" s="451"/>
      <c r="DG1225" s="451"/>
      <c r="DH1225" s="451"/>
      <c r="DI1225" s="451"/>
      <c r="DJ1225" s="451"/>
      <c r="DK1225" s="451"/>
      <c r="DL1225" s="451"/>
      <c r="DM1225" s="451"/>
      <c r="DN1225" s="451"/>
      <c r="DO1225" s="451"/>
      <c r="DP1225" s="451"/>
      <c r="DQ1225" s="451"/>
      <c r="DR1225" s="451"/>
      <c r="DS1225" s="451"/>
      <c r="DT1225" s="451"/>
      <c r="DU1225" s="451"/>
      <c r="DV1225" s="451"/>
      <c r="DW1225" s="451"/>
      <c r="DX1225" s="451"/>
      <c r="DY1225" s="451"/>
      <c r="DZ1225" s="451"/>
      <c r="EA1225" s="451"/>
      <c r="EB1225" s="451"/>
      <c r="EC1225" s="451"/>
      <c r="ED1225" s="451"/>
      <c r="EE1225" s="451"/>
      <c r="EF1225" s="451"/>
      <c r="EG1225" s="451"/>
      <c r="EH1225" s="451"/>
      <c r="EI1225" s="451"/>
      <c r="EJ1225" s="451"/>
      <c r="EK1225" s="451"/>
      <c r="EL1225" s="451"/>
      <c r="EM1225" s="451"/>
      <c r="EN1225" s="451"/>
      <c r="EO1225" s="451"/>
      <c r="EP1225" s="451"/>
      <c r="EQ1225" s="451"/>
      <c r="ER1225" s="451"/>
      <c r="ES1225" s="451"/>
      <c r="ET1225" s="451"/>
      <c r="EU1225" s="451"/>
      <c r="EV1225" s="451"/>
      <c r="EW1225" s="451"/>
      <c r="EX1225" s="451"/>
      <c r="EY1225" s="451"/>
      <c r="EZ1225" s="451"/>
      <c r="FA1225" s="451"/>
      <c r="FB1225" s="451"/>
      <c r="FC1225" s="451"/>
    </row>
    <row r="1226" spans="3:159" hidden="1" collapsed="1">
      <c r="C1226" s="263" t="s">
        <v>1149</v>
      </c>
      <c r="D1226" s="269"/>
      <c r="E1226" s="269"/>
      <c r="F1226" s="269"/>
      <c r="G1226" s="269"/>
      <c r="H1226" s="269"/>
      <c r="I1226" s="269"/>
      <c r="J1226" s="269"/>
      <c r="K1226" s="269"/>
      <c r="L1226" s="269"/>
      <c r="M1226" s="269"/>
      <c r="N1226" s="269"/>
      <c r="O1226" s="269"/>
      <c r="P1226" s="269"/>
      <c r="Q1226" s="269"/>
      <c r="R1226" s="269"/>
      <c r="S1226" s="269"/>
      <c r="T1226" s="269"/>
      <c r="U1226" s="269"/>
      <c r="V1226" s="264">
        <v>-3.230598153353037E-2</v>
      </c>
      <c r="W1226" s="264">
        <v>4.1678553901900894E-2</v>
      </c>
      <c r="X1226" s="264">
        <v>-1.986633010712946E-2</v>
      </c>
      <c r="Y1226" s="264">
        <v>-3.456269098851561E-2</v>
      </c>
      <c r="Z1226" s="264">
        <v>7.5554397527050066E-2</v>
      </c>
      <c r="AA1226" s="264">
        <v>6.8871607424139114E-3</v>
      </c>
      <c r="AB1226" s="264">
        <v>0</v>
      </c>
      <c r="AC1226" s="264">
        <v>0</v>
      </c>
      <c r="AD1226" s="264">
        <v>0</v>
      </c>
      <c r="AE1226" s="264">
        <v>0</v>
      </c>
      <c r="AF1226" s="264">
        <v>0</v>
      </c>
      <c r="AG1226" s="264"/>
      <c r="AO1226" s="338"/>
      <c r="AP1226" s="449"/>
      <c r="AR1226" s="449"/>
      <c r="AS1226" s="449"/>
      <c r="BA1226" s="264"/>
      <c r="BB1226" s="264"/>
      <c r="BC1226" s="264"/>
      <c r="BD1226" s="264"/>
      <c r="BE1226" s="264"/>
      <c r="BF1226" s="264"/>
      <c r="BG1226" s="264"/>
      <c r="BH1226" s="264"/>
      <c r="BI1226" s="264"/>
      <c r="BJ1226" s="264"/>
      <c r="BK1226" s="264"/>
      <c r="BL1226" s="264"/>
      <c r="BM1226" s="264"/>
      <c r="BN1226" s="264"/>
      <c r="BO1226" s="264"/>
      <c r="BP1226" s="264"/>
      <c r="BQ1226" s="264"/>
      <c r="BR1226" s="264"/>
      <c r="BS1226" s="264"/>
      <c r="BT1226" s="264"/>
      <c r="BU1226" s="264"/>
      <c r="BV1226" s="264"/>
      <c r="BW1226" s="264"/>
      <c r="BX1226" s="264"/>
      <c r="BY1226" s="264"/>
      <c r="BZ1226" s="264"/>
      <c r="CA1226" s="264"/>
      <c r="CB1226" s="264"/>
      <c r="CC1226" s="264"/>
      <c r="CD1226" s="264"/>
      <c r="CE1226" s="264"/>
      <c r="CF1226" s="264"/>
      <c r="CG1226" s="264"/>
      <c r="CH1226" s="264"/>
      <c r="CI1226" s="264"/>
      <c r="CJ1226" s="264"/>
      <c r="CK1226" s="264"/>
      <c r="CL1226" s="264"/>
      <c r="CM1226" s="264"/>
      <c r="CN1226" s="264"/>
      <c r="CO1226" s="265"/>
      <c r="CR1226" s="264"/>
      <c r="CS1226" s="264"/>
      <c r="CT1226" s="264"/>
      <c r="CU1226" s="264"/>
      <c r="CV1226" s="264"/>
      <c r="CW1226" s="264"/>
      <c r="CX1226" s="264"/>
      <c r="CY1226" s="264"/>
      <c r="CZ1226" s="264"/>
      <c r="DA1226" s="264"/>
      <c r="DB1226" s="264"/>
      <c r="DC1226" s="264"/>
      <c r="DD1226" s="264"/>
      <c r="DE1226" s="264"/>
      <c r="DF1226" s="264"/>
      <c r="DG1226" s="264"/>
      <c r="DH1226" s="264"/>
      <c r="DI1226" s="264"/>
      <c r="DJ1226" s="264"/>
      <c r="DK1226" s="264"/>
      <c r="DL1226" s="264"/>
      <c r="DM1226" s="264"/>
      <c r="DN1226" s="264"/>
      <c r="DO1226" s="264"/>
      <c r="DP1226" s="264"/>
      <c r="DQ1226" s="264"/>
      <c r="DR1226" s="264"/>
      <c r="DS1226" s="264"/>
      <c r="DT1226" s="264"/>
      <c r="DU1226" s="264"/>
      <c r="DV1226" s="264"/>
      <c r="DW1226" s="264"/>
      <c r="DX1226" s="264"/>
      <c r="DY1226" s="264"/>
      <c r="DZ1226" s="264"/>
      <c r="EA1226" s="264"/>
      <c r="EB1226" s="264"/>
      <c r="EC1226" s="264"/>
      <c r="ED1226" s="264"/>
      <c r="EE1226" s="264"/>
      <c r="EF1226" s="264"/>
      <c r="EG1226" s="264"/>
      <c r="EH1226" s="264"/>
      <c r="EI1226" s="264"/>
      <c r="EJ1226" s="264"/>
      <c r="EK1226" s="264"/>
      <c r="EL1226" s="264"/>
      <c r="EM1226" s="264"/>
      <c r="EN1226" s="264"/>
      <c r="EO1226" s="264"/>
      <c r="EP1226" s="264"/>
      <c r="EQ1226" s="264"/>
      <c r="ER1226" s="264"/>
      <c r="ES1226" s="264"/>
      <c r="ET1226" s="264"/>
      <c r="EU1226" s="264"/>
      <c r="EV1226" s="264"/>
      <c r="EW1226" s="264"/>
      <c r="EX1226" s="264"/>
      <c r="EY1226" s="264"/>
      <c r="EZ1226" s="264"/>
      <c r="FA1226" s="264"/>
      <c r="FB1226" s="264"/>
      <c r="FC1226" s="264"/>
    </row>
    <row r="1227" spans="3:159" hidden="1" collapsed="1">
      <c r="C1227" s="263" t="s">
        <v>1260</v>
      </c>
      <c r="D1227" s="269"/>
      <c r="E1227" s="269"/>
      <c r="F1227" s="269"/>
      <c r="G1227" s="269"/>
      <c r="H1227" s="269"/>
      <c r="I1227" s="269"/>
      <c r="J1227" s="269"/>
      <c r="K1227" s="269"/>
      <c r="L1227" s="269"/>
      <c r="M1227" s="269"/>
      <c r="N1227" s="269"/>
      <c r="O1227" s="269"/>
      <c r="P1227" s="269"/>
      <c r="Q1227" s="269"/>
      <c r="R1227" s="269"/>
      <c r="S1227" s="269"/>
      <c r="T1227" s="269"/>
      <c r="U1227" s="269"/>
      <c r="V1227" s="441">
        <v>-160.49759978649323</v>
      </c>
      <c r="W1227" s="441">
        <v>158.33682627332149</v>
      </c>
      <c r="X1227" s="441">
        <v>-86.158569697307698</v>
      </c>
      <c r="Y1227" s="441">
        <v>-94.476587455557208</v>
      </c>
      <c r="Z1227" s="441">
        <v>164.36358799949184</v>
      </c>
      <c r="AA1227" s="441">
        <v>18.418840684071174</v>
      </c>
      <c r="AB1227" s="441">
        <v>0</v>
      </c>
      <c r="AC1227" s="441">
        <v>0</v>
      </c>
      <c r="AD1227" s="441">
        <v>0</v>
      </c>
      <c r="AE1227" s="441">
        <v>0</v>
      </c>
      <c r="AF1227" s="441">
        <v>0</v>
      </c>
      <c r="AG1227" s="441"/>
      <c r="AO1227" s="338"/>
      <c r="AP1227" s="449"/>
      <c r="AR1227" s="449"/>
      <c r="AS1227" s="449"/>
      <c r="BA1227" s="441"/>
      <c r="BB1227" s="441"/>
      <c r="BC1227" s="441"/>
      <c r="BD1227" s="441"/>
      <c r="BE1227" s="441"/>
      <c r="BF1227" s="441"/>
      <c r="BG1227" s="441"/>
      <c r="BH1227" s="441"/>
      <c r="BI1227" s="441"/>
      <c r="BJ1227" s="441"/>
      <c r="BK1227" s="441"/>
      <c r="BL1227" s="441"/>
      <c r="BM1227" s="441"/>
      <c r="BN1227" s="441"/>
      <c r="BO1227" s="441"/>
      <c r="BP1227" s="441"/>
      <c r="BQ1227" s="441"/>
      <c r="BR1227" s="441"/>
      <c r="BS1227" s="441"/>
      <c r="BT1227" s="441"/>
      <c r="BU1227" s="441"/>
      <c r="BV1227" s="441"/>
      <c r="BW1227" s="441"/>
      <c r="BX1227" s="441"/>
      <c r="BY1227" s="441"/>
      <c r="BZ1227" s="441"/>
      <c r="CA1227" s="441"/>
      <c r="CB1227" s="441"/>
      <c r="CC1227" s="441"/>
      <c r="CD1227" s="441"/>
      <c r="CE1227" s="441"/>
      <c r="CF1227" s="441"/>
      <c r="CG1227" s="441"/>
      <c r="CH1227" s="441"/>
      <c r="CI1227" s="441"/>
      <c r="CJ1227" s="441"/>
      <c r="CK1227" s="441"/>
      <c r="CL1227" s="441"/>
      <c r="CM1227" s="441"/>
      <c r="CN1227" s="441"/>
      <c r="CO1227" s="377"/>
      <c r="CR1227" s="441"/>
      <c r="CS1227" s="441"/>
      <c r="CT1227" s="441"/>
      <c r="CU1227" s="441"/>
      <c r="CV1227" s="441"/>
      <c r="CW1227" s="441"/>
      <c r="CX1227" s="441"/>
      <c r="CY1227" s="441"/>
      <c r="CZ1227" s="441"/>
      <c r="DA1227" s="441"/>
      <c r="DB1227" s="441"/>
      <c r="DC1227" s="441"/>
      <c r="DD1227" s="441"/>
      <c r="DE1227" s="441"/>
      <c r="DF1227" s="441"/>
      <c r="DG1227" s="441"/>
      <c r="DH1227" s="441"/>
      <c r="DI1227" s="441"/>
      <c r="DJ1227" s="441"/>
      <c r="DK1227" s="441"/>
      <c r="DL1227" s="441"/>
      <c r="DM1227" s="441"/>
      <c r="DN1227" s="441"/>
      <c r="DO1227" s="441"/>
      <c r="DP1227" s="441"/>
      <c r="DQ1227" s="441"/>
      <c r="DR1227" s="441"/>
      <c r="DS1227" s="441"/>
      <c r="DT1227" s="441"/>
      <c r="DU1227" s="441"/>
      <c r="DV1227" s="441"/>
      <c r="DW1227" s="441"/>
      <c r="DX1227" s="441"/>
      <c r="DY1227" s="441"/>
      <c r="DZ1227" s="441"/>
      <c r="EA1227" s="441"/>
      <c r="EB1227" s="441"/>
      <c r="EC1227" s="441"/>
      <c r="ED1227" s="441"/>
      <c r="EE1227" s="441"/>
      <c r="EF1227" s="441"/>
      <c r="EG1227" s="441"/>
      <c r="EH1227" s="441"/>
      <c r="EI1227" s="441"/>
      <c r="EJ1227" s="441"/>
      <c r="EK1227" s="441"/>
      <c r="EL1227" s="441"/>
      <c r="EM1227" s="441"/>
      <c r="EN1227" s="441"/>
      <c r="EO1227" s="441"/>
      <c r="EP1227" s="441"/>
      <c r="EQ1227" s="441"/>
      <c r="ER1227" s="441"/>
      <c r="ES1227" s="441"/>
      <c r="ET1227" s="441"/>
      <c r="EU1227" s="441"/>
      <c r="EV1227" s="441"/>
      <c r="EW1227" s="441"/>
      <c r="EX1227" s="441"/>
      <c r="EY1227" s="441"/>
      <c r="EZ1227" s="441"/>
      <c r="FA1227" s="441"/>
      <c r="FB1227" s="441"/>
      <c r="FC1227" s="441"/>
    </row>
    <row r="1228" spans="3:159" hidden="1" collapsed="1">
      <c r="C1228" s="263" t="s">
        <v>1261</v>
      </c>
      <c r="D1228" s="269"/>
      <c r="E1228" s="269"/>
      <c r="F1228" s="269"/>
      <c r="G1228" s="269"/>
      <c r="H1228" s="269"/>
      <c r="I1228" s="269"/>
      <c r="J1228" s="269"/>
      <c r="K1228" s="269"/>
      <c r="L1228" s="269"/>
      <c r="M1228" s="269"/>
      <c r="N1228" s="269"/>
      <c r="O1228" s="269"/>
      <c r="P1228" s="269"/>
      <c r="Q1228" s="269"/>
      <c r="R1228" s="269"/>
      <c r="S1228" s="269"/>
      <c r="T1228" s="269"/>
      <c r="U1228" s="269"/>
      <c r="V1228" s="451">
        <v>-31.432334651912608</v>
      </c>
      <c r="W1228" s="451">
        <v>38.928943568632747</v>
      </c>
      <c r="X1228" s="451">
        <v>-18.931817762213115</v>
      </c>
      <c r="Y1228" s="451">
        <v>-34.116002550972645</v>
      </c>
      <c r="Z1228" s="451">
        <v>69.339061032796508</v>
      </c>
      <c r="AA1228" s="451">
        <v>6.277368528144831</v>
      </c>
      <c r="AB1228" s="451">
        <v>0</v>
      </c>
      <c r="AC1228" s="451">
        <v>0</v>
      </c>
      <c r="AD1228" s="451">
        <v>0</v>
      </c>
      <c r="AE1228" s="451">
        <v>0</v>
      </c>
      <c r="AF1228" s="451">
        <v>0</v>
      </c>
      <c r="AG1228" s="451"/>
      <c r="AO1228" s="338"/>
      <c r="AP1228" s="449"/>
      <c r="AR1228" s="449"/>
      <c r="AS1228" s="449"/>
      <c r="BA1228" s="451"/>
      <c r="BB1228" s="451"/>
      <c r="BC1228" s="451"/>
      <c r="BD1228" s="451"/>
      <c r="BE1228" s="451"/>
      <c r="BF1228" s="451"/>
      <c r="BG1228" s="451"/>
      <c r="BH1228" s="451"/>
      <c r="BI1228" s="451"/>
      <c r="BJ1228" s="451"/>
      <c r="BK1228" s="451"/>
      <c r="BL1228" s="451"/>
      <c r="BM1228" s="451"/>
      <c r="BN1228" s="451"/>
      <c r="BO1228" s="451"/>
      <c r="BP1228" s="451"/>
      <c r="BQ1228" s="451"/>
      <c r="BR1228" s="451"/>
      <c r="BS1228" s="451"/>
      <c r="BT1228" s="451"/>
      <c r="BU1228" s="451"/>
      <c r="BV1228" s="451"/>
      <c r="BW1228" s="451"/>
      <c r="BX1228" s="451"/>
      <c r="BY1228" s="451"/>
      <c r="BZ1228" s="451"/>
      <c r="CA1228" s="451"/>
      <c r="CB1228" s="451"/>
      <c r="CC1228" s="451"/>
      <c r="CD1228" s="451"/>
      <c r="CE1228" s="451"/>
      <c r="CF1228" s="451"/>
      <c r="CG1228" s="451"/>
      <c r="CH1228" s="451"/>
      <c r="CI1228" s="451"/>
      <c r="CJ1228" s="451"/>
      <c r="CK1228" s="451"/>
      <c r="CL1228" s="451"/>
      <c r="CM1228" s="451"/>
      <c r="CN1228" s="451"/>
      <c r="CO1228" s="495"/>
      <c r="CR1228" s="451"/>
      <c r="CS1228" s="451"/>
      <c r="CT1228" s="451"/>
      <c r="CU1228" s="451"/>
      <c r="CV1228" s="451"/>
      <c r="CW1228" s="451"/>
      <c r="CX1228" s="451"/>
      <c r="CY1228" s="451"/>
      <c r="CZ1228" s="451"/>
      <c r="DA1228" s="451"/>
      <c r="DB1228" s="451"/>
      <c r="DC1228" s="451"/>
      <c r="DD1228" s="451"/>
      <c r="DE1228" s="451"/>
      <c r="DF1228" s="451"/>
      <c r="DG1228" s="451"/>
      <c r="DH1228" s="451"/>
      <c r="DI1228" s="451"/>
      <c r="DJ1228" s="451"/>
      <c r="DK1228" s="451"/>
      <c r="DL1228" s="451"/>
      <c r="DM1228" s="451"/>
      <c r="DN1228" s="451"/>
      <c r="DO1228" s="451"/>
      <c r="DP1228" s="451"/>
      <c r="DQ1228" s="451"/>
      <c r="DR1228" s="451"/>
      <c r="DS1228" s="451"/>
      <c r="DT1228" s="451"/>
      <c r="DU1228" s="451"/>
      <c r="DV1228" s="451"/>
      <c r="DW1228" s="451"/>
      <c r="DX1228" s="451"/>
      <c r="DY1228" s="451"/>
      <c r="DZ1228" s="451"/>
      <c r="EA1228" s="451"/>
      <c r="EB1228" s="451"/>
      <c r="EC1228" s="451"/>
      <c r="ED1228" s="451"/>
      <c r="EE1228" s="451"/>
      <c r="EF1228" s="451"/>
      <c r="EG1228" s="451"/>
      <c r="EH1228" s="451"/>
      <c r="EI1228" s="451"/>
      <c r="EJ1228" s="451"/>
      <c r="EK1228" s="451"/>
      <c r="EL1228" s="451"/>
      <c r="EM1228" s="451"/>
      <c r="EN1228" s="451"/>
      <c r="EO1228" s="451"/>
      <c r="EP1228" s="451"/>
      <c r="EQ1228" s="451"/>
      <c r="ER1228" s="451"/>
      <c r="ES1228" s="451"/>
      <c r="ET1228" s="451"/>
      <c r="EU1228" s="451"/>
      <c r="EV1228" s="451"/>
      <c r="EW1228" s="451"/>
      <c r="EX1228" s="451"/>
      <c r="EY1228" s="451"/>
      <c r="EZ1228" s="451"/>
      <c r="FA1228" s="451"/>
      <c r="FB1228" s="451"/>
      <c r="FC1228" s="451"/>
    </row>
    <row r="1229" spans="3:159" hidden="1">
      <c r="C1229" s="19"/>
      <c r="D1229" s="259"/>
      <c r="E1229" s="259"/>
      <c r="F1229" s="259"/>
      <c r="G1229" s="259"/>
      <c r="H1229" s="259"/>
      <c r="I1229" s="259"/>
      <c r="J1229" s="259"/>
      <c r="K1229" s="259"/>
      <c r="L1229" s="259"/>
      <c r="M1229" s="259"/>
      <c r="N1229" s="259"/>
      <c r="O1229" s="259"/>
      <c r="P1229" s="259"/>
      <c r="Q1229" s="259"/>
      <c r="R1229" s="259"/>
      <c r="S1229" s="259"/>
      <c r="T1229" s="259"/>
      <c r="U1229" s="259"/>
      <c r="V1229" s="259"/>
      <c r="W1229" s="259"/>
      <c r="X1229" s="259"/>
      <c r="Y1229" s="259"/>
      <c r="Z1229" s="259"/>
      <c r="AA1229" s="259"/>
      <c r="AB1229" s="259"/>
      <c r="AC1229" s="259"/>
      <c r="AD1229" s="259"/>
      <c r="AE1229" s="259"/>
      <c r="AF1229" s="259"/>
      <c r="AG1229" s="259"/>
      <c r="AO1229" s="338"/>
      <c r="AP1229" s="449"/>
      <c r="AR1229" s="449"/>
      <c r="AS1229" s="449"/>
      <c r="BZ1229" s="259"/>
      <c r="CA1229" s="259"/>
      <c r="CB1229" s="259"/>
      <c r="CC1229" s="259"/>
      <c r="CD1229" s="259"/>
      <c r="CE1229" s="259"/>
      <c r="CF1229" s="259"/>
      <c r="CG1229" s="259"/>
      <c r="CH1229" s="259"/>
      <c r="CI1229" s="259"/>
      <c r="CJ1229" s="259"/>
      <c r="CK1229" s="259"/>
      <c r="CL1229" s="259"/>
      <c r="CM1229" s="259"/>
      <c r="CN1229" s="259"/>
      <c r="CO1229" s="259"/>
      <c r="CR1229" s="259"/>
      <c r="CS1229" s="259"/>
      <c r="CT1229" s="259"/>
      <c r="CU1229" s="259"/>
      <c r="CV1229" s="259"/>
      <c r="CW1229" s="259"/>
      <c r="CX1229" s="259"/>
      <c r="CY1229" s="259"/>
      <c r="CZ1229" s="259"/>
      <c r="DA1229" s="259"/>
      <c r="DB1229" s="259"/>
      <c r="DC1229" s="259"/>
      <c r="DD1229" s="259"/>
      <c r="DE1229" s="259"/>
      <c r="DF1229" s="259"/>
      <c r="DG1229" s="259"/>
      <c r="DH1229" s="259"/>
      <c r="DI1229" s="259"/>
      <c r="DJ1229" s="259"/>
      <c r="DK1229" s="259"/>
      <c r="DL1229" s="259"/>
      <c r="DM1229" s="259"/>
      <c r="DN1229" s="259"/>
      <c r="DO1229" s="259"/>
      <c r="DP1229" s="259"/>
      <c r="DQ1229" s="259"/>
      <c r="DR1229" s="259"/>
      <c r="DS1229" s="259"/>
      <c r="DT1229" s="259"/>
      <c r="DU1229" s="259"/>
      <c r="DV1229" s="259"/>
      <c r="DW1229" s="259"/>
      <c r="DX1229" s="259"/>
      <c r="DY1229" s="259"/>
      <c r="DZ1229" s="259"/>
      <c r="EA1229" s="259"/>
      <c r="EB1229" s="259"/>
      <c r="EC1229" s="259"/>
      <c r="ED1229" s="259"/>
      <c r="EE1229" s="259"/>
      <c r="EF1229" s="259"/>
      <c r="EG1229" s="259"/>
      <c r="EH1229" s="259"/>
      <c r="EI1229" s="259"/>
      <c r="EJ1229" s="259"/>
      <c r="EK1229" s="259"/>
      <c r="EL1229" s="259"/>
      <c r="EM1229" s="259"/>
      <c r="EN1229" s="259"/>
      <c r="EO1229" s="259"/>
      <c r="EP1229" s="259"/>
      <c r="EQ1229" s="259"/>
      <c r="ER1229" s="259"/>
      <c r="ES1229" s="259"/>
      <c r="ET1229" s="259"/>
      <c r="EU1229" s="259"/>
      <c r="EV1229" s="259"/>
      <c r="EW1229" s="259"/>
      <c r="EX1229" s="259"/>
      <c r="EY1229" s="259"/>
      <c r="EZ1229" s="259"/>
      <c r="FA1229" s="259"/>
      <c r="FB1229" s="259"/>
      <c r="FC1229" s="259"/>
    </row>
    <row r="1230" spans="3:159">
      <c r="C1230" s="19"/>
      <c r="D1230" s="259"/>
      <c r="E1230" s="259"/>
      <c r="F1230" s="259"/>
      <c r="G1230" s="259"/>
      <c r="H1230" s="259"/>
      <c r="I1230" s="259"/>
      <c r="J1230" s="259"/>
      <c r="K1230" s="259"/>
      <c r="L1230" s="259"/>
      <c r="M1230" s="259"/>
      <c r="N1230" s="259"/>
      <c r="O1230" s="259"/>
      <c r="P1230" s="259"/>
      <c r="Q1230" s="259"/>
      <c r="R1230" s="259"/>
      <c r="S1230" s="259"/>
      <c r="T1230" s="259"/>
      <c r="U1230" s="259"/>
      <c r="V1230" s="259"/>
      <c r="W1230" s="259"/>
      <c r="X1230" s="259"/>
      <c r="Y1230" s="259"/>
      <c r="Z1230" s="259"/>
      <c r="AA1230" s="259"/>
      <c r="AB1230" s="259"/>
      <c r="AC1230" s="259"/>
      <c r="AD1230" s="259"/>
      <c r="AE1230" s="259"/>
      <c r="AF1230" s="259"/>
      <c r="AG1230" s="259"/>
      <c r="AO1230" s="338"/>
      <c r="AP1230" s="449"/>
      <c r="AR1230" s="449"/>
      <c r="AS1230" s="449"/>
      <c r="CB1230" s="259"/>
      <c r="CC1230" s="259"/>
      <c r="CD1230" s="259"/>
      <c r="CE1230" s="259"/>
      <c r="CF1230" s="259"/>
      <c r="CG1230" s="259"/>
      <c r="CH1230" s="259"/>
      <c r="CI1230" s="259"/>
      <c r="CJ1230" s="259"/>
      <c r="CK1230" s="259"/>
      <c r="CL1230" s="259"/>
      <c r="CM1230" s="259"/>
      <c r="CN1230" s="259"/>
      <c r="CO1230" s="259"/>
      <c r="CR1230" s="259"/>
      <c r="CS1230" s="259"/>
      <c r="CT1230" s="259"/>
      <c r="CU1230" s="259"/>
      <c r="CV1230" s="259"/>
      <c r="CW1230" s="259"/>
      <c r="CX1230" s="259"/>
      <c r="CY1230" s="259"/>
      <c r="CZ1230" s="259"/>
      <c r="DA1230" s="259"/>
      <c r="DB1230" s="259"/>
      <c r="DC1230" s="259"/>
      <c r="DD1230" s="259"/>
      <c r="DE1230" s="259"/>
      <c r="DF1230" s="259"/>
      <c r="DG1230" s="259"/>
      <c r="DH1230" s="259"/>
      <c r="DI1230" s="259"/>
      <c r="DJ1230" s="259"/>
      <c r="DK1230" s="259"/>
      <c r="DL1230" s="259"/>
      <c r="DM1230" s="259"/>
      <c r="DN1230" s="259"/>
      <c r="DO1230" s="259"/>
      <c r="DP1230" s="259"/>
      <c r="DQ1230" s="259"/>
      <c r="DR1230" s="259"/>
      <c r="DS1230" s="259"/>
      <c r="DT1230" s="259"/>
      <c r="DU1230" s="259"/>
      <c r="DV1230" s="259"/>
      <c r="DW1230" s="259"/>
      <c r="DX1230" s="259"/>
      <c r="DY1230" s="259"/>
      <c r="DZ1230" s="259"/>
      <c r="EA1230" s="259"/>
      <c r="EB1230" s="259"/>
      <c r="EC1230" s="259"/>
      <c r="ED1230" s="259"/>
      <c r="EE1230" s="259"/>
      <c r="EF1230" s="259"/>
      <c r="EG1230" s="259"/>
      <c r="EH1230" s="259"/>
      <c r="EI1230" s="259"/>
      <c r="EJ1230" s="259"/>
      <c r="EK1230" s="259"/>
      <c r="EL1230" s="259"/>
      <c r="EM1230" s="259"/>
      <c r="EN1230" s="259"/>
      <c r="EO1230" s="259"/>
      <c r="EP1230" s="259"/>
      <c r="EQ1230" s="259"/>
      <c r="ER1230" s="259"/>
      <c r="ES1230" s="259"/>
      <c r="ET1230" s="259"/>
      <c r="EU1230" s="259"/>
      <c r="EV1230" s="259"/>
      <c r="EW1230" s="259"/>
      <c r="EX1230" s="259"/>
      <c r="EY1230" s="259"/>
      <c r="EZ1230" s="259"/>
      <c r="FA1230" s="259"/>
      <c r="FB1230" s="259"/>
      <c r="FC1230" s="259"/>
    </row>
    <row r="1268" spans="1:1">
      <c r="A1268" s="405"/>
    </row>
    <row r="1269" spans="1:1">
      <c r="A1269" s="267"/>
    </row>
    <row r="1270" spans="1:1">
      <c r="A1270" s="266"/>
    </row>
    <row r="1271" spans="1:1">
      <c r="A1271" s="267"/>
    </row>
    <row r="1272" spans="1:1">
      <c r="A1272" s="267"/>
    </row>
    <row r="1273" spans="1:1">
      <c r="A1273" s="267"/>
    </row>
    <row r="1274" spans="1:1">
      <c r="A1274" s="410"/>
    </row>
    <row r="1275" spans="1:1">
      <c r="A1275" s="266"/>
    </row>
    <row r="1310" spans="3:3">
      <c r="C1310" s="396"/>
    </row>
  </sheetData>
  <sheetProtection selectLockedCells="1" selectUnlockedCells="1"/>
  <printOptions horizontalCentered="1" verticalCentered="1"/>
  <pageMargins left="0.7" right="0.7" top="0.75" bottom="0.75" header="0.3" footer="0.3"/>
  <pageSetup paperSize="9" orientation="portrait" r:id="rId1"/>
  <customProperties>
    <customPr name="Qube.Worksheet.Visibility" r:id="rId2"/>
    <customPr name="QXL_SHEET_ID" r:id="rId3"/>
  </customProperties>
  <drawing r:id="rId4"/>
  <legacyDrawing r:id="rId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7121CC-B82B-4D6E-8C2A-1BBBDAFE9CD2}">
  <sheetPr codeName="Sheet17"/>
  <dimension ref="E7:R50"/>
  <sheetViews>
    <sheetView showGridLines="0" workbookViewId="0">
      <selection activeCell="W54" sqref="W54"/>
    </sheetView>
  </sheetViews>
  <sheetFormatPr defaultRowHeight="14.25"/>
  <cols>
    <col min="5" max="5" width="11.875" bestFit="1" customWidth="1"/>
  </cols>
  <sheetData>
    <row r="7" spans="5:15" ht="15">
      <c r="H7" s="1476">
        <v>2023</v>
      </c>
      <c r="I7" s="1476">
        <f>H7+1</f>
        <v>2024</v>
      </c>
      <c r="J7" s="1476">
        <f t="shared" ref="J7:O7" si="0">I7+1</f>
        <v>2025</v>
      </c>
      <c r="K7" s="1476">
        <f t="shared" si="0"/>
        <v>2026</v>
      </c>
      <c r="L7" s="1476">
        <f t="shared" si="0"/>
        <v>2027</v>
      </c>
      <c r="M7" s="1476">
        <f t="shared" si="0"/>
        <v>2028</v>
      </c>
      <c r="N7" s="1476">
        <f t="shared" si="0"/>
        <v>2029</v>
      </c>
      <c r="O7" s="1476">
        <f t="shared" si="0"/>
        <v>2030</v>
      </c>
    </row>
    <row r="8" spans="5:15">
      <c r="E8" t="s">
        <v>1986</v>
      </c>
      <c r="H8" s="1471">
        <v>700</v>
      </c>
      <c r="I8">
        <v>1200</v>
      </c>
      <c r="J8">
        <v>1700</v>
      </c>
      <c r="K8">
        <v>2133</v>
      </c>
      <c r="L8">
        <v>2567</v>
      </c>
      <c r="M8">
        <v>3000</v>
      </c>
      <c r="N8">
        <v>3250</v>
      </c>
      <c r="O8">
        <v>3500</v>
      </c>
    </row>
    <row r="9" spans="5:15">
      <c r="E9" t="s">
        <v>1987</v>
      </c>
      <c r="H9" s="1472">
        <v>2100</v>
      </c>
      <c r="I9">
        <v>2225</v>
      </c>
      <c r="J9">
        <v>2350</v>
      </c>
      <c r="K9">
        <v>2200</v>
      </c>
      <c r="L9">
        <v>2050</v>
      </c>
      <c r="M9">
        <v>1900</v>
      </c>
      <c r="N9">
        <v>1750</v>
      </c>
      <c r="O9">
        <v>1600</v>
      </c>
    </row>
    <row r="10" spans="5:15">
      <c r="H10" s="1471"/>
    </row>
    <row r="11" spans="5:15">
      <c r="E11" t="s">
        <v>1988</v>
      </c>
      <c r="H11" s="1471">
        <v>5</v>
      </c>
      <c r="I11">
        <f>H11*(1+F13)</f>
        <v>5.2</v>
      </c>
    </row>
    <row r="12" spans="5:15">
      <c r="E12" t="s">
        <v>1989</v>
      </c>
      <c r="H12" s="1471">
        <v>3.5</v>
      </c>
      <c r="I12">
        <f>H12*(1+F13)</f>
        <v>3.64</v>
      </c>
    </row>
    <row r="13" spans="5:15">
      <c r="E13" t="s">
        <v>1990</v>
      </c>
      <c r="F13" s="1474">
        <v>0.04</v>
      </c>
      <c r="H13" s="1471"/>
    </row>
    <row r="14" spans="5:15">
      <c r="H14" s="1471"/>
    </row>
    <row r="15" spans="5:15">
      <c r="E15" t="s">
        <v>1991</v>
      </c>
      <c r="H15" s="1473">
        <v>0.65</v>
      </c>
      <c r="I15" s="1470">
        <f>H15</f>
        <v>0.65</v>
      </c>
      <c r="J15" s="1470">
        <f t="shared" ref="J15:O15" si="1">I15</f>
        <v>0.65</v>
      </c>
      <c r="K15" s="1470">
        <f t="shared" si="1"/>
        <v>0.65</v>
      </c>
      <c r="L15" s="1470">
        <f t="shared" si="1"/>
        <v>0.65</v>
      </c>
      <c r="M15" s="1470">
        <f t="shared" si="1"/>
        <v>0.65</v>
      </c>
      <c r="N15" s="1470">
        <f t="shared" si="1"/>
        <v>0.65</v>
      </c>
      <c r="O15" s="1470">
        <f t="shared" si="1"/>
        <v>0.65</v>
      </c>
    </row>
    <row r="16" spans="5:15">
      <c r="E16" t="s">
        <v>1992</v>
      </c>
      <c r="H16" s="1473">
        <v>0.9</v>
      </c>
      <c r="I16" s="1475">
        <f>H16-5%</f>
        <v>0.85</v>
      </c>
      <c r="J16" s="1475">
        <f t="shared" ref="J16:O16" si="2">I16-5%</f>
        <v>0.79999999999999993</v>
      </c>
      <c r="K16" s="1475">
        <f t="shared" si="2"/>
        <v>0.74999999999999989</v>
      </c>
      <c r="L16" s="1475">
        <f t="shared" si="2"/>
        <v>0.69999999999999984</v>
      </c>
      <c r="M16" s="1475">
        <f t="shared" si="2"/>
        <v>0.6499999999999998</v>
      </c>
      <c r="N16" s="1475">
        <f t="shared" si="2"/>
        <v>0.59999999999999976</v>
      </c>
      <c r="O16" s="1475">
        <f t="shared" si="2"/>
        <v>0.54999999999999971</v>
      </c>
    </row>
    <row r="17" spans="5:15">
      <c r="H17" s="1471"/>
    </row>
    <row r="18" spans="5:15">
      <c r="E18" t="s">
        <v>1993</v>
      </c>
      <c r="H18" s="1471"/>
    </row>
    <row r="19" spans="5:15">
      <c r="E19" t="s">
        <v>1994</v>
      </c>
      <c r="H19" s="1471">
        <f>H8*H11*H15</f>
        <v>2275</v>
      </c>
      <c r="I19" s="37">
        <f t="shared" ref="I19:O19" si="3">I8*I11*I15</f>
        <v>4056</v>
      </c>
      <c r="J19" s="37">
        <f t="shared" si="3"/>
        <v>0</v>
      </c>
      <c r="K19" s="37">
        <f t="shared" si="3"/>
        <v>0</v>
      </c>
      <c r="L19" s="37">
        <f t="shared" si="3"/>
        <v>0</v>
      </c>
      <c r="M19" s="37">
        <f t="shared" si="3"/>
        <v>0</v>
      </c>
      <c r="N19" s="37">
        <f t="shared" si="3"/>
        <v>0</v>
      </c>
      <c r="O19" s="37">
        <f t="shared" si="3"/>
        <v>0</v>
      </c>
    </row>
    <row r="20" spans="5:15">
      <c r="E20" t="s">
        <v>1995</v>
      </c>
      <c r="H20" s="1471">
        <f>H9*H12*H16</f>
        <v>6615</v>
      </c>
      <c r="I20" s="37">
        <f t="shared" ref="I20:O20" si="4">I9*I12*I16</f>
        <v>6884.15</v>
      </c>
      <c r="J20" s="37">
        <f t="shared" si="4"/>
        <v>0</v>
      </c>
      <c r="K20" s="37">
        <f t="shared" si="4"/>
        <v>0</v>
      </c>
      <c r="L20" s="37">
        <f t="shared" si="4"/>
        <v>0</v>
      </c>
      <c r="M20" s="37">
        <f t="shared" si="4"/>
        <v>0</v>
      </c>
      <c r="N20" s="37">
        <f t="shared" si="4"/>
        <v>0</v>
      </c>
      <c r="O20" s="37">
        <f t="shared" si="4"/>
        <v>0</v>
      </c>
    </row>
    <row r="21" spans="5:15">
      <c r="E21" t="s">
        <v>1996</v>
      </c>
      <c r="H21" s="1477">
        <f>SUM(H19:H20)*0.5</f>
        <v>4445</v>
      </c>
      <c r="I21" s="1478">
        <f t="shared" ref="I21" si="5">SUM(I19:I20)*0.5</f>
        <v>5470.0749999999998</v>
      </c>
      <c r="J21" s="1478">
        <f t="shared" ref="J21" si="6">SUM(J19:J20)*0.5</f>
        <v>0</v>
      </c>
      <c r="K21" s="1478">
        <f t="shared" ref="K21" si="7">SUM(K19:K20)*0.5</f>
        <v>0</v>
      </c>
      <c r="L21" s="1478">
        <f t="shared" ref="L21" si="8">SUM(L19:L20)*0.5</f>
        <v>0</v>
      </c>
      <c r="M21" s="1478">
        <f t="shared" ref="M21" si="9">SUM(M19:M20)*0.5</f>
        <v>0</v>
      </c>
      <c r="N21" s="1478">
        <f t="shared" ref="N21" si="10">SUM(N19:N20)*0.5</f>
        <v>0</v>
      </c>
      <c r="O21" s="1478">
        <f t="shared" ref="O21" si="11">SUM(O19:O20)*0.5</f>
        <v>0</v>
      </c>
    </row>
    <row r="22" spans="5:15">
      <c r="E22" t="s">
        <v>1997</v>
      </c>
      <c r="H22" s="1470">
        <f>(M21/I21)^(1/4)-1</f>
        <v>-1</v>
      </c>
    </row>
    <row r="29" spans="5:15">
      <c r="E29" t="s">
        <v>1998</v>
      </c>
      <c r="H29" t="s">
        <v>1999</v>
      </c>
    </row>
    <row r="30" spans="5:15">
      <c r="G30" s="1480">
        <v>0.55000000000000004</v>
      </c>
      <c r="H30" s="1481">
        <f>G30+5%</f>
        <v>0.60000000000000009</v>
      </c>
      <c r="I30" s="1481">
        <f t="shared" ref="I30:L30" si="12">H30+5%</f>
        <v>0.65000000000000013</v>
      </c>
      <c r="J30" s="1481">
        <f t="shared" si="12"/>
        <v>0.70000000000000018</v>
      </c>
      <c r="K30" s="1481">
        <f t="shared" si="12"/>
        <v>0.75000000000000022</v>
      </c>
      <c r="L30" s="1481">
        <f t="shared" si="12"/>
        <v>0.80000000000000027</v>
      </c>
    </row>
    <row r="31" spans="5:15">
      <c r="F31" s="1480">
        <v>0.02</v>
      </c>
    </row>
    <row r="32" spans="5:15">
      <c r="F32" s="1480">
        <f>F31+1%</f>
        <v>0.03</v>
      </c>
    </row>
    <row r="33" spans="5:18">
      <c r="F33" s="1480">
        <f t="shared" ref="F33:F37" si="13">F32+1%</f>
        <v>0.04</v>
      </c>
    </row>
    <row r="34" spans="5:18">
      <c r="E34" t="s">
        <v>1027</v>
      </c>
      <c r="F34" s="1480">
        <f t="shared" si="13"/>
        <v>0.05</v>
      </c>
    </row>
    <row r="35" spans="5:18">
      <c r="F35" s="1480">
        <f t="shared" si="13"/>
        <v>6.0000000000000005E-2</v>
      </c>
    </row>
    <row r="36" spans="5:18">
      <c r="F36" s="1480">
        <f t="shared" si="13"/>
        <v>7.0000000000000007E-2</v>
      </c>
      <c r="R36">
        <f>(5/4)-1</f>
        <v>0.25</v>
      </c>
    </row>
    <row r="37" spans="5:18">
      <c r="F37" s="1480">
        <f t="shared" si="13"/>
        <v>0.08</v>
      </c>
    </row>
    <row r="38" spans="5:18">
      <c r="F38" s="1470"/>
    </row>
    <row r="41" spans="5:18">
      <c r="G41" t="s">
        <v>1999</v>
      </c>
    </row>
    <row r="42" spans="5:18">
      <c r="F42" s="1480">
        <v>0.6</v>
      </c>
      <c r="G42" s="1480">
        <v>0.55000000000000004</v>
      </c>
      <c r="H42" s="1481">
        <f>G42+5%</f>
        <v>0.60000000000000009</v>
      </c>
      <c r="I42" s="1481">
        <f t="shared" ref="I42:L42" si="14">H42+5%</f>
        <v>0.65000000000000013</v>
      </c>
      <c r="J42" s="1481">
        <f t="shared" si="14"/>
        <v>0.70000000000000018</v>
      </c>
      <c r="K42" s="1481">
        <f t="shared" si="14"/>
        <v>0.75000000000000022</v>
      </c>
      <c r="L42" s="1481">
        <f t="shared" si="14"/>
        <v>0.80000000000000027</v>
      </c>
    </row>
    <row r="43" spans="5:18">
      <c r="F43" s="1480">
        <f>F42+10%</f>
        <v>0.7</v>
      </c>
    </row>
    <row r="44" spans="5:18">
      <c r="E44" t="s">
        <v>1992</v>
      </c>
      <c r="F44" s="1480">
        <f t="shared" ref="F44:F46" si="15">F43+10%</f>
        <v>0.79999999999999993</v>
      </c>
    </row>
    <row r="45" spans="5:18">
      <c r="F45" s="1480">
        <f t="shared" si="15"/>
        <v>0.89999999999999991</v>
      </c>
    </row>
    <row r="46" spans="5:18">
      <c r="F46" s="1480">
        <f t="shared" si="15"/>
        <v>0.99999999999999989</v>
      </c>
    </row>
    <row r="47" spans="5:18">
      <c r="F47" s="1479"/>
    </row>
    <row r="48" spans="5:18">
      <c r="F48" s="1479"/>
    </row>
    <row r="49" spans="6:6">
      <c r="F49" s="1479"/>
    </row>
    <row r="50" spans="6:6">
      <c r="F50" s="1479"/>
    </row>
  </sheetData>
  <pageMargins left="0.7" right="0.7" top="0.75" bottom="0.75" header="0.3" footer="0.3"/>
  <customProperties>
    <customPr name="Qube.Worksheet.Visibility" r:id="rId1"/>
  </customPropertie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DEC6F3-90F3-49DB-A91B-2A73B042A94B}">
  <sheetPr codeName="Sheet18">
    <tabColor theme="3"/>
    <pageSetUpPr autoPageBreaks="0" fitToPage="1"/>
  </sheetPr>
  <dimension ref="B1:BJ146"/>
  <sheetViews>
    <sheetView showGridLines="0" topLeftCell="D69" workbookViewId="0">
      <selection activeCell="W54" sqref="W54"/>
    </sheetView>
  </sheetViews>
  <sheetFormatPr defaultColWidth="8" defaultRowHeight="12" outlineLevelRow="1" outlineLevelCol="2"/>
  <cols>
    <col min="1" max="1" width="1.25" style="1035" customWidth="1"/>
    <col min="2" max="2" width="41.875" style="84" bestFit="1" customWidth="1"/>
    <col min="3" max="3" width="2.375" style="84" customWidth="1"/>
    <col min="4" max="4" width="25.875" style="84" bestFit="1" customWidth="1"/>
    <col min="5" max="8" width="8.625" style="84" hidden="1" customWidth="1" outlineLevel="1"/>
    <col min="9" max="9" width="8.625" style="84" customWidth="1" collapsed="1"/>
    <col min="10" max="11" width="8.625" style="84" hidden="1" customWidth="1" outlineLevel="1"/>
    <col min="12" max="12" width="8.625" style="84" customWidth="1" collapsed="1"/>
    <col min="13" max="14" width="8.625" style="84" customWidth="1"/>
    <col min="15" max="15" width="0.875" style="85" customWidth="1"/>
    <col min="16" max="16" width="8.625" style="85" customWidth="1"/>
    <col min="17" max="18" width="8.625" style="589" customWidth="1"/>
    <col min="19" max="19" width="8.625" style="84" hidden="1" customWidth="1" outlineLevel="1"/>
    <col min="20" max="21" width="8.625" style="587" hidden="1" customWidth="1" outlineLevel="1"/>
    <col min="22" max="22" width="0.75" style="588" customWidth="1" collapsed="1"/>
    <col min="23" max="25" width="8.625" style="84" hidden="1" customWidth="1" outlineLevel="2"/>
    <col min="26" max="27" width="8.625" style="84" hidden="1" customWidth="1" outlineLevel="1"/>
    <col min="28" max="28" width="8.625" style="84" hidden="1" customWidth="1" outlineLevel="2"/>
    <col min="29" max="29" width="8.625" style="84" hidden="1" customWidth="1" outlineLevel="1" collapsed="1"/>
    <col min="30" max="30" width="1.5" style="1035" hidden="1" customWidth="1" outlineLevel="1"/>
    <col min="31" max="32" width="8" style="1035" hidden="1" customWidth="1" outlineLevel="1"/>
    <col min="33" max="33" width="2.625" style="1035" hidden="1" customWidth="1" outlineLevel="1"/>
    <col min="34" max="35" width="8" style="1035" hidden="1" customWidth="1" outlineLevel="1"/>
    <col min="36" max="36" width="15.5" style="587" customWidth="1" collapsed="1"/>
    <col min="37" max="37" width="8" style="588" customWidth="1"/>
    <col min="38" max="38" width="43.375" style="588" bestFit="1" customWidth="1"/>
    <col min="39" max="39" width="2.875" style="588" customWidth="1"/>
    <col min="40" max="40" width="26.375" style="588" customWidth="1"/>
    <col min="41" max="41" width="0.875" style="588" customWidth="1"/>
    <col min="42" max="42" width="8" style="588" customWidth="1"/>
    <col min="43" max="43" width="0.875" style="588" customWidth="1"/>
    <col min="44" max="44" width="8.25" style="588" hidden="1" customWidth="1"/>
    <col min="45" max="45" width="11" style="588" customWidth="1"/>
    <col min="46" max="46" width="10.375" style="588" hidden="1" customWidth="1"/>
    <col min="47" max="49" width="8" style="588" hidden="1" customWidth="1"/>
    <col min="50" max="50" width="8" style="588" customWidth="1"/>
    <col min="51" max="51" width="0.875" style="588" customWidth="1"/>
    <col min="52" max="53" width="20.5" style="588" customWidth="1"/>
    <col min="54" max="54" width="2" style="588" customWidth="1"/>
    <col min="55" max="55" width="8" style="588" hidden="1" customWidth="1"/>
    <col min="56" max="56" width="0" style="588" hidden="1" customWidth="1"/>
    <col min="57" max="57" width="3.5" style="588" customWidth="1"/>
    <col min="58" max="60" width="8" style="1035"/>
    <col min="61" max="61" width="18" style="1035" bestFit="1" customWidth="1"/>
    <col min="62" max="16384" width="8" style="1035"/>
  </cols>
  <sheetData>
    <row r="1" spans="2:57" ht="6" customHeight="1"/>
    <row r="2" spans="2:57">
      <c r="B2" s="1242">
        <v>2025</v>
      </c>
      <c r="P2" s="84"/>
    </row>
    <row r="3" spans="2:57">
      <c r="B3" s="1243" t="s">
        <v>1848</v>
      </c>
    </row>
    <row r="4" spans="2:57">
      <c r="B4" s="1244" t="str" cm="1">
        <f t="array" ref="B4">_xlfn.IFS(OR(B3="1Q",B3="2Q"),"1H",OR(B3="3Q",B3="4Q"),"2H")</f>
        <v>1H</v>
      </c>
    </row>
    <row r="6" spans="2:57">
      <c r="D6" s="542"/>
      <c r="O6" s="84"/>
      <c r="P6" s="1322" t="s">
        <v>1909</v>
      </c>
      <c r="Q6" s="1322"/>
      <c r="R6" s="1322"/>
      <c r="T6" s="84"/>
      <c r="U6" s="84"/>
      <c r="V6" s="84"/>
      <c r="AJ6" s="579"/>
      <c r="AK6" s="1035"/>
      <c r="AL6" s="1035"/>
      <c r="AM6" s="1035"/>
      <c r="AN6" s="1035"/>
      <c r="AO6" s="1035"/>
      <c r="AP6" s="1035"/>
      <c r="AQ6" s="1035"/>
      <c r="AR6" s="1035"/>
      <c r="AS6" s="1035"/>
      <c r="AT6" s="1035"/>
      <c r="AU6" s="1035"/>
      <c r="AV6" s="1035"/>
      <c r="AW6" s="1035"/>
      <c r="AX6" s="1035"/>
      <c r="AY6" s="1035"/>
      <c r="AZ6" s="1035"/>
      <c r="BA6" s="1035"/>
      <c r="BB6" s="1035"/>
      <c r="BC6" s="1035"/>
      <c r="BD6" s="1035"/>
      <c r="BE6" s="1035"/>
    </row>
    <row r="7" spans="2:57">
      <c r="D7" s="542"/>
      <c r="O7" s="84"/>
      <c r="P7" s="84"/>
      <c r="Q7" s="84"/>
      <c r="R7" s="84"/>
      <c r="T7" s="84"/>
      <c r="U7" s="84"/>
      <c r="V7" s="84"/>
      <c r="AJ7" s="579"/>
      <c r="AK7" s="1035"/>
      <c r="AL7" s="1035"/>
      <c r="AM7" s="1035"/>
      <c r="AN7" s="1035"/>
      <c r="AO7" s="1035"/>
      <c r="AP7" s="1035"/>
      <c r="AQ7" s="1035"/>
      <c r="AR7" s="1035"/>
      <c r="AS7" s="1035"/>
      <c r="AT7" s="1035"/>
      <c r="AU7" s="1035"/>
      <c r="AV7" s="1035"/>
      <c r="AW7" s="1035"/>
      <c r="AX7" s="1035"/>
      <c r="AY7" s="1035"/>
      <c r="AZ7" s="1035"/>
      <c r="BA7" s="1035"/>
      <c r="BB7" s="1035"/>
      <c r="BC7" s="1035"/>
      <c r="BD7" s="1035"/>
      <c r="BE7" s="1035"/>
    </row>
    <row r="8" spans="2:57">
      <c r="E8" s="543" t="str">
        <f>LEFT(E11,2)</f>
        <v>1Q</v>
      </c>
      <c r="F8" s="543" t="str">
        <f t="shared" ref="F8:H8" si="0">LEFT(F11,2)</f>
        <v>2Q</v>
      </c>
      <c r="G8" s="543" t="str">
        <f t="shared" si="0"/>
        <v>3Q</v>
      </c>
      <c r="H8" s="543" t="str">
        <f t="shared" si="0"/>
        <v>4Q</v>
      </c>
      <c r="I8" s="543" t="str" cm="1">
        <f t="array" ref="I8">_xlfn.IFS(VALUE(LEFT(J8,1))=1,"4Q",VALUE(LEFT(J8,1))=2,"1Q",VALUE(LEFT(J8,1))=3,"2Q",VALUE(LEFT(J8,1))=4,"3Q")</f>
        <v>2Q</v>
      </c>
      <c r="J8" s="543" t="str" cm="1">
        <f t="array" ref="J8">_xlfn.IFS(VALUE(LEFT(K8,1))=1,"4Q",VALUE(LEFT(K8,1))=2,"1Q",VALUE(LEFT(K8,1))=3,"2Q",VALUE(LEFT(K8,1))=4,"3Q")</f>
        <v>3Q</v>
      </c>
      <c r="K8" s="543" t="str" cm="1">
        <f t="array" ref="K8">_xlfn.IFS(VALUE(LEFT(L8,1))=1,"4Q",VALUE(LEFT(L8,1))=2,"1Q",VALUE(LEFT(L8,1))=3,"2Q",VALUE(LEFT(L8,1))=4,"3Q")</f>
        <v>4Q</v>
      </c>
      <c r="L8" s="543" t="str" cm="1">
        <f t="array" ref="L8">_xlfn.IFS(VALUE(LEFT(M8,1))=1,"4Q",VALUE(LEFT(M8,1))=2,"1Q",VALUE(LEFT(M8,1))=3,"2Q",VALUE(LEFT(M8,1))=4,"3Q")</f>
        <v>1Q</v>
      </c>
      <c r="M8" s="543" t="str">
        <f>B3</f>
        <v>2Q</v>
      </c>
      <c r="N8" s="543"/>
      <c r="O8" s="86"/>
      <c r="P8" s="543" t="str">
        <f t="shared" ref="P8" si="1">LEFT(P11,2)</f>
        <v>2Q</v>
      </c>
      <c r="Q8" s="544"/>
      <c r="R8" s="544"/>
      <c r="S8" s="543" t="str">
        <f t="shared" ref="S8" si="2">LEFT(S11,2)</f>
        <v>2Q</v>
      </c>
      <c r="T8" s="545"/>
      <c r="U8" s="544"/>
      <c r="V8" s="546"/>
      <c r="W8" s="543"/>
      <c r="X8" s="543"/>
      <c r="Y8" s="543"/>
      <c r="Z8" s="543" t="str">
        <f>AB8</f>
        <v>4Q</v>
      </c>
      <c r="AA8" s="543" t="str">
        <f>AB8</f>
        <v>4Q</v>
      </c>
      <c r="AB8" s="543" t="s">
        <v>1843</v>
      </c>
      <c r="AC8" s="543"/>
      <c r="AJ8" s="579"/>
      <c r="AK8" s="1035"/>
      <c r="AL8" s="1035"/>
      <c r="AM8" s="1035"/>
      <c r="AN8" s="1035"/>
      <c r="AO8" s="1035"/>
      <c r="AP8" s="1035"/>
      <c r="AQ8" s="1035"/>
      <c r="AR8" s="1035"/>
      <c r="AS8" s="1035"/>
      <c r="AT8" s="1035"/>
      <c r="AU8" s="1035"/>
      <c r="AV8" s="1035"/>
      <c r="AW8" s="1035"/>
      <c r="AX8" s="1035"/>
      <c r="AY8" s="1035"/>
      <c r="AZ8" s="1035"/>
      <c r="BA8" s="1035"/>
      <c r="BB8" s="1035"/>
      <c r="BC8" s="1035"/>
      <c r="BD8" s="1035"/>
      <c r="BE8" s="1035"/>
    </row>
    <row r="9" spans="2:57" ht="3" customHeight="1">
      <c r="E9" s="111"/>
      <c r="F9" s="111"/>
      <c r="G9" s="111"/>
      <c r="H9" s="111"/>
      <c r="I9" s="111"/>
      <c r="J9" s="111"/>
      <c r="K9" s="111"/>
      <c r="L9" s="111"/>
      <c r="M9" s="111"/>
      <c r="N9" s="544"/>
      <c r="O9" s="86"/>
      <c r="P9" s="547"/>
      <c r="Q9" s="548"/>
      <c r="R9" s="544"/>
      <c r="S9" s="111"/>
      <c r="T9" s="548"/>
      <c r="U9" s="544"/>
      <c r="V9" s="546"/>
      <c r="W9" s="111"/>
      <c r="X9" s="111"/>
      <c r="Y9" s="111"/>
      <c r="Z9" s="111"/>
      <c r="AA9" s="111"/>
      <c r="AB9" s="111"/>
      <c r="AC9" s="111"/>
      <c r="AH9" s="1051"/>
      <c r="AI9" s="1052"/>
      <c r="AJ9" s="579"/>
      <c r="AK9" s="1035"/>
      <c r="AL9" s="1035"/>
      <c r="AM9" s="1035"/>
      <c r="AN9" s="1035"/>
      <c r="AO9" s="1035"/>
      <c r="AP9" s="1035"/>
      <c r="AQ9" s="1035"/>
      <c r="AR9" s="1035"/>
      <c r="AS9" s="1035"/>
      <c r="AT9" s="1035"/>
      <c r="AU9" s="1035"/>
      <c r="AV9" s="1035"/>
      <c r="AW9" s="1035"/>
      <c r="AX9" s="1035"/>
      <c r="AY9" s="1035"/>
      <c r="AZ9" s="1035"/>
      <c r="BA9" s="1035"/>
      <c r="BB9" s="1035"/>
      <c r="BC9" s="1035"/>
      <c r="BD9" s="1035"/>
      <c r="BE9" s="1035"/>
    </row>
    <row r="10" spans="2:57" ht="17.100000000000001" customHeight="1">
      <c r="B10" s="549" t="s">
        <v>1628</v>
      </c>
      <c r="D10" s="1063" t="s">
        <v>732</v>
      </c>
      <c r="E10" s="648" t="s">
        <v>740</v>
      </c>
      <c r="F10" s="648" t="s">
        <v>740</v>
      </c>
      <c r="G10" s="648" t="s">
        <v>740</v>
      </c>
      <c r="H10" s="648" t="s">
        <v>740</v>
      </c>
      <c r="I10" s="120" t="s">
        <v>740</v>
      </c>
      <c r="J10" s="120" t="s">
        <v>740</v>
      </c>
      <c r="K10" s="120" t="s">
        <v>740</v>
      </c>
      <c r="L10" s="120" t="s">
        <v>740</v>
      </c>
      <c r="M10" s="550" t="s">
        <v>740</v>
      </c>
      <c r="N10" s="1682" t="s">
        <v>1674</v>
      </c>
      <c r="O10" s="86"/>
      <c r="P10" s="686" t="s">
        <v>1661</v>
      </c>
      <c r="Q10" s="742" t="s">
        <v>1692</v>
      </c>
      <c r="R10" s="1281"/>
      <c r="S10" s="686" t="s">
        <v>1659</v>
      </c>
      <c r="T10" s="742" t="s">
        <v>1692</v>
      </c>
      <c r="U10" s="922" t="s">
        <v>1694</v>
      </c>
      <c r="V10" s="551"/>
      <c r="W10" s="550" t="s">
        <v>740</v>
      </c>
      <c r="X10" s="120" t="s">
        <v>1661</v>
      </c>
      <c r="Y10" s="120" t="s">
        <v>1659</v>
      </c>
      <c r="Z10" s="1684" t="str">
        <f>"Implied
Cons. 
"&amp;Z8&amp;" "&amp;B2&amp;"E"</f>
        <v>Implied
Cons. 
4Q 2025E</v>
      </c>
      <c r="AA10" s="1684" t="str">
        <f>"Implied
GSe 
"&amp;Z8&amp;" "&amp;B2&amp;"E"</f>
        <v>Implied
GSe 
4Q 2025E</v>
      </c>
      <c r="AB10" s="120" t="s">
        <v>1659</v>
      </c>
      <c r="AC10" s="1023" t="s">
        <v>1694</v>
      </c>
      <c r="AE10" s="922" t="s">
        <v>1397</v>
      </c>
      <c r="AF10" s="922" t="s">
        <v>1397</v>
      </c>
      <c r="AH10" s="1053" t="s">
        <v>1397</v>
      </c>
      <c r="AI10" s="1054" t="s">
        <v>1748</v>
      </c>
      <c r="AJ10" s="579"/>
      <c r="AK10" s="1035"/>
      <c r="AL10" s="1035"/>
      <c r="AM10" s="1035"/>
      <c r="AN10" s="1035"/>
      <c r="AO10" s="1035"/>
      <c r="AP10" s="1035"/>
      <c r="AQ10" s="1035"/>
      <c r="AR10" s="1035"/>
      <c r="AS10" s="1035"/>
      <c r="AT10" s="1035"/>
      <c r="AU10" s="1035"/>
      <c r="AV10" s="1035"/>
      <c r="AW10" s="1035"/>
      <c r="AX10" s="1035"/>
      <c r="AY10" s="1035"/>
      <c r="AZ10" s="1035"/>
      <c r="BA10" s="1035"/>
      <c r="BB10" s="1035"/>
      <c r="BC10" s="1035"/>
      <c r="BD10" s="1035"/>
      <c r="BE10" s="1035"/>
    </row>
    <row r="11" spans="2:57" ht="17.100000000000001" customHeight="1">
      <c r="D11" s="1064" t="s">
        <v>1394</v>
      </c>
      <c r="E11" s="1032" t="s">
        <v>1459</v>
      </c>
      <c r="F11" s="1032" t="s">
        <v>1460</v>
      </c>
      <c r="G11" s="1032" t="s">
        <v>1461</v>
      </c>
      <c r="H11" s="1032" t="s">
        <v>1427</v>
      </c>
      <c r="I11" s="1031" t="str" cm="1">
        <f t="array" ref="I11">I8&amp;" "&amp;_xlfn.IFS(AND(VALUE(LEFT(I8,1))&gt;VALUE(LEFT(J8,1)),VALUE(LEFT(J8,1))=1),$B$2-1,AND(VALUE(LEFT(I8,1))&lt;VALUE(LEFT(J8,1)),VALUE(LEFT(J8,1))&lt;&gt;1),VALUE(RIGHT(J11,4)))</f>
        <v>2Q 2024</v>
      </c>
      <c r="J11" s="1031" t="str" cm="1">
        <f t="array" ref="J11">J8&amp;" "&amp;_xlfn.IFS(AND(VALUE(LEFT(J8,1))&gt;VALUE(LEFT(K8,1)),VALUE(LEFT(K8,1))=1),$B$2-1,AND(VALUE(LEFT(J8,1))&lt;VALUE(LEFT(K8,1)),VALUE(LEFT(K8,1))&lt;&gt;1),VALUE(RIGHT(K11,4)))</f>
        <v>3Q 2024</v>
      </c>
      <c r="K11" s="1031" t="str" cm="1">
        <f t="array" ref="K11">K8&amp;" "&amp;_xlfn.IFS(AND(VALUE(LEFT(K8,1))&gt;VALUE(LEFT(L8,1)),VALUE(LEFT(L8,1))=1),$B$2-1,AND(VALUE(LEFT(K8,1))&lt;VALUE(LEFT(L8,1)),VALUE(LEFT(L8,1))&lt;&gt;1),VALUE(RIGHT(L11,4)))</f>
        <v>4Q 2024</v>
      </c>
      <c r="L11" s="1031" t="str" cm="1">
        <f t="array" ref="L11">L8&amp;" "&amp;_xlfn.IFS(AND(VALUE(LEFT(L8,1))&gt;VALUE(LEFT(M8,1)),VALUE(LEFT(M8,1))=1),$B$2-1,AND(VALUE(LEFT(L8,1))&lt;VALUE(LEFT(M8,1)),VALUE(LEFT(M8,1))&lt;&gt;1),VALUE(RIGHT(M11,4)))</f>
        <v>1Q 2025</v>
      </c>
      <c r="M11" s="1030" t="str">
        <f>B3&amp;" "&amp;B2</f>
        <v>2Q 2025</v>
      </c>
      <c r="N11" s="1682"/>
      <c r="O11" s="86"/>
      <c r="P11" s="1029" t="str">
        <f>B3&amp;" "&amp;B2&amp;"E"</f>
        <v>2Q 2025E</v>
      </c>
      <c r="Q11" s="1033" t="s">
        <v>1671</v>
      </c>
      <c r="R11" s="1282"/>
      <c r="S11" s="1029" t="str">
        <f>B3&amp;" "&amp;B2&amp;"E"</f>
        <v>2Q 2025E</v>
      </c>
      <c r="T11" s="1033" t="s">
        <v>1693</v>
      </c>
      <c r="U11" s="1034" t="s">
        <v>1671</v>
      </c>
      <c r="V11" s="551"/>
      <c r="W11" s="1030" t="str">
        <f>"9M "&amp;B2</f>
        <v>9M 2025</v>
      </c>
      <c r="X11" s="1031" t="str">
        <f>B2&amp;"E"</f>
        <v>2025E</v>
      </c>
      <c r="Y11" s="1031" t="str">
        <f>B2&amp;"E"</f>
        <v>2025E</v>
      </c>
      <c r="Z11" s="1684"/>
      <c r="AA11" s="1684"/>
      <c r="AB11" s="1031" t="str">
        <f>AB8&amp;" "&amp;B2&amp;"E"</f>
        <v>4Q 2025E</v>
      </c>
      <c r="AC11" s="1028" t="s">
        <v>1671</v>
      </c>
      <c r="AE11" s="1034" t="s">
        <v>1749</v>
      </c>
      <c r="AF11" s="1034" t="s">
        <v>1750</v>
      </c>
      <c r="AH11" s="1053">
        <f>B2</f>
        <v>2025</v>
      </c>
      <c r="AI11" s="1054" t="str">
        <f>AA8&amp;" "&amp;B2</f>
        <v>4Q 2025</v>
      </c>
      <c r="AJ11" s="579"/>
      <c r="AK11" s="1035"/>
      <c r="AL11" s="1035"/>
      <c r="AM11" s="1035"/>
      <c r="AN11" s="1035"/>
      <c r="AO11" s="1035"/>
      <c r="AP11" s="1035"/>
      <c r="AQ11" s="1035"/>
      <c r="AR11" s="1035"/>
      <c r="AS11" s="1035"/>
      <c r="AT11" s="1035"/>
      <c r="AU11" s="1035"/>
      <c r="AV11" s="1035"/>
      <c r="AW11" s="1035"/>
      <c r="AX11" s="1035"/>
      <c r="AY11" s="1035"/>
      <c r="AZ11" s="1035"/>
      <c r="BA11" s="1035"/>
      <c r="BB11" s="1035"/>
      <c r="BC11" s="1035"/>
      <c r="BD11" s="1035"/>
      <c r="BE11" s="1035"/>
    </row>
    <row r="12" spans="2:57" ht="6.75" customHeight="1">
      <c r="B12" s="552"/>
      <c r="C12" s="552"/>
      <c r="D12" s="680"/>
      <c r="E12" s="946"/>
      <c r="F12" s="946"/>
      <c r="G12" s="946"/>
      <c r="H12" s="946"/>
      <c r="I12" s="560"/>
      <c r="J12" s="560"/>
      <c r="K12" s="560"/>
      <c r="L12" s="560"/>
      <c r="M12" s="554"/>
      <c r="N12" s="562"/>
      <c r="O12" s="557"/>
      <c r="P12" s="560"/>
      <c r="Q12" s="929"/>
      <c r="R12" s="562"/>
      <c r="S12" s="560"/>
      <c r="T12" s="974"/>
      <c r="U12" s="972"/>
      <c r="V12" s="563"/>
      <c r="W12" s="560"/>
      <c r="X12" s="560"/>
      <c r="Y12" s="560"/>
      <c r="Z12" s="560"/>
      <c r="AA12" s="560"/>
      <c r="AB12" s="560"/>
      <c r="AC12" s="1025"/>
      <c r="AE12" s="138"/>
      <c r="AF12" s="138"/>
      <c r="AH12" s="1055"/>
      <c r="AI12" s="1060"/>
      <c r="AJ12" s="579"/>
      <c r="AK12" s="1035"/>
      <c r="AL12" s="1035"/>
      <c r="AM12" s="1035"/>
      <c r="AN12" s="1035"/>
      <c r="AO12" s="1035"/>
      <c r="AP12" s="1035"/>
      <c r="AQ12" s="1035"/>
      <c r="AR12" s="1035"/>
      <c r="AS12" s="1035"/>
      <c r="AT12" s="1035"/>
      <c r="AU12" s="1035"/>
      <c r="AV12" s="1035"/>
      <c r="AW12" s="1035"/>
      <c r="AX12" s="1035"/>
      <c r="AY12" s="1035"/>
      <c r="AZ12" s="1035"/>
      <c r="BA12" s="1035"/>
      <c r="BB12" s="1035"/>
      <c r="BC12" s="1035"/>
      <c r="BD12" s="1035"/>
      <c r="BE12" s="1035"/>
    </row>
    <row r="13" spans="2:57" ht="15" customHeight="1">
      <c r="B13" s="552"/>
      <c r="C13" s="552"/>
      <c r="D13" s="679" t="s">
        <v>1267</v>
      </c>
      <c r="E13" s="945"/>
      <c r="F13" s="945"/>
      <c r="G13" s="945"/>
      <c r="H13" s="945"/>
      <c r="I13" s="553"/>
      <c r="J13" s="553"/>
      <c r="K13" s="553"/>
      <c r="L13" s="553"/>
      <c r="M13" s="554"/>
      <c r="N13" s="918"/>
      <c r="O13" s="557"/>
      <c r="P13" s="555"/>
      <c r="Q13" s="702"/>
      <c r="R13" s="918"/>
      <c r="S13" s="553"/>
      <c r="T13" s="702"/>
      <c r="U13" s="918"/>
      <c r="V13" s="558"/>
      <c r="W13" s="553"/>
      <c r="X13" s="553"/>
      <c r="Y13" s="553"/>
      <c r="Z13" s="553"/>
      <c r="AA13" s="553"/>
      <c r="AB13" s="553"/>
      <c r="AC13" s="1024"/>
      <c r="AE13" s="138"/>
      <c r="AF13" s="138"/>
      <c r="AH13" s="1055"/>
      <c r="AI13" s="1060"/>
      <c r="AJ13" s="579"/>
      <c r="AK13" s="1035"/>
      <c r="AL13" s="1035"/>
      <c r="AM13" s="1035"/>
      <c r="AN13" s="1035"/>
      <c r="AO13" s="1035"/>
      <c r="AP13" s="1035"/>
      <c r="AQ13" s="1035"/>
      <c r="AR13" s="1035"/>
      <c r="AS13" s="1035"/>
      <c r="AT13" s="1035"/>
      <c r="AU13" s="1035"/>
      <c r="AV13" s="1035"/>
      <c r="AW13" s="1035"/>
      <c r="AX13" s="1035"/>
      <c r="AY13" s="1035"/>
      <c r="AZ13" s="1035"/>
      <c r="BA13" s="1035"/>
      <c r="BB13" s="1035"/>
      <c r="BC13" s="1035"/>
      <c r="BD13" s="1035"/>
      <c r="BE13" s="1035"/>
    </row>
    <row r="14" spans="2:57" ht="15" customHeight="1">
      <c r="B14" s="552"/>
      <c r="C14" s="552"/>
      <c r="D14" s="680" t="s">
        <v>1402</v>
      </c>
      <c r="E14" s="946">
        <v>2771</v>
      </c>
      <c r="F14" s="946">
        <v>3131</v>
      </c>
      <c r="G14" s="946">
        <v>2987</v>
      </c>
      <c r="H14" s="946">
        <v>3156</v>
      </c>
      <c r="I14" s="560">
        <v>3364</v>
      </c>
      <c r="J14" s="560">
        <v>3339</v>
      </c>
      <c r="K14" s="560" t="e">
        <v>#N/A</v>
      </c>
      <c r="L14" s="560">
        <f>Interims!DJ6</f>
        <v>3684</v>
      </c>
      <c r="M14" s="554">
        <v>3857</v>
      </c>
      <c r="N14" s="562">
        <f>M14/I14-1</f>
        <v>0.14655172413793105</v>
      </c>
      <c r="O14" s="557"/>
      <c r="P14" s="560">
        <f>P32-L14</f>
        <v>3795</v>
      </c>
      <c r="Q14" s="929">
        <f>M14/P14-1</f>
        <v>1.6337285902503274E-2</v>
      </c>
      <c r="R14" s="562"/>
      <c r="S14" s="560" t="e">
        <v>#N/A</v>
      </c>
      <c r="T14" s="974" t="e">
        <f>M14/S14-1</f>
        <v>#N/A</v>
      </c>
      <c r="U14" s="972" t="e">
        <f>S14/P14-1</f>
        <v>#N/A</v>
      </c>
      <c r="V14" s="563"/>
      <c r="W14" s="560" t="str">
        <f>IF(B3&lt;&gt;"3Q","n.a.",SUM(K14:M14))</f>
        <v>n.a.</v>
      </c>
      <c r="X14" s="560"/>
      <c r="Y14" s="560" t="s">
        <v>2098</v>
      </c>
      <c r="Z14" s="560" t="str">
        <f>IF(B3&lt;&gt;"3Q","n.a.",X14-W14)</f>
        <v>n.a.</v>
      </c>
      <c r="AA14" s="560" t="str">
        <f>IF(B3&lt;&gt;"3Q","n.a.",Y14-W14)</f>
        <v>n.a.</v>
      </c>
      <c r="AB14" s="560" t="s">
        <v>2098</v>
      </c>
      <c r="AC14" s="1025" t="str">
        <f>IF(B3&lt;&gt;"3Q","n.a.",AA14/Z14-1)</f>
        <v>n.a.</v>
      </c>
      <c r="AE14" s="138"/>
      <c r="AF14" s="138"/>
      <c r="AH14" s="1055"/>
      <c r="AI14" s="1060"/>
      <c r="AJ14" s="579"/>
      <c r="AK14" s="19"/>
      <c r="AL14" s="1035"/>
      <c r="AM14" s="1035"/>
      <c r="AN14" s="1035"/>
      <c r="AO14" s="1035"/>
      <c r="AP14" s="1035"/>
      <c r="AQ14" s="1035"/>
      <c r="AR14" s="1035"/>
      <c r="AS14" s="1035"/>
      <c r="AT14" s="1035"/>
      <c r="AU14" s="1035"/>
      <c r="AV14" s="1035"/>
      <c r="AW14" s="1035"/>
      <c r="AX14" s="1035"/>
      <c r="AY14" s="1035"/>
      <c r="AZ14" s="1035"/>
      <c r="BA14" s="1035"/>
      <c r="BB14" s="1035"/>
      <c r="BC14" s="1035"/>
      <c r="BD14" s="1035"/>
      <c r="BE14" s="1035"/>
    </row>
    <row r="15" spans="2:57" ht="15" customHeight="1">
      <c r="B15" s="552"/>
      <c r="C15" s="552"/>
      <c r="D15" s="680" t="s">
        <v>1404</v>
      </c>
      <c r="E15" s="946">
        <v>2201</v>
      </c>
      <c r="F15" s="946">
        <v>2352</v>
      </c>
      <c r="G15" s="946">
        <v>2298</v>
      </c>
      <c r="H15" s="946">
        <v>2405</v>
      </c>
      <c r="I15" s="560">
        <v>2726</v>
      </c>
      <c r="J15" s="560">
        <v>2527</v>
      </c>
      <c r="K15" s="560" t="e">
        <v>#N/A</v>
      </c>
      <c r="L15" s="560">
        <f>Interims!DJ10</f>
        <v>2783</v>
      </c>
      <c r="M15" s="554">
        <v>2826</v>
      </c>
      <c r="N15" s="562">
        <f t="shared" ref="N15:N16" si="3">M15/I15-1</f>
        <v>3.6683785766691068E-2</v>
      </c>
      <c r="O15" s="557"/>
      <c r="P15" s="560">
        <f t="shared" ref="P15:P16" si="4">P33-L15</f>
        <v>2949</v>
      </c>
      <c r="Q15" s="929">
        <f>M15/P15-1</f>
        <v>-4.1709053916581862E-2</v>
      </c>
      <c r="R15" s="562"/>
      <c r="S15" s="560" t="e">
        <v>#N/A</v>
      </c>
      <c r="T15" s="974" t="e">
        <f>M15/S15-1</f>
        <v>#N/A</v>
      </c>
      <c r="U15" s="972" t="e">
        <f>S15/P15-1</f>
        <v>#N/A</v>
      </c>
      <c r="V15" s="563"/>
      <c r="W15" s="560" t="str">
        <f>IF(B3&lt;&gt;"3Q","n.a.",SUM(K15:M15))</f>
        <v>n.a.</v>
      </c>
      <c r="X15" s="560"/>
      <c r="Y15" s="560" t="s">
        <v>2098</v>
      </c>
      <c r="Z15" s="560" t="str">
        <f>IF(B3&lt;&gt;"3Q","n.a.",X15-W15)</f>
        <v>n.a.</v>
      </c>
      <c r="AA15" s="560" t="str">
        <f>IF(B3&lt;&gt;"3Q","n.a.",Y15-W15)</f>
        <v>n.a.</v>
      </c>
      <c r="AB15" s="560" t="s">
        <v>2098</v>
      </c>
      <c r="AC15" s="1025" t="str">
        <f>IF(B3&lt;&gt;"3Q","n.a.",AA15/Z15-1)</f>
        <v>n.a.</v>
      </c>
      <c r="AE15" s="138"/>
      <c r="AF15" s="138"/>
      <c r="AH15" s="1055"/>
      <c r="AI15" s="1060"/>
      <c r="AJ15" s="579"/>
      <c r="AK15" s="291"/>
      <c r="AL15" s="1035"/>
      <c r="AM15" s="1035"/>
      <c r="AN15" s="1035"/>
      <c r="AO15" s="1035"/>
      <c r="AP15" s="1035"/>
      <c r="AQ15" s="1035"/>
      <c r="AR15" s="1035"/>
      <c r="AS15" s="1035"/>
      <c r="AT15" s="1035"/>
      <c r="AU15" s="1035"/>
      <c r="AV15" s="1035"/>
      <c r="AW15" s="1035"/>
      <c r="AX15" s="1035"/>
      <c r="AY15" s="1035"/>
      <c r="AZ15" s="1035"/>
      <c r="BA15" s="1035"/>
      <c r="BB15" s="1035"/>
      <c r="BC15" s="1035"/>
      <c r="BD15" s="1035"/>
      <c r="BE15" s="1035"/>
    </row>
    <row r="16" spans="2:57" ht="15" customHeight="1">
      <c r="B16" s="552"/>
      <c r="C16" s="552"/>
      <c r="D16" s="680" t="s">
        <v>1293</v>
      </c>
      <c r="E16" s="946">
        <v>806</v>
      </c>
      <c r="F16" s="946">
        <v>834</v>
      </c>
      <c r="G16" s="946">
        <v>805</v>
      </c>
      <c r="H16" s="946">
        <v>876</v>
      </c>
      <c r="I16" s="560">
        <v>735</v>
      </c>
      <c r="J16" s="560">
        <v>771</v>
      </c>
      <c r="K16" s="560" t="e">
        <v>#N/A</v>
      </c>
      <c r="L16" s="560">
        <f>Interims!DJ11</f>
        <v>788</v>
      </c>
      <c r="M16" s="554">
        <v>828</v>
      </c>
      <c r="N16" s="562">
        <f t="shared" si="3"/>
        <v>0.12653061224489792</v>
      </c>
      <c r="O16" s="557"/>
      <c r="P16" s="560">
        <f t="shared" si="4"/>
        <v>809</v>
      </c>
      <c r="Q16" s="929">
        <f>M16/P16-1</f>
        <v>2.3485784919653918E-2</v>
      </c>
      <c r="R16" s="562"/>
      <c r="S16" s="560" t="e">
        <v>#N/A</v>
      </c>
      <c r="T16" s="974" t="e">
        <f>M16/S16-1</f>
        <v>#N/A</v>
      </c>
      <c r="U16" s="972" t="e">
        <f>S16/P16-1</f>
        <v>#N/A</v>
      </c>
      <c r="V16" s="563"/>
      <c r="W16" s="560" t="str">
        <f>IF(B3&lt;&gt;"3Q","n.a.",SUM(K16:M16))</f>
        <v>n.a.</v>
      </c>
      <c r="X16" s="560"/>
      <c r="Y16" s="560" t="s">
        <v>2098</v>
      </c>
      <c r="Z16" s="560" t="str">
        <f>IF(B3&lt;&gt;"3Q","n.a.",X16-W16)</f>
        <v>n.a.</v>
      </c>
      <c r="AA16" s="560" t="str">
        <f>IF(B3&lt;&gt;"3Q","n.a.",Y16-W16)</f>
        <v>n.a.</v>
      </c>
      <c r="AB16" s="560" t="s">
        <v>2098</v>
      </c>
      <c r="AC16" s="1025" t="str">
        <f>IF(B3&lt;&gt;"3Q","n.a.",AA16/Z16-1)</f>
        <v>n.a.</v>
      </c>
      <c r="AE16" s="138"/>
      <c r="AF16" s="138"/>
      <c r="AH16" s="1055"/>
      <c r="AI16" s="1060"/>
      <c r="AJ16" s="579"/>
      <c r="AK16" s="291"/>
      <c r="AL16" s="1035"/>
      <c r="AM16" s="1035"/>
      <c r="AN16" s="1035"/>
      <c r="AO16" s="1035"/>
      <c r="AP16" s="1035"/>
      <c r="AQ16" s="1035"/>
      <c r="AR16" s="1035"/>
      <c r="AS16" s="1035"/>
      <c r="AT16" s="1035"/>
      <c r="AU16" s="1035"/>
      <c r="AV16" s="1035"/>
      <c r="AW16" s="1035"/>
      <c r="AX16" s="1035"/>
      <c r="AY16" s="1035"/>
      <c r="AZ16" s="1035"/>
      <c r="BA16" s="1035"/>
      <c r="BB16" s="1035"/>
      <c r="BC16" s="1035"/>
      <c r="BD16" s="1035"/>
      <c r="BE16" s="1035"/>
    </row>
    <row r="17" spans="2:57" ht="15" customHeight="1">
      <c r="B17" s="552"/>
      <c r="C17" s="552"/>
      <c r="D17" s="681" t="s">
        <v>1408</v>
      </c>
      <c r="E17" s="950">
        <v>5781</v>
      </c>
      <c r="F17" s="950">
        <v>6322</v>
      </c>
      <c r="G17" s="950">
        <v>6095</v>
      </c>
      <c r="H17" s="950">
        <v>6443</v>
      </c>
      <c r="I17" s="564">
        <v>6827</v>
      </c>
      <c r="J17" s="564">
        <v>6639</v>
      </c>
      <c r="K17" s="564" t="e">
        <v>#N/A</v>
      </c>
      <c r="L17" s="564">
        <f>INDEX(Interim!16:16,MATCH('Results table'!L11,Interim!4:4,0))</f>
        <v>7257</v>
      </c>
      <c r="M17" s="565">
        <v>7512</v>
      </c>
      <c r="N17" s="977">
        <f>M17/I17-1</f>
        <v>0.10033689761242126</v>
      </c>
      <c r="O17" s="566"/>
      <c r="P17" s="564">
        <f>P36-L17</f>
        <v>7480</v>
      </c>
      <c r="Q17" s="976">
        <f>M17/P17-1</f>
        <v>4.2780748663102663E-3</v>
      </c>
      <c r="R17" s="977"/>
      <c r="S17" s="564" t="e">
        <v>#N/A</v>
      </c>
      <c r="T17" s="975" t="e">
        <f>M17/S17-1</f>
        <v>#N/A</v>
      </c>
      <c r="U17" s="973" t="e">
        <f>S17/P17-1</f>
        <v>#N/A</v>
      </c>
      <c r="V17" s="567"/>
      <c r="W17" s="564" t="str">
        <f>IF(B3&lt;&gt;"3Q","n.a.",SUM(K17:M17))</f>
        <v>n.a.</v>
      </c>
      <c r="X17" s="564"/>
      <c r="Y17" s="564" t="s">
        <v>2098</v>
      </c>
      <c r="Z17" s="564" t="str">
        <f>IF(B3&lt;&gt;"3Q","n.a.",X17-W17)</f>
        <v>n.a.</v>
      </c>
      <c r="AA17" s="564" t="str">
        <f>IF(B3&lt;&gt;"3Q","n.a.",Y17-W17)</f>
        <v>n.a.</v>
      </c>
      <c r="AB17" s="564" t="s">
        <v>2098</v>
      </c>
      <c r="AC17" s="1026" t="str">
        <f>IF(B3&lt;&gt;"3Q","n.a.",AA17/Z17-1)</f>
        <v>n.a.</v>
      </c>
      <c r="AE17" s="1062" t="str">
        <f>IF(B3&lt;&gt;"3Q","n.a.",AI17/Z17-1)</f>
        <v>n.a.</v>
      </c>
      <c r="AF17" s="1062" t="str">
        <f>IF(B3&lt;&gt;"3Q","n.a.",AI17/AA17-1)</f>
        <v>n.a.</v>
      </c>
      <c r="AH17" s="1241"/>
      <c r="AI17" s="1061" t="str">
        <f>IF(B3&lt;&gt;"3Q","n.a.",AH17-W17)</f>
        <v>n.a.</v>
      </c>
      <c r="AJ17" s="579"/>
      <c r="AK17" s="291"/>
      <c r="AL17" s="1035"/>
      <c r="AM17" s="1035"/>
      <c r="AN17" s="1036"/>
      <c r="AO17" s="1036"/>
      <c r="AP17" s="1036"/>
      <c r="AQ17" s="1036"/>
      <c r="AR17" s="1036"/>
      <c r="AS17" s="1036"/>
      <c r="AT17" s="1036"/>
      <c r="AU17" s="1036"/>
      <c r="AV17" s="1036"/>
      <c r="AW17" s="1036"/>
      <c r="AX17" s="1036"/>
      <c r="AY17" s="1036"/>
      <c r="AZ17" s="1036"/>
      <c r="BA17" s="1036"/>
      <c r="BB17" s="1036"/>
      <c r="BC17" s="1036"/>
      <c r="BD17" s="1036"/>
      <c r="BE17" s="1036"/>
    </row>
    <row r="18" spans="2:57" ht="6.75" customHeight="1">
      <c r="B18" s="552"/>
      <c r="C18" s="552"/>
      <c r="D18" s="680"/>
      <c r="E18" s="946"/>
      <c r="F18" s="946"/>
      <c r="G18" s="946"/>
      <c r="H18" s="946"/>
      <c r="I18" s="560"/>
      <c r="J18" s="560"/>
      <c r="K18" s="560"/>
      <c r="L18" s="560"/>
      <c r="M18" s="554"/>
      <c r="N18" s="562"/>
      <c r="O18" s="557"/>
      <c r="P18" s="560"/>
      <c r="Q18" s="929"/>
      <c r="R18" s="562"/>
      <c r="S18" s="560"/>
      <c r="T18" s="974"/>
      <c r="U18" s="972"/>
      <c r="V18" s="563"/>
      <c r="W18" s="560"/>
      <c r="X18" s="560"/>
      <c r="Y18" s="560"/>
      <c r="Z18" s="560"/>
      <c r="AA18" s="560"/>
      <c r="AB18" s="560"/>
      <c r="AC18" s="1025"/>
      <c r="AE18" s="138"/>
      <c r="AF18" s="138"/>
      <c r="AH18" s="1055"/>
      <c r="AI18" s="1060"/>
      <c r="AJ18" s="579"/>
      <c r="AK18" s="19"/>
      <c r="AL18" s="1035"/>
      <c r="AM18" s="1035"/>
      <c r="AN18" s="1035"/>
      <c r="AO18" s="1035"/>
      <c r="AP18" s="1035"/>
      <c r="AQ18" s="1035"/>
      <c r="AR18" s="1035"/>
      <c r="AS18" s="1035"/>
      <c r="AT18" s="1035"/>
      <c r="AU18" s="1035"/>
      <c r="AV18" s="1035"/>
      <c r="AW18" s="1035"/>
      <c r="AX18" s="1035"/>
      <c r="AY18" s="1035"/>
      <c r="AZ18" s="1035"/>
      <c r="BA18" s="1035"/>
      <c r="BB18" s="1035"/>
      <c r="BC18" s="1035"/>
      <c r="BD18" s="1035"/>
      <c r="BE18" s="1035"/>
    </row>
    <row r="19" spans="2:57" ht="15" hidden="1" customHeight="1" outlineLevel="1">
      <c r="B19" s="763" t="s">
        <v>1707</v>
      </c>
      <c r="C19" s="568"/>
      <c r="D19" s="758" t="s">
        <v>1530</v>
      </c>
      <c r="E19" s="759">
        <v>1403.1792520304778</v>
      </c>
      <c r="F19" s="759">
        <v>1381.9255450877865</v>
      </c>
      <c r="G19" s="759">
        <v>1497.22695313946</v>
      </c>
      <c r="H19" s="759">
        <v>1511.3748602595324</v>
      </c>
      <c r="I19" s="759">
        <v>1834.0365461827885</v>
      </c>
      <c r="J19" s="759">
        <v>2148.1340976605925</v>
      </c>
      <c r="K19" s="759" t="e">
        <v>#N/A</v>
      </c>
      <c r="L19" s="759" t="e">
        <v>#N/A</v>
      </c>
      <c r="M19" s="971"/>
      <c r="N19" s="923"/>
      <c r="O19" s="760"/>
      <c r="P19" s="971">
        <f>I19*(1+P20)</f>
        <v>2113.0580968817303</v>
      </c>
      <c r="Q19" s="925"/>
      <c r="R19" s="923"/>
      <c r="S19" s="759" t="e">
        <v>#N/A</v>
      </c>
      <c r="T19" s="925"/>
      <c r="U19" s="923"/>
      <c r="V19" s="590"/>
      <c r="W19" s="1211" t="str">
        <f>IF(B3&lt;&gt;"3Q","n.a.",SUM(K19:M19))</f>
        <v>n.a.</v>
      </c>
      <c r="X19" s="971" t="s">
        <v>2098</v>
      </c>
      <c r="Y19" s="759" t="s">
        <v>2098</v>
      </c>
      <c r="Z19" s="1211" t="str">
        <f>IF(B3&lt;&gt;"3Q","n.a.",X19-W19)</f>
        <v>n.a.</v>
      </c>
      <c r="AA19" s="1211" t="str">
        <f>IF(B3&lt;&gt;"3Q","n.a.",Y19-W19)</f>
        <v>n.a.</v>
      </c>
      <c r="AB19" s="759" t="s">
        <v>2098</v>
      </c>
      <c r="AC19" s="1026" t="str">
        <f>IF(B3&lt;&gt;"3Q","n.a.",AA19/Z19-1)</f>
        <v>n.a.</v>
      </c>
      <c r="AE19" s="138"/>
      <c r="AF19" s="138"/>
      <c r="AH19" s="1056">
        <f>BF113</f>
        <v>7607.4709401259779</v>
      </c>
      <c r="AI19" s="1061">
        <v>1976.1510239626023</v>
      </c>
      <c r="AJ19" s="579"/>
      <c r="AK19" s="19"/>
      <c r="AL19" s="1035"/>
      <c r="AM19" s="1035"/>
      <c r="AN19" s="1037"/>
      <c r="AO19" s="1037"/>
      <c r="AP19" s="1037"/>
      <c r="AQ19" s="1037"/>
      <c r="AR19" s="1037"/>
      <c r="AS19" s="1037"/>
      <c r="AT19" s="1037"/>
      <c r="AU19" s="1037"/>
      <c r="AV19" s="1037"/>
      <c r="AW19" s="1037"/>
      <c r="AX19" s="1037"/>
      <c r="AY19" s="1037"/>
      <c r="AZ19" s="1037"/>
      <c r="BA19" s="1037"/>
      <c r="BB19" s="1037"/>
      <c r="BC19" s="1037"/>
      <c r="BD19" s="1037"/>
      <c r="BE19" s="1037"/>
    </row>
    <row r="20" spans="2:57" ht="15" customHeight="1" collapsed="1">
      <c r="B20" s="559" t="s">
        <v>1417</v>
      </c>
      <c r="C20" s="568"/>
      <c r="D20" s="681" t="s">
        <v>1725</v>
      </c>
      <c r="E20" s="951">
        <v>0.10112926052288196</v>
      </c>
      <c r="F20" s="951">
        <v>0.10112926052288196</v>
      </c>
      <c r="G20" s="951">
        <v>9.1137161970042513E-2</v>
      </c>
      <c r="H20" s="951">
        <v>0.10112926052288218</v>
      </c>
      <c r="I20" s="131">
        <v>0.32300000000000001</v>
      </c>
      <c r="J20" s="131">
        <v>0.20499999999999999</v>
      </c>
      <c r="K20" s="131" t="e">
        <v>#N/A</v>
      </c>
      <c r="L20" s="131">
        <v>0.251</v>
      </c>
      <c r="M20" s="569">
        <v>0.186</v>
      </c>
      <c r="N20" s="924">
        <f>(M20-I20)*100</f>
        <v>-13.700000000000001</v>
      </c>
      <c r="O20" s="566"/>
      <c r="P20" s="131">
        <f>_xll.VisibleAlpha.UDF.VAData("SAF_FR",MID(P$11,2,1)&amp;LEFT(P$11,1)&amp;"-"&amp;MID(P$11,4,4),$B20,"Consensus","CD","IMPL")/100</f>
        <v>0.15213521850460077</v>
      </c>
      <c r="Q20" s="926">
        <f>(M20-P20)*100</f>
        <v>3.386478149539923</v>
      </c>
      <c r="R20" s="924"/>
      <c r="S20" s="131" t="e">
        <v>#N/A</v>
      </c>
      <c r="T20" s="926" t="e">
        <f>(M20-S20)*100</f>
        <v>#N/A</v>
      </c>
      <c r="U20" s="924" t="e">
        <f>(S20-P20)*100</f>
        <v>#N/A</v>
      </c>
      <c r="V20" s="590"/>
      <c r="W20" s="131"/>
      <c r="X20" s="131" t="str">
        <f>IF(B3&lt;&gt;"3Q","n.a.",_xll.VisibleAlpha.UDF.VAData("SAF_FR","FY-"&amp;LEFT(X$11,4),$B20,"Consensus","CD","IMPL")/100)</f>
        <v>n.a.</v>
      </c>
      <c r="Y20" s="131" t="s">
        <v>2098</v>
      </c>
      <c r="Z20" s="131" t="str">
        <f>IF(B3&lt;&gt;"3Q","n.a.",Z19/(INDEX($I$19:$L$19,MATCH(Z8,$I$8:$L$8,0)))-1)</f>
        <v>n.a.</v>
      </c>
      <c r="AA20" s="131" t="str">
        <f>IF(B3&lt;&gt;"3Q","n.a.",AA19/(INDEX($I$19:$L$19,MATCH(AA8,$I$8:$L$8,0)))-1)</f>
        <v>n.a.</v>
      </c>
      <c r="AB20" s="131" t="s">
        <v>2098</v>
      </c>
      <c r="AC20" s="1027" t="str">
        <f>IF(B3&lt;&gt;"3Q","n.a.",(AA20-Z20)*100)</f>
        <v>n.a.</v>
      </c>
      <c r="AE20" s="1085"/>
      <c r="AF20" s="1085"/>
      <c r="AH20" s="1055"/>
      <c r="AI20" s="1057"/>
      <c r="AJ20" s="579"/>
      <c r="AK20" s="1035"/>
      <c r="AL20" s="1035"/>
      <c r="AM20" s="1035"/>
      <c r="AN20" s="1037"/>
      <c r="AO20" s="1037"/>
      <c r="AP20" s="1037"/>
      <c r="AQ20" s="1037"/>
      <c r="AR20" s="1037"/>
      <c r="AS20" s="1037"/>
      <c r="AT20" s="1037"/>
      <c r="AU20" s="1037"/>
      <c r="AV20" s="1037"/>
      <c r="AW20" s="1037"/>
      <c r="AX20" s="1037"/>
      <c r="AY20" s="1037"/>
      <c r="AZ20" s="1037"/>
      <c r="BA20" s="1037"/>
      <c r="BB20" s="1037"/>
      <c r="BC20" s="1037"/>
      <c r="BD20" s="1037"/>
      <c r="BE20" s="1037"/>
    </row>
    <row r="21" spans="2:57" ht="15" hidden="1" customHeight="1" outlineLevel="1">
      <c r="B21" s="559"/>
      <c r="C21" s="568"/>
      <c r="D21" s="681" t="s">
        <v>1726</v>
      </c>
      <c r="E21" s="951">
        <f t="shared" ref="E21:J21" si="5">E19/(INDEX($E$19:$H$19,MATCH(E8,$E$8:$H$8,0)))</f>
        <v>1</v>
      </c>
      <c r="F21" s="951">
        <f t="shared" si="5"/>
        <v>1</v>
      </c>
      <c r="G21" s="951">
        <f t="shared" si="5"/>
        <v>1</v>
      </c>
      <c r="H21" s="951">
        <f t="shared" si="5"/>
        <v>1</v>
      </c>
      <c r="I21" s="131">
        <f t="shared" si="5"/>
        <v>1.3271601734999998</v>
      </c>
      <c r="J21" s="131">
        <f t="shared" si="5"/>
        <v>1.4347418026080001</v>
      </c>
      <c r="K21" s="131" t="e">
        <f>K19/(INDEX($E$19:$H$19,MATCH(K8,$E$8:$H$8,0)))</f>
        <v>#N/A</v>
      </c>
      <c r="L21" s="131" t="e">
        <f>L19/(INDEX($E$19:$H$19,MATCH(L8,$E$8:$H$8,0)))</f>
        <v>#N/A</v>
      </c>
      <c r="M21" s="569"/>
      <c r="N21" s="924">
        <f>(M21-I21)*100</f>
        <v>-132.71601734999999</v>
      </c>
      <c r="O21" s="566"/>
      <c r="P21" s="131">
        <f>P19/(INDEX($E$19:$H$19,MATCH(P8,$E$8:$H$8,0)))</f>
        <v>1.529067976486026</v>
      </c>
      <c r="Q21" s="926">
        <f>(M21-P21)*100</f>
        <v>-152.90679764860261</v>
      </c>
      <c r="R21" s="924"/>
      <c r="S21" s="131" t="e">
        <f>S19/(INDEX($E$19:$H$19,MATCH(S8,$E$8:$H$8,0)))</f>
        <v>#N/A</v>
      </c>
      <c r="T21" s="926" t="e">
        <f>(M21-S21)*100</f>
        <v>#N/A</v>
      </c>
      <c r="U21" s="924" t="e">
        <f>(S21-P21)*100</f>
        <v>#N/A</v>
      </c>
      <c r="V21" s="590"/>
      <c r="W21" s="131"/>
      <c r="X21" s="131"/>
      <c r="Y21" s="131"/>
      <c r="Z21" s="131" t="str">
        <f>IF(B3&lt;&gt;"3Q","n.a.",Z19/(INDEX($E$19:$H$19,MATCH(Z8,$E$8:$H$8,0))))</f>
        <v>n.a.</v>
      </c>
      <c r="AA21" s="131" t="str">
        <f>IF(B3&lt;&gt;"3Q","n.a.",AA19/(INDEX($E$19:$H$19,MATCH(AA8,$E$8:$H$8,0))))</f>
        <v>n.a.</v>
      </c>
      <c r="AB21" s="131" t="str">
        <f>IF(B3&lt;&gt;"3Q","n.a.",AB19/(INDEX($E$19:$H$19,MATCH(AB8,$E$8:$H$8,0))))</f>
        <v>n.a.</v>
      </c>
      <c r="AC21" s="1027" t="str">
        <f>IF(B3&lt;&gt;"3Q","n.a.",(AA21-Z21)*100)</f>
        <v>n.a.</v>
      </c>
      <c r="AE21" s="1085"/>
      <c r="AF21" s="1085"/>
      <c r="AH21" s="1055"/>
      <c r="AI21" s="1057"/>
      <c r="AJ21" s="579"/>
      <c r="AK21" s="1035"/>
      <c r="AL21" s="1035"/>
      <c r="AM21" s="1035"/>
      <c r="AN21" s="1037"/>
      <c r="AO21" s="1037"/>
      <c r="AP21" s="1037"/>
      <c r="AQ21" s="1037"/>
      <c r="AR21" s="1037"/>
      <c r="AS21" s="1037"/>
      <c r="AT21" s="1037"/>
      <c r="AU21" s="1037"/>
      <c r="AV21" s="1037"/>
      <c r="AW21" s="1037"/>
      <c r="AX21" s="1037"/>
      <c r="AY21" s="1037"/>
      <c r="AZ21" s="1037"/>
      <c r="BA21" s="1037"/>
      <c r="BB21" s="1037"/>
      <c r="BC21" s="1037"/>
      <c r="BD21" s="1037"/>
      <c r="BE21" s="1037"/>
    </row>
    <row r="22" spans="2:57" ht="6.75" customHeight="1" collapsed="1">
      <c r="B22" s="552"/>
      <c r="C22" s="552"/>
      <c r="D22" s="680"/>
      <c r="E22" s="946"/>
      <c r="F22" s="946"/>
      <c r="G22" s="946"/>
      <c r="H22" s="946"/>
      <c r="I22" s="560"/>
      <c r="J22" s="560"/>
      <c r="K22" s="560"/>
      <c r="L22" s="560"/>
      <c r="M22" s="554"/>
      <c r="N22" s="562"/>
      <c r="O22" s="557"/>
      <c r="P22" s="560"/>
      <c r="Q22" s="929"/>
      <c r="R22" s="562"/>
      <c r="S22" s="560"/>
      <c r="T22" s="974"/>
      <c r="U22" s="972"/>
      <c r="V22" s="563"/>
      <c r="W22" s="560"/>
      <c r="X22" s="560"/>
      <c r="Y22" s="560"/>
      <c r="Z22" s="560"/>
      <c r="AA22" s="560"/>
      <c r="AB22" s="560"/>
      <c r="AC22" s="1025"/>
      <c r="AE22" s="138"/>
      <c r="AF22" s="138"/>
      <c r="AH22" s="1055"/>
      <c r="AI22" s="1060"/>
      <c r="AJ22" s="579"/>
      <c r="AK22" s="1035"/>
      <c r="AL22" s="1035"/>
      <c r="AM22" s="1035"/>
      <c r="AN22" s="1035"/>
      <c r="AO22" s="1035"/>
      <c r="AP22" s="1035"/>
      <c r="AQ22" s="1035"/>
      <c r="AR22" s="1035"/>
      <c r="AS22" s="1035"/>
      <c r="AT22" s="1035"/>
      <c r="AU22" s="1035"/>
      <c r="AV22" s="1035"/>
      <c r="AW22" s="1035"/>
      <c r="AX22" s="1035"/>
      <c r="AY22" s="1035"/>
      <c r="AZ22" s="1035"/>
      <c r="BA22" s="1035"/>
      <c r="BB22" s="1035"/>
      <c r="BC22" s="1035"/>
      <c r="BD22" s="1035"/>
      <c r="BE22" s="1035"/>
    </row>
    <row r="23" spans="2:57" ht="15" customHeight="1">
      <c r="B23" s="559" t="s">
        <v>1719</v>
      </c>
      <c r="C23" s="552"/>
      <c r="D23" s="940" t="s">
        <v>1705</v>
      </c>
      <c r="E23" s="950"/>
      <c r="F23" s="950"/>
      <c r="G23" s="950"/>
      <c r="H23" s="950"/>
      <c r="I23" s="564">
        <v>297</v>
      </c>
      <c r="J23" s="564">
        <v>365</v>
      </c>
      <c r="K23" s="564" t="e">
        <v>#N/A</v>
      </c>
      <c r="L23" s="564">
        <f>INDEX(OpMod!45:45,MATCH('Results table'!$L$11,OpMod!$9:$9,0))</f>
        <v>319</v>
      </c>
      <c r="M23" s="565">
        <f>M54-L23</f>
        <v>410</v>
      </c>
      <c r="N23" s="977">
        <f>M23/I23-1</f>
        <v>0.3804713804713804</v>
      </c>
      <c r="O23" s="566"/>
      <c r="P23" s="564">
        <f>_xll.VisibleAlpha.UDF.VAData("SAF_FR",MID(P$11,2,1)&amp;LEFT(P$11,1)&amp;"-"&amp;MID(P$11,4,4),$B23,"Consensus","CD","IMPL")</f>
        <v>410</v>
      </c>
      <c r="Q23" s="976">
        <f>M23/P23-1</f>
        <v>0</v>
      </c>
      <c r="R23" s="977"/>
      <c r="S23" s="564" t="s">
        <v>1517</v>
      </c>
      <c r="T23" s="975" t="s">
        <v>1517</v>
      </c>
      <c r="U23" s="973" t="s">
        <v>1517</v>
      </c>
      <c r="V23" s="567"/>
      <c r="W23" s="564" t="str">
        <f>IF(B3&lt;&gt;"3Q","n.a.",SUM(K23:M23))</f>
        <v>n.a.</v>
      </c>
      <c r="X23" s="564" t="str">
        <f>IF(B3&lt;&gt;"3Q","n.a.",_xll.VisibleAlpha.UDF.VAData("SAF_FR","FY-"&amp;LEFT(X$11,4),$B23,"Consensus","CD","IMPL"))</f>
        <v>n.a.</v>
      </c>
      <c r="Y23" s="564" t="s">
        <v>2098</v>
      </c>
      <c r="Z23" s="564" t="str">
        <f>IF(B3&lt;&gt;"3Q","n.a.",X23-W23)</f>
        <v>n.a.</v>
      </c>
      <c r="AA23" s="564" t="str">
        <f>IF(B3&lt;&gt;"3Q","n.a.",Y23-W23)</f>
        <v>n.a.</v>
      </c>
      <c r="AB23" s="564" t="s">
        <v>2098</v>
      </c>
      <c r="AC23" s="1026" t="str">
        <f>IF(B3&lt;&gt;"3Q","n.a.",AA23/Z23-1)</f>
        <v>n.a.</v>
      </c>
      <c r="AE23" s="1062"/>
      <c r="AF23" s="1062"/>
      <c r="AH23" s="1056"/>
      <c r="AI23" s="1061"/>
      <c r="AJ23" s="579"/>
      <c r="AK23" s="1035"/>
      <c r="AL23" s="1035"/>
      <c r="AM23" s="1035"/>
      <c r="AN23" s="1036"/>
      <c r="AO23" s="1036"/>
      <c r="AP23" s="1036"/>
      <c r="AQ23" s="1036"/>
      <c r="AR23" s="1036"/>
      <c r="AS23" s="1036"/>
      <c r="AT23" s="1036"/>
      <c r="AU23" s="1036"/>
      <c r="AV23" s="1036"/>
      <c r="AW23" s="1036"/>
      <c r="AX23" s="1036"/>
      <c r="AY23" s="1036"/>
      <c r="AZ23" s="1036"/>
      <c r="BA23" s="1036"/>
      <c r="BB23" s="1036"/>
      <c r="BC23" s="1036"/>
      <c r="BD23" s="1036"/>
      <c r="BE23" s="1036"/>
    </row>
    <row r="24" spans="2:57" ht="3.75" customHeight="1">
      <c r="B24" s="570"/>
      <c r="C24" s="570"/>
      <c r="D24" s="682"/>
      <c r="E24" s="132"/>
      <c r="F24" s="132"/>
      <c r="G24" s="132"/>
      <c r="H24" s="132"/>
      <c r="I24" s="571"/>
      <c r="J24" s="571"/>
      <c r="K24" s="571"/>
      <c r="L24" s="571"/>
      <c r="M24" s="572"/>
      <c r="N24" s="919"/>
      <c r="O24" s="566"/>
      <c r="P24" s="646"/>
      <c r="Q24" s="645"/>
      <c r="R24" s="919"/>
      <c r="S24" s="571"/>
      <c r="T24" s="573"/>
      <c r="U24" s="919"/>
      <c r="V24" s="574"/>
      <c r="W24" s="571"/>
      <c r="X24" s="571"/>
      <c r="Y24" s="571"/>
      <c r="Z24" s="571"/>
      <c r="AA24" s="571"/>
      <c r="AB24" s="571"/>
      <c r="AC24" s="571"/>
      <c r="AH24" s="1058"/>
      <c r="AI24" s="1059"/>
      <c r="AJ24" s="579"/>
      <c r="AK24" s="1035"/>
      <c r="AL24" s="1035"/>
      <c r="AM24" s="1035"/>
      <c r="AN24" s="1035"/>
      <c r="AO24" s="1035"/>
      <c r="AP24" s="1035"/>
      <c r="AQ24" s="1035"/>
      <c r="AR24" s="1035"/>
      <c r="AS24" s="1035"/>
      <c r="AT24" s="1035"/>
      <c r="AU24" s="1035"/>
      <c r="AV24" s="1035"/>
      <c r="AW24" s="1035"/>
      <c r="AX24" s="1035"/>
      <c r="AY24" s="1035"/>
      <c r="AZ24" s="1035"/>
      <c r="BA24" s="1035"/>
      <c r="BB24" s="1035"/>
      <c r="BC24" s="1035"/>
      <c r="BD24" s="1035"/>
      <c r="BE24" s="1035"/>
    </row>
    <row r="25" spans="2:57">
      <c r="B25" s="552"/>
      <c r="C25" s="552"/>
      <c r="D25" s="1038" t="s">
        <v>1706</v>
      </c>
      <c r="E25" s="605"/>
      <c r="F25" s="605"/>
      <c r="G25" s="605"/>
      <c r="H25" s="605"/>
      <c r="I25" s="598"/>
      <c r="J25" s="598"/>
      <c r="K25" s="598"/>
      <c r="L25" s="598"/>
      <c r="M25" s="598"/>
      <c r="N25" s="598"/>
      <c r="O25" s="608"/>
      <c r="P25" s="1683"/>
      <c r="Q25" s="1683"/>
      <c r="R25" s="1683"/>
      <c r="S25" s="1683"/>
      <c r="T25" s="600"/>
      <c r="U25" s="989"/>
      <c r="V25" s="580"/>
      <c r="W25" s="580"/>
      <c r="X25" s="580"/>
      <c r="Y25" s="580"/>
      <c r="Z25" s="580"/>
      <c r="AA25" s="580"/>
      <c r="AB25" s="580"/>
      <c r="AC25" s="580"/>
      <c r="AJ25" s="579"/>
      <c r="AK25" s="1035"/>
      <c r="AL25" s="1035"/>
      <c r="AM25" s="1035"/>
      <c r="AN25" s="1035"/>
      <c r="AO25" s="1035"/>
      <c r="AP25" s="1035"/>
      <c r="AQ25" s="1035"/>
      <c r="AR25" s="1035"/>
      <c r="AS25" s="1035"/>
      <c r="AT25" s="1035"/>
      <c r="AU25" s="1035"/>
      <c r="AV25" s="1035"/>
      <c r="AW25" s="1035"/>
      <c r="AX25" s="1035"/>
      <c r="AY25" s="1035"/>
      <c r="AZ25" s="1035"/>
      <c r="BA25" s="1035"/>
      <c r="BB25" s="1035"/>
      <c r="BC25" s="1035"/>
      <c r="BD25" s="1035"/>
      <c r="BE25" s="1035"/>
    </row>
    <row r="26" spans="2:57">
      <c r="B26" s="552"/>
      <c r="C26" s="552"/>
      <c r="D26" s="1039"/>
      <c r="E26" s="605"/>
      <c r="F26" s="605"/>
      <c r="G26" s="543" t="str">
        <f t="shared" ref="G26:H26" si="6">LEFT(G29,2)</f>
        <v>1H</v>
      </c>
      <c r="H26" s="543" t="str">
        <f t="shared" si="6"/>
        <v>2H</v>
      </c>
      <c r="I26" s="543" t="str">
        <f>M26</f>
        <v>1H</v>
      </c>
      <c r="J26" s="543"/>
      <c r="L26" s="543" t="str">
        <f>IF(VALUE(LEFT(M26,1))=1,"2H","1H")</f>
        <v>2H</v>
      </c>
      <c r="M26" s="543" t="str">
        <f>B4</f>
        <v>1H</v>
      </c>
      <c r="N26" s="598"/>
      <c r="O26" s="608"/>
      <c r="P26" s="543" t="str">
        <f t="shared" ref="P26" si="7">LEFT(P29,2)</f>
        <v>1H</v>
      </c>
      <c r="Q26" s="604"/>
      <c r="R26" s="604"/>
      <c r="S26" s="543" t="str">
        <f t="shared" ref="S26" si="8">LEFT(S29,2)</f>
        <v>1H</v>
      </c>
      <c r="T26" s="600"/>
      <c r="U26" s="989"/>
      <c r="V26" s="580"/>
      <c r="W26" s="543"/>
      <c r="X26" s="543"/>
      <c r="Y26" s="543"/>
      <c r="Z26" s="543"/>
      <c r="AA26" s="543"/>
      <c r="AB26" s="543"/>
      <c r="AC26" s="543"/>
      <c r="AJ26" s="579"/>
      <c r="AK26" s="1035"/>
      <c r="AL26" s="1035"/>
      <c r="AM26" s="1035"/>
      <c r="AN26" s="1035"/>
      <c r="AO26" s="1035"/>
      <c r="AP26" s="1035"/>
      <c r="AQ26" s="1035"/>
      <c r="AR26" s="1035"/>
      <c r="AS26" s="1035"/>
      <c r="AT26" s="1035"/>
      <c r="AU26" s="1035"/>
      <c r="AV26" s="1035"/>
      <c r="AW26" s="1035"/>
      <c r="AX26" s="1035"/>
      <c r="AY26" s="1035"/>
      <c r="AZ26" s="1035"/>
      <c r="BA26" s="1035"/>
      <c r="BB26" s="1035"/>
      <c r="BC26" s="1035"/>
      <c r="BD26" s="1035"/>
      <c r="BE26" s="1035"/>
    </row>
    <row r="27" spans="2:57" ht="3" customHeight="1">
      <c r="D27" s="683"/>
      <c r="E27" s="111"/>
      <c r="F27" s="111"/>
      <c r="G27" s="111"/>
      <c r="H27" s="111"/>
      <c r="I27" s="111"/>
      <c r="J27" s="111"/>
      <c r="L27" s="111"/>
      <c r="M27" s="111"/>
      <c r="N27" s="544"/>
      <c r="O27" s="86"/>
      <c r="P27" s="547"/>
      <c r="Q27" s="548"/>
      <c r="R27" s="544"/>
      <c r="S27" s="111"/>
      <c r="T27" s="548"/>
      <c r="U27" s="544"/>
      <c r="V27" s="580"/>
      <c r="W27" s="543"/>
      <c r="X27" s="543"/>
      <c r="Y27" s="543"/>
      <c r="Z27" s="543"/>
      <c r="AA27" s="543"/>
      <c r="AB27" s="543"/>
      <c r="AC27" s="543"/>
      <c r="AJ27" s="579"/>
      <c r="AK27" s="1035"/>
      <c r="AL27" s="1035"/>
      <c r="AM27" s="1035"/>
      <c r="AN27" s="1035"/>
      <c r="AO27" s="1035"/>
      <c r="AP27" s="1035"/>
      <c r="AQ27" s="1035"/>
      <c r="AR27" s="1035"/>
      <c r="AS27" s="1035"/>
      <c r="AT27" s="1035"/>
      <c r="AU27" s="1035"/>
      <c r="AV27" s="1035"/>
      <c r="AW27" s="1035"/>
      <c r="AX27" s="1035"/>
      <c r="AY27" s="1035"/>
      <c r="AZ27" s="1035"/>
      <c r="BA27" s="1035"/>
      <c r="BB27" s="1035"/>
      <c r="BC27" s="1035"/>
      <c r="BD27" s="1035"/>
      <c r="BE27" s="1035"/>
    </row>
    <row r="28" spans="2:57">
      <c r="B28" s="549" t="s">
        <v>1630</v>
      </c>
      <c r="D28" s="677" t="s">
        <v>732</v>
      </c>
      <c r="E28" s="648"/>
      <c r="F28" s="648"/>
      <c r="G28" s="648" t="s">
        <v>740</v>
      </c>
      <c r="H28" s="648" t="s">
        <v>740</v>
      </c>
      <c r="I28" s="120" t="s">
        <v>740</v>
      </c>
      <c r="J28" s="120"/>
      <c r="K28" s="120"/>
      <c r="L28" s="120" t="s">
        <v>740</v>
      </c>
      <c r="M28" s="550" t="s">
        <v>740</v>
      </c>
      <c r="N28" s="1682" t="s">
        <v>1674</v>
      </c>
      <c r="O28" s="86"/>
      <c r="P28" s="686" t="s">
        <v>1661</v>
      </c>
      <c r="Q28" s="742" t="s">
        <v>1692</v>
      </c>
      <c r="R28" s="1281"/>
      <c r="S28" s="686" t="s">
        <v>1659</v>
      </c>
      <c r="T28" s="742" t="s">
        <v>1692</v>
      </c>
      <c r="U28" s="922" t="s">
        <v>1694</v>
      </c>
      <c r="V28" s="580"/>
      <c r="W28" s="543"/>
      <c r="X28" s="543"/>
      <c r="Y28" s="543"/>
      <c r="Z28" s="543"/>
      <c r="AA28" s="543"/>
      <c r="AB28" s="543"/>
      <c r="AC28" s="543"/>
      <c r="AG28" s="1040"/>
      <c r="AH28" s="1040"/>
      <c r="AJ28" s="579"/>
      <c r="AK28" s="1035"/>
      <c r="AL28" s="1035"/>
      <c r="AM28" s="1035"/>
      <c r="AN28" s="1035"/>
      <c r="AO28" s="1035"/>
      <c r="AP28" s="1035"/>
      <c r="AQ28" s="1035"/>
      <c r="AR28" s="1035"/>
      <c r="AS28" s="1035"/>
      <c r="AT28" s="1035"/>
      <c r="AU28" s="1035"/>
      <c r="AV28" s="1035"/>
      <c r="AW28" s="1035"/>
      <c r="AX28" s="1035"/>
      <c r="AY28" s="1035"/>
      <c r="AZ28" s="1035"/>
      <c r="BA28" s="1035"/>
      <c r="BB28" s="1035"/>
      <c r="BC28" s="1035"/>
      <c r="BD28" s="1035"/>
      <c r="BE28" s="1035"/>
    </row>
    <row r="29" spans="2:57">
      <c r="D29" s="678" t="s">
        <v>1394</v>
      </c>
      <c r="E29" s="648"/>
      <c r="F29" s="648"/>
      <c r="G29" s="648" t="s">
        <v>1570</v>
      </c>
      <c r="H29" s="648" t="s">
        <v>1428</v>
      </c>
      <c r="I29" s="120" t="str">
        <f>I26&amp;" "&amp;B2-1</f>
        <v>1H 2024</v>
      </c>
      <c r="J29" s="120"/>
      <c r="K29" s="120"/>
      <c r="L29" s="120" t="str">
        <f>L26&amp;" "&amp;IF(B4="1H",B2-1,B2)</f>
        <v>2H 2024</v>
      </c>
      <c r="M29" s="550" t="str">
        <f>B4&amp;" "&amp;B2</f>
        <v>1H 2025</v>
      </c>
      <c r="N29" s="1682"/>
      <c r="O29" s="86"/>
      <c r="P29" s="686" t="str">
        <f>B4&amp;" "&amp;B2&amp;"E"</f>
        <v>1H 2025E</v>
      </c>
      <c r="Q29" s="742" t="s">
        <v>1671</v>
      </c>
      <c r="R29" s="1281"/>
      <c r="S29" s="686" t="str">
        <f>B4&amp;" "&amp;B2&amp;"E"</f>
        <v>1H 2025E</v>
      </c>
      <c r="T29" s="742" t="s">
        <v>1693</v>
      </c>
      <c r="U29" s="922" t="s">
        <v>1671</v>
      </c>
      <c r="V29" s="580"/>
      <c r="W29" s="543"/>
      <c r="X29" s="543"/>
      <c r="Y29" s="543"/>
      <c r="Z29" s="543"/>
      <c r="AA29" s="543"/>
      <c r="AB29" s="543"/>
      <c r="AC29" s="543"/>
      <c r="AG29" s="1040"/>
      <c r="AH29" s="1040"/>
      <c r="AJ29" s="579"/>
      <c r="AK29" s="1035"/>
      <c r="AL29" s="1035"/>
      <c r="AM29" s="1035"/>
      <c r="AN29" s="1035"/>
      <c r="AO29" s="1035"/>
      <c r="AP29" s="1035"/>
      <c r="AQ29" s="1035"/>
      <c r="AR29" s="1035"/>
      <c r="AS29" s="1035"/>
      <c r="AT29" s="1035"/>
      <c r="AU29" s="1035"/>
      <c r="AV29" s="1035"/>
      <c r="AW29" s="1035"/>
      <c r="AX29" s="1035"/>
      <c r="AY29" s="1035"/>
      <c r="AZ29" s="1035"/>
      <c r="BA29" s="1035"/>
      <c r="BB29" s="1035"/>
      <c r="BC29" s="1035"/>
      <c r="BD29" s="1035"/>
      <c r="BE29" s="1035"/>
    </row>
    <row r="30" spans="2:57" ht="6.75" customHeight="1">
      <c r="B30" s="570"/>
      <c r="C30" s="570"/>
      <c r="D30" s="682"/>
      <c r="E30" s="948"/>
      <c r="F30" s="948"/>
      <c r="G30" s="948"/>
      <c r="H30" s="948"/>
      <c r="I30" s="132"/>
      <c r="J30" s="132"/>
      <c r="K30" s="132"/>
      <c r="L30" s="132"/>
      <c r="M30" s="554"/>
      <c r="N30" s="920"/>
      <c r="O30" s="557"/>
      <c r="P30" s="132"/>
      <c r="Q30" s="556"/>
      <c r="R30" s="920"/>
      <c r="S30" s="132"/>
      <c r="T30" s="556"/>
      <c r="U30" s="920"/>
      <c r="V30" s="580"/>
      <c r="W30" s="543"/>
      <c r="X30" s="543"/>
      <c r="Y30" s="543"/>
      <c r="Z30" s="543"/>
      <c r="AA30" s="543"/>
      <c r="AB30" s="543"/>
      <c r="AC30" s="543"/>
      <c r="AJ30" s="579"/>
    </row>
    <row r="31" spans="2:57">
      <c r="D31" s="679" t="s">
        <v>1267</v>
      </c>
      <c r="E31" s="945"/>
      <c r="F31" s="945"/>
      <c r="G31" s="945"/>
      <c r="H31" s="945"/>
      <c r="I31" s="553"/>
      <c r="J31" s="553"/>
      <c r="K31" s="553"/>
      <c r="L31" s="553"/>
      <c r="M31" s="554"/>
      <c r="N31" s="920"/>
      <c r="O31" s="557"/>
      <c r="P31" s="555"/>
      <c r="Q31" s="556"/>
      <c r="R31" s="920"/>
      <c r="S31" s="553"/>
      <c r="T31" s="556"/>
      <c r="U31" s="920"/>
      <c r="V31" s="580"/>
      <c r="W31" s="543"/>
      <c r="X31" s="543"/>
      <c r="Y31" s="543"/>
      <c r="Z31" s="543"/>
      <c r="AA31" s="543"/>
      <c r="AB31" s="543"/>
      <c r="AC31" s="543"/>
      <c r="AG31" s="1040"/>
      <c r="AH31" s="1040"/>
      <c r="AJ31" s="579"/>
      <c r="AK31" s="1035"/>
      <c r="AL31" s="1035"/>
      <c r="AM31" s="1035"/>
      <c r="AN31" s="1035"/>
      <c r="AO31" s="1035"/>
      <c r="AP31" s="1035"/>
      <c r="AQ31" s="1035"/>
      <c r="AR31" s="1035"/>
      <c r="AS31" s="1035"/>
      <c r="AT31" s="1035"/>
      <c r="AU31" s="1035"/>
      <c r="AV31" s="1035"/>
      <c r="AW31" s="1035"/>
      <c r="AX31" s="1035"/>
      <c r="AY31" s="1035"/>
      <c r="AZ31" s="1035"/>
      <c r="BA31" s="1035"/>
      <c r="BB31" s="1035"/>
      <c r="BC31" s="1035"/>
      <c r="BD31" s="1035"/>
      <c r="BE31" s="1035"/>
    </row>
    <row r="32" spans="2:57">
      <c r="D32" s="680" t="s">
        <v>1402</v>
      </c>
      <c r="E32" s="946"/>
      <c r="F32" s="946"/>
      <c r="G32" s="946">
        <v>5902</v>
      </c>
      <c r="H32" s="946">
        <v>6143</v>
      </c>
      <c r="I32" s="560">
        <v>6461</v>
      </c>
      <c r="J32" s="560"/>
      <c r="K32" s="560"/>
      <c r="L32" s="560">
        <f>3339+3852</f>
        <v>7191</v>
      </c>
      <c r="M32" s="554">
        <v>7541</v>
      </c>
      <c r="N32" s="562">
        <f>M32/I32-1</f>
        <v>0.16715678687509672</v>
      </c>
      <c r="O32" s="557"/>
      <c r="P32" s="560">
        <v>7479</v>
      </c>
      <c r="Q32" s="929">
        <f>M32/P32-1</f>
        <v>8.2898783259794939E-3</v>
      </c>
      <c r="R32" s="562"/>
      <c r="S32" s="560">
        <v>0</v>
      </c>
      <c r="T32" s="929" t="e">
        <f>M32/S32-1</f>
        <v>#DIV/0!</v>
      </c>
      <c r="U32" s="562">
        <f>S32/P32-1</f>
        <v>-1</v>
      </c>
      <c r="V32" s="580"/>
      <c r="W32" s="543"/>
      <c r="X32" s="543"/>
      <c r="Y32" s="543"/>
      <c r="Z32" s="543"/>
      <c r="AA32" s="543"/>
      <c r="AB32" s="543"/>
      <c r="AC32" s="543"/>
      <c r="AG32" s="1041"/>
      <c r="AH32" s="1041"/>
      <c r="AJ32" s="579"/>
      <c r="AK32" s="1035"/>
      <c r="AL32" s="1035"/>
      <c r="AM32" s="1035"/>
      <c r="AN32" s="1035"/>
      <c r="AO32" s="1035"/>
      <c r="AP32" s="1035"/>
      <c r="AQ32" s="1035"/>
      <c r="AR32" s="1035"/>
      <c r="AS32" s="1035"/>
      <c r="AT32" s="1035"/>
      <c r="AU32" s="1035"/>
      <c r="AV32" s="1035"/>
      <c r="AW32" s="1035"/>
      <c r="AX32" s="1035"/>
      <c r="AY32" s="1035"/>
      <c r="AZ32" s="1035"/>
      <c r="BA32" s="1035"/>
      <c r="BB32" s="1035"/>
      <c r="BC32" s="1035"/>
      <c r="BD32" s="1035"/>
      <c r="BE32" s="1035"/>
    </row>
    <row r="33" spans="2:57">
      <c r="D33" s="680" t="s">
        <v>1404</v>
      </c>
      <c r="E33" s="946"/>
      <c r="F33" s="946"/>
      <c r="G33" s="946">
        <v>4553</v>
      </c>
      <c r="H33" s="946">
        <v>4703</v>
      </c>
      <c r="I33" s="560">
        <v>5170</v>
      </c>
      <c r="J33" s="560"/>
      <c r="K33" s="560"/>
      <c r="L33" s="560">
        <f>2527+2921</f>
        <v>5448</v>
      </c>
      <c r="M33" s="554">
        <v>5609</v>
      </c>
      <c r="N33" s="562">
        <f>M33/I33-1</f>
        <v>8.4912959381044484E-2</v>
      </c>
      <c r="O33" s="557"/>
      <c r="P33" s="560">
        <v>5732</v>
      </c>
      <c r="Q33" s="929">
        <f>M33/P33-1</f>
        <v>-2.14584787159805E-2</v>
      </c>
      <c r="R33" s="562"/>
      <c r="S33" s="560">
        <v>0</v>
      </c>
      <c r="T33" s="929" t="e">
        <f>M33/S33-1</f>
        <v>#DIV/0!</v>
      </c>
      <c r="U33" s="562">
        <f>S33/P33-1</f>
        <v>-1</v>
      </c>
      <c r="V33" s="580"/>
      <c r="W33" s="543"/>
      <c r="X33" s="543"/>
      <c r="Y33" s="543"/>
      <c r="Z33" s="543"/>
      <c r="AA33" s="543"/>
      <c r="AB33" s="543"/>
      <c r="AC33" s="543"/>
      <c r="AG33" s="1041"/>
      <c r="AH33" s="1041"/>
      <c r="AJ33" s="579"/>
      <c r="AK33" s="1035"/>
      <c r="AL33" s="1035"/>
      <c r="AM33" s="1035"/>
      <c r="AN33" s="1035"/>
      <c r="AO33" s="1035"/>
      <c r="AP33" s="1035"/>
      <c r="AQ33" s="1035"/>
      <c r="AR33" s="1035"/>
      <c r="AS33" s="1035"/>
      <c r="AT33" s="1035"/>
      <c r="AU33" s="1035"/>
      <c r="AV33" s="1035"/>
      <c r="AW33" s="1035"/>
      <c r="AX33" s="1035"/>
      <c r="AY33" s="1035"/>
      <c r="AZ33" s="1035"/>
      <c r="BA33" s="1035"/>
      <c r="BB33" s="1035"/>
      <c r="BC33" s="1035"/>
      <c r="BD33" s="1035"/>
      <c r="BE33" s="1035"/>
    </row>
    <row r="34" spans="2:57">
      <c r="D34" s="680" t="s">
        <v>1293</v>
      </c>
      <c r="E34" s="946"/>
      <c r="F34" s="946"/>
      <c r="G34" s="946">
        <v>1640</v>
      </c>
      <c r="H34" s="946">
        <v>1681</v>
      </c>
      <c r="I34" s="560">
        <v>1411</v>
      </c>
      <c r="J34" s="560"/>
      <c r="K34" s="560"/>
      <c r="L34" s="560">
        <f>771+855</f>
        <v>1626</v>
      </c>
      <c r="M34" s="554">
        <v>1616</v>
      </c>
      <c r="N34" s="562">
        <f>M34/I34-1</f>
        <v>0.14528703047484059</v>
      </c>
      <c r="O34" s="557"/>
      <c r="P34" s="560">
        <v>1597</v>
      </c>
      <c r="Q34" s="929">
        <f>M34/P34-1</f>
        <v>1.1897307451471439E-2</v>
      </c>
      <c r="R34" s="562"/>
      <c r="S34" s="560">
        <v>0</v>
      </c>
      <c r="T34" s="929" t="e">
        <f>M34/S34-1</f>
        <v>#DIV/0!</v>
      </c>
      <c r="U34" s="562">
        <f>S34/P34-1</f>
        <v>-1</v>
      </c>
      <c r="V34" s="580"/>
      <c r="W34" s="543"/>
      <c r="X34" s="543"/>
      <c r="Y34" s="543"/>
      <c r="Z34" s="543"/>
      <c r="AA34" s="543"/>
      <c r="AB34" s="543"/>
      <c r="AC34" s="543"/>
      <c r="AG34" s="1041"/>
      <c r="AH34" s="1041"/>
      <c r="AJ34" s="579"/>
      <c r="AK34" s="1035"/>
      <c r="AL34" s="1035"/>
      <c r="AM34" s="1035"/>
      <c r="AN34" s="1035"/>
      <c r="AO34" s="1035"/>
      <c r="AP34" s="1035"/>
      <c r="AQ34" s="1035"/>
      <c r="AR34" s="1035"/>
      <c r="AS34" s="1035"/>
      <c r="AT34" s="1035"/>
      <c r="AU34" s="1035"/>
      <c r="AV34" s="1035"/>
      <c r="AW34" s="1035"/>
      <c r="AX34" s="1035"/>
      <c r="AY34" s="1035"/>
      <c r="AZ34" s="1035"/>
      <c r="BA34" s="1035"/>
      <c r="BB34" s="1035"/>
      <c r="BC34" s="1035"/>
      <c r="BD34" s="1035"/>
      <c r="BE34" s="1035"/>
    </row>
    <row r="35" spans="2:57" hidden="1" outlineLevel="1">
      <c r="D35" s="680" t="s">
        <v>776</v>
      </c>
      <c r="E35" s="946"/>
      <c r="F35" s="946"/>
      <c r="G35" s="946">
        <v>1.3683193818416761E-3</v>
      </c>
      <c r="H35" s="946">
        <v>1.8292412947854331E-2</v>
      </c>
      <c r="I35" s="560">
        <v>8.7147882764591067E-3</v>
      </c>
      <c r="J35" s="560"/>
      <c r="K35" s="560"/>
      <c r="L35" s="560">
        <v>5.8508873995399613E-2</v>
      </c>
      <c r="M35" s="554">
        <f t="shared" ref="M35" si="9">M66-L35</f>
        <v>-5.8508873995399613E-2</v>
      </c>
      <c r="N35" s="617"/>
      <c r="O35" s="557"/>
      <c r="P35" s="560">
        <f>P66-L35</f>
        <v>-5.8508873995399613E-2</v>
      </c>
      <c r="Q35" s="561">
        <f>M35/P35-1</f>
        <v>0</v>
      </c>
      <c r="R35" s="617"/>
      <c r="S35" s="560">
        <v>0</v>
      </c>
      <c r="T35" s="561" t="e">
        <f>M35/S35-1</f>
        <v>#DIV/0!</v>
      </c>
      <c r="U35" s="617">
        <f>S35/P35-1</f>
        <v>-1</v>
      </c>
      <c r="V35" s="580"/>
      <c r="W35" s="543"/>
      <c r="X35" s="543"/>
      <c r="Y35" s="543"/>
      <c r="Z35" s="543"/>
      <c r="AA35" s="543"/>
      <c r="AB35" s="543"/>
      <c r="AC35" s="543"/>
      <c r="AG35" s="1041"/>
      <c r="AH35" s="1041"/>
      <c r="AJ35" s="579"/>
      <c r="AK35" s="1035"/>
      <c r="AL35" s="1035"/>
      <c r="AM35" s="1035"/>
      <c r="AN35" s="1035"/>
      <c r="AO35" s="1035"/>
      <c r="AP35" s="1035"/>
      <c r="AQ35" s="1035"/>
      <c r="AR35" s="1035"/>
      <c r="AS35" s="1035"/>
      <c r="AT35" s="1035"/>
      <c r="AU35" s="1035"/>
      <c r="AV35" s="1035"/>
      <c r="AW35" s="1035"/>
      <c r="AX35" s="1035"/>
      <c r="AY35" s="1035"/>
      <c r="AZ35" s="1035"/>
      <c r="BA35" s="1035"/>
      <c r="BB35" s="1035"/>
      <c r="BC35" s="1035"/>
      <c r="BD35" s="1035"/>
      <c r="BE35" s="1035"/>
    </row>
    <row r="36" spans="2:57" collapsed="1">
      <c r="D36" s="681" t="s">
        <v>1408</v>
      </c>
      <c r="E36" s="950"/>
      <c r="F36" s="950"/>
      <c r="G36" s="950">
        <v>12102</v>
      </c>
      <c r="H36" s="950">
        <v>12538</v>
      </c>
      <c r="I36" s="564">
        <v>13047</v>
      </c>
      <c r="J36" s="564"/>
      <c r="K36" s="564"/>
      <c r="L36" s="564">
        <f>6639+7631</f>
        <v>14270</v>
      </c>
      <c r="M36" s="565">
        <v>14769</v>
      </c>
      <c r="N36" s="928">
        <f>M36/I36-1</f>
        <v>0.13198436422166004</v>
      </c>
      <c r="O36" s="566"/>
      <c r="P36" s="564">
        <v>14737</v>
      </c>
      <c r="Q36" s="930">
        <f>M36/P36-1</f>
        <v>2.1714053063717209E-3</v>
      </c>
      <c r="R36" s="928"/>
      <c r="S36" s="564">
        <v>0</v>
      </c>
      <c r="T36" s="930" t="e">
        <f>M36/S36-1</f>
        <v>#DIV/0!</v>
      </c>
      <c r="U36" s="928">
        <f>S36/P36-1</f>
        <v>-1</v>
      </c>
      <c r="V36" s="580"/>
      <c r="W36" s="543"/>
      <c r="X36" s="543"/>
      <c r="Y36" s="543"/>
      <c r="Z36" s="543"/>
      <c r="AA36" s="543"/>
      <c r="AB36" s="543"/>
      <c r="AC36" s="543"/>
      <c r="AG36" s="1042"/>
      <c r="AH36" s="1041"/>
      <c r="AJ36" s="579"/>
      <c r="AK36" s="1035"/>
      <c r="AL36" s="1035"/>
      <c r="AM36" s="1035"/>
      <c r="AN36" s="1035"/>
      <c r="AO36" s="1035"/>
      <c r="AP36" s="1035"/>
      <c r="AQ36" s="1035"/>
      <c r="AR36" s="1035"/>
      <c r="AS36" s="1035"/>
      <c r="AT36" s="1035"/>
      <c r="AU36" s="1035"/>
      <c r="AV36" s="1035"/>
      <c r="AW36" s="1035"/>
      <c r="AX36" s="1035"/>
      <c r="AY36" s="1035"/>
      <c r="AZ36" s="1035"/>
      <c r="BA36" s="1035"/>
      <c r="BB36" s="1035"/>
      <c r="BC36" s="1035"/>
      <c r="BD36" s="1035"/>
      <c r="BE36" s="1035"/>
    </row>
    <row r="37" spans="2:57" ht="6.75" customHeight="1">
      <c r="B37" s="570"/>
      <c r="C37" s="570"/>
      <c r="D37" s="682"/>
      <c r="E37" s="948"/>
      <c r="F37" s="948"/>
      <c r="G37" s="948"/>
      <c r="H37" s="948"/>
      <c r="I37" s="132"/>
      <c r="J37" s="132"/>
      <c r="K37" s="132"/>
      <c r="L37" s="132"/>
      <c r="M37" s="554"/>
      <c r="N37" s="920"/>
      <c r="O37" s="557"/>
      <c r="P37" s="132"/>
      <c r="Q37" s="556"/>
      <c r="R37" s="920"/>
      <c r="S37" s="132"/>
      <c r="T37" s="556"/>
      <c r="U37" s="920"/>
      <c r="V37" s="580"/>
      <c r="W37" s="543"/>
      <c r="X37" s="543"/>
      <c r="Y37" s="543"/>
      <c r="Z37" s="543"/>
      <c r="AA37" s="543"/>
      <c r="AB37" s="543"/>
      <c r="AC37" s="543"/>
      <c r="AJ37" s="579"/>
    </row>
    <row r="38" spans="2:57" ht="15" customHeight="1">
      <c r="B38" s="552"/>
      <c r="C38" s="552"/>
      <c r="D38" s="679" t="s">
        <v>287</v>
      </c>
      <c r="E38" s="945"/>
      <c r="F38" s="945"/>
      <c r="G38" s="945"/>
      <c r="H38" s="945"/>
      <c r="I38" s="553"/>
      <c r="J38" s="553"/>
      <c r="K38" s="553"/>
      <c r="L38" s="553"/>
      <c r="M38" s="554"/>
      <c r="N38" s="920"/>
      <c r="O38" s="557"/>
      <c r="P38" s="555"/>
      <c r="Q38" s="556"/>
      <c r="R38" s="920"/>
      <c r="S38" s="553"/>
      <c r="T38" s="556"/>
      <c r="U38" s="920"/>
      <c r="V38" s="580"/>
      <c r="W38" s="543"/>
      <c r="X38" s="543"/>
      <c r="Y38" s="543"/>
      <c r="Z38" s="543"/>
      <c r="AA38" s="543"/>
      <c r="AB38" s="543"/>
      <c r="AC38" s="543"/>
      <c r="AG38" s="1041"/>
      <c r="AH38" s="1041"/>
      <c r="AJ38" s="579"/>
      <c r="AK38" s="1035"/>
      <c r="AL38" s="1035"/>
      <c r="AM38" s="1035"/>
      <c r="AN38" s="1035"/>
      <c r="AO38" s="1035"/>
      <c r="AP38" s="1035"/>
      <c r="AQ38" s="1035"/>
      <c r="AR38" s="1035"/>
      <c r="AS38" s="1035"/>
      <c r="AT38" s="1035"/>
      <c r="AU38" s="1035"/>
      <c r="AV38" s="1035"/>
      <c r="AW38" s="1035"/>
      <c r="AX38" s="1035"/>
      <c r="AY38" s="1035"/>
      <c r="AZ38" s="1035"/>
      <c r="BA38" s="1035"/>
      <c r="BB38" s="1035"/>
      <c r="BC38" s="1035"/>
      <c r="BD38" s="1035"/>
      <c r="BE38" s="1035"/>
    </row>
    <row r="39" spans="2:57" ht="15" customHeight="1">
      <c r="B39" s="757"/>
      <c r="C39" s="552"/>
      <c r="D39" s="680" t="s">
        <v>978</v>
      </c>
      <c r="E39" s="946"/>
      <c r="F39" s="946"/>
      <c r="G39" s="946">
        <v>1227</v>
      </c>
      <c r="H39" s="946">
        <v>1258</v>
      </c>
      <c r="I39" s="560">
        <v>1285</v>
      </c>
      <c r="J39" s="560"/>
      <c r="K39" s="560"/>
      <c r="L39" s="560">
        <v>1534</v>
      </c>
      <c r="M39" s="554">
        <v>1758</v>
      </c>
      <c r="N39" s="562">
        <f>M39/I39-1</f>
        <v>0.36809338521400781</v>
      </c>
      <c r="O39" s="557"/>
      <c r="P39" s="560">
        <v>1624</v>
      </c>
      <c r="Q39" s="929">
        <f>M39/P39-1</f>
        <v>8.2512315270935943E-2</v>
      </c>
      <c r="R39" s="562"/>
      <c r="S39" s="560">
        <v>0</v>
      </c>
      <c r="T39" s="929" t="e">
        <f>M39/S39-1</f>
        <v>#DIV/0!</v>
      </c>
      <c r="U39" s="562">
        <f>S39/P39-1</f>
        <v>-1</v>
      </c>
      <c r="V39" s="580"/>
      <c r="W39" s="543"/>
      <c r="X39" s="543"/>
      <c r="Y39" s="543"/>
      <c r="Z39" s="543"/>
      <c r="AA39" s="543"/>
      <c r="AB39" s="543"/>
      <c r="AC39" s="543"/>
      <c r="AG39" s="1041"/>
      <c r="AH39" s="1041"/>
      <c r="AJ39" s="579"/>
      <c r="AK39" s="1035"/>
      <c r="AL39" s="1035"/>
      <c r="AM39" s="1035"/>
      <c r="AN39" s="1035"/>
      <c r="AO39" s="1035"/>
      <c r="AP39" s="1035"/>
      <c r="AQ39" s="1035"/>
      <c r="AR39" s="1035"/>
      <c r="AS39" s="1035"/>
      <c r="AT39" s="1035"/>
      <c r="AU39" s="1035"/>
      <c r="AV39" s="1035"/>
      <c r="AW39" s="1035"/>
      <c r="AX39" s="1035"/>
      <c r="AY39" s="1035"/>
      <c r="AZ39" s="1035"/>
      <c r="BA39" s="1035"/>
      <c r="BB39" s="1035"/>
      <c r="BC39" s="1035"/>
      <c r="BD39" s="1035"/>
      <c r="BE39" s="1035"/>
    </row>
    <row r="40" spans="2:57" ht="15" customHeight="1">
      <c r="B40" s="552"/>
      <c r="C40" s="552"/>
      <c r="D40" s="927" t="s">
        <v>985</v>
      </c>
      <c r="E40" s="949"/>
      <c r="F40" s="949"/>
      <c r="G40" s="949">
        <f>G39/G32</f>
        <v>0.20789562860047442</v>
      </c>
      <c r="H40" s="949">
        <f>H39/H32</f>
        <v>0.20478593521080904</v>
      </c>
      <c r="I40" s="575">
        <f>I39/I32</f>
        <v>0.19888562142083269</v>
      </c>
      <c r="J40" s="575"/>
      <c r="K40" s="575"/>
      <c r="L40" s="575">
        <f>L39/L32</f>
        <v>0.2133222083159505</v>
      </c>
      <c r="M40" s="582">
        <f>M39/M32</f>
        <v>0.23312558016178225</v>
      </c>
      <c r="N40" s="618">
        <f>(M40-I40)*100</f>
        <v>3.4239958740949565</v>
      </c>
      <c r="O40" s="557"/>
      <c r="P40" s="1132">
        <f>P39/P32</f>
        <v>0.21714132905468644</v>
      </c>
      <c r="Q40" s="931">
        <f>(M40-P40)*100</f>
        <v>1.5984251107095808</v>
      </c>
      <c r="R40" s="618"/>
      <c r="S40" s="1132" t="e">
        <f t="shared" ref="S40" si="10">S39/S32</f>
        <v>#DIV/0!</v>
      </c>
      <c r="T40" s="931" t="e">
        <f>(M40-S40)*100</f>
        <v>#DIV/0!</v>
      </c>
      <c r="U40" s="618" t="e">
        <f>(S40-P40)*100</f>
        <v>#DIV/0!</v>
      </c>
      <c r="V40" s="580"/>
      <c r="W40" s="543"/>
      <c r="X40" s="543"/>
      <c r="Y40" s="543"/>
      <c r="Z40" s="543"/>
      <c r="AA40" s="543"/>
      <c r="AB40" s="543"/>
      <c r="AC40" s="543"/>
      <c r="AG40" s="1041"/>
      <c r="AH40" s="1041"/>
      <c r="AJ40" s="579"/>
      <c r="AK40" s="1035"/>
      <c r="AL40" s="1035"/>
      <c r="AM40" s="1035"/>
      <c r="AN40" s="1035"/>
      <c r="AO40" s="1035"/>
      <c r="AP40" s="1035"/>
      <c r="AQ40" s="1035"/>
      <c r="AR40" s="1035"/>
      <c r="AS40" s="1035"/>
      <c r="AT40" s="1035"/>
      <c r="AU40" s="1035"/>
      <c r="AV40" s="1035"/>
      <c r="AW40" s="1035"/>
      <c r="AX40" s="1035"/>
      <c r="AY40" s="1035"/>
      <c r="AZ40" s="1035"/>
      <c r="BA40" s="1035"/>
      <c r="BB40" s="1035"/>
      <c r="BC40" s="1035"/>
      <c r="BD40" s="1035"/>
      <c r="BE40" s="1035"/>
    </row>
    <row r="41" spans="2:57" ht="15" customHeight="1">
      <c r="B41" s="552"/>
      <c r="C41" s="552"/>
      <c r="D41" s="680" t="s">
        <v>1404</v>
      </c>
      <c r="E41" s="946"/>
      <c r="F41" s="946"/>
      <c r="G41" s="946">
        <v>588</v>
      </c>
      <c r="H41" s="946">
        <v>621</v>
      </c>
      <c r="I41" s="560">
        <v>657</v>
      </c>
      <c r="J41" s="560"/>
      <c r="K41" s="560"/>
      <c r="L41" s="560">
        <v>641</v>
      </c>
      <c r="M41" s="554">
        <v>703</v>
      </c>
      <c r="N41" s="562">
        <f>M41/I41-1</f>
        <v>7.0015220700152314E-2</v>
      </c>
      <c r="O41" s="557"/>
      <c r="P41" s="560">
        <v>738</v>
      </c>
      <c r="Q41" s="929">
        <f>M41/P41-1</f>
        <v>-4.7425474254742528E-2</v>
      </c>
      <c r="R41" s="562"/>
      <c r="S41" s="560">
        <v>0</v>
      </c>
      <c r="T41" s="929" t="e">
        <f>M41/S41-1</f>
        <v>#DIV/0!</v>
      </c>
      <c r="U41" s="562">
        <f>S41/P41-1</f>
        <v>-1</v>
      </c>
      <c r="V41" s="580"/>
      <c r="W41" s="543"/>
      <c r="X41" s="543"/>
      <c r="Y41" s="543"/>
      <c r="Z41" s="543"/>
      <c r="AA41" s="543"/>
      <c r="AB41" s="543"/>
      <c r="AC41" s="543"/>
      <c r="AG41" s="1041"/>
      <c r="AH41" s="1041"/>
      <c r="AJ41" s="579"/>
      <c r="AK41" s="1035"/>
      <c r="AL41" s="1035"/>
      <c r="AM41" s="1035"/>
      <c r="AN41" s="1035"/>
      <c r="AO41" s="1035"/>
      <c r="AP41" s="1035"/>
      <c r="AQ41" s="1035"/>
      <c r="AR41" s="1035"/>
      <c r="AS41" s="1035"/>
      <c r="AT41" s="1035"/>
      <c r="AU41" s="1035"/>
      <c r="AV41" s="1035"/>
      <c r="AW41" s="1035"/>
      <c r="AX41" s="1035"/>
      <c r="AY41" s="1035"/>
      <c r="AZ41" s="1035"/>
      <c r="BA41" s="1035"/>
      <c r="BB41" s="1035"/>
      <c r="BC41" s="1035"/>
      <c r="BD41" s="1035"/>
      <c r="BE41" s="1035"/>
    </row>
    <row r="42" spans="2:57" ht="15" customHeight="1">
      <c r="B42" s="552"/>
      <c r="C42" s="552"/>
      <c r="D42" s="927" t="s">
        <v>985</v>
      </c>
      <c r="E42" s="949"/>
      <c r="F42" s="949"/>
      <c r="G42" s="949">
        <f>G41/G33</f>
        <v>0.12914561827366572</v>
      </c>
      <c r="H42" s="949">
        <f>H41/H33</f>
        <v>0.13204337656814799</v>
      </c>
      <c r="I42" s="575">
        <f>I41/I33</f>
        <v>0.12707930367504836</v>
      </c>
      <c r="J42" s="575"/>
      <c r="K42" s="575"/>
      <c r="L42" s="575">
        <f>L41/L33</f>
        <v>0.11765785609397944</v>
      </c>
      <c r="M42" s="582">
        <f>M41/M33</f>
        <v>0.12533428418612944</v>
      </c>
      <c r="N42" s="618">
        <f>(M42-I42)*100</f>
        <v>-0.17450194889189197</v>
      </c>
      <c r="O42" s="557"/>
      <c r="P42" s="1132">
        <f>P41/P33</f>
        <v>0.12875087229588275</v>
      </c>
      <c r="Q42" s="931">
        <f>(M42-P42)*100</f>
        <v>-0.34165881097533157</v>
      </c>
      <c r="R42" s="618"/>
      <c r="S42" s="1132" t="e">
        <f t="shared" ref="S42" si="11">S41/S33</f>
        <v>#DIV/0!</v>
      </c>
      <c r="T42" s="931" t="e">
        <f>(M42-S42)*100</f>
        <v>#DIV/0!</v>
      </c>
      <c r="U42" s="618" t="e">
        <f>(S42-P42)*100</f>
        <v>#DIV/0!</v>
      </c>
      <c r="V42" s="580"/>
      <c r="W42" s="543"/>
      <c r="X42" s="543"/>
      <c r="Y42" s="543"/>
      <c r="Z42" s="543"/>
      <c r="AA42" s="543"/>
      <c r="AB42" s="543"/>
      <c r="AC42" s="543"/>
      <c r="AG42" s="1041"/>
      <c r="AH42" s="1041"/>
      <c r="AJ42" s="579"/>
      <c r="AK42" s="1035"/>
      <c r="AL42" s="1035"/>
      <c r="AM42" s="1035"/>
      <c r="AN42" s="1035"/>
      <c r="AO42" s="1035"/>
      <c r="AP42" s="1035"/>
      <c r="AQ42" s="1035"/>
      <c r="AR42" s="1035"/>
      <c r="AS42" s="1035"/>
      <c r="AT42" s="1035"/>
      <c r="AU42" s="1035"/>
      <c r="AV42" s="1035"/>
      <c r="AW42" s="1035"/>
      <c r="AX42" s="1035"/>
      <c r="AY42" s="1035"/>
      <c r="AZ42" s="1035"/>
      <c r="BA42" s="1035"/>
      <c r="BB42" s="1035"/>
      <c r="BC42" s="1035"/>
      <c r="BD42" s="1035"/>
      <c r="BE42" s="1035"/>
    </row>
    <row r="43" spans="2:57" ht="15" customHeight="1">
      <c r="B43" s="552"/>
      <c r="C43" s="552"/>
      <c r="D43" s="680" t="s">
        <v>1293</v>
      </c>
      <c r="E43" s="946"/>
      <c r="F43" s="946"/>
      <c r="G43" s="946">
        <v>85</v>
      </c>
      <c r="H43" s="946">
        <v>103</v>
      </c>
      <c r="I43" s="560">
        <v>10</v>
      </c>
      <c r="J43" s="560"/>
      <c r="K43" s="560"/>
      <c r="L43" s="560">
        <v>17</v>
      </c>
      <c r="M43" s="554">
        <v>27</v>
      </c>
      <c r="N43" s="562">
        <f>-(M43/I43-1)</f>
        <v>-1.7000000000000002</v>
      </c>
      <c r="O43" s="557"/>
      <c r="P43" s="560">
        <v>38</v>
      </c>
      <c r="Q43" s="929">
        <f>-(M43/P43-1)</f>
        <v>0.28947368421052633</v>
      </c>
      <c r="R43" s="562"/>
      <c r="S43" s="560">
        <v>0</v>
      </c>
      <c r="T43" s="929" t="e">
        <f>-(M43/S43-1)</f>
        <v>#DIV/0!</v>
      </c>
      <c r="U43" s="562">
        <f>-(S43/P43-1)</f>
        <v>1</v>
      </c>
      <c r="V43" s="580"/>
      <c r="W43" s="543"/>
      <c r="X43" s="543"/>
      <c r="Y43" s="543"/>
      <c r="Z43" s="543"/>
      <c r="AA43" s="543"/>
      <c r="AB43" s="543"/>
      <c r="AC43" s="543"/>
      <c r="AG43" s="1041"/>
      <c r="AH43" s="1041"/>
      <c r="AJ43" s="579"/>
      <c r="AK43" s="1035"/>
      <c r="AL43" s="1035"/>
      <c r="AM43" s="1035"/>
      <c r="AN43" s="1035"/>
      <c r="AO43" s="1035"/>
      <c r="AP43" s="1035"/>
      <c r="AQ43" s="1035"/>
      <c r="AR43" s="1035"/>
      <c r="AS43" s="1035"/>
      <c r="AT43" s="1035"/>
      <c r="AU43" s="1035"/>
      <c r="AV43" s="1035"/>
      <c r="AW43" s="1035"/>
      <c r="AX43" s="1035"/>
      <c r="AY43" s="1035"/>
      <c r="AZ43" s="1035"/>
      <c r="BA43" s="1035"/>
      <c r="BB43" s="1035"/>
      <c r="BC43" s="1035"/>
      <c r="BD43" s="1035"/>
      <c r="BE43" s="1035"/>
    </row>
    <row r="44" spans="2:57" ht="15" customHeight="1">
      <c r="B44" s="552"/>
      <c r="C44" s="552"/>
      <c r="D44" s="927" t="s">
        <v>985</v>
      </c>
      <c r="E44" s="949"/>
      <c r="F44" s="949"/>
      <c r="G44" s="949">
        <f>G43/G34</f>
        <v>5.1829268292682924E-2</v>
      </c>
      <c r="H44" s="949">
        <f>H43/H34</f>
        <v>6.1273051754907791E-2</v>
      </c>
      <c r="I44" s="575">
        <f>I43/I34</f>
        <v>7.0871722182849041E-3</v>
      </c>
      <c r="J44" s="575"/>
      <c r="K44" s="575"/>
      <c r="L44" s="575">
        <f>L43/L34</f>
        <v>1.0455104551045511E-2</v>
      </c>
      <c r="M44" s="582">
        <f>M43/M34</f>
        <v>1.6707920792079209E-2</v>
      </c>
      <c r="N44" s="618">
        <f>(M44-I44)*100</f>
        <v>0.96207485737943055</v>
      </c>
      <c r="O44" s="557"/>
      <c r="P44" s="1132">
        <f>P43/P34</f>
        <v>2.3794614902943018E-2</v>
      </c>
      <c r="Q44" s="931">
        <f>(M44-P44)*100</f>
        <v>-0.70866941108638093</v>
      </c>
      <c r="R44" s="618"/>
      <c r="S44" s="1132" t="e">
        <f>S43/S34</f>
        <v>#DIV/0!</v>
      </c>
      <c r="T44" s="931" t="e">
        <f>(M44-S44)*100</f>
        <v>#DIV/0!</v>
      </c>
      <c r="U44" s="618" t="e">
        <f>(S44-P44)*100</f>
        <v>#DIV/0!</v>
      </c>
      <c r="V44" s="580"/>
      <c r="W44" s="543"/>
      <c r="X44" s="543"/>
      <c r="Y44" s="543"/>
      <c r="Z44" s="543"/>
      <c r="AA44" s="543"/>
      <c r="AB44" s="543"/>
      <c r="AC44" s="543"/>
      <c r="AG44" s="1041"/>
      <c r="AH44" s="1041"/>
      <c r="AJ44" s="579"/>
      <c r="AK44" s="1035"/>
      <c r="AL44" s="1035"/>
      <c r="AM44" s="1035"/>
      <c r="AN44" s="1035"/>
      <c r="AO44" s="1035"/>
      <c r="AP44" s="1035"/>
      <c r="AQ44" s="1035"/>
      <c r="AR44" s="1035"/>
      <c r="AS44" s="1035"/>
      <c r="AT44" s="1035"/>
      <c r="AU44" s="1035"/>
      <c r="AV44" s="1035"/>
      <c r="AW44" s="1035"/>
      <c r="AX44" s="1035"/>
      <c r="AY44" s="1035"/>
      <c r="AZ44" s="1035"/>
      <c r="BA44" s="1035"/>
      <c r="BB44" s="1035"/>
      <c r="BC44" s="1035"/>
      <c r="BD44" s="1035"/>
      <c r="BE44" s="1035"/>
    </row>
    <row r="45" spans="2:57" ht="15" customHeight="1">
      <c r="B45" s="552"/>
      <c r="C45" s="552"/>
      <c r="D45" s="681" t="s">
        <v>1415</v>
      </c>
      <c r="E45" s="950"/>
      <c r="F45" s="950"/>
      <c r="G45" s="950">
        <v>1883</v>
      </c>
      <c r="H45" s="950">
        <v>1937</v>
      </c>
      <c r="I45" s="564">
        <v>1974</v>
      </c>
      <c r="J45" s="564"/>
      <c r="K45" s="564"/>
      <c r="L45" s="564">
        <v>2145</v>
      </c>
      <c r="M45" s="565">
        <v>2510</v>
      </c>
      <c r="N45" s="928">
        <f>M45/I45-1</f>
        <v>0.27152988855116522</v>
      </c>
      <c r="O45" s="566"/>
      <c r="P45" s="564">
        <v>2392</v>
      </c>
      <c r="Q45" s="930">
        <f>M45/P45-1</f>
        <v>4.9331103678929678E-2</v>
      </c>
      <c r="R45" s="928"/>
      <c r="S45" s="564">
        <v>0</v>
      </c>
      <c r="T45" s="930" t="e">
        <f>M45/S45-1</f>
        <v>#DIV/0!</v>
      </c>
      <c r="U45" s="928">
        <f>S45/P45-1</f>
        <v>-1</v>
      </c>
      <c r="V45" s="580"/>
      <c r="W45" s="543"/>
      <c r="X45" s="543"/>
      <c r="Y45" s="543"/>
      <c r="Z45" s="543"/>
      <c r="AA45" s="543"/>
      <c r="AB45" s="543"/>
      <c r="AC45" s="543"/>
      <c r="AG45" s="1043"/>
      <c r="AH45" s="1043"/>
      <c r="AJ45" s="579"/>
      <c r="AK45" s="1035"/>
      <c r="AL45" s="1035"/>
      <c r="AM45" s="1035"/>
      <c r="AN45" s="1035"/>
      <c r="AO45" s="1035"/>
      <c r="AP45" s="1035"/>
      <c r="AQ45" s="1035"/>
      <c r="AR45" s="1035"/>
      <c r="AS45" s="1035"/>
      <c r="AT45" s="1035"/>
      <c r="AU45" s="1035"/>
      <c r="AV45" s="1035"/>
      <c r="AW45" s="1035"/>
      <c r="AX45" s="1035"/>
      <c r="AY45" s="1035"/>
      <c r="AZ45" s="1035"/>
      <c r="BA45" s="1035"/>
      <c r="BB45" s="1035"/>
      <c r="BC45" s="1035"/>
      <c r="BD45" s="1035"/>
      <c r="BE45" s="1035"/>
    </row>
    <row r="46" spans="2:57" ht="15" customHeight="1">
      <c r="B46" s="552"/>
      <c r="C46" s="552"/>
      <c r="D46" s="927" t="s">
        <v>985</v>
      </c>
      <c r="E46" s="949"/>
      <c r="F46" s="949"/>
      <c r="G46" s="949">
        <f>G45/G36</f>
        <v>0.15559411667492976</v>
      </c>
      <c r="H46" s="949">
        <f>H45/H36</f>
        <v>0.15449034933801245</v>
      </c>
      <c r="I46" s="575">
        <f>I45/I36</f>
        <v>0.15129914922970797</v>
      </c>
      <c r="J46" s="575"/>
      <c r="K46" s="575"/>
      <c r="L46" s="575">
        <f>L45/L36</f>
        <v>0.15031534688156972</v>
      </c>
      <c r="M46" s="582">
        <f>M45/M36</f>
        <v>0.16995057214435641</v>
      </c>
      <c r="N46" s="618">
        <f>(M46-I46)*100</f>
        <v>1.8651422914648441</v>
      </c>
      <c r="O46" s="557"/>
      <c r="P46" s="1132">
        <f>P45/P36</f>
        <v>0.16231254665128589</v>
      </c>
      <c r="Q46" s="931">
        <f>(M46-P46)*100</f>
        <v>0.76380254930705216</v>
      </c>
      <c r="R46" s="618"/>
      <c r="S46" s="1132" t="e">
        <f>S45/S36</f>
        <v>#DIV/0!</v>
      </c>
      <c r="T46" s="931" t="e">
        <f>(M46-S46)*100</f>
        <v>#DIV/0!</v>
      </c>
      <c r="U46" s="618" t="e">
        <f>(S46-P46)*100</f>
        <v>#DIV/0!</v>
      </c>
      <c r="V46" s="580"/>
      <c r="W46" s="543"/>
      <c r="X46" s="543"/>
      <c r="Y46" s="543"/>
      <c r="Z46" s="543"/>
      <c r="AA46" s="543"/>
      <c r="AB46" s="543"/>
      <c r="AC46" s="543"/>
      <c r="AG46" s="1044"/>
      <c r="AH46" s="1041"/>
      <c r="AJ46" s="579"/>
      <c r="AK46" s="1035"/>
      <c r="AL46" s="1035"/>
      <c r="AM46" s="1035"/>
      <c r="AN46" s="1035"/>
      <c r="AO46" s="1035"/>
      <c r="AP46" s="1035"/>
      <c r="AQ46" s="1035"/>
      <c r="AR46" s="1035"/>
      <c r="AS46" s="1035"/>
      <c r="AT46" s="1035"/>
      <c r="AU46" s="1035"/>
      <c r="AV46" s="1035"/>
      <c r="AW46" s="1035"/>
      <c r="AX46" s="1035"/>
      <c r="AY46" s="1035"/>
      <c r="AZ46" s="1035"/>
      <c r="BA46" s="1035"/>
      <c r="BB46" s="1035"/>
      <c r="BC46" s="1035"/>
      <c r="BD46" s="1035"/>
      <c r="BE46" s="1035"/>
    </row>
    <row r="47" spans="2:57" ht="6.75" customHeight="1">
      <c r="B47" s="570"/>
      <c r="C47" s="570"/>
      <c r="D47" s="682"/>
      <c r="E47" s="948"/>
      <c r="F47" s="948"/>
      <c r="G47" s="948"/>
      <c r="H47" s="948"/>
      <c r="I47" s="132"/>
      <c r="J47" s="132"/>
      <c r="K47" s="132"/>
      <c r="L47" s="132"/>
      <c r="M47" s="554"/>
      <c r="N47" s="920"/>
      <c r="O47" s="557"/>
      <c r="P47" s="132"/>
      <c r="Q47" s="556"/>
      <c r="R47" s="920"/>
      <c r="S47" s="132"/>
      <c r="T47" s="556"/>
      <c r="U47" s="920"/>
      <c r="V47" s="580"/>
      <c r="W47" s="543"/>
      <c r="X47" s="543"/>
      <c r="Y47" s="543"/>
      <c r="Z47" s="543"/>
      <c r="AA47" s="543"/>
      <c r="AB47" s="543"/>
      <c r="AC47" s="543"/>
      <c r="AJ47" s="579"/>
    </row>
    <row r="48" spans="2:57" ht="15" customHeight="1">
      <c r="B48" s="552"/>
      <c r="C48" s="552"/>
      <c r="D48" s="681" t="s">
        <v>979</v>
      </c>
      <c r="E48" s="950"/>
      <c r="F48" s="950"/>
      <c r="G48" s="950">
        <v>1177</v>
      </c>
      <c r="H48" s="950">
        <v>806</v>
      </c>
      <c r="I48" s="564">
        <v>1463</v>
      </c>
      <c r="J48" s="564"/>
      <c r="K48" s="564"/>
      <c r="L48" s="564">
        <v>1726</v>
      </c>
      <c r="M48" s="565">
        <v>1834</v>
      </c>
      <c r="N48" s="977">
        <f>M48/I48-1</f>
        <v>0.25358851674641159</v>
      </c>
      <c r="O48" s="566"/>
      <c r="P48" s="564">
        <v>1745</v>
      </c>
      <c r="Q48" s="976">
        <f>M48/P48-1</f>
        <v>5.1002865329512925E-2</v>
      </c>
      <c r="R48" s="977"/>
      <c r="S48" s="564">
        <v>0</v>
      </c>
      <c r="T48" s="976" t="e">
        <f>M48/S48-1</f>
        <v>#DIV/0!</v>
      </c>
      <c r="U48" s="977">
        <f>S48/P48-1</f>
        <v>-1</v>
      </c>
      <c r="V48" s="580"/>
      <c r="W48" s="543"/>
      <c r="X48" s="543"/>
      <c r="Y48" s="543"/>
      <c r="Z48" s="543"/>
      <c r="AA48" s="543"/>
      <c r="AB48" s="543"/>
      <c r="AC48" s="543"/>
      <c r="AG48" s="1043"/>
      <c r="AH48" s="1043"/>
      <c r="AJ48" s="579"/>
      <c r="AK48" s="1035"/>
      <c r="AL48" s="1035"/>
      <c r="AM48" s="1035"/>
      <c r="AN48" s="1035"/>
      <c r="AO48" s="1035"/>
      <c r="AP48" s="1035"/>
      <c r="AQ48" s="1035"/>
      <c r="AR48" s="1035"/>
      <c r="AS48" s="1035"/>
      <c r="AT48" s="1035"/>
      <c r="AU48" s="1035"/>
      <c r="AV48" s="1035"/>
      <c r="AW48" s="1035"/>
      <c r="AX48" s="1035"/>
      <c r="AY48" s="1035"/>
      <c r="AZ48" s="1035"/>
      <c r="BA48" s="1035"/>
      <c r="BB48" s="1035"/>
      <c r="BC48" s="1035"/>
      <c r="BD48" s="1035"/>
      <c r="BE48" s="1035"/>
    </row>
    <row r="49" spans="2:57" ht="6.75" customHeight="1">
      <c r="B49" s="570"/>
      <c r="C49" s="570"/>
      <c r="D49" s="682"/>
      <c r="E49" s="948"/>
      <c r="F49" s="948"/>
      <c r="G49" s="948"/>
      <c r="H49" s="948"/>
      <c r="I49" s="132"/>
      <c r="J49" s="132"/>
      <c r="K49" s="132"/>
      <c r="L49" s="132"/>
      <c r="M49" s="554"/>
      <c r="N49" s="920"/>
      <c r="O49" s="557"/>
      <c r="P49" s="132"/>
      <c r="Q49" s="556"/>
      <c r="R49" s="920"/>
      <c r="S49" s="132"/>
      <c r="T49" s="556"/>
      <c r="U49" s="920"/>
      <c r="V49" s="580"/>
      <c r="W49" s="543"/>
      <c r="X49" s="543"/>
      <c r="Y49" s="543"/>
      <c r="Z49" s="543"/>
      <c r="AA49" s="543"/>
      <c r="AB49" s="543"/>
      <c r="AC49" s="543"/>
      <c r="AJ49" s="579"/>
    </row>
    <row r="50" spans="2:57" ht="15" hidden="1" customHeight="1" outlineLevel="1">
      <c r="B50" s="763" t="s">
        <v>1707</v>
      </c>
      <c r="C50" s="552"/>
      <c r="D50" s="758" t="s">
        <v>1530</v>
      </c>
      <c r="E50" s="759"/>
      <c r="F50" s="759"/>
      <c r="G50" s="759">
        <v>2785.1047971182643</v>
      </c>
      <c r="H50" s="759">
        <v>3008.6018133989924</v>
      </c>
      <c r="I50" s="759">
        <v>3533.6693821783356</v>
      </c>
      <c r="J50" s="759"/>
      <c r="K50" s="759"/>
      <c r="L50" s="759" t="e">
        <v>#N/A</v>
      </c>
      <c r="M50" s="565" t="e">
        <f>M83-L50</f>
        <v>#N/A</v>
      </c>
      <c r="N50" s="921"/>
      <c r="O50" s="760"/>
      <c r="P50" s="971">
        <f>I50*(1+P51)</f>
        <v>4291.6006060112632</v>
      </c>
      <c r="Q50" s="932"/>
      <c r="R50" s="921"/>
      <c r="S50" s="759">
        <v>0</v>
      </c>
      <c r="T50" s="932"/>
      <c r="U50" s="921"/>
      <c r="V50" s="580"/>
      <c r="W50" s="543"/>
      <c r="X50" s="543"/>
      <c r="Y50" s="543"/>
      <c r="Z50" s="543"/>
      <c r="AA50" s="543"/>
      <c r="AB50" s="543"/>
      <c r="AC50" s="543"/>
      <c r="AG50" s="1045"/>
      <c r="AH50" s="1045"/>
      <c r="AJ50" s="579"/>
      <c r="AK50" s="1035"/>
      <c r="AL50" s="1035"/>
      <c r="AM50" s="1035"/>
      <c r="AN50" s="1046"/>
      <c r="AO50" s="1037"/>
      <c r="AP50" s="1037"/>
      <c r="AQ50" s="1035"/>
      <c r="AR50" s="1035"/>
      <c r="AS50" s="1035"/>
      <c r="AT50" s="1035"/>
      <c r="AU50" s="1035"/>
      <c r="AV50" s="1035"/>
      <c r="AW50" s="1035"/>
      <c r="AX50" s="1035"/>
      <c r="AY50" s="1035"/>
      <c r="AZ50" s="1035"/>
      <c r="BA50" s="1035"/>
      <c r="BB50" s="1035"/>
      <c r="BC50" s="1035"/>
      <c r="BD50" s="1035"/>
      <c r="BE50" s="1035"/>
    </row>
    <row r="51" spans="2:57" ht="15" hidden="1" customHeight="1" outlineLevel="1" collapsed="1">
      <c r="B51" s="559" t="s">
        <v>1417</v>
      </c>
      <c r="C51" s="568"/>
      <c r="D51" s="681" t="s">
        <v>1725</v>
      </c>
      <c r="E51" s="951"/>
      <c r="F51" s="951"/>
      <c r="G51" s="951">
        <v>0.10112926052288196</v>
      </c>
      <c r="H51" s="951">
        <v>9.7036240486914505E-2</v>
      </c>
      <c r="I51" s="131">
        <v>0.29846971329484839</v>
      </c>
      <c r="J51" s="131"/>
      <c r="K51" s="131"/>
      <c r="L51" s="131" t="e">
        <v>#N/A</v>
      </c>
      <c r="M51" s="569">
        <v>0.216</v>
      </c>
      <c r="N51" s="924">
        <f>(M51-I51)*100</f>
        <v>-8.2469713294848397</v>
      </c>
      <c r="O51" s="566"/>
      <c r="P51" s="131">
        <f>_xll.VisibleAlpha.UDF.VAData("SAF_FR",MID(P$29,2,1)&amp;LEFT(P$29,1)&amp;"-"&amp;MID(P$29,4,4),$B51,"Consensus","CD","IMPL")/100</f>
        <v>0.21448843733244199</v>
      </c>
      <c r="Q51" s="926">
        <f>(M51-P51)*100</f>
        <v>0.15115626675580029</v>
      </c>
      <c r="R51" s="924"/>
      <c r="S51" s="131">
        <v>0</v>
      </c>
      <c r="T51" s="926">
        <f>(M51-S51)*100</f>
        <v>21.6</v>
      </c>
      <c r="U51" s="924">
        <f>(S51-P51)*100</f>
        <v>-21.4488437332442</v>
      </c>
      <c r="V51" s="580"/>
      <c r="W51" s="543"/>
      <c r="X51" s="543"/>
      <c r="Y51" s="543"/>
      <c r="Z51" s="543"/>
      <c r="AA51" s="543"/>
      <c r="AB51" s="543"/>
      <c r="AC51" s="543"/>
      <c r="AG51" s="1047"/>
      <c r="AH51" s="1047"/>
      <c r="AJ51" s="579"/>
      <c r="AN51" s="1046"/>
      <c r="AO51" s="1037"/>
      <c r="AP51" s="1037"/>
      <c r="AQ51" s="1037"/>
      <c r="AR51" s="1037"/>
      <c r="AS51" s="1037"/>
      <c r="AT51" s="1037"/>
      <c r="AU51" s="1037"/>
      <c r="AV51" s="1037"/>
      <c r="AW51" s="1037"/>
      <c r="AX51" s="1037"/>
      <c r="AY51" s="1037"/>
      <c r="AZ51" s="1037"/>
      <c r="BA51" s="1037"/>
      <c r="BB51" s="1037"/>
      <c r="BC51" s="1037"/>
      <c r="BD51" s="1037"/>
      <c r="BE51" s="1037"/>
    </row>
    <row r="52" spans="2:57" ht="15" hidden="1" customHeight="1" outlineLevel="1">
      <c r="B52" s="559"/>
      <c r="C52" s="568"/>
      <c r="D52" s="681" t="s">
        <v>1726</v>
      </c>
      <c r="E52" s="951"/>
      <c r="F52" s="951"/>
      <c r="G52" s="951">
        <f t="shared" ref="G52:H52" si="12">G50/(INDEX($G$50:$H$50,MATCH(G26,$G$26:$H$26,0)))</f>
        <v>1</v>
      </c>
      <c r="H52" s="951">
        <f t="shared" si="12"/>
        <v>1</v>
      </c>
      <c r="I52" s="131">
        <f>I50/(INDEX($G$50:$H$50,MATCH(I26,$G$26:$H$26,0)))</f>
        <v>1.2687742974104987</v>
      </c>
      <c r="J52" s="131"/>
      <c r="K52" s="131"/>
      <c r="L52" s="131" t="e">
        <f>L50/(INDEX($G$50:$H$50,MATCH(L26,$G$26:$H$26,0)))</f>
        <v>#N/A</v>
      </c>
      <c r="M52" s="569"/>
      <c r="N52" s="924">
        <f>(M52-I52)*100</f>
        <v>-126.87742974104988</v>
      </c>
      <c r="O52" s="566"/>
      <c r="P52" s="131">
        <f>P50/(INDEX($G$50:$H$50,MATCH(P26,$G$26:$H$26,0)))</f>
        <v>1.540911713789644</v>
      </c>
      <c r="Q52" s="926">
        <f>(M52-P52)*100</f>
        <v>-154.09117137896439</v>
      </c>
      <c r="R52" s="924"/>
      <c r="S52" s="131">
        <f t="shared" ref="S52" si="13">S50/(INDEX($G$50:$H$50,MATCH(S26,$G$26:$H$26,0)))</f>
        <v>0</v>
      </c>
      <c r="T52" s="926">
        <f>(M52-S52)*100</f>
        <v>0</v>
      </c>
      <c r="U52" s="924">
        <f>(S52-P52)*100</f>
        <v>-154.09117137896439</v>
      </c>
      <c r="V52" s="580"/>
      <c r="W52" s="543"/>
      <c r="X52" s="543"/>
      <c r="Y52" s="543"/>
      <c r="Z52" s="543"/>
      <c r="AA52" s="543"/>
      <c r="AB52" s="543"/>
      <c r="AC52" s="543"/>
      <c r="AG52" s="1041"/>
      <c r="AH52" s="1041"/>
      <c r="AJ52" s="579"/>
      <c r="AK52" s="1037"/>
      <c r="AL52" s="1037"/>
      <c r="AM52" s="1037"/>
      <c r="AN52" s="1037"/>
      <c r="AO52" s="1037"/>
      <c r="AP52" s="1037"/>
      <c r="AQ52" s="1037"/>
      <c r="AR52" s="1037"/>
      <c r="AS52" s="1037"/>
      <c r="AT52" s="1037"/>
      <c r="AU52" s="1037"/>
      <c r="AV52" s="1037"/>
      <c r="AW52" s="1037"/>
      <c r="AX52" s="1037"/>
      <c r="AY52" s="1037"/>
      <c r="AZ52" s="1037"/>
      <c r="BA52" s="1037"/>
      <c r="BB52" s="1037"/>
      <c r="BC52" s="1037"/>
      <c r="BD52" s="1037"/>
      <c r="BE52" s="1037"/>
    </row>
    <row r="53" spans="2:57" ht="6.75" customHeight="1" collapsed="1">
      <c r="B53" s="570"/>
      <c r="C53" s="570"/>
      <c r="D53" s="682"/>
      <c r="E53" s="948"/>
      <c r="F53" s="948"/>
      <c r="G53" s="948"/>
      <c r="H53" s="948"/>
      <c r="I53" s="132"/>
      <c r="J53" s="132"/>
      <c r="K53" s="132"/>
      <c r="L53" s="132"/>
      <c r="M53" s="554"/>
      <c r="N53" s="920"/>
      <c r="O53" s="557"/>
      <c r="P53" s="132"/>
      <c r="Q53" s="556"/>
      <c r="R53" s="920"/>
      <c r="S53" s="132"/>
      <c r="T53" s="556"/>
      <c r="U53" s="920"/>
      <c r="V53" s="580"/>
      <c r="W53" s="543"/>
      <c r="X53" s="543"/>
      <c r="Y53" s="543"/>
      <c r="Z53" s="543"/>
      <c r="AA53" s="543"/>
      <c r="AB53" s="543"/>
      <c r="AC53" s="543"/>
      <c r="AJ53" s="579"/>
    </row>
    <row r="54" spans="2:57" ht="15" customHeight="1">
      <c r="B54" s="559" t="s">
        <v>1719</v>
      </c>
      <c r="C54" s="552"/>
      <c r="D54" s="681" t="s">
        <v>1705</v>
      </c>
      <c r="E54" s="950"/>
      <c r="F54" s="950"/>
      <c r="G54" s="950"/>
      <c r="H54" s="950"/>
      <c r="I54" s="564">
        <v>664</v>
      </c>
      <c r="J54" s="564"/>
      <c r="K54" s="564"/>
      <c r="L54" s="564">
        <v>743</v>
      </c>
      <c r="M54" s="565">
        <v>729</v>
      </c>
      <c r="N54" s="977">
        <f>M54/I54-1</f>
        <v>9.7891566265060348E-2</v>
      </c>
      <c r="O54" s="566"/>
      <c r="P54" s="564">
        <f>_xll.VisibleAlpha.UDF.VAData("SAF_FR",MID(P$29,2,1)&amp;LEFT(P$29,1)&amp;"-"&amp;MID(P$29,4,4),$B54,"Consensus","CD","IMPL")</f>
        <v>729</v>
      </c>
      <c r="Q54" s="976">
        <f>M54/P54-1</f>
        <v>0</v>
      </c>
      <c r="R54" s="977"/>
      <c r="S54" s="564" t="s">
        <v>1517</v>
      </c>
      <c r="T54" s="975" t="s">
        <v>1517</v>
      </c>
      <c r="U54" s="973" t="s">
        <v>1517</v>
      </c>
      <c r="V54" s="580"/>
      <c r="W54" s="543"/>
      <c r="X54" s="543"/>
      <c r="Y54" s="543"/>
      <c r="Z54" s="543"/>
      <c r="AA54" s="543"/>
      <c r="AB54" s="543"/>
      <c r="AC54" s="543"/>
      <c r="AG54" s="1043"/>
      <c r="AH54" s="1043"/>
      <c r="AJ54" s="579"/>
      <c r="AK54" s="1035"/>
      <c r="AL54" s="1035"/>
      <c r="AM54" s="1035"/>
      <c r="AN54" s="1035"/>
      <c r="AO54" s="1035"/>
      <c r="AP54" s="1035"/>
      <c r="AQ54" s="1035"/>
      <c r="AR54" s="1035"/>
      <c r="AS54" s="1035"/>
      <c r="AT54" s="1035"/>
      <c r="AU54" s="1035"/>
      <c r="AV54" s="1035"/>
      <c r="AW54" s="1035"/>
      <c r="AX54" s="1035"/>
      <c r="AY54" s="1035"/>
      <c r="AZ54" s="1035"/>
      <c r="BA54" s="1035"/>
      <c r="BB54" s="1035"/>
      <c r="BC54" s="1035"/>
      <c r="BD54" s="1035"/>
      <c r="BE54" s="1035"/>
    </row>
    <row r="55" spans="2:57" ht="3.75" customHeight="1">
      <c r="B55" s="570"/>
      <c r="C55" s="570"/>
      <c r="D55" s="682"/>
      <c r="E55" s="132"/>
      <c r="F55" s="132"/>
      <c r="G55" s="132"/>
      <c r="H55" s="132"/>
      <c r="I55" s="571"/>
      <c r="J55" s="571"/>
      <c r="K55" s="571"/>
      <c r="L55" s="571"/>
      <c r="M55" s="572"/>
      <c r="N55" s="919"/>
      <c r="O55" s="566"/>
      <c r="P55" s="571"/>
      <c r="Q55" s="573"/>
      <c r="R55" s="919"/>
      <c r="S55" s="571"/>
      <c r="T55" s="573"/>
      <c r="U55" s="919"/>
      <c r="V55" s="580"/>
      <c r="W55" s="543"/>
      <c r="X55" s="543"/>
      <c r="Y55" s="543"/>
      <c r="Z55" s="543"/>
      <c r="AA55" s="543"/>
      <c r="AB55" s="543"/>
      <c r="AC55" s="543"/>
      <c r="AJ55" s="579"/>
      <c r="AK55" s="1035"/>
      <c r="AL55" s="1035"/>
      <c r="AM55" s="1035"/>
      <c r="AN55" s="1035"/>
      <c r="AO55" s="1035"/>
      <c r="AP55" s="1035"/>
      <c r="AQ55" s="1035"/>
      <c r="AR55" s="1035"/>
      <c r="AS55" s="1035"/>
      <c r="AT55" s="1035"/>
      <c r="AU55" s="1035"/>
      <c r="AV55" s="1035"/>
      <c r="AW55" s="1035"/>
      <c r="AX55" s="1035"/>
      <c r="AY55" s="1035"/>
      <c r="AZ55" s="1035"/>
      <c r="BA55" s="1035"/>
      <c r="BB55" s="1035"/>
      <c r="BC55" s="1035"/>
      <c r="BD55" s="1035"/>
      <c r="BE55" s="1035"/>
    </row>
    <row r="56" spans="2:57">
      <c r="B56" s="552"/>
      <c r="C56" s="552"/>
      <c r="D56" s="1038" t="s">
        <v>1706</v>
      </c>
      <c r="E56" s="575"/>
      <c r="F56" s="575"/>
      <c r="G56" s="575"/>
      <c r="H56" s="575"/>
      <c r="I56" s="576"/>
      <c r="J56" s="576"/>
      <c r="K56" s="576"/>
      <c r="L56" s="576"/>
      <c r="M56" s="577"/>
      <c r="N56" s="577"/>
      <c r="O56" s="557"/>
      <c r="P56" s="576"/>
      <c r="Q56" s="578"/>
      <c r="R56" s="578"/>
      <c r="S56" s="576"/>
      <c r="T56" s="562"/>
      <c r="U56" s="579"/>
      <c r="V56" s="580"/>
      <c r="W56" s="543"/>
      <c r="X56" s="543"/>
      <c r="Y56" s="543"/>
      <c r="Z56" s="543"/>
      <c r="AA56" s="543"/>
      <c r="AB56" s="543"/>
      <c r="AC56" s="543"/>
      <c r="AJ56" s="579"/>
    </row>
    <row r="57" spans="2:57">
      <c r="B57" s="552"/>
      <c r="C57" s="552"/>
      <c r="D57" s="680"/>
      <c r="E57" s="575"/>
      <c r="F57" s="575"/>
      <c r="G57" s="575"/>
      <c r="H57" s="575"/>
      <c r="I57" s="576"/>
      <c r="J57" s="576"/>
      <c r="K57" s="576"/>
      <c r="L57" s="576"/>
      <c r="M57" s="577"/>
      <c r="N57" s="577"/>
      <c r="O57" s="557"/>
      <c r="P57" s="576"/>
      <c r="Q57" s="578"/>
      <c r="R57" s="578"/>
      <c r="S57" s="576"/>
      <c r="T57" s="562"/>
      <c r="U57" s="579"/>
      <c r="V57" s="580"/>
      <c r="W57" s="543"/>
      <c r="X57" s="543"/>
      <c r="Y57" s="543"/>
      <c r="Z57" s="543"/>
      <c r="AA57" s="543"/>
      <c r="AB57" s="543"/>
      <c r="AC57" s="543"/>
      <c r="AJ57" s="579"/>
    </row>
    <row r="58" spans="2:57" ht="3" customHeight="1">
      <c r="D58" s="683"/>
      <c r="E58" s="111"/>
      <c r="F58" s="111"/>
      <c r="G58" s="111"/>
      <c r="H58" s="111"/>
      <c r="I58" s="111"/>
      <c r="J58" s="111"/>
      <c r="K58" s="111"/>
      <c r="L58" s="111"/>
      <c r="M58" s="111"/>
      <c r="N58" s="544"/>
      <c r="O58" s="86"/>
      <c r="P58" s="547"/>
      <c r="Q58" s="548"/>
      <c r="R58" s="544"/>
      <c r="S58" s="111"/>
      <c r="T58" s="548"/>
      <c r="U58" s="544"/>
      <c r="V58" s="580"/>
      <c r="W58" s="543"/>
      <c r="X58" s="543"/>
      <c r="Y58" s="543"/>
      <c r="Z58" s="543"/>
      <c r="AA58" s="543"/>
      <c r="AB58" s="543"/>
      <c r="AC58" s="543"/>
      <c r="AJ58" s="748"/>
    </row>
    <row r="59" spans="2:57">
      <c r="B59" s="549" t="s">
        <v>1631</v>
      </c>
      <c r="D59" s="677" t="s">
        <v>732</v>
      </c>
      <c r="E59" s="648"/>
      <c r="F59" s="648"/>
      <c r="G59" s="648"/>
      <c r="H59" s="648" t="s">
        <v>740</v>
      </c>
      <c r="I59" s="120" t="s">
        <v>740</v>
      </c>
      <c r="J59" s="120"/>
      <c r="K59" s="120"/>
      <c r="L59" s="120"/>
      <c r="M59" s="550" t="s">
        <v>740</v>
      </c>
      <c r="N59" s="1682" t="s">
        <v>1674</v>
      </c>
      <c r="O59" s="86"/>
      <c r="P59" s="686" t="s">
        <v>1661</v>
      </c>
      <c r="Q59" s="742" t="s">
        <v>1692</v>
      </c>
      <c r="R59" s="1281"/>
      <c r="S59" s="686" t="s">
        <v>1659</v>
      </c>
      <c r="T59" s="742" t="s">
        <v>1692</v>
      </c>
      <c r="U59" s="922" t="s">
        <v>1694</v>
      </c>
      <c r="V59" s="580"/>
      <c r="W59" s="543"/>
      <c r="X59" s="543"/>
      <c r="Y59" s="543"/>
      <c r="Z59" s="543"/>
      <c r="AA59" s="543"/>
      <c r="AB59" s="543"/>
      <c r="AC59" s="543"/>
      <c r="AJ59" s="749" t="s">
        <v>1632</v>
      </c>
    </row>
    <row r="60" spans="2:57">
      <c r="D60" s="678" t="s">
        <v>1394</v>
      </c>
      <c r="E60" s="648"/>
      <c r="F60" s="648"/>
      <c r="G60" s="648"/>
      <c r="H60" s="648">
        <v>2019</v>
      </c>
      <c r="I60" s="120">
        <f>B2-1</f>
        <v>2024</v>
      </c>
      <c r="J60" s="120"/>
      <c r="K60" s="120"/>
      <c r="L60" s="120"/>
      <c r="M60" s="550">
        <f>B2</f>
        <v>2025</v>
      </c>
      <c r="N60" s="1682"/>
      <c r="O60" s="86"/>
      <c r="P60" s="686" t="str">
        <f>B2&amp;"E"</f>
        <v>2025E</v>
      </c>
      <c r="Q60" s="742" t="s">
        <v>1671</v>
      </c>
      <c r="R60" s="1281"/>
      <c r="S60" s="686" t="str">
        <f>B2&amp;"E"</f>
        <v>2025E</v>
      </c>
      <c r="T60" s="742" t="s">
        <v>1693</v>
      </c>
      <c r="U60" s="922" t="s">
        <v>1671</v>
      </c>
      <c r="V60" s="580"/>
      <c r="W60" s="543"/>
      <c r="X60" s="543"/>
      <c r="Y60" s="543"/>
      <c r="Z60" s="543"/>
      <c r="AA60" s="543"/>
      <c r="AB60" s="543"/>
      <c r="AC60" s="543"/>
      <c r="AJ60" s="749" t="s">
        <v>1635</v>
      </c>
    </row>
    <row r="61" spans="2:57" ht="6.75" customHeight="1">
      <c r="B61" s="570"/>
      <c r="C61" s="570"/>
      <c r="D61" s="682"/>
      <c r="E61" s="948"/>
      <c r="F61" s="948"/>
      <c r="G61" s="948"/>
      <c r="H61" s="948"/>
      <c r="I61" s="132"/>
      <c r="J61" s="132"/>
      <c r="K61" s="132"/>
      <c r="L61" s="132"/>
      <c r="M61" s="554"/>
      <c r="N61" s="920"/>
      <c r="O61" s="557"/>
      <c r="P61" s="132"/>
      <c r="Q61" s="556"/>
      <c r="R61" s="920"/>
      <c r="S61" s="132"/>
      <c r="T61" s="556"/>
      <c r="U61" s="920"/>
      <c r="V61" s="580"/>
      <c r="W61" s="543"/>
      <c r="X61" s="543"/>
      <c r="Y61" s="543"/>
      <c r="Z61" s="543"/>
      <c r="AA61" s="543"/>
      <c r="AB61" s="543"/>
      <c r="AC61" s="543"/>
      <c r="AJ61" s="750"/>
    </row>
    <row r="62" spans="2:57" ht="15" customHeight="1">
      <c r="B62" s="552"/>
      <c r="C62" s="552"/>
      <c r="D62" s="679" t="s">
        <v>1267</v>
      </c>
      <c r="E62" s="945"/>
      <c r="F62" s="945"/>
      <c r="G62" s="945"/>
      <c r="H62" s="945"/>
      <c r="I62" s="553"/>
      <c r="J62" s="553"/>
      <c r="K62" s="553"/>
      <c r="L62" s="553"/>
      <c r="M62" s="554"/>
      <c r="N62" s="920"/>
      <c r="O62" s="557"/>
      <c r="P62" s="555"/>
      <c r="Q62" s="556"/>
      <c r="R62" s="920"/>
      <c r="S62" s="553"/>
      <c r="T62" s="556"/>
      <c r="U62" s="920"/>
      <c r="V62" s="580"/>
      <c r="W62" s="543"/>
      <c r="X62" s="543"/>
      <c r="Y62" s="543"/>
      <c r="Z62" s="543"/>
      <c r="AA62" s="543"/>
      <c r="AB62" s="543"/>
      <c r="AC62" s="543"/>
      <c r="AJ62" s="750"/>
    </row>
    <row r="63" spans="2:57" ht="15" customHeight="1">
      <c r="B63" s="552"/>
      <c r="C63" s="552"/>
      <c r="D63" s="680" t="s">
        <v>1402</v>
      </c>
      <c r="E63" s="946"/>
      <c r="F63" s="946"/>
      <c r="G63" s="946"/>
      <c r="H63" s="946">
        <v>12045</v>
      </c>
      <c r="I63" s="560" t="e" cm="1">
        <f t="array" ref="I63">INDEX('Income Statement'!5:5,MATCH('Results table'!$I$60:$I$60,'Income Statement'!$41:$41,0))</f>
        <v>#N/A</v>
      </c>
      <c r="J63" s="560"/>
      <c r="K63" s="560"/>
      <c r="L63" s="560"/>
      <c r="M63" s="554">
        <v>13652</v>
      </c>
      <c r="N63" s="562" t="e">
        <f>M63/I63-1</f>
        <v>#N/A</v>
      </c>
      <c r="O63" s="557"/>
      <c r="P63" s="560">
        <v>13443</v>
      </c>
      <c r="Q63" s="929">
        <f>M63/P63-1</f>
        <v>1.5547124897716369E-2</v>
      </c>
      <c r="R63" s="562"/>
      <c r="S63" s="560">
        <v>15542.793436296139</v>
      </c>
      <c r="T63" s="929">
        <f>M63/S63-1</f>
        <v>-0.12165081161541291</v>
      </c>
      <c r="U63" s="562">
        <f>S63/P63-1</f>
        <v>0.1561997646578992</v>
      </c>
      <c r="V63" s="580"/>
      <c r="W63" s="543"/>
      <c r="X63" s="543"/>
      <c r="Y63" s="543"/>
      <c r="Z63" s="543"/>
      <c r="AA63" s="543"/>
      <c r="AB63" s="543"/>
      <c r="AC63" s="543"/>
      <c r="AJ63" s="751"/>
    </row>
    <row r="64" spans="2:57" ht="15" customHeight="1">
      <c r="B64" s="552"/>
      <c r="C64" s="552"/>
      <c r="D64" s="680" t="s">
        <v>1404</v>
      </c>
      <c r="E64" s="946"/>
      <c r="F64" s="946"/>
      <c r="G64" s="946"/>
      <c r="H64" s="946">
        <v>9256</v>
      </c>
      <c r="I64" s="560" t="e" cm="1">
        <f t="array" ref="I64">INDEX('Income Statement'!6:6,MATCH('Results table'!$I$60:$I$60,'Income Statement'!$41:$41,0))</f>
        <v>#N/A</v>
      </c>
      <c r="J64" s="560"/>
      <c r="K64" s="560"/>
      <c r="L64" s="560"/>
      <c r="M64" s="554">
        <v>10618</v>
      </c>
      <c r="N64" s="562" t="e">
        <f t="shared" ref="N64:N67" si="14">M64/I64-1</f>
        <v>#N/A</v>
      </c>
      <c r="O64" s="557"/>
      <c r="P64" s="560">
        <v>10612</v>
      </c>
      <c r="Q64" s="929">
        <f>M64/P64-1</f>
        <v>5.6539766302288186E-4</v>
      </c>
      <c r="R64" s="562"/>
      <c r="S64" s="560">
        <v>11919.971635478207</v>
      </c>
      <c r="T64" s="929">
        <f>M64/S64-1</f>
        <v>-0.10922606825699666</v>
      </c>
      <c r="U64" s="562">
        <f>S64/P64-1</f>
        <v>0.12325401766662325</v>
      </c>
      <c r="V64" s="580"/>
      <c r="W64" s="543"/>
      <c r="X64" s="543"/>
      <c r="Y64" s="543"/>
      <c r="Z64" s="543"/>
      <c r="AA64" s="543"/>
      <c r="AB64" s="543"/>
      <c r="AC64" s="543"/>
      <c r="AJ64" s="751"/>
    </row>
    <row r="65" spans="2:36" ht="15" customHeight="1">
      <c r="B65" s="552"/>
      <c r="C65" s="552"/>
      <c r="D65" s="680" t="s">
        <v>1293</v>
      </c>
      <c r="E65" s="946"/>
      <c r="F65" s="946"/>
      <c r="G65" s="946"/>
      <c r="H65" s="946">
        <v>3321</v>
      </c>
      <c r="I65" s="560" t="e" cm="1">
        <f t="array" ref="I65">INDEX('Income Statement'!7:7,MATCH('Results table'!$I$60:$I$60,'Income Statement'!$41:$41,0))</f>
        <v>#N/A</v>
      </c>
      <c r="J65" s="560"/>
      <c r="K65" s="560"/>
      <c r="L65" s="560"/>
      <c r="M65" s="554">
        <v>3037</v>
      </c>
      <c r="N65" s="562" t="e">
        <f t="shared" si="14"/>
        <v>#N/A</v>
      </c>
      <c r="O65" s="557"/>
      <c r="P65" s="560">
        <v>3039</v>
      </c>
      <c r="Q65" s="929">
        <f>M65/P65-1</f>
        <v>-6.5811122079628692E-4</v>
      </c>
      <c r="R65" s="562"/>
      <c r="S65" s="560">
        <v>3460.4098491359587</v>
      </c>
      <c r="T65" s="929">
        <f>M65/S65-1</f>
        <v>-0.12235829499840356</v>
      </c>
      <c r="U65" s="562">
        <f>S65/P65-1</f>
        <v>0.13866727513522825</v>
      </c>
      <c r="V65" s="580"/>
      <c r="W65" s="543"/>
      <c r="X65" s="543"/>
      <c r="Y65" s="543"/>
      <c r="Z65" s="543"/>
      <c r="AA65" s="543"/>
      <c r="AB65" s="543"/>
      <c r="AC65" s="543"/>
      <c r="AJ65" s="751"/>
    </row>
    <row r="66" spans="2:36" ht="15" hidden="1" customHeight="1" outlineLevel="1">
      <c r="B66" s="552"/>
      <c r="C66" s="552"/>
      <c r="D66" s="680" t="s">
        <v>776</v>
      </c>
      <c r="E66" s="946"/>
      <c r="F66" s="946"/>
      <c r="G66" s="946"/>
      <c r="H66" s="946">
        <v>18</v>
      </c>
      <c r="I66" s="560" t="e">
        <v>#N/A</v>
      </c>
      <c r="J66" s="560"/>
      <c r="K66" s="560"/>
      <c r="L66" s="560"/>
      <c r="M66" s="554"/>
      <c r="N66" s="617" t="e">
        <f t="shared" si="14"/>
        <v>#N/A</v>
      </c>
      <c r="O66" s="557"/>
      <c r="P66" s="560"/>
      <c r="Q66" s="561" t="e">
        <f>M66/P66-1</f>
        <v>#DIV/0!</v>
      </c>
      <c r="R66" s="617"/>
      <c r="S66" s="560">
        <v>11</v>
      </c>
      <c r="T66" s="561">
        <f>M66/S66-1</f>
        <v>-1</v>
      </c>
      <c r="U66" s="617" t="e">
        <f>S66/P66-1</f>
        <v>#DIV/0!</v>
      </c>
      <c r="V66" s="580"/>
      <c r="W66" s="543"/>
      <c r="X66" s="543"/>
      <c r="Y66" s="543"/>
      <c r="Z66" s="543"/>
      <c r="AA66" s="543"/>
      <c r="AB66" s="543"/>
      <c r="AC66" s="543"/>
      <c r="AJ66" s="751"/>
    </row>
    <row r="67" spans="2:36" ht="15" customHeight="1" collapsed="1">
      <c r="B67" s="552"/>
      <c r="C67" s="552"/>
      <c r="D67" s="681" t="s">
        <v>1408</v>
      </c>
      <c r="E67" s="950"/>
      <c r="F67" s="950"/>
      <c r="G67" s="950"/>
      <c r="H67" s="950">
        <v>24640</v>
      </c>
      <c r="I67" s="564" t="e">
        <f>INDEX('Income Statement'!9:9,MATCH('Results table'!$I$60,'Income Statement'!$41:$41,0))</f>
        <v>#N/A</v>
      </c>
      <c r="J67" s="564"/>
      <c r="K67" s="564"/>
      <c r="L67" s="564"/>
      <c r="M67" s="565">
        <v>27317</v>
      </c>
      <c r="N67" s="977" t="e">
        <f t="shared" si="14"/>
        <v>#N/A</v>
      </c>
      <c r="O67" s="566"/>
      <c r="P67" s="564">
        <v>27157</v>
      </c>
      <c r="Q67" s="976">
        <f>M67/P67-1</f>
        <v>5.8916669735242788E-3</v>
      </c>
      <c r="R67" s="977"/>
      <c r="S67" s="564">
        <v>30934.174920910304</v>
      </c>
      <c r="T67" s="976">
        <f>M67/S67-1</f>
        <v>-0.11693135278889344</v>
      </c>
      <c r="U67" s="977">
        <f>S67/P67-1</f>
        <v>0.13908660459219746</v>
      </c>
      <c r="V67" s="580"/>
      <c r="W67" s="543"/>
      <c r="X67" s="543"/>
      <c r="Y67" s="543"/>
      <c r="Z67" s="543"/>
      <c r="AA67" s="543"/>
      <c r="AB67" s="543"/>
      <c r="AC67" s="543"/>
      <c r="AJ67" s="752" t="s">
        <v>1756</v>
      </c>
    </row>
    <row r="68" spans="2:36" ht="6.75" customHeight="1">
      <c r="B68" s="570"/>
      <c r="C68" s="570"/>
      <c r="D68" s="682"/>
      <c r="E68" s="948"/>
      <c r="F68" s="948"/>
      <c r="G68" s="948"/>
      <c r="H68" s="948"/>
      <c r="I68" s="132"/>
      <c r="J68" s="132"/>
      <c r="K68" s="132"/>
      <c r="L68" s="132"/>
      <c r="M68" s="554"/>
      <c r="N68" s="920"/>
      <c r="O68" s="557"/>
      <c r="P68" s="132"/>
      <c r="Q68" s="556"/>
      <c r="R68" s="920"/>
      <c r="S68" s="132"/>
      <c r="T68" s="556"/>
      <c r="U68" s="920"/>
      <c r="V68" s="580"/>
      <c r="W68" s="543"/>
      <c r="X68" s="543"/>
      <c r="Y68" s="543"/>
      <c r="Z68" s="543"/>
      <c r="AA68" s="543"/>
      <c r="AB68" s="543"/>
      <c r="AC68" s="543"/>
      <c r="AJ68" s="750"/>
    </row>
    <row r="69" spans="2:36" ht="15" customHeight="1">
      <c r="B69" s="552"/>
      <c r="C69" s="552"/>
      <c r="D69" s="679" t="s">
        <v>287</v>
      </c>
      <c r="E69" s="945"/>
      <c r="F69" s="945"/>
      <c r="G69" s="945"/>
      <c r="H69" s="945"/>
      <c r="I69" s="553"/>
      <c r="J69" s="553"/>
      <c r="K69" s="553"/>
      <c r="L69" s="553"/>
      <c r="M69" s="554"/>
      <c r="N69" s="920"/>
      <c r="O69" s="557"/>
      <c r="P69" s="553"/>
      <c r="Q69" s="556"/>
      <c r="R69" s="920"/>
      <c r="S69" s="553"/>
      <c r="T69" s="556"/>
      <c r="U69" s="920"/>
      <c r="V69" s="580"/>
      <c r="W69" s="543"/>
      <c r="X69" s="543"/>
      <c r="Y69" s="543"/>
      <c r="Z69" s="543"/>
      <c r="AA69" s="543"/>
      <c r="AB69" s="543"/>
      <c r="AC69" s="543"/>
      <c r="AJ69" s="750"/>
    </row>
    <row r="70" spans="2:36" ht="15" customHeight="1">
      <c r="B70" s="552"/>
      <c r="C70" s="552"/>
      <c r="D70" s="680" t="s">
        <v>978</v>
      </c>
      <c r="E70" s="946"/>
      <c r="F70" s="946"/>
      <c r="G70" s="946"/>
      <c r="H70" s="946">
        <v>2485</v>
      </c>
      <c r="I70" s="560" t="e">
        <f>INDEX('Income Statement'!#REF!,MATCH('Results table'!$I$60,'Income Statement'!41:41,0))</f>
        <v>#REF!</v>
      </c>
      <c r="J70" s="560"/>
      <c r="K70" s="560"/>
      <c r="L70" s="560"/>
      <c r="M70" s="554">
        <v>2819</v>
      </c>
      <c r="N70" s="562" t="e">
        <f t="shared" ref="N70" si="15">M70/I70-1</f>
        <v>#REF!</v>
      </c>
      <c r="O70" s="557"/>
      <c r="P70" s="560">
        <v>2853</v>
      </c>
      <c r="Q70" s="929">
        <f>M70/P70-1</f>
        <v>-1.1917280056081281E-2</v>
      </c>
      <c r="R70" s="562"/>
      <c r="S70" s="560">
        <v>3432.4267157502773</v>
      </c>
      <c r="T70" s="929">
        <f>M70/S70-1</f>
        <v>-0.17871516759133232</v>
      </c>
      <c r="U70" s="562">
        <f>S70/P70-1</f>
        <v>0.20309383657563163</v>
      </c>
      <c r="V70" s="580"/>
      <c r="W70" s="543"/>
      <c r="X70" s="543"/>
      <c r="Y70" s="543"/>
      <c r="Z70" s="543"/>
      <c r="AA70" s="543"/>
      <c r="AB70" s="543"/>
      <c r="AC70" s="543"/>
      <c r="AJ70" s="751"/>
    </row>
    <row r="71" spans="2:36" ht="15" customHeight="1">
      <c r="B71" s="552"/>
      <c r="C71" s="552"/>
      <c r="D71" s="684" t="s">
        <v>996</v>
      </c>
      <c r="E71" s="949"/>
      <c r="F71" s="949"/>
      <c r="G71" s="949"/>
      <c r="H71" s="949">
        <f>H70/H63</f>
        <v>0.20630967206309672</v>
      </c>
      <c r="I71" s="575" t="e">
        <f>I70/I63</f>
        <v>#REF!</v>
      </c>
      <c r="J71" s="575"/>
      <c r="K71" s="575"/>
      <c r="L71" s="575"/>
      <c r="M71" s="582">
        <f>M70/M63</f>
        <v>0.20648989159097569</v>
      </c>
      <c r="N71" s="618" t="e">
        <f>(M71-I71)*100</f>
        <v>#REF!</v>
      </c>
      <c r="O71" s="557"/>
      <c r="P71" s="575">
        <f>P70/P63</f>
        <v>0.21222941307743806</v>
      </c>
      <c r="Q71" s="933">
        <f>(M71-P71)*100</f>
        <v>-0.57395214864623678</v>
      </c>
      <c r="R71" s="618"/>
      <c r="S71" s="575">
        <f>S70/S63</f>
        <v>0.22083718282807133</v>
      </c>
      <c r="T71" s="933">
        <f>(M71-S71)*100</f>
        <v>-1.4347291237095634</v>
      </c>
      <c r="U71" s="618">
        <f>(S71-P71)*100</f>
        <v>0.86077697506332651</v>
      </c>
      <c r="V71" s="580"/>
      <c r="W71" s="543"/>
      <c r="X71" s="543"/>
      <c r="Y71" s="543"/>
      <c r="Z71" s="543"/>
      <c r="AA71" s="543"/>
      <c r="AB71" s="543"/>
      <c r="AC71" s="543"/>
      <c r="AJ71" s="751"/>
    </row>
    <row r="72" spans="2:36" ht="15" customHeight="1">
      <c r="B72" s="552"/>
      <c r="C72" s="552"/>
      <c r="D72" s="680" t="s">
        <v>1404</v>
      </c>
      <c r="E72" s="946"/>
      <c r="F72" s="946"/>
      <c r="G72" s="946"/>
      <c r="H72" s="946">
        <v>1209</v>
      </c>
      <c r="I72" s="560" t="e">
        <f>INDEX('Income Statement'!22:22,MATCH('Results table'!$I$60,'Income Statement'!$41:$41,0))</f>
        <v>#N/A</v>
      </c>
      <c r="J72" s="560"/>
      <c r="K72" s="560"/>
      <c r="L72" s="560"/>
      <c r="M72" s="554">
        <v>1298</v>
      </c>
      <c r="N72" s="562" t="e">
        <f t="shared" ref="N72" si="16">M72/I72-1</f>
        <v>#N/A</v>
      </c>
      <c r="O72" s="557"/>
      <c r="P72" s="560">
        <v>1314</v>
      </c>
      <c r="Q72" s="929">
        <f>M72/P72-1</f>
        <v>-1.2176560121765601E-2</v>
      </c>
      <c r="R72" s="562"/>
      <c r="S72" s="560">
        <v>1618.956264963902</v>
      </c>
      <c r="T72" s="929">
        <f>M72/S72-1</f>
        <v>-0.19824887917590428</v>
      </c>
      <c r="U72" s="562">
        <f>S72/P72-1</f>
        <v>0.23208239342762704</v>
      </c>
      <c r="V72" s="580"/>
      <c r="W72" s="543"/>
      <c r="X72" s="543"/>
      <c r="Y72" s="543"/>
      <c r="Z72" s="543"/>
      <c r="AA72" s="543"/>
      <c r="AB72" s="543"/>
      <c r="AC72" s="543"/>
      <c r="AJ72" s="751"/>
    </row>
    <row r="73" spans="2:36" ht="15" customHeight="1">
      <c r="B73" s="552"/>
      <c r="C73" s="552"/>
      <c r="D73" s="684" t="s">
        <v>996</v>
      </c>
      <c r="E73" s="949"/>
      <c r="F73" s="949"/>
      <c r="G73" s="949"/>
      <c r="H73" s="949">
        <f>H72/H64</f>
        <v>0.1306179775280899</v>
      </c>
      <c r="I73" s="575" t="e">
        <f>I72/I64</f>
        <v>#N/A</v>
      </c>
      <c r="J73" s="575"/>
      <c r="K73" s="575"/>
      <c r="L73" s="575"/>
      <c r="M73" s="582">
        <f>M72/M64</f>
        <v>0.12224524392540968</v>
      </c>
      <c r="N73" s="618" t="e">
        <f>(M73-I73)*100</f>
        <v>#N/A</v>
      </c>
      <c r="O73" s="557"/>
      <c r="P73" s="575">
        <f>P72/P64</f>
        <v>0.12382208820203543</v>
      </c>
      <c r="Q73" s="933">
        <f>(M73-P73)*100</f>
        <v>-0.1576844276625744</v>
      </c>
      <c r="R73" s="618"/>
      <c r="S73" s="575">
        <f>S72/S64</f>
        <v>0.13581880179524039</v>
      </c>
      <c r="T73" s="933">
        <f>(M73-S73)*100</f>
        <v>-1.3573557869830708</v>
      </c>
      <c r="U73" s="618">
        <f>(S73-P73)*100</f>
        <v>1.1996713593204964</v>
      </c>
      <c r="V73" s="580"/>
      <c r="W73" s="543"/>
      <c r="X73" s="543"/>
      <c r="Y73" s="543"/>
      <c r="Z73" s="543"/>
      <c r="AA73" s="543"/>
      <c r="AB73" s="543"/>
      <c r="AC73" s="543"/>
      <c r="AJ73" s="751"/>
    </row>
    <row r="74" spans="2:36" ht="15" customHeight="1">
      <c r="B74" s="552"/>
      <c r="C74" s="552"/>
      <c r="D74" s="680" t="s">
        <v>1293</v>
      </c>
      <c r="E74" s="946"/>
      <c r="F74" s="946"/>
      <c r="G74" s="946"/>
      <c r="H74" s="946">
        <v>188</v>
      </c>
      <c r="I74" s="560" t="e">
        <f>INDEX('Income Statement'!#REF!,MATCH('Results table'!$I$60,'Income Statement'!$41:$41,0))</f>
        <v>#REF!</v>
      </c>
      <c r="J74" s="560"/>
      <c r="K74" s="560"/>
      <c r="L74" s="560"/>
      <c r="M74" s="554">
        <v>27</v>
      </c>
      <c r="N74" s="562" t="e">
        <f t="shared" ref="N74" si="17">M74/I74-1</f>
        <v>#REF!</v>
      </c>
      <c r="O74" s="557"/>
      <c r="P74" s="560">
        <v>47</v>
      </c>
      <c r="Q74" s="929">
        <f>M74/P74-1</f>
        <v>-0.42553191489361697</v>
      </c>
      <c r="R74" s="562"/>
      <c r="S74" s="560">
        <v>192.77504964939797</v>
      </c>
      <c r="T74" s="929">
        <f>-(M74/S74-1)</f>
        <v>0.85994038103424075</v>
      </c>
      <c r="U74" s="562">
        <f>-(S74/P74-1)</f>
        <v>-3.1015968010510209</v>
      </c>
      <c r="V74" s="580"/>
      <c r="W74" s="543"/>
      <c r="X74" s="543"/>
      <c r="Y74" s="543"/>
      <c r="Z74" s="543"/>
      <c r="AA74" s="543"/>
      <c r="AB74" s="543"/>
      <c r="AC74" s="543"/>
      <c r="AJ74" s="751"/>
    </row>
    <row r="75" spans="2:36" ht="15" customHeight="1">
      <c r="B75" s="552"/>
      <c r="C75" s="552"/>
      <c r="D75" s="684" t="s">
        <v>996</v>
      </c>
      <c r="E75" s="949"/>
      <c r="F75" s="949"/>
      <c r="G75" s="949"/>
      <c r="H75" s="949">
        <f>H74/H65</f>
        <v>5.6609454983438723E-2</v>
      </c>
      <c r="I75" s="575" t="e">
        <f>I74/I65</f>
        <v>#REF!</v>
      </c>
      <c r="J75" s="575"/>
      <c r="K75" s="575"/>
      <c r="L75" s="575"/>
      <c r="M75" s="582">
        <f>M74/M65</f>
        <v>8.8903523213697735E-3</v>
      </c>
      <c r="N75" s="618" t="e">
        <f>(M75-I75)*100</f>
        <v>#REF!</v>
      </c>
      <c r="O75" s="557"/>
      <c r="P75" s="575">
        <f>P74/P65</f>
        <v>1.5465613688713393E-2</v>
      </c>
      <c r="Q75" s="933">
        <f>(M75-P75)*100</f>
        <v>-0.657526136734362</v>
      </c>
      <c r="R75" s="618"/>
      <c r="S75" s="575">
        <f>S74/S65</f>
        <v>5.5708733373745489E-2</v>
      </c>
      <c r="T75" s="933">
        <f>(M75-S75)*100</f>
        <v>-4.6818381052375715</v>
      </c>
      <c r="U75" s="618">
        <f>(S75-P75)*100</f>
        <v>4.0243119685032092</v>
      </c>
      <c r="V75" s="580"/>
      <c r="W75" s="543"/>
      <c r="X75" s="543"/>
      <c r="Y75" s="543"/>
      <c r="Z75" s="543"/>
      <c r="AA75" s="543"/>
      <c r="AB75" s="543"/>
      <c r="AC75" s="543"/>
      <c r="AJ75" s="753"/>
    </row>
    <row r="76" spans="2:36" ht="15" customHeight="1">
      <c r="B76" s="552"/>
      <c r="C76" s="552"/>
      <c r="D76" s="681" t="s">
        <v>1415</v>
      </c>
      <c r="E76" s="950"/>
      <c r="F76" s="950"/>
      <c r="G76" s="950"/>
      <c r="H76" s="950">
        <v>3820</v>
      </c>
      <c r="I76" s="564" t="e">
        <f>INDEX('Income Statement'!26:26, MATCH('Results table'!I60,'Income Statement'!41:41,0))</f>
        <v>#N/A</v>
      </c>
      <c r="J76" s="564"/>
      <c r="K76" s="564"/>
      <c r="L76" s="564"/>
      <c r="M76" s="565">
        <v>4119</v>
      </c>
      <c r="N76" s="977" t="e">
        <f t="shared" ref="N76" si="18">M76/I76-1</f>
        <v>#N/A</v>
      </c>
      <c r="O76" s="566"/>
      <c r="P76" s="564">
        <v>4132</v>
      </c>
      <c r="Q76" s="930">
        <f>M76/P76-1</f>
        <v>-3.1461761858664339E-3</v>
      </c>
      <c r="R76" s="928"/>
      <c r="S76" s="564">
        <v>5134.1580303635774</v>
      </c>
      <c r="T76" s="930">
        <f>M76/S76-1</f>
        <v>-0.19772629209305592</v>
      </c>
      <c r="U76" s="928">
        <f>S76/P76-1</f>
        <v>0.24253582535420559</v>
      </c>
      <c r="V76" s="580"/>
      <c r="W76" s="543"/>
      <c r="X76" s="543"/>
      <c r="Y76" s="543"/>
      <c r="Z76" s="543"/>
      <c r="AA76" s="543"/>
      <c r="AB76" s="543"/>
      <c r="AC76" s="543"/>
      <c r="AJ76" s="752" t="s">
        <v>1757</v>
      </c>
    </row>
    <row r="77" spans="2:36" ht="15" customHeight="1">
      <c r="B77" s="552"/>
      <c r="C77" s="552"/>
      <c r="D77" s="684" t="s">
        <v>996</v>
      </c>
      <c r="E77" s="949"/>
      <c r="F77" s="949"/>
      <c r="G77" s="949"/>
      <c r="H77" s="949">
        <f>H76/H67</f>
        <v>0.15503246753246752</v>
      </c>
      <c r="I77" s="575" t="e">
        <f>I76/I67</f>
        <v>#N/A</v>
      </c>
      <c r="J77" s="575"/>
      <c r="K77" s="575"/>
      <c r="L77" s="575"/>
      <c r="M77" s="582">
        <f>M76/M67</f>
        <v>0.15078522531756783</v>
      </c>
      <c r="N77" s="618" t="e">
        <f>(M77-I77)*100</f>
        <v>#N/A</v>
      </c>
      <c r="O77" s="557"/>
      <c r="P77" s="575">
        <f>P76/P67</f>
        <v>0.15215229959126561</v>
      </c>
      <c r="Q77" s="933">
        <f>(M77-P77)*100</f>
        <v>-0.13670742736977826</v>
      </c>
      <c r="R77" s="618"/>
      <c r="S77" s="575">
        <f>S76/S67</f>
        <v>0.16597042085299277</v>
      </c>
      <c r="T77" s="933">
        <f>(M77-S77)*100</f>
        <v>-1.518519553542494</v>
      </c>
      <c r="U77" s="618">
        <f>(S77-P77)*100</f>
        <v>1.3818121261727156</v>
      </c>
      <c r="V77" s="580"/>
      <c r="W77" s="543"/>
      <c r="X77" s="543"/>
      <c r="Y77" s="543"/>
      <c r="Z77" s="543"/>
      <c r="AA77" s="543"/>
      <c r="AB77" s="543"/>
      <c r="AC77" s="543"/>
      <c r="AJ77" s="754"/>
    </row>
    <row r="78" spans="2:36" ht="6.75" customHeight="1">
      <c r="B78" s="570"/>
      <c r="C78" s="570"/>
      <c r="D78" s="682"/>
      <c r="E78" s="948"/>
      <c r="F78" s="948"/>
      <c r="G78" s="948"/>
      <c r="H78" s="948"/>
      <c r="I78" s="132"/>
      <c r="J78" s="132"/>
      <c r="K78" s="132"/>
      <c r="L78" s="132"/>
      <c r="M78" s="554"/>
      <c r="N78" s="920"/>
      <c r="O78" s="557"/>
      <c r="P78" s="132"/>
      <c r="Q78" s="556"/>
      <c r="R78" s="920"/>
      <c r="S78" s="132"/>
      <c r="T78" s="556"/>
      <c r="U78" s="920"/>
      <c r="V78" s="580"/>
      <c r="W78" s="543"/>
      <c r="X78" s="543"/>
      <c r="Y78" s="543"/>
      <c r="Z78" s="543"/>
      <c r="AA78" s="543"/>
      <c r="AB78" s="543"/>
      <c r="AC78" s="543"/>
      <c r="AJ78" s="750"/>
    </row>
    <row r="79" spans="2:36" ht="15" customHeight="1">
      <c r="B79" s="552"/>
      <c r="C79" s="552"/>
      <c r="D79" s="681" t="s">
        <v>979</v>
      </c>
      <c r="E79" s="950"/>
      <c r="F79" s="950"/>
      <c r="G79" s="950"/>
      <c r="H79" s="950">
        <v>1983</v>
      </c>
      <c r="I79" s="564">
        <f>INDEX('Cashflow Statement'!57:57,MATCH('Results table'!I60,'Cashflow Statement'!2:2,0))</f>
        <v>3189</v>
      </c>
      <c r="J79" s="564"/>
      <c r="K79" s="564"/>
      <c r="L79" s="564"/>
      <c r="M79" s="565">
        <v>3189</v>
      </c>
      <c r="N79" s="977">
        <f t="shared" ref="N79" si="19">M79/I79-1</f>
        <v>0</v>
      </c>
      <c r="O79" s="566"/>
      <c r="P79" s="564">
        <v>3001</v>
      </c>
      <c r="Q79" s="930">
        <f>M79/P79-1</f>
        <v>6.2645784738420529E-2</v>
      </c>
      <c r="R79" s="928"/>
      <c r="S79" s="564">
        <v>3448.8574610911833</v>
      </c>
      <c r="T79" s="930">
        <f>M79/S79-1</f>
        <v>-7.5345955587554747E-2</v>
      </c>
      <c r="U79" s="928">
        <f>S79/P79-1</f>
        <v>0.14923607500539271</v>
      </c>
      <c r="V79" s="580"/>
      <c r="W79" s="543"/>
      <c r="X79" s="543"/>
      <c r="Y79" s="543"/>
      <c r="Z79" s="543"/>
      <c r="AA79" s="543"/>
      <c r="AB79" s="543"/>
      <c r="AC79" s="543"/>
      <c r="AJ79" s="752" t="s">
        <v>1711</v>
      </c>
    </row>
    <row r="80" spans="2:36" ht="6.75" customHeight="1">
      <c r="B80" s="570"/>
      <c r="C80" s="570"/>
      <c r="D80" s="682"/>
      <c r="E80" s="948"/>
      <c r="F80" s="948"/>
      <c r="G80" s="948"/>
      <c r="H80" s="948"/>
      <c r="I80" s="132"/>
      <c r="J80" s="132"/>
      <c r="K80" s="132"/>
      <c r="L80" s="132"/>
      <c r="M80" s="554"/>
      <c r="N80" s="920"/>
      <c r="O80" s="557"/>
      <c r="P80" s="132"/>
      <c r="Q80" s="556"/>
      <c r="R80" s="920"/>
      <c r="S80" s="132"/>
      <c r="T80" s="556"/>
      <c r="U80" s="920"/>
      <c r="V80" s="580"/>
      <c r="W80" s="543"/>
      <c r="X80" s="543"/>
      <c r="Y80" s="543"/>
      <c r="Z80" s="543"/>
      <c r="AA80" s="543"/>
      <c r="AB80" s="543"/>
      <c r="AC80" s="543"/>
      <c r="AJ80" s="750"/>
    </row>
    <row r="81" spans="2:58" ht="15" customHeight="1">
      <c r="B81" s="552" t="s">
        <v>1662</v>
      </c>
      <c r="C81" s="552"/>
      <c r="D81" s="681" t="s">
        <v>1724</v>
      </c>
      <c r="E81" s="952"/>
      <c r="F81" s="952"/>
      <c r="G81" s="952"/>
      <c r="H81" s="952">
        <v>0</v>
      </c>
      <c r="I81" s="583" t="e">
        <f>INDEX('Income Statement'!112:112,MATCH('Results table'!$I$60,'Income Statement'!$41:$41,0))</f>
        <v>#N/A</v>
      </c>
      <c r="J81" s="583"/>
      <c r="K81" s="583"/>
      <c r="L81" s="583"/>
      <c r="M81" s="584">
        <v>2.9</v>
      </c>
      <c r="N81" s="977" t="e">
        <f t="shared" ref="N81" si="20">M81/I81-1</f>
        <v>#N/A</v>
      </c>
      <c r="O81" s="566"/>
      <c r="P81" s="583">
        <f>_xll.VisibleAlpha.UDF.VAData("SAF_FR","FY-"&amp;LEFT(P$60,4),$B81,"Consensus","CD","IMPL")</f>
        <v>3.2441771031859421</v>
      </c>
      <c r="Q81" s="930">
        <f>M81/P81-1</f>
        <v>-0.10609072570296585</v>
      </c>
      <c r="R81" s="928"/>
      <c r="S81" s="583">
        <v>3.5018801820075902</v>
      </c>
      <c r="T81" s="930">
        <f>M81/S81-1</f>
        <v>-0.17187343676120259</v>
      </c>
      <c r="U81" s="928">
        <f>S81/P81-1</f>
        <v>7.9435576611576186E-2</v>
      </c>
      <c r="V81" s="580"/>
      <c r="W81" s="543"/>
      <c r="X81" s="543"/>
      <c r="Y81" s="543"/>
      <c r="Z81" s="543"/>
      <c r="AA81" s="543"/>
      <c r="AB81" s="543"/>
      <c r="AC81" s="543"/>
      <c r="AJ81" s="752"/>
    </row>
    <row r="82" spans="2:58" ht="6.75" customHeight="1">
      <c r="B82" s="570"/>
      <c r="C82" s="570"/>
      <c r="D82" s="682"/>
      <c r="E82" s="948"/>
      <c r="F82" s="948"/>
      <c r="G82" s="948"/>
      <c r="H82" s="948"/>
      <c r="I82" s="132"/>
      <c r="J82" s="132"/>
      <c r="K82" s="132"/>
      <c r="L82" s="132"/>
      <c r="M82" s="554"/>
      <c r="N82" s="920"/>
      <c r="O82" s="557"/>
      <c r="P82" s="132"/>
      <c r="Q82" s="556"/>
      <c r="R82" s="920"/>
      <c r="S82" s="132"/>
      <c r="T82" s="556"/>
      <c r="U82" s="920"/>
      <c r="V82" s="580"/>
      <c r="W82" s="543"/>
      <c r="X82" s="543"/>
      <c r="Y82" s="543"/>
      <c r="Z82" s="543"/>
      <c r="AA82" s="543"/>
      <c r="AB82" s="543"/>
      <c r="AC82" s="543"/>
      <c r="AJ82" s="750"/>
    </row>
    <row r="83" spans="2:58" ht="15" customHeight="1" outlineLevel="1">
      <c r="B83" s="763" t="s">
        <v>1707</v>
      </c>
      <c r="C83" s="552"/>
      <c r="D83" s="758" t="s">
        <v>1530</v>
      </c>
      <c r="E83" s="947"/>
      <c r="F83" s="947"/>
      <c r="G83" s="947"/>
      <c r="H83" s="947">
        <v>5793.7066105172571</v>
      </c>
      <c r="I83" s="759" t="e">
        <v>#N/A</v>
      </c>
      <c r="J83" s="759"/>
      <c r="K83" s="759"/>
      <c r="L83" s="759"/>
      <c r="M83" s="971" t="e">
        <f>I83*(1+M84)</f>
        <v>#N/A</v>
      </c>
      <c r="N83" s="921"/>
      <c r="O83" s="760"/>
      <c r="P83" s="971" t="e">
        <f>I83*(1+P84)</f>
        <v>#N/A</v>
      </c>
      <c r="Q83" s="761"/>
      <c r="R83" s="921"/>
      <c r="S83" s="759">
        <v>9003.1238435554515</v>
      </c>
      <c r="T83" s="761"/>
      <c r="U83" s="921"/>
      <c r="V83" s="580"/>
      <c r="W83" s="543"/>
      <c r="X83" s="543"/>
      <c r="Y83" s="543"/>
      <c r="Z83" s="543"/>
      <c r="AA83" s="543"/>
      <c r="AB83" s="543"/>
      <c r="AC83" s="543"/>
      <c r="AJ83" s="762"/>
    </row>
    <row r="84" spans="2:58" ht="15" customHeight="1">
      <c r="B84" s="559" t="s">
        <v>1417</v>
      </c>
      <c r="C84" s="568"/>
      <c r="D84" s="681" t="s">
        <v>1725</v>
      </c>
      <c r="E84" s="951"/>
      <c r="F84" s="951"/>
      <c r="G84" s="951"/>
      <c r="H84" s="951">
        <v>9.8999999999999977E-2</v>
      </c>
      <c r="I84" s="131" t="e">
        <v>#N/A</v>
      </c>
      <c r="J84" s="131"/>
      <c r="K84" s="131"/>
      <c r="L84" s="131"/>
      <c r="M84" s="569">
        <v>0.249</v>
      </c>
      <c r="N84" s="924" t="e">
        <f>(M84-I84)*100</f>
        <v>#N/A</v>
      </c>
      <c r="O84" s="566"/>
      <c r="P84" s="131">
        <f>_xll.VisibleAlpha.UDF.VAData("SAF_FR","FY-"&amp;LEFT(P$60,4),$B84,"Consensus","CD","IMPL")/100</f>
        <v>0.15634044291997051</v>
      </c>
      <c r="Q84" s="926">
        <f>(M84-P84)*100</f>
        <v>9.2659557080029487</v>
      </c>
      <c r="R84" s="924"/>
      <c r="S84" s="131">
        <v>0.18988968070685597</v>
      </c>
      <c r="T84" s="926">
        <f>(M84-S84)*100</f>
        <v>5.9110319293144027</v>
      </c>
      <c r="U84" s="924">
        <f>(S84-P84)*100</f>
        <v>3.3549237786885455</v>
      </c>
      <c r="V84" s="580"/>
      <c r="W84" s="543"/>
      <c r="X84" s="543"/>
      <c r="Y84" s="543"/>
      <c r="Z84" s="543"/>
      <c r="AA84" s="543"/>
      <c r="AB84" s="543"/>
      <c r="AC84" s="543"/>
      <c r="AJ84" s="755" t="s">
        <v>1837</v>
      </c>
    </row>
    <row r="85" spans="2:58" ht="15" customHeight="1">
      <c r="B85" s="568"/>
      <c r="C85" s="568"/>
      <c r="D85" s="681" t="s">
        <v>1726</v>
      </c>
      <c r="E85" s="951"/>
      <c r="F85" s="951"/>
      <c r="G85" s="951"/>
      <c r="H85" s="951">
        <f>H83/$H$83</f>
        <v>1</v>
      </c>
      <c r="I85" s="131" t="e">
        <f>I83/$H$83</f>
        <v>#N/A</v>
      </c>
      <c r="J85" s="131"/>
      <c r="K85" s="131"/>
      <c r="L85" s="131"/>
      <c r="M85" s="569" t="e">
        <f>M83/$H$83</f>
        <v>#N/A</v>
      </c>
      <c r="N85" s="924" t="e">
        <f>(M85-I85)*100</f>
        <v>#N/A</v>
      </c>
      <c r="O85" s="566"/>
      <c r="P85" s="131" t="e">
        <f>P83/H83</f>
        <v>#N/A</v>
      </c>
      <c r="Q85" s="926" t="e">
        <f>(M85-P85)*100</f>
        <v>#N/A</v>
      </c>
      <c r="R85" s="924"/>
      <c r="S85" s="131">
        <f>S83/$H$83</f>
        <v>1.5539488705230899</v>
      </c>
      <c r="T85" s="926" t="e">
        <f>(M85-S85)*100</f>
        <v>#N/A</v>
      </c>
      <c r="U85" s="924" t="e">
        <f>(S85-P85)*100</f>
        <v>#N/A</v>
      </c>
      <c r="V85" s="580"/>
      <c r="W85" s="543"/>
      <c r="X85" s="543"/>
      <c r="Y85" s="543"/>
      <c r="Z85" s="543"/>
      <c r="AA85" s="543"/>
      <c r="AB85" s="543"/>
      <c r="AC85" s="543"/>
      <c r="AJ85" s="755"/>
    </row>
    <row r="86" spans="2:58" ht="6.75" customHeight="1">
      <c r="B86" s="570"/>
      <c r="C86" s="570"/>
      <c r="D86" s="682"/>
      <c r="E86" s="948"/>
      <c r="F86" s="948"/>
      <c r="G86" s="948"/>
      <c r="H86" s="948"/>
      <c r="I86" s="132"/>
      <c r="J86" s="132"/>
      <c r="K86" s="132"/>
      <c r="L86" s="132"/>
      <c r="M86" s="554"/>
      <c r="N86" s="920"/>
      <c r="O86" s="557"/>
      <c r="P86" s="132"/>
      <c r="Q86" s="556"/>
      <c r="R86" s="920"/>
      <c r="S86" s="132"/>
      <c r="T86" s="556"/>
      <c r="U86" s="920"/>
      <c r="V86" s="580"/>
      <c r="W86" s="543"/>
      <c r="X86" s="543"/>
      <c r="Y86" s="543"/>
      <c r="Z86" s="543"/>
      <c r="AA86" s="543"/>
      <c r="AB86" s="543"/>
      <c r="AC86" s="543"/>
      <c r="AJ86" s="750"/>
    </row>
    <row r="87" spans="2:58" ht="15" customHeight="1">
      <c r="B87" s="559" t="s">
        <v>1719</v>
      </c>
      <c r="C87" s="568"/>
      <c r="D87" s="940" t="s">
        <v>1705</v>
      </c>
      <c r="E87" s="951"/>
      <c r="F87" s="951"/>
      <c r="G87" s="951"/>
      <c r="H87" s="951"/>
      <c r="I87" s="564">
        <f>INDEX('Aerospace Propulsion Division'!27:27, MATCH('Results table'!$I$60,'Aerospace Propulsion Division'!2:2,0))</f>
        <v>1407</v>
      </c>
      <c r="J87" s="564"/>
      <c r="K87" s="564"/>
      <c r="L87" s="564"/>
      <c r="M87" s="565">
        <v>1407</v>
      </c>
      <c r="N87" s="977">
        <f t="shared" ref="N87" si="21">M87/I87-1</f>
        <v>0</v>
      </c>
      <c r="O87" s="566"/>
      <c r="P87" s="564">
        <f>_xll.VisibleAlpha.UDF.VAData("SAF_FR","FY-"&amp;LEFT(P$60,4),$B87,"Consensus","CD","IMPL")</f>
        <v>1670.8561111111112</v>
      </c>
      <c r="Q87" s="930">
        <f>M87/P87-1</f>
        <v>-0.1579167166798392</v>
      </c>
      <c r="R87" s="928"/>
      <c r="S87" s="564">
        <v>1825</v>
      </c>
      <c r="T87" s="930">
        <f>M87/S87-1</f>
        <v>-0.229041095890411</v>
      </c>
      <c r="U87" s="928">
        <f>S87/P87-1</f>
        <v>9.2254436431622899E-2</v>
      </c>
      <c r="V87" s="580"/>
      <c r="W87" s="543"/>
      <c r="X87" s="543"/>
      <c r="Y87" s="543"/>
      <c r="Z87" s="543"/>
      <c r="AA87" s="543"/>
      <c r="AB87" s="543"/>
      <c r="AC87" s="543"/>
      <c r="AJ87" s="755" t="s">
        <v>1759</v>
      </c>
      <c r="AN87" s="1220">
        <v>2025</v>
      </c>
      <c r="AS87" s="1221" t="str">
        <f>"FY-"&amp;AN87</f>
        <v>FY-2025</v>
      </c>
    </row>
    <row r="88" spans="2:58" ht="3.75" customHeight="1">
      <c r="B88" s="570"/>
      <c r="C88" s="570"/>
      <c r="D88" s="570"/>
      <c r="E88" s="132"/>
      <c r="F88" s="132"/>
      <c r="G88" s="132"/>
      <c r="H88" s="132"/>
      <c r="I88" s="571"/>
      <c r="J88" s="571"/>
      <c r="K88" s="571"/>
      <c r="L88" s="571"/>
      <c r="M88" s="572"/>
      <c r="N88" s="919"/>
      <c r="O88" s="566"/>
      <c r="P88" s="571"/>
      <c r="Q88" s="573"/>
      <c r="R88" s="919"/>
      <c r="S88" s="571"/>
      <c r="T88" s="573"/>
      <c r="U88" s="919"/>
      <c r="V88" s="580"/>
      <c r="W88" s="543"/>
      <c r="X88" s="543"/>
      <c r="Y88" s="543"/>
      <c r="Z88" s="543"/>
      <c r="AA88" s="543"/>
      <c r="AB88" s="543"/>
      <c r="AC88" s="543"/>
      <c r="AJ88" s="756"/>
    </row>
    <row r="89" spans="2:58" ht="13.5" customHeight="1">
      <c r="D89" s="1216" t="s">
        <v>1706</v>
      </c>
      <c r="E89" s="98"/>
      <c r="F89" s="98"/>
      <c r="G89" s="98"/>
      <c r="H89" s="98"/>
      <c r="I89" s="98"/>
      <c r="J89" s="98"/>
      <c r="K89" s="98"/>
      <c r="L89" s="98"/>
      <c r="M89" s="585"/>
      <c r="N89" s="585"/>
      <c r="Q89" s="586"/>
      <c r="R89" s="586"/>
      <c r="V89" s="580"/>
      <c r="W89" s="543"/>
      <c r="X89" s="543"/>
      <c r="Y89" s="543"/>
      <c r="Z89" s="543"/>
      <c r="AA89" s="543"/>
      <c r="AB89" s="543"/>
      <c r="AC89" s="543"/>
    </row>
    <row r="90" spans="2:58" ht="13.5" customHeight="1">
      <c r="D90" s="112"/>
      <c r="E90" s="98"/>
      <c r="F90" s="98"/>
      <c r="G90" s="98"/>
      <c r="H90" s="98"/>
      <c r="I90" s="98"/>
      <c r="J90" s="98"/>
      <c r="K90" s="98"/>
      <c r="L90" s="98"/>
      <c r="M90" s="585"/>
      <c r="N90" s="585"/>
      <c r="Q90" s="586"/>
      <c r="R90" s="586"/>
      <c r="V90" s="580"/>
      <c r="W90" s="543"/>
      <c r="X90" s="543"/>
      <c r="Y90" s="543"/>
      <c r="Z90" s="543"/>
      <c r="AA90" s="543"/>
      <c r="AB90" s="543"/>
      <c r="AC90" s="543"/>
      <c r="AN90" s="587"/>
      <c r="AO90" s="85"/>
      <c r="AP90" s="587"/>
      <c r="AQ90" s="85"/>
      <c r="AR90" s="1685" t="str">
        <f>"Focus on "&amp;AN87</f>
        <v>Focus on 2025</v>
      </c>
      <c r="AS90" s="1685"/>
      <c r="AT90" s="1685"/>
      <c r="AU90" s="685"/>
      <c r="AV90" s="685"/>
      <c r="AW90" s="685"/>
      <c r="AX90" s="685"/>
      <c r="AY90" s="85"/>
      <c r="AZ90" s="587"/>
      <c r="BA90" s="587"/>
      <c r="BB90" s="587"/>
      <c r="BC90" s="685"/>
      <c r="BD90" s="685"/>
      <c r="BE90" s="587"/>
    </row>
    <row r="91" spans="2:58" ht="3.75" customHeight="1">
      <c r="D91" s="112"/>
      <c r="E91" s="98"/>
      <c r="F91" s="98"/>
      <c r="G91" s="98"/>
      <c r="H91" s="98"/>
      <c r="I91" s="98"/>
      <c r="J91" s="98"/>
      <c r="K91" s="98"/>
      <c r="L91" s="98"/>
      <c r="M91" s="585"/>
      <c r="N91" s="585"/>
      <c r="Q91" s="586"/>
      <c r="R91" s="586"/>
      <c r="T91" s="613"/>
      <c r="U91" s="613"/>
      <c r="V91" s="580"/>
      <c r="W91" s="543"/>
      <c r="X91" s="543"/>
      <c r="Y91" s="543"/>
      <c r="Z91" s="543"/>
      <c r="AA91" s="543"/>
      <c r="AB91" s="543"/>
      <c r="AC91" s="543"/>
      <c r="AN91" s="587"/>
      <c r="AO91" s="85"/>
      <c r="AP91" s="587"/>
      <c r="AQ91" s="1222"/>
      <c r="AR91" s="672"/>
      <c r="AS91" s="1259"/>
      <c r="AT91" s="688"/>
      <c r="AU91" s="734"/>
      <c r="AV91" s="734"/>
      <c r="AW91" s="587"/>
      <c r="AX91" s="587"/>
      <c r="AY91" s="85"/>
      <c r="AZ91" s="1246"/>
      <c r="BA91" s="766"/>
      <c r="BC91" s="587"/>
      <c r="BD91" s="587"/>
      <c r="BF91" s="1065"/>
    </row>
    <row r="92" spans="2:58" ht="15" customHeight="1">
      <c r="D92" s="90"/>
      <c r="E92" s="90"/>
      <c r="F92" s="90"/>
      <c r="G92" s="90"/>
      <c r="H92" s="90"/>
      <c r="I92" s="90"/>
      <c r="J92" s="90"/>
      <c r="K92" s="90"/>
      <c r="L92" s="90"/>
      <c r="M92" s="90"/>
      <c r="N92" s="90"/>
      <c r="O92" s="90"/>
      <c r="P92" s="90"/>
      <c r="Q92" s="90"/>
      <c r="R92" s="90"/>
      <c r="S92" s="90"/>
      <c r="T92" s="613"/>
      <c r="U92" s="613"/>
      <c r="V92" s="580"/>
      <c r="W92" s="543"/>
      <c r="X92" s="543"/>
      <c r="Y92" s="543"/>
      <c r="Z92" s="543"/>
      <c r="AA92" s="543"/>
      <c r="AB92" s="543"/>
      <c r="AC92" s="543"/>
      <c r="AN92" s="595" t="s">
        <v>732</v>
      </c>
      <c r="AO92" s="85"/>
      <c r="AP92" s="673" t="s">
        <v>740</v>
      </c>
      <c r="AQ92" s="1222"/>
      <c r="AR92" s="687" t="s">
        <v>1659</v>
      </c>
      <c r="AS92" s="1260" t="s">
        <v>1703</v>
      </c>
      <c r="AT92" s="689" t="s">
        <v>1661</v>
      </c>
      <c r="AU92" s="735" t="s">
        <v>1670</v>
      </c>
      <c r="AV92" s="735" t="s">
        <v>1670</v>
      </c>
      <c r="AW92" s="701" t="s">
        <v>1672</v>
      </c>
      <c r="AX92" s="701" t="s">
        <v>1673</v>
      </c>
      <c r="AY92" s="85"/>
      <c r="AZ92" s="1247" t="s">
        <v>1754</v>
      </c>
      <c r="BA92" s="747" t="s">
        <v>1755</v>
      </c>
      <c r="BC92" s="701" t="s">
        <v>1397</v>
      </c>
      <c r="BD92" s="701" t="s">
        <v>1397</v>
      </c>
      <c r="BF92" s="1066" t="s">
        <v>1397</v>
      </c>
    </row>
    <row r="93" spans="2:58" ht="15" customHeight="1">
      <c r="D93" s="90"/>
      <c r="E93" s="98"/>
      <c r="F93" s="98"/>
      <c r="G93" s="98"/>
      <c r="H93" s="98"/>
      <c r="I93" s="1217"/>
      <c r="J93" s="98"/>
      <c r="K93" s="98"/>
      <c r="L93" s="98"/>
      <c r="M93" s="585"/>
      <c r="N93" s="585"/>
      <c r="O93" s="245"/>
      <c r="P93" s="245"/>
      <c r="Q93" s="245"/>
      <c r="R93" s="245"/>
      <c r="S93" s="245"/>
      <c r="T93" s="613"/>
      <c r="U93" s="613"/>
      <c r="V93" s="580"/>
      <c r="W93" s="543"/>
      <c r="X93" s="543"/>
      <c r="Y93" s="543"/>
      <c r="Z93" s="543"/>
      <c r="AA93" s="543"/>
      <c r="AB93" s="543"/>
      <c r="AC93" s="543"/>
      <c r="AK93" s="101"/>
      <c r="AL93" s="101"/>
      <c r="AM93" s="101"/>
      <c r="AN93" s="82" t="s">
        <v>1394</v>
      </c>
      <c r="AO93" s="245"/>
      <c r="AP93" s="1234">
        <f>AN87-1</f>
        <v>2024</v>
      </c>
      <c r="AQ93" s="1223"/>
      <c r="AR93" s="687" t="str">
        <f>AN87&amp;"E"</f>
        <v>2025E</v>
      </c>
      <c r="AS93" s="689" t="str">
        <f>AN87&amp;"E"</f>
        <v>2025E</v>
      </c>
      <c r="AT93" s="689" t="str">
        <f>AN87&amp;"E"</f>
        <v>2025E</v>
      </c>
      <c r="AU93" s="735" t="s">
        <v>1671</v>
      </c>
      <c r="AV93" s="735" t="s">
        <v>1671</v>
      </c>
      <c r="AW93" s="701" t="s">
        <v>953</v>
      </c>
      <c r="AX93" s="701" t="s">
        <v>953</v>
      </c>
      <c r="AY93" s="245"/>
      <c r="AZ93" s="1247" t="s">
        <v>1785</v>
      </c>
      <c r="BA93" s="747" t="s">
        <v>1785</v>
      </c>
      <c r="BC93" s="701" t="s">
        <v>1750</v>
      </c>
      <c r="BD93" s="701" t="s">
        <v>1749</v>
      </c>
      <c r="BF93" s="1245">
        <f>AN87</f>
        <v>2025</v>
      </c>
    </row>
    <row r="94" spans="2:58" ht="15" customHeight="1">
      <c r="C94" s="614"/>
      <c r="D94" s="609"/>
      <c r="E94" s="624"/>
      <c r="F94" s="624"/>
      <c r="G94" s="624"/>
      <c r="H94" s="624"/>
      <c r="I94" s="624"/>
      <c r="J94" s="624"/>
      <c r="K94" s="624"/>
      <c r="L94" s="624"/>
      <c r="M94" s="624"/>
      <c r="N94" s="624"/>
      <c r="O94" s="624"/>
      <c r="P94" s="609"/>
      <c r="Q94" s="624"/>
      <c r="R94" s="624"/>
      <c r="S94" s="609"/>
      <c r="T94" s="613"/>
      <c r="U94" s="609"/>
      <c r="V94" s="580"/>
      <c r="W94" s="543"/>
      <c r="X94" s="543"/>
      <c r="Y94" s="543"/>
      <c r="Z94" s="543"/>
      <c r="AA94" s="543"/>
      <c r="AB94" s="543"/>
      <c r="AC94" s="543"/>
      <c r="AN94" s="596" t="s">
        <v>1267</v>
      </c>
      <c r="AO94" s="620"/>
      <c r="AP94" s="553"/>
      <c r="AQ94" s="1224"/>
      <c r="AR94" s="634"/>
      <c r="AS94" s="553"/>
      <c r="AT94" s="690"/>
      <c r="AU94" s="736"/>
      <c r="AV94" s="736"/>
      <c r="AW94" s="553"/>
      <c r="AX94" s="553"/>
      <c r="AY94" s="620"/>
      <c r="AZ94" s="1248"/>
      <c r="BA94" s="767"/>
      <c r="BC94" s="553"/>
      <c r="BD94" s="553"/>
      <c r="BF94" s="1066"/>
    </row>
    <row r="95" spans="2:58" ht="15" customHeight="1">
      <c r="C95" s="614"/>
      <c r="D95" s="609"/>
      <c r="E95" s="609"/>
      <c r="F95" s="609"/>
      <c r="G95" s="609"/>
      <c r="H95" s="609"/>
      <c r="I95" s="609"/>
      <c r="J95" s="609"/>
      <c r="K95" s="609"/>
      <c r="L95" s="609"/>
      <c r="M95" s="609"/>
      <c r="N95" s="609"/>
      <c r="O95" s="609"/>
      <c r="P95" s="600"/>
      <c r="Q95" s="609"/>
      <c r="R95" s="609"/>
      <c r="S95" s="600"/>
      <c r="T95" s="609"/>
      <c r="U95" s="600"/>
      <c r="V95" s="580"/>
      <c r="W95" s="543"/>
      <c r="X95" s="543"/>
      <c r="Y95" s="543"/>
      <c r="Z95" s="543"/>
      <c r="AA95" s="543"/>
      <c r="AB95" s="543"/>
      <c r="AC95" s="543"/>
      <c r="AL95" s="1219" t="s">
        <v>1401</v>
      </c>
      <c r="AM95" s="1218"/>
      <c r="AN95" s="632" t="s">
        <v>978</v>
      </c>
      <c r="AO95" s="609"/>
      <c r="AP95" s="560">
        <f>Interims!DI6</f>
        <v>13652</v>
      </c>
      <c r="AQ95" s="1225"/>
      <c r="AR95" s="635">
        <v>15542.793436296139</v>
      </c>
      <c r="AS95" s="560">
        <f>_xll.VisibleAlpha.UDF.VAData("SAF_FR",$AS$87,$AL95,"Consensus","CD","IMPL")</f>
        <v>15472.624328505846</v>
      </c>
      <c r="AT95" s="691">
        <v>15103</v>
      </c>
      <c r="AU95" s="1079">
        <f>AR95/AS95-1</f>
        <v>4.535048890253135E-3</v>
      </c>
      <c r="AV95" s="1079">
        <f>AR95/AT95-1</f>
        <v>2.911960777965561E-2</v>
      </c>
      <c r="AW95" s="1076">
        <f>AR95/AP95-1</f>
        <v>0.13849937271433777</v>
      </c>
      <c r="AX95" s="1076">
        <f>AT95/AP95-1</f>
        <v>0.10628479343685915</v>
      </c>
      <c r="AY95" s="609"/>
      <c r="AZ95" s="1249"/>
      <c r="BA95" s="768"/>
      <c r="BC95" s="1076"/>
      <c r="BD95" s="1076"/>
      <c r="BF95" s="1067"/>
    </row>
    <row r="96" spans="2:58" ht="15" customHeight="1">
      <c r="C96" s="614"/>
      <c r="D96" s="626" t="s">
        <v>732</v>
      </c>
      <c r="E96" s="553"/>
      <c r="F96" s="553"/>
      <c r="G96" s="553"/>
      <c r="H96" s="553"/>
      <c r="I96" s="553"/>
      <c r="J96" s="553"/>
      <c r="K96" s="553"/>
      <c r="L96" s="553"/>
      <c r="M96" s="601"/>
      <c r="N96" s="601"/>
      <c r="O96" s="601"/>
      <c r="P96" s="601"/>
      <c r="Q96" s="553"/>
      <c r="R96" s="553"/>
      <c r="S96" s="601"/>
      <c r="T96" s="601"/>
      <c r="U96" s="601"/>
      <c r="V96" s="580"/>
      <c r="W96" s="543"/>
      <c r="X96" s="543"/>
      <c r="Y96" s="543"/>
      <c r="Z96" s="543"/>
      <c r="AA96" s="543"/>
      <c r="AB96" s="543"/>
      <c r="AC96" s="543"/>
      <c r="AL96" s="1219" t="s">
        <v>1403</v>
      </c>
      <c r="AM96" s="1218"/>
      <c r="AN96" s="559" t="s">
        <v>1404</v>
      </c>
      <c r="AO96" s="617"/>
      <c r="AP96" s="560">
        <f>Interims!DI10</f>
        <v>10618</v>
      </c>
      <c r="AQ96" s="1226"/>
      <c r="AR96" s="635">
        <v>11919.971635478207</v>
      </c>
      <c r="AS96" s="560">
        <f>_xll.VisibleAlpha.UDF.VAData("SAF_FR",$AS$87,$AL96,"Consensus","CD","IMPL")</f>
        <v>12168.729260758908</v>
      </c>
      <c r="AT96" s="691">
        <v>11755</v>
      </c>
      <c r="AU96" s="1079">
        <f>AR96/AS96-1</f>
        <v>-2.0442366655562094E-2</v>
      </c>
      <c r="AV96" s="1079">
        <f>AR96/AT96-1</f>
        <v>1.4034167203590631E-2</v>
      </c>
      <c r="AW96" s="1076">
        <f>AR96/AP96-1</f>
        <v>0.12261929134283367</v>
      </c>
      <c r="AX96" s="1076">
        <f>AT96/AP96-1</f>
        <v>0.10708231305330562</v>
      </c>
      <c r="AY96" s="617"/>
      <c r="AZ96" s="1249"/>
      <c r="BA96" s="768"/>
      <c r="BC96" s="1076"/>
      <c r="BD96" s="1076"/>
      <c r="BF96" s="1067"/>
    </row>
    <row r="97" spans="3:58" ht="15" customHeight="1">
      <c r="C97" s="614"/>
      <c r="D97" s="627" t="s">
        <v>1394</v>
      </c>
      <c r="E97" s="553"/>
      <c r="F97" s="553"/>
      <c r="G97" s="553"/>
      <c r="H97" s="553"/>
      <c r="I97" s="553"/>
      <c r="J97" s="553"/>
      <c r="K97" s="553"/>
      <c r="L97" s="553"/>
      <c r="M97" s="601"/>
      <c r="N97" s="601"/>
      <c r="O97" s="601"/>
      <c r="P97" s="601"/>
      <c r="Q97" s="553"/>
      <c r="R97" s="553"/>
      <c r="S97" s="601"/>
      <c r="T97" s="601"/>
      <c r="U97" s="601"/>
      <c r="V97" s="580"/>
      <c r="W97" s="543"/>
      <c r="X97" s="543"/>
      <c r="Y97" s="543"/>
      <c r="Z97" s="543"/>
      <c r="AA97" s="543"/>
      <c r="AB97" s="543"/>
      <c r="AC97" s="543"/>
      <c r="AL97" s="1219" t="s">
        <v>1405</v>
      </c>
      <c r="AM97" s="1218"/>
      <c r="AN97" s="559" t="s">
        <v>1293</v>
      </c>
      <c r="AO97" s="617"/>
      <c r="AP97" s="560">
        <f>Interims!DI11</f>
        <v>3037</v>
      </c>
      <c r="AQ97" s="1226"/>
      <c r="AR97" s="635">
        <v>3460.4098491359587</v>
      </c>
      <c r="AS97" s="560">
        <f>_xll.VisibleAlpha.UDF.VAData("SAF_FR",$AS$87,$AL97,"Consensus","CD","IMPL")</f>
        <v>3433.1178210270027</v>
      </c>
      <c r="AT97" s="691">
        <v>3435</v>
      </c>
      <c r="AU97" s="1079">
        <f>AR97/AS97-1</f>
        <v>7.9496334037238991E-3</v>
      </c>
      <c r="AV97" s="1079">
        <f>AR97/AT97-1</f>
        <v>7.3973359930010751E-3</v>
      </c>
      <c r="AW97" s="1076">
        <f>AR97/AP97-1</f>
        <v>0.13941713833913694</v>
      </c>
      <c r="AX97" s="1076">
        <f>AT97/AP97-1</f>
        <v>0.1310503786631545</v>
      </c>
      <c r="AY97" s="617"/>
      <c r="AZ97" s="1249"/>
      <c r="BA97" s="768"/>
      <c r="BC97" s="1076"/>
      <c r="BD97" s="1076"/>
      <c r="BF97" s="1067"/>
    </row>
    <row r="98" spans="3:58" ht="15" hidden="1" customHeight="1">
      <c r="C98" s="614"/>
      <c r="D98" s="628"/>
      <c r="E98" s="553"/>
      <c r="F98" s="553"/>
      <c r="G98" s="553"/>
      <c r="H98" s="553"/>
      <c r="I98" s="553"/>
      <c r="J98" s="553"/>
      <c r="K98" s="553"/>
      <c r="L98" s="553"/>
      <c r="M98" s="553"/>
      <c r="N98" s="553"/>
      <c r="O98" s="553"/>
      <c r="P98" s="601"/>
      <c r="Q98" s="553"/>
      <c r="R98" s="553"/>
      <c r="S98" s="601"/>
      <c r="T98" s="553"/>
      <c r="U98" s="601"/>
      <c r="V98" s="580"/>
      <c r="W98" s="543"/>
      <c r="X98" s="543"/>
      <c r="Y98" s="543"/>
      <c r="Z98" s="543"/>
      <c r="AA98" s="543"/>
      <c r="AB98" s="543"/>
      <c r="AC98" s="543"/>
      <c r="AL98" s="1219"/>
      <c r="AM98" s="1218"/>
      <c r="AN98" s="559" t="s">
        <v>776</v>
      </c>
      <c r="AO98" s="621"/>
      <c r="AP98" s="560" t="e">
        <f>'Income Statement'!#REF!</f>
        <v>#REF!</v>
      </c>
      <c r="AQ98" s="1227"/>
      <c r="AR98" s="635">
        <v>11</v>
      </c>
      <c r="AS98" s="560" t="str">
        <f>_xll.VisibleAlpha.UDF.VAData("SAF_FR",$AS$87,$AL98,"Consensus","CD","IMPL")</f>
        <v>#InvalidLineItem</v>
      </c>
      <c r="AT98" s="691"/>
      <c r="AU98" s="1079" t="e">
        <f>AR98/AS98-1</f>
        <v>#VALUE!</v>
      </c>
      <c r="AV98" s="1079" t="e">
        <f>AR98/AT98-1</f>
        <v>#DIV/0!</v>
      </c>
      <c r="AW98" s="1076" t="e">
        <f>AR98/AP98-1</f>
        <v>#REF!</v>
      </c>
      <c r="AX98" s="1076" t="e">
        <f>AT98/AP98-1</f>
        <v>#REF!</v>
      </c>
      <c r="AY98" s="621"/>
      <c r="AZ98" s="1249"/>
      <c r="BA98" s="768"/>
      <c r="BC98" s="1076"/>
      <c r="BD98" s="1076"/>
      <c r="BF98" s="1067"/>
    </row>
    <row r="99" spans="3:58" ht="15" customHeight="1">
      <c r="C99" s="614"/>
      <c r="D99" s="609"/>
      <c r="E99" s="606"/>
      <c r="F99" s="606"/>
      <c r="G99" s="606"/>
      <c r="H99" s="606"/>
      <c r="I99" s="606"/>
      <c r="J99" s="606"/>
      <c r="K99" s="606"/>
      <c r="L99" s="606"/>
      <c r="M99" s="598"/>
      <c r="N99" s="598"/>
      <c r="O99" s="598"/>
      <c r="P99" s="601"/>
      <c r="Q99" s="606"/>
      <c r="R99" s="606"/>
      <c r="S99" s="601"/>
      <c r="T99" s="598"/>
      <c r="U99" s="601"/>
      <c r="V99" s="580"/>
      <c r="W99" s="543"/>
      <c r="X99" s="543"/>
      <c r="Y99" s="543"/>
      <c r="Z99" s="543"/>
      <c r="AA99" s="543"/>
      <c r="AB99" s="543"/>
      <c r="AC99" s="543"/>
      <c r="AL99" s="1219" t="s">
        <v>1407</v>
      </c>
      <c r="AM99" s="1218"/>
      <c r="AN99" s="597" t="s">
        <v>1408</v>
      </c>
      <c r="AO99" s="576"/>
      <c r="AP99" s="564">
        <f>Interims!DI16</f>
        <v>27317</v>
      </c>
      <c r="AQ99" s="1228"/>
      <c r="AR99" s="636">
        <v>30934.174920910304</v>
      </c>
      <c r="AS99" s="564">
        <f>_xll.VisibleAlpha.UDF.VAData("SAF_FR",$AS$87,$AL99,"Consensus","CD","IMPL")</f>
        <v>31081.016119333701</v>
      </c>
      <c r="AT99" s="692">
        <v>30453</v>
      </c>
      <c r="AU99" s="1080">
        <f>AR99/AS99-1</f>
        <v>-4.7244658237558523E-3</v>
      </c>
      <c r="AV99" s="1080">
        <f>AR99/AT99-1</f>
        <v>1.5800575342669099E-2</v>
      </c>
      <c r="AW99" s="1077">
        <f>AR99/AP99-1</f>
        <v>0.13241479375152121</v>
      </c>
      <c r="AX99" s="1077">
        <f>AT99/AP99-1</f>
        <v>0.11480030750082371</v>
      </c>
      <c r="AY99" s="576"/>
      <c r="AZ99" s="1250" t="s">
        <v>1838</v>
      </c>
      <c r="BA99" s="1235" t="s">
        <v>2007</v>
      </c>
      <c r="BC99" s="1077">
        <f>BF99/AR99-1</f>
        <v>-2.8624488067782838E-2</v>
      </c>
      <c r="BD99" s="1077">
        <f>BF99/AT99-1</f>
        <v>-1.3276196105474036E-2</v>
      </c>
      <c r="BF99" s="1068">
        <f>AP99*(1.1)</f>
        <v>30048.7</v>
      </c>
    </row>
    <row r="100" spans="3:58" ht="15" customHeight="1">
      <c r="C100" s="614"/>
      <c r="D100" s="609"/>
      <c r="E100" s="606"/>
      <c r="F100" s="606"/>
      <c r="G100" s="606"/>
      <c r="H100" s="606"/>
      <c r="I100" s="606"/>
      <c r="J100" s="606"/>
      <c r="K100" s="606"/>
      <c r="L100" s="606"/>
      <c r="M100" s="598"/>
      <c r="N100" s="598"/>
      <c r="O100" s="598"/>
      <c r="P100" s="601"/>
      <c r="Q100" s="606"/>
      <c r="R100" s="606"/>
      <c r="S100" s="601"/>
      <c r="T100" s="598"/>
      <c r="U100" s="601"/>
      <c r="V100" s="580"/>
      <c r="W100" s="601"/>
      <c r="X100" s="601"/>
      <c r="Y100" s="601"/>
      <c r="Z100" s="601"/>
      <c r="AA100" s="601"/>
      <c r="AB100" s="601"/>
      <c r="AC100" s="601"/>
      <c r="AL100" s="1219"/>
      <c r="AM100" s="1218"/>
      <c r="AN100" s="568" t="s">
        <v>287</v>
      </c>
      <c r="AO100" s="576"/>
      <c r="AP100" s="132"/>
      <c r="AQ100" s="1228"/>
      <c r="AR100" s="637"/>
      <c r="AS100" s="132"/>
      <c r="AT100" s="693"/>
      <c r="AU100" s="992"/>
      <c r="AV100" s="992"/>
      <c r="AW100" s="132"/>
      <c r="AX100" s="132"/>
      <c r="AY100" s="576"/>
      <c r="AZ100" s="1248"/>
      <c r="BA100" s="767"/>
      <c r="BC100" s="132"/>
      <c r="BD100" s="132"/>
      <c r="BF100" s="1067"/>
    </row>
    <row r="101" spans="3:58" ht="15" customHeight="1">
      <c r="C101" s="614"/>
      <c r="D101" s="609"/>
      <c r="E101" s="606"/>
      <c r="F101" s="606"/>
      <c r="G101" s="606"/>
      <c r="H101" s="606"/>
      <c r="I101" s="606"/>
      <c r="J101" s="606"/>
      <c r="K101" s="606"/>
      <c r="L101" s="606"/>
      <c r="M101" s="598"/>
      <c r="N101" s="598"/>
      <c r="O101" s="598"/>
      <c r="P101" s="602"/>
      <c r="Q101" s="606"/>
      <c r="R101" s="606"/>
      <c r="S101" s="602"/>
      <c r="T101" s="598"/>
      <c r="U101" s="602"/>
      <c r="V101" s="580"/>
      <c r="W101" s="602"/>
      <c r="X101" s="602"/>
      <c r="Y101" s="602"/>
      <c r="Z101" s="602"/>
      <c r="AA101" s="602"/>
      <c r="AB101" s="602"/>
      <c r="AC101" s="602"/>
      <c r="AL101" s="1219" t="s">
        <v>1409</v>
      </c>
      <c r="AM101" s="1218"/>
      <c r="AN101" s="632" t="s">
        <v>978</v>
      </c>
      <c r="AO101" s="576"/>
      <c r="AP101" s="560">
        <f>'Income Statement'!Z19</f>
        <v>2819</v>
      </c>
      <c r="AQ101" s="1228"/>
      <c r="AR101" s="638">
        <v>3432.4267157502773</v>
      </c>
      <c r="AS101" s="633">
        <f>_xll.VisibleAlpha.UDF.VAData("SAF_FR",$AS$87,$AL101,"Consensus","CD","IMPL")</f>
        <v>3525.9477634357982</v>
      </c>
      <c r="AT101" s="694">
        <v>3271</v>
      </c>
      <c r="AU101" s="1079">
        <f>AR101/AS101-1</f>
        <v>-2.6523662277512239E-2</v>
      </c>
      <c r="AV101" s="1079">
        <f>AR101/AT101-1</f>
        <v>4.9350876108308572E-2</v>
      </c>
      <c r="AW101" s="1076">
        <f>AR101/AP101-1</f>
        <v>0.2176043688365652</v>
      </c>
      <c r="AX101" s="1076">
        <f>AT101/AP101-1</f>
        <v>0.16034054629301164</v>
      </c>
      <c r="AY101" s="576"/>
      <c r="AZ101" s="1248"/>
      <c r="BA101" s="767"/>
      <c r="BC101" s="1076"/>
      <c r="BD101" s="1076"/>
      <c r="BF101" s="1067"/>
    </row>
    <row r="102" spans="3:58" ht="15" customHeight="1">
      <c r="C102" s="614"/>
      <c r="D102" s="609"/>
      <c r="E102" s="606"/>
      <c r="F102" s="606"/>
      <c r="G102" s="606"/>
      <c r="H102" s="606"/>
      <c r="I102" s="606"/>
      <c r="J102" s="606"/>
      <c r="K102" s="606"/>
      <c r="L102" s="606"/>
      <c r="M102" s="598"/>
      <c r="N102" s="598"/>
      <c r="O102" s="598"/>
      <c r="P102" s="602"/>
      <c r="Q102" s="606"/>
      <c r="R102" s="606"/>
      <c r="S102" s="602"/>
      <c r="T102" s="598"/>
      <c r="U102" s="602"/>
      <c r="V102" s="580"/>
      <c r="W102" s="602"/>
      <c r="X102" s="602"/>
      <c r="Y102" s="602"/>
      <c r="Z102" s="602"/>
      <c r="AA102" s="602"/>
      <c r="AB102" s="602"/>
      <c r="AC102" s="602"/>
      <c r="AL102" s="1219"/>
      <c r="AM102" s="1218"/>
      <c r="AN102" s="581" t="s">
        <v>996</v>
      </c>
      <c r="AO102" s="576"/>
      <c r="AP102" s="669">
        <f>AP101/AP95</f>
        <v>0.20648989159097569</v>
      </c>
      <c r="AQ102" s="1228"/>
      <c r="AR102" s="666">
        <f>AR101/AR95</f>
        <v>0.22083718282807133</v>
      </c>
      <c r="AS102" s="669">
        <f>AS101/AS95</f>
        <v>0.22788298148878344</v>
      </c>
      <c r="AT102" s="695">
        <f>AT101/AT95</f>
        <v>0.21657948751903594</v>
      </c>
      <c r="AU102" s="993">
        <f>(AR102-AS102)*100</f>
        <v>-0.70457986607121159</v>
      </c>
      <c r="AV102" s="993">
        <f>(AR102-AT102)*100</f>
        <v>0.42576953090353864</v>
      </c>
      <c r="AW102" s="994">
        <f>(AR102-AP102)*100</f>
        <v>1.4347291237095634</v>
      </c>
      <c r="AX102" s="994">
        <f>(AT102-AP102)*100</f>
        <v>1.0089595928060247</v>
      </c>
      <c r="AY102" s="576"/>
      <c r="AZ102" s="1249"/>
      <c r="BA102" s="768"/>
      <c r="BC102" s="994"/>
      <c r="BD102" s="994"/>
      <c r="BF102" s="1067"/>
    </row>
    <row r="103" spans="3:58" ht="15" customHeight="1">
      <c r="C103" s="614"/>
      <c r="D103" s="612"/>
      <c r="E103" s="607"/>
      <c r="F103" s="607"/>
      <c r="G103" s="607"/>
      <c r="H103" s="607"/>
      <c r="I103" s="607"/>
      <c r="J103" s="607"/>
      <c r="K103" s="607"/>
      <c r="L103" s="607"/>
      <c r="M103" s="604"/>
      <c r="N103" s="604"/>
      <c r="O103" s="604"/>
      <c r="P103" s="603"/>
      <c r="Q103" s="607"/>
      <c r="R103" s="607"/>
      <c r="S103" s="603"/>
      <c r="T103" s="604"/>
      <c r="U103" s="603"/>
      <c r="V103" s="571"/>
      <c r="W103" s="603"/>
      <c r="X103" s="603"/>
      <c r="Y103" s="603"/>
      <c r="Z103" s="603"/>
      <c r="AA103" s="603"/>
      <c r="AB103" s="603"/>
      <c r="AC103" s="603"/>
      <c r="AL103" s="1219" t="s">
        <v>1410</v>
      </c>
      <c r="AM103" s="1218"/>
      <c r="AN103" s="559" t="s">
        <v>1404</v>
      </c>
      <c r="AO103" s="571"/>
      <c r="AP103" s="560">
        <f>'Income Statement'!Z20</f>
        <v>1298</v>
      </c>
      <c r="AQ103" s="1229"/>
      <c r="AR103" s="638">
        <v>1618.956264963902</v>
      </c>
      <c r="AS103" s="633">
        <f>_xll.VisibleAlpha.UDF.VAData("SAF_FR",$AS$87,$AL103,"Consensus","CD","IMPL")</f>
        <v>1569.058650013561</v>
      </c>
      <c r="AT103" s="694">
        <v>1547</v>
      </c>
      <c r="AU103" s="1079">
        <f>AR103/AS103-1</f>
        <v>3.1800987776912981E-2</v>
      </c>
      <c r="AV103" s="1079">
        <f>AR103/AT103-1</f>
        <v>4.6513422730382725E-2</v>
      </c>
      <c r="AW103" s="1076">
        <f>AR103/AP103-1</f>
        <v>0.24726984974106458</v>
      </c>
      <c r="AX103" s="1076">
        <f>AT103/AP103-1</f>
        <v>0.19183359013867496</v>
      </c>
      <c r="AY103" s="571"/>
      <c r="AZ103" s="1251"/>
      <c r="BA103" s="769"/>
      <c r="BC103" s="1076"/>
      <c r="BD103" s="1076"/>
      <c r="BF103" s="1067"/>
    </row>
    <row r="104" spans="3:58" ht="15" customHeight="1">
      <c r="C104" s="614"/>
      <c r="D104" s="609"/>
      <c r="E104" s="608"/>
      <c r="F104" s="608"/>
      <c r="G104" s="608"/>
      <c r="H104" s="608"/>
      <c r="I104" s="599"/>
      <c r="J104" s="599"/>
      <c r="K104" s="599"/>
      <c r="L104" s="599"/>
      <c r="M104" s="606"/>
      <c r="N104" s="606"/>
      <c r="O104" s="606"/>
      <c r="P104" s="599"/>
      <c r="Q104" s="599"/>
      <c r="R104" s="599"/>
      <c r="S104" s="599"/>
      <c r="T104" s="606"/>
      <c r="U104" s="599"/>
      <c r="V104" s="622"/>
      <c r="W104" s="599"/>
      <c r="X104" s="599"/>
      <c r="Y104" s="599"/>
      <c r="Z104" s="599"/>
      <c r="AA104" s="599"/>
      <c r="AB104" s="599"/>
      <c r="AC104" s="599"/>
      <c r="AL104" s="1219"/>
      <c r="AM104" s="1218"/>
      <c r="AN104" s="581" t="s">
        <v>996</v>
      </c>
      <c r="AO104" s="622"/>
      <c r="AP104" s="669">
        <f>AP103/AP96</f>
        <v>0.12224524392540968</v>
      </c>
      <c r="AQ104" s="1230"/>
      <c r="AR104" s="666">
        <f>AR103/AR96</f>
        <v>0.13581880179524039</v>
      </c>
      <c r="AS104" s="669">
        <f>AS103/AS96</f>
        <v>0.128941865365793</v>
      </c>
      <c r="AT104" s="695">
        <f>AT103/AT96</f>
        <v>0.13160357294768182</v>
      </c>
      <c r="AU104" s="993">
        <f>(AR104-AS104)*100</f>
        <v>0.68769364294473945</v>
      </c>
      <c r="AV104" s="993">
        <f>(AR104-AT104)*100</f>
        <v>0.42152288475585664</v>
      </c>
      <c r="AW104" s="994">
        <f>(AR104-AP104)*100</f>
        <v>1.3573557869830708</v>
      </c>
      <c r="AX104" s="994">
        <f>(AT104-AP104)*100</f>
        <v>0.93583290222721405</v>
      </c>
      <c r="AY104" s="622"/>
      <c r="AZ104" s="1249"/>
      <c r="BA104" s="768"/>
      <c r="BC104" s="994"/>
      <c r="BD104" s="994"/>
      <c r="BF104" s="1067"/>
    </row>
    <row r="105" spans="3:58" ht="15" customHeight="1">
      <c r="C105" s="614"/>
      <c r="D105" s="628"/>
      <c r="E105" s="553"/>
      <c r="F105" s="553"/>
      <c r="G105" s="553"/>
      <c r="H105" s="553"/>
      <c r="I105" s="598"/>
      <c r="J105" s="598"/>
      <c r="K105" s="598"/>
      <c r="L105" s="598"/>
      <c r="M105" s="609"/>
      <c r="N105" s="609"/>
      <c r="O105" s="609"/>
      <c r="P105" s="598"/>
      <c r="Q105" s="598"/>
      <c r="R105" s="598"/>
      <c r="S105" s="598"/>
      <c r="T105" s="609"/>
      <c r="U105" s="598"/>
      <c r="V105" s="552"/>
      <c r="W105" s="598"/>
      <c r="X105" s="598"/>
      <c r="Y105" s="598"/>
      <c r="Z105" s="598"/>
      <c r="AA105" s="598"/>
      <c r="AB105" s="598"/>
      <c r="AC105" s="598"/>
      <c r="AL105" s="1219" t="s">
        <v>1411</v>
      </c>
      <c r="AM105" s="1218"/>
      <c r="AN105" s="559" t="s">
        <v>1293</v>
      </c>
      <c r="AO105" s="552"/>
      <c r="AP105" s="560">
        <f>'Income Statement'!Z21</f>
        <v>27</v>
      </c>
      <c r="AQ105" s="1231"/>
      <c r="AR105" s="638">
        <v>192.77504964939797</v>
      </c>
      <c r="AS105" s="633">
        <f>_xll.VisibleAlpha.UDF.VAData("SAF_FR",$AS$87,$AL105,"Consensus","CD","IMPL")</f>
        <v>102.27185995822978</v>
      </c>
      <c r="AT105" s="694">
        <v>112</v>
      </c>
      <c r="AU105" s="1079">
        <f>AR105/AS105-1</f>
        <v>0.88492758152762452</v>
      </c>
      <c r="AV105" s="1079">
        <f>AR105/AT105-1</f>
        <v>0.72120580044105331</v>
      </c>
      <c r="AW105" s="1076">
        <f>AR105/AP105-1</f>
        <v>6.1398166536814065</v>
      </c>
      <c r="AX105" s="1076">
        <f>AT105/AP105-1</f>
        <v>3.1481481481481479</v>
      </c>
      <c r="AY105" s="552"/>
      <c r="AZ105" s="1251"/>
      <c r="BA105" s="769"/>
      <c r="BC105" s="1076"/>
      <c r="BD105" s="1076"/>
      <c r="BF105" s="1067"/>
    </row>
    <row r="106" spans="3:58" ht="15" customHeight="1">
      <c r="C106" s="614"/>
      <c r="D106" s="609"/>
      <c r="E106" s="606"/>
      <c r="F106" s="606"/>
      <c r="G106" s="606"/>
      <c r="H106" s="606"/>
      <c r="I106" s="606"/>
      <c r="J106" s="606"/>
      <c r="K106" s="606"/>
      <c r="L106" s="606"/>
      <c r="M106" s="598"/>
      <c r="N106" s="598"/>
      <c r="O106" s="598"/>
      <c r="P106" s="608"/>
      <c r="Q106" s="606"/>
      <c r="R106" s="606"/>
      <c r="S106" s="608"/>
      <c r="T106" s="598"/>
      <c r="U106" s="608"/>
      <c r="V106" s="576"/>
      <c r="W106" s="608"/>
      <c r="X106" s="608"/>
      <c r="Y106" s="608"/>
      <c r="Z106" s="608"/>
      <c r="AA106" s="608"/>
      <c r="AB106" s="608"/>
      <c r="AC106" s="608"/>
      <c r="AL106" s="1219"/>
      <c r="AM106" s="1218"/>
      <c r="AN106" s="581" t="s">
        <v>996</v>
      </c>
      <c r="AO106" s="576"/>
      <c r="AP106" s="669">
        <f>AP105/AP97</f>
        <v>8.8903523213697735E-3</v>
      </c>
      <c r="AQ106" s="1228"/>
      <c r="AR106" s="666">
        <f>AR105/AR97</f>
        <v>5.5708733373745489E-2</v>
      </c>
      <c r="AS106" s="669">
        <f>AS105/AS97</f>
        <v>2.9789790298439447E-2</v>
      </c>
      <c r="AT106" s="695">
        <f>AT105/AT97</f>
        <v>3.2605531295487628E-2</v>
      </c>
      <c r="AU106" s="993">
        <f>(AR106-AS106)*100</f>
        <v>2.5918943075306045</v>
      </c>
      <c r="AV106" s="993">
        <f>(AR106-AT106)*100</f>
        <v>2.3103202078257863</v>
      </c>
      <c r="AW106" s="994">
        <f>(AR106-AP106)*100</f>
        <v>4.6818381052375715</v>
      </c>
      <c r="AX106" s="994">
        <f>(AT106-AP106)*100</f>
        <v>2.3715178974117852</v>
      </c>
      <c r="AY106" s="576"/>
      <c r="AZ106" s="1249"/>
      <c r="BA106" s="768"/>
      <c r="BC106" s="994"/>
      <c r="BD106" s="994"/>
      <c r="BF106" s="1067"/>
    </row>
    <row r="107" spans="3:58" ht="15" customHeight="1">
      <c r="C107" s="614"/>
      <c r="D107" s="609"/>
      <c r="E107" s="605"/>
      <c r="F107" s="605"/>
      <c r="G107" s="605"/>
      <c r="H107" s="605"/>
      <c r="I107" s="605"/>
      <c r="J107" s="605"/>
      <c r="K107" s="605"/>
      <c r="L107" s="605"/>
      <c r="M107" s="615"/>
      <c r="N107" s="615"/>
      <c r="O107" s="615"/>
      <c r="P107" s="598"/>
      <c r="Q107" s="605"/>
      <c r="R107" s="605"/>
      <c r="S107" s="598"/>
      <c r="T107" s="615"/>
      <c r="U107" s="598"/>
      <c r="V107" s="618"/>
      <c r="W107" s="598"/>
      <c r="X107" s="598"/>
      <c r="Y107" s="598"/>
      <c r="Z107" s="598"/>
      <c r="AA107" s="598"/>
      <c r="AB107" s="598"/>
      <c r="AC107" s="598"/>
      <c r="AL107" s="1219" t="s">
        <v>1414</v>
      </c>
      <c r="AM107" s="1218"/>
      <c r="AN107" s="631" t="s">
        <v>1415</v>
      </c>
      <c r="AO107" s="618"/>
      <c r="AP107" s="564">
        <f>'Income Statement'!Z23</f>
        <v>4119</v>
      </c>
      <c r="AQ107" s="1232"/>
      <c r="AR107" s="636">
        <v>5134.1580303635774</v>
      </c>
      <c r="AS107" s="564">
        <f>_xll.VisibleAlpha.UDF.VAData("SAF_FR",$AS$87,$AL107,"Consensus","CD","IMPL")</f>
        <v>5119.870342091227</v>
      </c>
      <c r="AT107" s="692">
        <v>4891</v>
      </c>
      <c r="AU107" s="1080">
        <f>AR107/AS107-1</f>
        <v>2.790634785199364E-3</v>
      </c>
      <c r="AV107" s="1080">
        <f>AR107/AT107-1</f>
        <v>4.9715401832667538E-2</v>
      </c>
      <c r="AW107" s="1077">
        <f>AR107/AP107-1</f>
        <v>0.24645739994260185</v>
      </c>
      <c r="AX107" s="1077">
        <f>AT107/AP107-1</f>
        <v>0.18742413207089093</v>
      </c>
      <c r="AY107" s="618"/>
      <c r="AZ107" s="1252" t="s">
        <v>1839</v>
      </c>
      <c r="BA107" s="1236" t="s">
        <v>2008</v>
      </c>
      <c r="BC107" s="1077">
        <f>BF107/AR107-1</f>
        <v>-5.5346568742734026E-2</v>
      </c>
      <c r="BD107" s="1077">
        <f>BF107/AT107-1</f>
        <v>-8.382743815170679E-3</v>
      </c>
      <c r="BF107" s="1068">
        <v>4850</v>
      </c>
    </row>
    <row r="108" spans="3:58" ht="15" customHeight="1">
      <c r="C108" s="614"/>
      <c r="D108" s="609"/>
      <c r="E108" s="606"/>
      <c r="F108" s="606"/>
      <c r="G108" s="606"/>
      <c r="H108" s="606"/>
      <c r="I108" s="606"/>
      <c r="J108" s="606"/>
      <c r="K108" s="606"/>
      <c r="L108" s="606"/>
      <c r="M108" s="598"/>
      <c r="N108" s="598"/>
      <c r="O108" s="598"/>
      <c r="P108" s="608"/>
      <c r="Q108" s="606"/>
      <c r="R108" s="606"/>
      <c r="S108" s="608"/>
      <c r="T108" s="598"/>
      <c r="U108" s="608"/>
      <c r="V108" s="576"/>
      <c r="W108" s="608"/>
      <c r="X108" s="608"/>
      <c r="Y108" s="608"/>
      <c r="Z108" s="608"/>
      <c r="AA108" s="608"/>
      <c r="AB108" s="608"/>
      <c r="AC108" s="608"/>
      <c r="AL108" s="1219"/>
      <c r="AM108" s="1218"/>
      <c r="AN108" s="581" t="s">
        <v>996</v>
      </c>
      <c r="AO108" s="576"/>
      <c r="AP108" s="670">
        <f>AP107/AP99</f>
        <v>0.15078522531756783</v>
      </c>
      <c r="AQ108" s="1228"/>
      <c r="AR108" s="667">
        <f>AR107/AR99</f>
        <v>0.16597042085299277</v>
      </c>
      <c r="AS108" s="670">
        <f>AS107/AS99</f>
        <v>0.1647266074710618</v>
      </c>
      <c r="AT108" s="696">
        <f>AT107/AT99</f>
        <v>0.16060815026434178</v>
      </c>
      <c r="AU108" s="993">
        <f>(AR108-AS108)*100</f>
        <v>0.12438133819309694</v>
      </c>
      <c r="AV108" s="993">
        <f>(AR108-AT108)*100</f>
        <v>0.53622705886509914</v>
      </c>
      <c r="AW108" s="994">
        <f>(AR108-AP108)*100</f>
        <v>1.518519553542494</v>
      </c>
      <c r="AX108" s="994">
        <f>(AT108-AP108)*100</f>
        <v>0.98229249467739477</v>
      </c>
      <c r="AY108" s="576"/>
      <c r="AZ108" s="1253"/>
      <c r="BA108" s="980"/>
      <c r="BC108" s="994">
        <f>(BF108-AR108)*100</f>
        <v>-0.45657677398797114</v>
      </c>
      <c r="BD108" s="994">
        <f>(BF108-AT108)*100</f>
        <v>7.9650284877127997E-2</v>
      </c>
      <c r="BF108" s="1069">
        <f>BF107/BF99</f>
        <v>0.16140465311311306</v>
      </c>
    </row>
    <row r="109" spans="3:58" ht="15" customHeight="1">
      <c r="C109" s="614"/>
      <c r="D109" s="609"/>
      <c r="E109" s="629"/>
      <c r="F109" s="629"/>
      <c r="G109" s="629"/>
      <c r="H109" s="629"/>
      <c r="I109" s="606"/>
      <c r="J109" s="606"/>
      <c r="K109" s="606"/>
      <c r="L109" s="606"/>
      <c r="M109" s="598"/>
      <c r="N109" s="598"/>
      <c r="O109" s="598"/>
      <c r="P109" s="608"/>
      <c r="Q109" s="606"/>
      <c r="R109" s="606"/>
      <c r="S109" s="608"/>
      <c r="T109" s="598"/>
      <c r="U109" s="608"/>
      <c r="V109" s="576"/>
      <c r="W109" s="608"/>
      <c r="X109" s="608"/>
      <c r="Y109" s="608"/>
      <c r="Z109" s="608"/>
      <c r="AA109" s="608"/>
      <c r="AB109" s="608"/>
      <c r="AC109" s="608"/>
      <c r="AL109" s="1219" t="s">
        <v>1416</v>
      </c>
      <c r="AM109" s="1218"/>
      <c r="AN109" s="631" t="s">
        <v>979</v>
      </c>
      <c r="AO109" s="576"/>
      <c r="AP109" s="564">
        <f>INDEX(OpMod!$271:$271,MATCH(AP$93,OpMod!$9:$9,0))</f>
        <v>3189</v>
      </c>
      <c r="AQ109" s="1228"/>
      <c r="AR109" s="636">
        <v>3448.8574610911833</v>
      </c>
      <c r="AS109" s="564">
        <f>_xll.VisibleAlpha.UDF.VAData("SAF_FR",$AS$87,$AL109,"Consensus","CD","IMPL")</f>
        <v>3482.1751622187412</v>
      </c>
      <c r="AT109" s="692">
        <v>3168</v>
      </c>
      <c r="AU109" s="1080">
        <f>AR109/AS109-1</f>
        <v>-9.5680715574137931E-3</v>
      </c>
      <c r="AV109" s="1080">
        <f>AR109/AT109-1</f>
        <v>8.865450160706545E-2</v>
      </c>
      <c r="AW109" s="1077">
        <f>AR109/AP109-1</f>
        <v>8.1485563214544809E-2</v>
      </c>
      <c r="AX109" s="1077">
        <f>AT109/AP109-1</f>
        <v>-6.5851364063970186E-3</v>
      </c>
      <c r="AY109" s="576"/>
      <c r="AZ109" s="1250" t="s">
        <v>1841</v>
      </c>
      <c r="BA109" s="1236" t="s">
        <v>2009</v>
      </c>
      <c r="BC109" s="1077">
        <f>BF109/AR109-1</f>
        <v>-0.10115160311113824</v>
      </c>
      <c r="BD109" s="1077">
        <f>BF109/AT109-1</f>
        <v>-2.146464646464652E-2</v>
      </c>
      <c r="BF109" s="1068">
        <v>3100</v>
      </c>
    </row>
    <row r="110" spans="3:58" ht="3.75" customHeight="1">
      <c r="C110" s="614"/>
      <c r="D110" s="612"/>
      <c r="E110" s="607"/>
      <c r="F110" s="607"/>
      <c r="G110" s="607"/>
      <c r="H110" s="607"/>
      <c r="I110" s="607"/>
      <c r="J110" s="607"/>
      <c r="K110" s="607"/>
      <c r="L110" s="607"/>
      <c r="M110" s="604"/>
      <c r="N110" s="604"/>
      <c r="O110" s="604"/>
      <c r="P110" s="610"/>
      <c r="Q110" s="607"/>
      <c r="R110" s="607"/>
      <c r="S110" s="610"/>
      <c r="T110" s="604"/>
      <c r="U110" s="610"/>
      <c r="V110" s="571"/>
      <c r="W110" s="610"/>
      <c r="X110" s="610"/>
      <c r="Y110" s="610"/>
      <c r="Z110" s="610"/>
      <c r="AA110" s="610"/>
      <c r="AB110" s="610"/>
      <c r="AC110" s="610"/>
      <c r="AJ110" s="570"/>
      <c r="AL110" s="1219"/>
      <c r="AM110" s="1218"/>
      <c r="AQ110" s="715"/>
      <c r="AR110" s="714"/>
      <c r="AT110" s="715"/>
      <c r="AU110" s="1081"/>
      <c r="AV110" s="1081"/>
      <c r="AW110" s="1078"/>
      <c r="AX110" s="1078"/>
      <c r="AZ110" s="1254"/>
      <c r="BA110" s="935"/>
      <c r="BC110" s="1078"/>
      <c r="BD110" s="1078"/>
      <c r="BF110" s="1071"/>
    </row>
    <row r="111" spans="3:58" ht="15" customHeight="1">
      <c r="C111" s="614"/>
      <c r="D111" s="609"/>
      <c r="E111" s="605"/>
      <c r="F111" s="605"/>
      <c r="G111" s="605"/>
      <c r="H111" s="605"/>
      <c r="I111" s="605"/>
      <c r="J111" s="605"/>
      <c r="K111" s="605"/>
      <c r="L111" s="605"/>
      <c r="M111" s="615"/>
      <c r="N111" s="615"/>
      <c r="O111" s="615"/>
      <c r="P111" s="598"/>
      <c r="Q111" s="605"/>
      <c r="R111" s="605"/>
      <c r="S111" s="598"/>
      <c r="T111" s="615"/>
      <c r="U111" s="598"/>
      <c r="V111" s="618"/>
      <c r="W111" s="598"/>
      <c r="X111" s="598"/>
      <c r="Y111" s="598"/>
      <c r="Z111" s="598"/>
      <c r="AA111" s="598"/>
      <c r="AB111" s="598"/>
      <c r="AC111" s="598"/>
      <c r="AL111" s="1219" t="s">
        <v>1662</v>
      </c>
      <c r="AM111" s="1218"/>
      <c r="AN111" s="631" t="s">
        <v>1724</v>
      </c>
      <c r="AO111" s="618"/>
      <c r="AP111" s="744">
        <v>2.9</v>
      </c>
      <c r="AQ111" s="1232"/>
      <c r="AR111" s="745">
        <v>3.5018801820075902</v>
      </c>
      <c r="AS111" s="1261">
        <f>_xll.VisibleAlpha.UDF.VAData("SAF_FR",$AS$87,$AL111,"Consensus","CD","IMPL")</f>
        <v>3.2441771031859421</v>
      </c>
      <c r="AT111" s="746">
        <f>AS111</f>
        <v>3.2441771031859421</v>
      </c>
      <c r="AU111" s="1080">
        <f>AR111/AS111-1</f>
        <v>7.9435576611576186E-2</v>
      </c>
      <c r="AV111" s="1080">
        <f>AR111/AT111-1</f>
        <v>7.9435576611576186E-2</v>
      </c>
      <c r="AW111" s="1077">
        <f>AR111/AP111-1</f>
        <v>0.20754489034744483</v>
      </c>
      <c r="AX111" s="1077">
        <f>AT111/AP111-1</f>
        <v>0.1186817597192904</v>
      </c>
      <c r="AY111" s="618"/>
      <c r="AZ111" s="1255"/>
      <c r="BA111" s="771"/>
      <c r="BC111" s="1077"/>
      <c r="BD111" s="1077"/>
      <c r="BF111" s="1071"/>
    </row>
    <row r="112" spans="3:58" ht="3.75" customHeight="1">
      <c r="C112" s="614"/>
      <c r="D112" s="612"/>
      <c r="E112" s="607"/>
      <c r="F112" s="607"/>
      <c r="G112" s="607"/>
      <c r="H112" s="607"/>
      <c r="I112" s="607"/>
      <c r="J112" s="607"/>
      <c r="K112" s="607"/>
      <c r="L112" s="607"/>
      <c r="M112" s="604"/>
      <c r="N112" s="604"/>
      <c r="O112" s="604"/>
      <c r="P112" s="610"/>
      <c r="Q112" s="607"/>
      <c r="R112" s="607"/>
      <c r="S112" s="610"/>
      <c r="T112" s="604"/>
      <c r="U112" s="610"/>
      <c r="V112" s="571"/>
      <c r="W112" s="610"/>
      <c r="X112" s="610"/>
      <c r="Y112" s="610"/>
      <c r="Z112" s="610"/>
      <c r="AA112" s="610"/>
      <c r="AB112" s="610"/>
      <c r="AC112" s="610"/>
      <c r="AJ112" s="570"/>
      <c r="AL112" s="1219"/>
      <c r="AM112" s="1218"/>
      <c r="AQ112" s="715"/>
      <c r="AR112" s="714"/>
      <c r="AT112" s="715"/>
      <c r="AU112" s="716"/>
      <c r="AV112" s="716"/>
      <c r="AZ112" s="1254"/>
      <c r="BA112" s="935"/>
      <c r="BF112" s="1071"/>
    </row>
    <row r="113" spans="3:58" ht="15" hidden="1" customHeight="1" outlineLevel="1">
      <c r="C113" s="614"/>
      <c r="D113" s="609"/>
      <c r="E113" s="608"/>
      <c r="F113" s="608"/>
      <c r="G113" s="608"/>
      <c r="H113" s="608"/>
      <c r="I113" s="606"/>
      <c r="J113" s="606"/>
      <c r="K113" s="606"/>
      <c r="L113" s="606"/>
      <c r="M113" s="598"/>
      <c r="N113" s="598"/>
      <c r="O113" s="598"/>
      <c r="P113" s="608"/>
      <c r="Q113" s="606"/>
      <c r="R113" s="606"/>
      <c r="S113" s="608"/>
      <c r="T113" s="598"/>
      <c r="U113" s="608"/>
      <c r="V113" s="576"/>
      <c r="W113" s="608"/>
      <c r="X113" s="608"/>
      <c r="Y113" s="608"/>
      <c r="Z113" s="608"/>
      <c r="AA113" s="608"/>
      <c r="AB113" s="608"/>
      <c r="AC113" s="608"/>
      <c r="AL113" s="1219"/>
      <c r="AM113" s="1218"/>
      <c r="AN113" s="758" t="s">
        <v>1530</v>
      </c>
      <c r="AO113" s="997"/>
      <c r="AP113" s="759">
        <f>INDEX(OpMod!$61:$61,MATCH(AP$93,OpMod!$9:$9,0))</f>
        <v>7607.4709401259779</v>
      </c>
      <c r="AQ113" s="1233"/>
      <c r="AR113" s="1000">
        <v>9003.1238435554515</v>
      </c>
      <c r="AS113" s="759"/>
      <c r="AT113" s="1001">
        <f>AP113*(1+AT114)</f>
        <v>8796.8263164060791</v>
      </c>
      <c r="AU113" s="998"/>
      <c r="AV113" s="998"/>
      <c r="AW113" s="999"/>
      <c r="AX113" s="999"/>
      <c r="AY113" s="997"/>
      <c r="AZ113" s="1256"/>
      <c r="BA113" s="979"/>
      <c r="BC113" s="999"/>
      <c r="BD113" s="999"/>
      <c r="BF113" s="1070">
        <f>AP113*(1+BF114)</f>
        <v>7607.4709401259779</v>
      </c>
    </row>
    <row r="114" spans="3:58" ht="48" collapsed="1">
      <c r="C114" s="614"/>
      <c r="D114" s="609"/>
      <c r="E114" s="608"/>
      <c r="F114" s="608"/>
      <c r="G114" s="608"/>
      <c r="H114" s="608"/>
      <c r="I114" s="606"/>
      <c r="J114" s="606"/>
      <c r="K114" s="606"/>
      <c r="L114" s="606"/>
      <c r="M114" s="598"/>
      <c r="N114" s="598"/>
      <c r="O114" s="598"/>
      <c r="P114" s="608"/>
      <c r="Q114" s="606"/>
      <c r="R114" s="606"/>
      <c r="S114" s="608"/>
      <c r="T114" s="598"/>
      <c r="U114" s="608"/>
      <c r="V114" s="576"/>
      <c r="W114" s="608"/>
      <c r="X114" s="608"/>
      <c r="Y114" s="608"/>
      <c r="Z114" s="608"/>
      <c r="AA114" s="608"/>
      <c r="AB114" s="608"/>
      <c r="AC114" s="608"/>
      <c r="AL114" s="1219" t="s">
        <v>1417</v>
      </c>
      <c r="AM114" s="1218"/>
      <c r="AN114" s="631" t="s">
        <v>1725</v>
      </c>
      <c r="AO114" s="576"/>
      <c r="AP114" s="131">
        <f>INDEX(OpMod!$62:$62,MATCH(AP$93,OpMod!$9:$9,0))</f>
        <v>0.24175962007046214</v>
      </c>
      <c r="AQ114" s="1228"/>
      <c r="AR114" s="1083">
        <v>0.18988968070685597</v>
      </c>
      <c r="AS114" s="131">
        <f>_xll.VisibleAlpha.UDF.VAData("SAF_FR",$AS$87,$AL114,"Consensus","CD","IMPL")/100</f>
        <v>0.15634044291997051</v>
      </c>
      <c r="AT114" s="1084">
        <f>AS114</f>
        <v>0.15634044291997051</v>
      </c>
      <c r="AU114" s="995">
        <f>(AR114-AS114)*100</f>
        <v>3.3549237786885455</v>
      </c>
      <c r="AV114" s="995">
        <f>(AR114-AT114)*100</f>
        <v>3.3549237786885455</v>
      </c>
      <c r="AW114" s="996">
        <f>(AR114-AP114)*100</f>
        <v>-5.1869939363606177</v>
      </c>
      <c r="AX114" s="996">
        <f>(AT114-AP114)*100</f>
        <v>-8.5419177150491628</v>
      </c>
      <c r="AY114" s="576"/>
      <c r="AZ114" s="1488" t="s">
        <v>1847</v>
      </c>
      <c r="BA114" s="1240" t="s">
        <v>2010</v>
      </c>
      <c r="BC114" s="996"/>
      <c r="BD114" s="996"/>
      <c r="BF114" s="1072"/>
    </row>
    <row r="115" spans="3:58" ht="3.75" customHeight="1">
      <c r="C115" s="614"/>
      <c r="D115" s="612"/>
      <c r="E115" s="607"/>
      <c r="F115" s="607"/>
      <c r="G115" s="607"/>
      <c r="H115" s="607"/>
      <c r="I115" s="607"/>
      <c r="J115" s="607"/>
      <c r="K115" s="607"/>
      <c r="L115" s="607"/>
      <c r="M115" s="604"/>
      <c r="N115" s="604"/>
      <c r="O115" s="604"/>
      <c r="P115" s="610"/>
      <c r="Q115" s="607"/>
      <c r="R115" s="607"/>
      <c r="S115" s="610"/>
      <c r="T115" s="604"/>
      <c r="U115" s="610"/>
      <c r="V115" s="571"/>
      <c r="W115" s="610"/>
      <c r="X115" s="610"/>
      <c r="Y115" s="610"/>
      <c r="Z115" s="610"/>
      <c r="AA115" s="610"/>
      <c r="AB115" s="610"/>
      <c r="AC115" s="610"/>
      <c r="AJ115" s="570"/>
      <c r="AL115" s="1219"/>
      <c r="AM115" s="1218"/>
      <c r="AQ115" s="715"/>
      <c r="AR115" s="714"/>
      <c r="AT115" s="715"/>
      <c r="AU115" s="716"/>
      <c r="AV115" s="716"/>
      <c r="AZ115" s="1254"/>
      <c r="BA115" s="935"/>
      <c r="BF115" s="1071"/>
    </row>
    <row r="116" spans="3:58" ht="15" customHeight="1">
      <c r="C116" s="614"/>
      <c r="D116" s="609"/>
      <c r="E116" s="605"/>
      <c r="F116" s="605"/>
      <c r="G116" s="605"/>
      <c r="H116" s="605"/>
      <c r="I116" s="605"/>
      <c r="J116" s="605"/>
      <c r="K116" s="605"/>
      <c r="L116" s="605"/>
      <c r="M116" s="616"/>
      <c r="N116" s="616"/>
      <c r="O116" s="616"/>
      <c r="P116" s="598"/>
      <c r="Q116" s="605"/>
      <c r="R116" s="605"/>
      <c r="S116" s="598"/>
      <c r="T116" s="616"/>
      <c r="U116" s="598"/>
      <c r="V116" s="623"/>
      <c r="W116" s="598"/>
      <c r="X116" s="598"/>
      <c r="Y116" s="598"/>
      <c r="Z116" s="598"/>
      <c r="AA116" s="598"/>
      <c r="AB116" s="598"/>
      <c r="AC116" s="598"/>
      <c r="AJ116" s="570"/>
      <c r="AL116" s="1219" t="s">
        <v>1719</v>
      </c>
      <c r="AM116" s="1218"/>
      <c r="AN116" s="597" t="s">
        <v>1705</v>
      </c>
      <c r="AO116" s="576"/>
      <c r="AP116" s="564">
        <f>INDEX(OpMod!$45:$45,MATCH(AP$93,OpMod!$9:$9,0))</f>
        <v>1407</v>
      </c>
      <c r="AQ116" s="1228"/>
      <c r="AR116" s="636">
        <v>1825</v>
      </c>
      <c r="AS116" s="564">
        <f>_xll.VisibleAlpha.UDF.VAData("SAF_FR",$AS$87,$AL116,"Consensus","CD","IMPL")</f>
        <v>1670.8561111111112</v>
      </c>
      <c r="AT116" s="692">
        <f>AS116</f>
        <v>1670.8561111111112</v>
      </c>
      <c r="AU116" s="1080">
        <f>AR116/AS116-1</f>
        <v>9.2254436431622899E-2</v>
      </c>
      <c r="AV116" s="1080">
        <f>AR116/AT116-1</f>
        <v>9.2254436431622899E-2</v>
      </c>
      <c r="AW116" s="1077">
        <f>AR116/AP116-1</f>
        <v>0.2970859985785359</v>
      </c>
      <c r="AX116" s="1077">
        <f>AT116/AP116-1</f>
        <v>0.18753099581457788</v>
      </c>
      <c r="AZ116" s="1257" t="s">
        <v>1842</v>
      </c>
      <c r="BA116" s="1235" t="s">
        <v>1842</v>
      </c>
      <c r="BC116" s="1077"/>
      <c r="BD116" s="1077"/>
      <c r="BF116" s="1071"/>
    </row>
    <row r="117" spans="3:58" ht="6" customHeight="1">
      <c r="C117" s="614"/>
      <c r="D117" s="630"/>
      <c r="E117" s="611"/>
      <c r="F117" s="611"/>
      <c r="G117" s="611"/>
      <c r="H117" s="611"/>
      <c r="I117" s="608"/>
      <c r="J117" s="608"/>
      <c r="K117" s="608"/>
      <c r="L117" s="608"/>
      <c r="M117" s="609"/>
      <c r="N117" s="609"/>
      <c r="O117" s="609"/>
      <c r="P117" s="608"/>
      <c r="Q117" s="608"/>
      <c r="R117" s="608"/>
      <c r="S117" s="608"/>
      <c r="T117" s="609"/>
      <c r="U117" s="608"/>
      <c r="V117" s="552"/>
      <c r="W117" s="608"/>
      <c r="X117" s="608"/>
      <c r="Y117" s="608"/>
      <c r="Z117" s="608"/>
      <c r="AA117" s="608"/>
      <c r="AB117" s="608"/>
      <c r="AC117" s="608"/>
      <c r="AJ117" s="625"/>
      <c r="AQ117" s="715"/>
      <c r="AR117" s="699"/>
      <c r="AS117" s="1262"/>
      <c r="AT117" s="700"/>
      <c r="AU117" s="717"/>
      <c r="AV117" s="717"/>
      <c r="AZ117" s="1258"/>
      <c r="BA117" s="934"/>
      <c r="BF117" s="1073"/>
    </row>
    <row r="118" spans="3:58" ht="46.5" customHeight="1">
      <c r="C118" s="614"/>
      <c r="D118" s="612"/>
      <c r="E118" s="607"/>
      <c r="F118" s="607"/>
      <c r="G118" s="607"/>
      <c r="H118" s="607"/>
      <c r="I118" s="607"/>
      <c r="J118" s="607"/>
      <c r="K118" s="607"/>
      <c r="L118" s="607"/>
      <c r="M118" s="604"/>
      <c r="N118" s="604"/>
      <c r="O118" s="604"/>
      <c r="P118" s="610"/>
      <c r="Q118" s="607"/>
      <c r="R118" s="607"/>
      <c r="S118" s="610"/>
      <c r="T118" s="604"/>
      <c r="U118" s="610"/>
      <c r="V118" s="571"/>
      <c r="W118" s="610"/>
      <c r="X118" s="610"/>
      <c r="Y118" s="610"/>
      <c r="Z118" s="610"/>
      <c r="AA118" s="610"/>
      <c r="AB118" s="610"/>
      <c r="AC118" s="610"/>
      <c r="AJ118" s="570"/>
      <c r="AN118" s="1237" t="s">
        <v>1706</v>
      </c>
      <c r="AZ118" s="1238" t="s">
        <v>1840</v>
      </c>
      <c r="BA118" s="1239" t="s">
        <v>1840</v>
      </c>
      <c r="BB118" s="1038"/>
      <c r="BE118" s="1038"/>
    </row>
    <row r="119" spans="3:58">
      <c r="C119" s="614"/>
      <c r="D119" s="612"/>
      <c r="E119" s="607"/>
      <c r="F119" s="607"/>
      <c r="G119" s="607"/>
      <c r="H119" s="607"/>
      <c r="I119" s="607"/>
      <c r="J119" s="607"/>
      <c r="K119" s="607"/>
      <c r="L119" s="607"/>
      <c r="M119" s="604"/>
      <c r="N119" s="604"/>
      <c r="O119" s="604"/>
      <c r="P119" s="610"/>
      <c r="Q119" s="607"/>
      <c r="R119" s="607"/>
      <c r="S119" s="610"/>
      <c r="T119" s="604"/>
      <c r="U119" s="610"/>
      <c r="V119" s="571"/>
      <c r="W119" s="610"/>
      <c r="X119" s="610"/>
      <c r="Y119" s="610"/>
      <c r="Z119" s="610"/>
      <c r="AA119" s="610"/>
      <c r="AB119" s="610"/>
      <c r="AC119" s="610"/>
      <c r="AJ119" s="570"/>
      <c r="AZ119" s="1048"/>
      <c r="BA119" s="1048"/>
      <c r="BB119" s="1038"/>
      <c r="BE119" s="1038"/>
    </row>
    <row r="120" spans="3:58" ht="13.5" customHeight="1">
      <c r="D120" s="112"/>
      <c r="E120" s="98"/>
      <c r="F120" s="98"/>
      <c r="G120" s="98"/>
      <c r="H120" s="98"/>
      <c r="I120" s="98"/>
      <c r="J120" s="98"/>
      <c r="K120" s="98"/>
      <c r="L120" s="98"/>
      <c r="M120" s="585"/>
      <c r="N120" s="585"/>
      <c r="Q120" s="586"/>
      <c r="R120" s="586"/>
      <c r="AN120" s="587"/>
      <c r="AO120" s="85"/>
      <c r="AP120" s="587"/>
      <c r="AQ120" s="85"/>
      <c r="AR120" s="1677" t="s">
        <v>1736</v>
      </c>
      <c r="AS120" s="1677"/>
      <c r="AT120" s="1677"/>
      <c r="AU120" s="685"/>
      <c r="AV120" s="685"/>
      <c r="AW120" s="685"/>
      <c r="AX120" s="685"/>
      <c r="AY120" s="85"/>
      <c r="AZ120" s="587"/>
      <c r="BA120" s="587"/>
      <c r="BB120" s="587"/>
      <c r="BC120" s="685"/>
      <c r="BD120" s="685"/>
      <c r="BE120" s="587"/>
    </row>
    <row r="121" spans="3:58" ht="3.75" customHeight="1">
      <c r="D121" s="112"/>
      <c r="E121" s="98"/>
      <c r="F121" s="98"/>
      <c r="G121" s="98"/>
      <c r="H121" s="98"/>
      <c r="I121" s="98"/>
      <c r="J121" s="98"/>
      <c r="K121" s="98"/>
      <c r="L121" s="98"/>
      <c r="M121" s="585"/>
      <c r="N121" s="585"/>
      <c r="Q121" s="586"/>
      <c r="R121" s="586"/>
      <c r="T121" s="613"/>
      <c r="U121" s="613"/>
      <c r="AN121" s="587"/>
      <c r="AO121" s="85"/>
      <c r="AP121" s="587"/>
      <c r="AQ121" s="85"/>
      <c r="AR121" s="672"/>
      <c r="AS121" s="688"/>
      <c r="AT121" s="688"/>
      <c r="AU121" s="734"/>
      <c r="AV121" s="734"/>
      <c r="AW121" s="587"/>
      <c r="AX121" s="587"/>
      <c r="AY121" s="85"/>
      <c r="AZ121" s="766"/>
      <c r="BA121" s="766"/>
      <c r="BB121" s="587"/>
      <c r="BC121" s="587"/>
      <c r="BD121" s="587"/>
      <c r="BE121" s="587"/>
      <c r="BF121" s="1065"/>
    </row>
    <row r="122" spans="3:58" ht="15" customHeight="1">
      <c r="D122" s="609"/>
      <c r="E122" s="609"/>
      <c r="F122" s="609"/>
      <c r="G122" s="609"/>
      <c r="H122" s="609"/>
      <c r="I122" s="609"/>
      <c r="J122" s="609"/>
      <c r="K122" s="609"/>
      <c r="L122" s="609"/>
      <c r="M122" s="609"/>
      <c r="N122" s="609"/>
      <c r="O122" s="609"/>
      <c r="P122" s="609"/>
      <c r="Q122" s="609"/>
      <c r="R122" s="609"/>
      <c r="S122" s="609"/>
      <c r="T122" s="613"/>
      <c r="U122" s="613"/>
      <c r="W122" s="609"/>
      <c r="X122" s="609"/>
      <c r="Y122" s="609"/>
      <c r="Z122" s="609"/>
      <c r="AA122" s="609"/>
      <c r="AB122" s="609"/>
      <c r="AC122" s="609"/>
      <c r="AN122" s="595" t="s">
        <v>732</v>
      </c>
      <c r="AO122" s="85"/>
      <c r="AP122" s="686" t="s">
        <v>740</v>
      </c>
      <c r="AQ122" s="85"/>
      <c r="AR122" s="687" t="s">
        <v>1659</v>
      </c>
      <c r="AS122" s="689" t="s">
        <v>1703</v>
      </c>
      <c r="AT122" s="689" t="s">
        <v>1661</v>
      </c>
      <c r="AU122" s="735" t="s">
        <v>1670</v>
      </c>
      <c r="AV122" s="735" t="s">
        <v>1670</v>
      </c>
      <c r="AW122" s="701" t="s">
        <v>1672</v>
      </c>
      <c r="AX122" s="701" t="s">
        <v>1673</v>
      </c>
      <c r="AY122" s="85"/>
      <c r="AZ122" s="747"/>
      <c r="BA122" s="747" t="s">
        <v>1629</v>
      </c>
      <c r="BB122" s="984"/>
      <c r="BC122" s="701" t="s">
        <v>1397</v>
      </c>
      <c r="BD122" s="701" t="s">
        <v>1397</v>
      </c>
      <c r="BE122" s="984"/>
      <c r="BF122" s="1066" t="s">
        <v>1734</v>
      </c>
    </row>
    <row r="123" spans="3:58" ht="15" customHeight="1">
      <c r="D123" s="90"/>
      <c r="E123" s="98"/>
      <c r="F123" s="98"/>
      <c r="G123" s="98"/>
      <c r="H123" s="98"/>
      <c r="I123" s="98"/>
      <c r="J123" s="98"/>
      <c r="K123" s="98"/>
      <c r="L123" s="98"/>
      <c r="M123" s="585"/>
      <c r="N123" s="585"/>
      <c r="O123" s="245"/>
      <c r="P123" s="245"/>
      <c r="Q123" s="245"/>
      <c r="R123" s="245"/>
      <c r="S123" s="245"/>
      <c r="T123" s="613"/>
      <c r="U123" s="613"/>
      <c r="V123" s="101"/>
      <c r="W123" s="245"/>
      <c r="X123" s="245"/>
      <c r="Y123" s="245"/>
      <c r="Z123" s="245"/>
      <c r="AA123" s="245"/>
      <c r="AB123" s="245"/>
      <c r="AC123" s="245"/>
      <c r="AK123" s="101"/>
      <c r="AL123" s="101"/>
      <c r="AM123" s="101"/>
      <c r="AN123" s="82" t="s">
        <v>1394</v>
      </c>
      <c r="AO123" s="245"/>
      <c r="AP123" s="686" t="s">
        <v>1644</v>
      </c>
      <c r="AQ123" s="245"/>
      <c r="AR123" s="687" t="s">
        <v>1737</v>
      </c>
      <c r="AS123" s="689" t="s">
        <v>1737</v>
      </c>
      <c r="AT123" s="689" t="s">
        <v>1737</v>
      </c>
      <c r="AU123" s="735" t="s">
        <v>1671</v>
      </c>
      <c r="AV123" s="735" t="s">
        <v>1671</v>
      </c>
      <c r="AW123" s="701" t="s">
        <v>953</v>
      </c>
      <c r="AX123" s="701" t="s">
        <v>953</v>
      </c>
      <c r="AY123" s="245"/>
      <c r="AZ123" s="747"/>
      <c r="BA123" s="747" t="s">
        <v>1733</v>
      </c>
      <c r="BB123" s="984"/>
      <c r="BC123" s="701" t="s">
        <v>1750</v>
      </c>
      <c r="BD123" s="701" t="s">
        <v>1749</v>
      </c>
      <c r="BE123" s="984"/>
      <c r="BF123" s="1066" t="s">
        <v>1733</v>
      </c>
    </row>
    <row r="124" spans="3:58" ht="15" customHeight="1">
      <c r="C124" s="614"/>
      <c r="D124" s="609"/>
      <c r="E124" s="624"/>
      <c r="F124" s="624"/>
      <c r="G124" s="624"/>
      <c r="H124" s="624"/>
      <c r="I124" s="624"/>
      <c r="J124" s="624"/>
      <c r="K124" s="624"/>
      <c r="L124" s="624"/>
      <c r="M124" s="624"/>
      <c r="N124" s="624"/>
      <c r="O124" s="624"/>
      <c r="P124" s="609"/>
      <c r="Q124" s="624"/>
      <c r="R124" s="624"/>
      <c r="S124" s="609"/>
      <c r="T124" s="613"/>
      <c r="U124" s="609"/>
      <c r="V124" s="619"/>
      <c r="W124" s="609"/>
      <c r="X124" s="609"/>
      <c r="Y124" s="609"/>
      <c r="Z124" s="609"/>
      <c r="AA124" s="609"/>
      <c r="AB124" s="609"/>
      <c r="AC124" s="609"/>
      <c r="AN124" s="596" t="s">
        <v>1267</v>
      </c>
      <c r="AO124" s="620"/>
      <c r="AP124" s="553"/>
      <c r="AQ124" s="620"/>
      <c r="AR124" s="634"/>
      <c r="AS124" s="690"/>
      <c r="AT124" s="690"/>
      <c r="AU124" s="736"/>
      <c r="AV124" s="736"/>
      <c r="AW124" s="553"/>
      <c r="AX124" s="553"/>
      <c r="AY124" s="620"/>
      <c r="AZ124" s="767"/>
      <c r="BA124" s="767"/>
      <c r="BB124" s="985"/>
      <c r="BC124" s="553"/>
      <c r="BD124" s="553"/>
      <c r="BE124" s="985"/>
      <c r="BF124" s="1066"/>
    </row>
    <row r="125" spans="3:58" ht="15" customHeight="1">
      <c r="C125" s="614"/>
      <c r="D125" s="609"/>
      <c r="E125" s="609"/>
      <c r="F125" s="609"/>
      <c r="G125" s="609"/>
      <c r="H125" s="609"/>
      <c r="I125" s="609"/>
      <c r="J125" s="609"/>
      <c r="K125" s="609"/>
      <c r="L125" s="609"/>
      <c r="M125" s="609"/>
      <c r="N125" s="609"/>
      <c r="O125" s="609"/>
      <c r="P125" s="600"/>
      <c r="Q125" s="609"/>
      <c r="R125" s="609"/>
      <c r="S125" s="600"/>
      <c r="T125" s="609"/>
      <c r="U125" s="600"/>
      <c r="V125" s="609"/>
      <c r="W125" s="600"/>
      <c r="X125" s="600"/>
      <c r="Y125" s="600"/>
      <c r="Z125" s="600"/>
      <c r="AA125" s="600"/>
      <c r="AB125" s="600"/>
      <c r="AC125" s="600"/>
      <c r="AN125" s="632" t="s">
        <v>978</v>
      </c>
      <c r="AO125" s="609"/>
      <c r="AP125" s="560">
        <v>6199</v>
      </c>
      <c r="AQ125" s="609"/>
      <c r="AR125" s="635">
        <v>6723.9375707251493</v>
      </c>
      <c r="AS125" s="691" t="e">
        <f ca="1">'GSe vs Consensus'!$BK$13</f>
        <v>#NAME?</v>
      </c>
      <c r="AT125" s="691">
        <f>AT95-L32</f>
        <v>7912</v>
      </c>
      <c r="AU125" s="1079" t="e">
        <f ca="1">AR125/AS125-1</f>
        <v>#NAME?</v>
      </c>
      <c r="AV125" s="1079">
        <f>AR125/AT125-1</f>
        <v>-0.15015955880622478</v>
      </c>
      <c r="AW125" s="1076">
        <f>AR125/AP125-1</f>
        <v>8.4681008344111852E-2</v>
      </c>
      <c r="AX125" s="1076">
        <f>AT125/AP125-1</f>
        <v>0.27633489272463296</v>
      </c>
      <c r="AY125" s="609"/>
      <c r="AZ125" s="768"/>
      <c r="BA125" s="768"/>
      <c r="BB125" s="981"/>
      <c r="BC125" s="990"/>
      <c r="BD125" s="990"/>
      <c r="BE125" s="981"/>
      <c r="BF125" s="1067"/>
    </row>
    <row r="126" spans="3:58" ht="15" customHeight="1">
      <c r="C126" s="614"/>
      <c r="D126" s="626"/>
      <c r="E126" s="553"/>
      <c r="F126" s="553"/>
      <c r="G126" s="553"/>
      <c r="H126" s="553"/>
      <c r="I126" s="553"/>
      <c r="J126" s="553"/>
      <c r="K126" s="553"/>
      <c r="L126" s="553"/>
      <c r="M126" s="601"/>
      <c r="N126" s="601"/>
      <c r="O126" s="601"/>
      <c r="P126" s="601"/>
      <c r="Q126" s="553"/>
      <c r="R126" s="553"/>
      <c r="S126" s="601"/>
      <c r="T126" s="601"/>
      <c r="U126" s="601"/>
      <c r="V126" s="617"/>
      <c r="W126" s="601"/>
      <c r="X126" s="601"/>
      <c r="Y126" s="601"/>
      <c r="Z126" s="601"/>
      <c r="AA126" s="601"/>
      <c r="AB126" s="601"/>
      <c r="AC126" s="601"/>
      <c r="AN126" s="559" t="s">
        <v>1404</v>
      </c>
      <c r="AO126" s="617"/>
      <c r="AP126" s="560">
        <v>4735</v>
      </c>
      <c r="AQ126" s="617"/>
      <c r="AR126" s="635">
        <v>5537.090649076501</v>
      </c>
      <c r="AS126" s="691" t="e">
        <f ca="1">'GSe vs Consensus'!$BK$14</f>
        <v>#NAME?</v>
      </c>
      <c r="AT126" s="691">
        <f>AT96-L33</f>
        <v>6307</v>
      </c>
      <c r="AU126" s="1079" t="e">
        <f ca="1">AR126/AS126-1</f>
        <v>#NAME?</v>
      </c>
      <c r="AV126" s="1079">
        <f>AR126/AT126-1</f>
        <v>-0.12207219770469302</v>
      </c>
      <c r="AW126" s="1076">
        <f>AR126/AP126-1</f>
        <v>0.16939612440897589</v>
      </c>
      <c r="AX126" s="1076">
        <f>AT126/AP126-1</f>
        <v>0.33199577613516373</v>
      </c>
      <c r="AY126" s="617"/>
      <c r="AZ126" s="768"/>
      <c r="BA126" s="768"/>
      <c r="BB126" s="981"/>
      <c r="BC126" s="990"/>
      <c r="BD126" s="990"/>
      <c r="BE126" s="981"/>
      <c r="BF126" s="1067"/>
    </row>
    <row r="127" spans="3:58" ht="15" customHeight="1">
      <c r="C127" s="614"/>
      <c r="D127" s="627"/>
      <c r="E127" s="553"/>
      <c r="F127" s="553"/>
      <c r="G127" s="553"/>
      <c r="H127" s="553"/>
      <c r="I127" s="553"/>
      <c r="J127" s="553"/>
      <c r="K127" s="553"/>
      <c r="L127" s="553"/>
      <c r="M127" s="601"/>
      <c r="N127" s="601"/>
      <c r="O127" s="601"/>
      <c r="P127" s="601"/>
      <c r="Q127" s="553"/>
      <c r="R127" s="553"/>
      <c r="S127" s="601"/>
      <c r="T127" s="601"/>
      <c r="U127" s="601"/>
      <c r="V127" s="617"/>
      <c r="W127" s="601"/>
      <c r="X127" s="601"/>
      <c r="Y127" s="601"/>
      <c r="Z127" s="601"/>
      <c r="AA127" s="601"/>
      <c r="AB127" s="601"/>
      <c r="AC127" s="601"/>
      <c r="AN127" s="559" t="s">
        <v>1293</v>
      </c>
      <c r="AO127" s="617"/>
      <c r="AP127" s="560">
        <v>1314</v>
      </c>
      <c r="AQ127" s="617"/>
      <c r="AR127" s="635">
        <v>1631.0762942980091</v>
      </c>
      <c r="AS127" s="691" t="e">
        <f ca="1">'GSe vs Consensus'!$BK$15</f>
        <v>#NAME?</v>
      </c>
      <c r="AT127" s="691">
        <f>AT97-L34</f>
        <v>1809</v>
      </c>
      <c r="AU127" s="1079" t="e">
        <f ca="1">AR127/AS127-1</f>
        <v>#NAME?</v>
      </c>
      <c r="AV127" s="1079">
        <f>AR127/AT127-1</f>
        <v>-9.835472952017188E-2</v>
      </c>
      <c r="AW127" s="1076">
        <f>AR127/AP127-1</f>
        <v>0.24130616004414684</v>
      </c>
      <c r="AX127" s="1076">
        <f>AT127/AP127-1</f>
        <v>0.37671232876712324</v>
      </c>
      <c r="AY127" s="617"/>
      <c r="AZ127" s="768"/>
      <c r="BA127" s="768"/>
      <c r="BB127" s="981"/>
      <c r="BC127" s="990"/>
      <c r="BD127" s="990"/>
      <c r="BE127" s="981"/>
      <c r="BF127" s="1067"/>
    </row>
    <row r="128" spans="3:58" ht="15" hidden="1" customHeight="1">
      <c r="C128" s="614"/>
      <c r="D128" s="628"/>
      <c r="E128" s="553"/>
      <c r="F128" s="553"/>
      <c r="G128" s="553"/>
      <c r="H128" s="553"/>
      <c r="I128" s="553"/>
      <c r="J128" s="553"/>
      <c r="K128" s="553"/>
      <c r="L128" s="553"/>
      <c r="M128" s="553"/>
      <c r="N128" s="553"/>
      <c r="O128" s="553"/>
      <c r="P128" s="601"/>
      <c r="Q128" s="553"/>
      <c r="R128" s="553"/>
      <c r="S128" s="601"/>
      <c r="T128" s="553"/>
      <c r="U128" s="601"/>
      <c r="V128" s="621"/>
      <c r="W128" s="601"/>
      <c r="X128" s="601"/>
      <c r="Y128" s="601"/>
      <c r="Z128" s="601"/>
      <c r="AA128" s="601"/>
      <c r="AB128" s="601"/>
      <c r="AC128" s="601"/>
      <c r="AN128" s="559" t="s">
        <v>776</v>
      </c>
      <c r="AO128" s="621"/>
      <c r="AP128" s="560">
        <v>0</v>
      </c>
      <c r="AQ128" s="621"/>
      <c r="AR128" s="635">
        <v>0</v>
      </c>
      <c r="AS128" s="691" t="e">
        <f ca="1">'GSe vs Consensus'!$BK$16</f>
        <v>#NAME?</v>
      </c>
      <c r="AT128" s="691" t="e">
        <v>#REF!</v>
      </c>
      <c r="AU128" s="1079" t="e">
        <f ca="1">AR128/AS128-1</f>
        <v>#NAME?</v>
      </c>
      <c r="AV128" s="1079" t="e">
        <f>AR128/AT128-1</f>
        <v>#REF!</v>
      </c>
      <c r="AW128" s="1076" t="e">
        <f>AR128/AP128-1</f>
        <v>#DIV/0!</v>
      </c>
      <c r="AX128" s="1076" t="e">
        <f>AT128/AP128-1</f>
        <v>#REF!</v>
      </c>
      <c r="AY128" s="621"/>
      <c r="AZ128" s="768"/>
      <c r="BA128" s="768"/>
      <c r="BB128" s="981"/>
      <c r="BC128" s="990"/>
      <c r="BD128" s="990"/>
      <c r="BE128" s="981"/>
      <c r="BF128" s="1067"/>
    </row>
    <row r="129" spans="3:62" ht="15" customHeight="1">
      <c r="C129" s="614"/>
      <c r="D129" s="609"/>
      <c r="E129" s="606"/>
      <c r="F129" s="606"/>
      <c r="G129" s="606"/>
      <c r="H129" s="606"/>
      <c r="I129" s="606"/>
      <c r="J129" s="606"/>
      <c r="K129" s="606"/>
      <c r="L129" s="606"/>
      <c r="M129" s="598"/>
      <c r="N129" s="598"/>
      <c r="O129" s="598"/>
      <c r="P129" s="601"/>
      <c r="Q129" s="606"/>
      <c r="R129" s="606"/>
      <c r="S129" s="601"/>
      <c r="T129" s="598"/>
      <c r="U129" s="601"/>
      <c r="V129" s="576"/>
      <c r="W129" s="601"/>
      <c r="X129" s="601"/>
      <c r="Y129" s="601"/>
      <c r="Z129" s="601"/>
      <c r="AA129" s="601"/>
      <c r="AB129" s="601"/>
      <c r="AC129" s="601"/>
      <c r="AN129" s="597" t="s">
        <v>1408</v>
      </c>
      <c r="AO129" s="576"/>
      <c r="AP129" s="564">
        <v>12254</v>
      </c>
      <c r="AQ129" s="576"/>
      <c r="AR129" s="636">
        <v>13898.104514099659</v>
      </c>
      <c r="AS129" s="692" t="e">
        <f ca="1">'GSe vs Consensus'!$BK$17</f>
        <v>#NAME?</v>
      </c>
      <c r="AT129" s="692">
        <f>AT99-L36</f>
        <v>16183</v>
      </c>
      <c r="AU129" s="1080" t="e">
        <f ca="1">AR129/AS129-1</f>
        <v>#NAME?</v>
      </c>
      <c r="AV129" s="1080">
        <f>AR129/AT129-1</f>
        <v>-0.14119109472287839</v>
      </c>
      <c r="AW129" s="1077">
        <f>AR129/AP129-1</f>
        <v>0.13416880317444591</v>
      </c>
      <c r="AX129" s="1077">
        <f>AT129/AP129-1</f>
        <v>0.32062999836787998</v>
      </c>
      <c r="AY129" s="576"/>
      <c r="AZ129" s="658"/>
      <c r="BA129" s="658" t="str">
        <f>"~ €"&amp;TEXT(ROUND(BF129/1000,1),"#,##0.0")&amp;"bn"</f>
        <v>~ €15.8bn</v>
      </c>
      <c r="BB129" s="986"/>
      <c r="BC129" s="1077">
        <f>BF129/AR129-1</f>
        <v>0.13531309136382386</v>
      </c>
      <c r="BD129" s="1077">
        <f>BF129/AT129-1</f>
        <v>-2.4983006859049528E-2</v>
      </c>
      <c r="BE129" s="986"/>
      <c r="BF129" s="1070">
        <f>BF99-L36</f>
        <v>15778.7</v>
      </c>
    </row>
    <row r="130" spans="3:62" ht="15" customHeight="1">
      <c r="C130" s="614"/>
      <c r="D130" s="609"/>
      <c r="E130" s="606"/>
      <c r="F130" s="606"/>
      <c r="G130" s="606"/>
      <c r="H130" s="606"/>
      <c r="I130" s="606"/>
      <c r="J130" s="606"/>
      <c r="K130" s="606"/>
      <c r="L130" s="606"/>
      <c r="M130" s="598"/>
      <c r="N130" s="598"/>
      <c r="O130" s="598"/>
      <c r="P130" s="601"/>
      <c r="Q130" s="606"/>
      <c r="R130" s="606"/>
      <c r="S130" s="601"/>
      <c r="T130" s="598"/>
      <c r="U130" s="601"/>
      <c r="V130" s="576"/>
      <c r="W130" s="601"/>
      <c r="X130" s="601"/>
      <c r="Y130" s="601"/>
      <c r="Z130" s="601"/>
      <c r="AA130" s="601"/>
      <c r="AB130" s="601"/>
      <c r="AC130" s="601"/>
      <c r="AN130" s="568" t="s">
        <v>287</v>
      </c>
      <c r="AO130" s="576"/>
      <c r="AP130" s="132"/>
      <c r="AQ130" s="576"/>
      <c r="AR130" s="637"/>
      <c r="AS130" s="693"/>
      <c r="AT130" s="693"/>
      <c r="AU130" s="1082"/>
      <c r="AV130" s="1082"/>
      <c r="AW130" s="571"/>
      <c r="AX130" s="571"/>
      <c r="AY130" s="576"/>
      <c r="AZ130" s="767"/>
      <c r="BA130" s="767"/>
      <c r="BB130" s="985"/>
      <c r="BC130" s="132"/>
      <c r="BD130" s="132"/>
      <c r="BE130" s="985"/>
      <c r="BF130" s="1067"/>
    </row>
    <row r="131" spans="3:62" ht="15" customHeight="1">
      <c r="C131" s="614"/>
      <c r="D131" s="609"/>
      <c r="E131" s="606"/>
      <c r="F131" s="606"/>
      <c r="G131" s="606"/>
      <c r="H131" s="606"/>
      <c r="I131" s="606"/>
      <c r="J131" s="606"/>
      <c r="K131" s="606"/>
      <c r="L131" s="606"/>
      <c r="M131" s="598"/>
      <c r="N131" s="598"/>
      <c r="O131" s="598"/>
      <c r="P131" s="602"/>
      <c r="Q131" s="606"/>
      <c r="R131" s="606"/>
      <c r="S131" s="602"/>
      <c r="T131" s="598"/>
      <c r="U131" s="602"/>
      <c r="V131" s="576"/>
      <c r="W131" s="602"/>
      <c r="X131" s="602"/>
      <c r="Y131" s="602"/>
      <c r="Z131" s="602"/>
      <c r="AA131" s="602"/>
      <c r="AB131" s="602"/>
      <c r="AC131" s="602"/>
      <c r="AN131" s="632" t="s">
        <v>978</v>
      </c>
      <c r="AO131" s="576"/>
      <c r="AP131" s="633">
        <v>1339</v>
      </c>
      <c r="AQ131" s="576"/>
      <c r="AR131" s="638">
        <v>1625.4903311897051</v>
      </c>
      <c r="AS131" s="694" t="e">
        <f ca="1">'GSe vs Consensus'!$BK$21</f>
        <v>#NAME?</v>
      </c>
      <c r="AT131" s="694">
        <f>AT101-L39</f>
        <v>1737</v>
      </c>
      <c r="AU131" s="1079" t="e">
        <f ca="1">AR131/AS131-1</f>
        <v>#NAME?</v>
      </c>
      <c r="AV131" s="1079">
        <f>AR131/AT131-1</f>
        <v>-6.4196700524061567E-2</v>
      </c>
      <c r="AW131" s="1076">
        <f>AR131/AP131-1</f>
        <v>0.21395842508566476</v>
      </c>
      <c r="AX131" s="1076">
        <f>AT131/AP131-1</f>
        <v>0.29723674383868559</v>
      </c>
      <c r="AY131" s="576"/>
      <c r="AZ131" s="767"/>
      <c r="BA131" s="767"/>
      <c r="BB131" s="985"/>
      <c r="BC131" s="990"/>
      <c r="BD131" s="990"/>
      <c r="BE131" s="985"/>
      <c r="BF131" s="1067"/>
    </row>
    <row r="132" spans="3:62" ht="15" customHeight="1">
      <c r="C132" s="614"/>
      <c r="D132" s="609"/>
      <c r="E132" s="606"/>
      <c r="F132" s="606"/>
      <c r="G132" s="606"/>
      <c r="H132" s="606"/>
      <c r="I132" s="606"/>
      <c r="J132" s="606"/>
      <c r="K132" s="606"/>
      <c r="L132" s="606"/>
      <c r="M132" s="598"/>
      <c r="N132" s="598"/>
      <c r="O132" s="598"/>
      <c r="P132" s="602"/>
      <c r="Q132" s="606"/>
      <c r="R132" s="606"/>
      <c r="S132" s="602"/>
      <c r="T132" s="598"/>
      <c r="U132" s="602"/>
      <c r="V132" s="576"/>
      <c r="W132" s="602"/>
      <c r="X132" s="602"/>
      <c r="Y132" s="602"/>
      <c r="Z132" s="602"/>
      <c r="AA132" s="602"/>
      <c r="AB132" s="602"/>
      <c r="AC132" s="602"/>
      <c r="AN132" s="581" t="s">
        <v>996</v>
      </c>
      <c r="AO132" s="576"/>
      <c r="AP132" s="669">
        <v>0.21600258106146153</v>
      </c>
      <c r="AQ132" s="576"/>
      <c r="AR132" s="666">
        <v>0.24174679108664041</v>
      </c>
      <c r="AS132" s="695" t="e">
        <f ca="1">'GSe vs Consensus'!$BK$22</f>
        <v>#NAME?</v>
      </c>
      <c r="AT132" s="695">
        <f>AT131/AT125</f>
        <v>0.21953993933265925</v>
      </c>
      <c r="AU132" s="993" t="e">
        <f ca="1">(AR132-AS132)*100</f>
        <v>#NAME?</v>
      </c>
      <c r="AV132" s="993">
        <f>(AR132-AT132)*100</f>
        <v>2.2206851753981156</v>
      </c>
      <c r="AW132" s="994">
        <f>(AR132-AP132)*100</f>
        <v>2.5744210025178877</v>
      </c>
      <c r="AX132" s="994">
        <f>(AT132-AP132)*100</f>
        <v>0.35373582711977214</v>
      </c>
      <c r="AY132" s="576"/>
      <c r="AZ132" s="768"/>
      <c r="BA132" s="768"/>
      <c r="BB132" s="981"/>
      <c r="BC132" s="994"/>
      <c r="BD132" s="994"/>
      <c r="BE132" s="981"/>
      <c r="BF132" s="1067"/>
    </row>
    <row r="133" spans="3:62" ht="15" customHeight="1">
      <c r="C133" s="614"/>
      <c r="D133" s="612"/>
      <c r="E133" s="607"/>
      <c r="F133" s="607"/>
      <c r="G133" s="607"/>
      <c r="H133" s="607"/>
      <c r="I133" s="607"/>
      <c r="J133" s="607"/>
      <c r="K133" s="607"/>
      <c r="L133" s="607"/>
      <c r="M133" s="604"/>
      <c r="N133" s="604"/>
      <c r="O133" s="604"/>
      <c r="P133" s="603"/>
      <c r="Q133" s="607"/>
      <c r="R133" s="607"/>
      <c r="S133" s="603"/>
      <c r="T133" s="604"/>
      <c r="U133" s="603"/>
      <c r="V133" s="571"/>
      <c r="W133" s="603"/>
      <c r="X133" s="603"/>
      <c r="Y133" s="603"/>
      <c r="Z133" s="603"/>
      <c r="AA133" s="603"/>
      <c r="AB133" s="603"/>
      <c r="AC133" s="603"/>
      <c r="AN133" s="559" t="s">
        <v>1404</v>
      </c>
      <c r="AO133" s="571"/>
      <c r="AP133" s="633">
        <v>526</v>
      </c>
      <c r="AQ133" s="571"/>
      <c r="AR133" s="638">
        <v>696.42639722127637</v>
      </c>
      <c r="AS133" s="694" t="e">
        <f ca="1">'GSe vs Consensus'!$BK$23</f>
        <v>#NAME?</v>
      </c>
      <c r="AT133" s="694">
        <f>AT103-L41</f>
        <v>906</v>
      </c>
      <c r="AU133" s="1079" t="e">
        <f ca="1">AR133/AS133-1</f>
        <v>#NAME?</v>
      </c>
      <c r="AV133" s="1079">
        <f>AR133/AT133-1</f>
        <v>-0.23131744236062213</v>
      </c>
      <c r="AW133" s="1076">
        <f>AR133/AP133-1</f>
        <v>0.32400455745489798</v>
      </c>
      <c r="AX133" s="1076">
        <f>AT133/AP133-1</f>
        <v>0.72243346007604559</v>
      </c>
      <c r="AY133" s="571"/>
      <c r="AZ133" s="769"/>
      <c r="BA133" s="769"/>
      <c r="BB133" s="982"/>
      <c r="BC133" s="990"/>
      <c r="BD133" s="990"/>
      <c r="BE133" s="982"/>
      <c r="BF133" s="1067"/>
    </row>
    <row r="134" spans="3:62" ht="15" customHeight="1">
      <c r="C134" s="614"/>
      <c r="D134" s="609"/>
      <c r="E134" s="608"/>
      <c r="F134" s="608"/>
      <c r="G134" s="608"/>
      <c r="H134" s="608"/>
      <c r="I134" s="599"/>
      <c r="J134" s="599"/>
      <c r="K134" s="599"/>
      <c r="L134" s="599"/>
      <c r="M134" s="606"/>
      <c r="N134" s="606"/>
      <c r="O134" s="606"/>
      <c r="P134" s="599"/>
      <c r="Q134" s="599"/>
      <c r="R134" s="599"/>
      <c r="S134" s="599"/>
      <c r="T134" s="606"/>
      <c r="U134" s="599"/>
      <c r="V134" s="622"/>
      <c r="W134" s="599"/>
      <c r="X134" s="599"/>
      <c r="Y134" s="599"/>
      <c r="Z134" s="599"/>
      <c r="AA134" s="599"/>
      <c r="AB134" s="599"/>
      <c r="AC134" s="599"/>
      <c r="AN134" s="581" t="s">
        <v>996</v>
      </c>
      <c r="AO134" s="622"/>
      <c r="AP134" s="669">
        <v>0.11108764519535375</v>
      </c>
      <c r="AQ134" s="622"/>
      <c r="AR134" s="666">
        <v>0.12577478704225825</v>
      </c>
      <c r="AS134" s="695" t="e">
        <f ca="1">'GSe vs Consensus'!$BK$24</f>
        <v>#NAME?</v>
      </c>
      <c r="AT134" s="695">
        <f>AT133/AT126</f>
        <v>0.14364991279530681</v>
      </c>
      <c r="AU134" s="993" t="e">
        <f ca="1">(AR134-AS134)*100</f>
        <v>#NAME?</v>
      </c>
      <c r="AV134" s="993">
        <f>(AR134-AT134)*100</f>
        <v>-1.787512575304856</v>
      </c>
      <c r="AW134" s="994">
        <f>(AR134-AP134)*100</f>
        <v>1.4687141846904506</v>
      </c>
      <c r="AX134" s="994">
        <f>(AT134-AP134)*100</f>
        <v>3.2562267599953065</v>
      </c>
      <c r="AY134" s="622"/>
      <c r="AZ134" s="768"/>
      <c r="BA134" s="768"/>
      <c r="BB134" s="981"/>
      <c r="BC134" s="994"/>
      <c r="BD134" s="994"/>
      <c r="BE134" s="981"/>
      <c r="BF134" s="1067"/>
    </row>
    <row r="135" spans="3:62" ht="15" customHeight="1">
      <c r="C135" s="614"/>
      <c r="D135" s="628"/>
      <c r="E135" s="553"/>
      <c r="F135" s="553"/>
      <c r="G135" s="553"/>
      <c r="H135" s="553"/>
      <c r="I135" s="598"/>
      <c r="J135" s="598"/>
      <c r="K135" s="598"/>
      <c r="L135" s="598"/>
      <c r="M135" s="609"/>
      <c r="N135" s="609"/>
      <c r="O135" s="609"/>
      <c r="P135" s="598"/>
      <c r="Q135" s="598"/>
      <c r="R135" s="598"/>
      <c r="S135" s="598"/>
      <c r="T135" s="609"/>
      <c r="U135" s="598"/>
      <c r="V135" s="552"/>
      <c r="W135" s="598"/>
      <c r="X135" s="598"/>
      <c r="Y135" s="598"/>
      <c r="Z135" s="598"/>
      <c r="AA135" s="598"/>
      <c r="AB135" s="598"/>
      <c r="AC135" s="598"/>
      <c r="AN135" s="559" t="s">
        <v>1293</v>
      </c>
      <c r="AO135" s="552"/>
      <c r="AP135" s="633">
        <v>-16</v>
      </c>
      <c r="AQ135" s="552"/>
      <c r="AR135" s="638">
        <v>36.476243132030305</v>
      </c>
      <c r="AS135" s="694" t="e">
        <f ca="1">'GSe vs Consensus'!$BK$25</f>
        <v>#NAME?</v>
      </c>
      <c r="AT135" s="694">
        <f>AT105-L43</f>
        <v>95</v>
      </c>
      <c r="AU135" s="1079" t="e">
        <f ca="1">AR135/AS135-1</f>
        <v>#NAME?</v>
      </c>
      <c r="AV135" s="1079">
        <f>AR135/AT135-1</f>
        <v>-0.61603954597862831</v>
      </c>
      <c r="AW135" s="1076">
        <f>AR135/AP135-1</f>
        <v>-3.2797651957518941</v>
      </c>
      <c r="AX135" s="1076">
        <f>AT135/AP135-1</f>
        <v>-6.9375</v>
      </c>
      <c r="AY135" s="552"/>
      <c r="AZ135" s="769"/>
      <c r="BA135" s="769"/>
      <c r="BB135" s="982"/>
      <c r="BC135" s="990"/>
      <c r="BD135" s="990"/>
      <c r="BE135" s="982"/>
      <c r="BF135" s="1067"/>
    </row>
    <row r="136" spans="3:62" ht="15" customHeight="1">
      <c r="C136" s="614"/>
      <c r="D136" s="609"/>
      <c r="E136" s="606"/>
      <c r="F136" s="606"/>
      <c r="G136" s="606"/>
      <c r="H136" s="606"/>
      <c r="I136" s="606"/>
      <c r="J136" s="606"/>
      <c r="K136" s="606"/>
      <c r="L136" s="606"/>
      <c r="M136" s="598"/>
      <c r="N136" s="598"/>
      <c r="O136" s="598"/>
      <c r="P136" s="608"/>
      <c r="Q136" s="606"/>
      <c r="R136" s="606"/>
      <c r="S136" s="608"/>
      <c r="T136" s="598"/>
      <c r="U136" s="608"/>
      <c r="V136" s="576"/>
      <c r="W136" s="608"/>
      <c r="X136" s="608"/>
      <c r="Y136" s="608"/>
      <c r="Z136" s="608"/>
      <c r="AA136" s="608"/>
      <c r="AB136" s="608"/>
      <c r="AC136" s="608"/>
      <c r="AN136" s="581" t="s">
        <v>996</v>
      </c>
      <c r="AO136" s="576"/>
      <c r="AP136" s="669">
        <v>-1.2176560121765601E-2</v>
      </c>
      <c r="AQ136" s="576"/>
      <c r="AR136" s="666">
        <v>2.2363296713676498E-2</v>
      </c>
      <c r="AS136" s="695" t="e">
        <f ca="1">'GSe vs Consensus'!$BK$26</f>
        <v>#NAME?</v>
      </c>
      <c r="AT136" s="695">
        <f>AT135/AT127</f>
        <v>5.2515201768933109E-2</v>
      </c>
      <c r="AU136" s="993" t="e">
        <f ca="1">(AR136-AS136)*100</f>
        <v>#NAME?</v>
      </c>
      <c r="AV136" s="993">
        <f>(AR136-AT136)*100</f>
        <v>-3.0151905055256609</v>
      </c>
      <c r="AW136" s="994">
        <f>(AR136-AP136)*100</f>
        <v>3.45398568354421</v>
      </c>
      <c r="AX136" s="994">
        <f>(AT136-AP136)*100</f>
        <v>6.4691761890698709</v>
      </c>
      <c r="AY136" s="576"/>
      <c r="AZ136" s="768"/>
      <c r="BA136" s="768"/>
      <c r="BB136" s="981"/>
      <c r="BC136" s="994"/>
      <c r="BD136" s="994"/>
      <c r="BE136" s="981"/>
      <c r="BF136" s="1067"/>
    </row>
    <row r="137" spans="3:62" ht="15" customHeight="1">
      <c r="C137" s="614"/>
      <c r="D137" s="609"/>
      <c r="E137" s="605"/>
      <c r="F137" s="605"/>
      <c r="G137" s="605"/>
      <c r="H137" s="605"/>
      <c r="I137" s="605"/>
      <c r="J137" s="605"/>
      <c r="K137" s="605"/>
      <c r="L137" s="605"/>
      <c r="M137" s="615"/>
      <c r="N137" s="615"/>
      <c r="O137" s="615"/>
      <c r="P137" s="598"/>
      <c r="Q137" s="605"/>
      <c r="R137" s="605"/>
      <c r="S137" s="598"/>
      <c r="T137" s="615"/>
      <c r="U137" s="598"/>
      <c r="V137" s="618"/>
      <c r="W137" s="598"/>
      <c r="X137" s="598"/>
      <c r="Y137" s="598"/>
      <c r="Z137" s="598"/>
      <c r="AA137" s="598"/>
      <c r="AB137" s="598"/>
      <c r="AC137" s="598"/>
      <c r="AN137" s="631" t="s">
        <v>1415</v>
      </c>
      <c r="AO137" s="618"/>
      <c r="AP137" s="564">
        <v>1769</v>
      </c>
      <c r="AQ137" s="618"/>
      <c r="AR137" s="636">
        <v>2231.3929715430118</v>
      </c>
      <c r="AS137" s="692" t="e">
        <f ca="1">'GSe vs Consensus'!$BK$28</f>
        <v>#NAME?</v>
      </c>
      <c r="AT137" s="692">
        <f>AT107-L45</f>
        <v>2746</v>
      </c>
      <c r="AU137" s="1080" t="e">
        <f ca="1">AR137/AS137-1</f>
        <v>#NAME?</v>
      </c>
      <c r="AV137" s="1080">
        <f>AR137/AT137-1</f>
        <v>-0.18740241385906342</v>
      </c>
      <c r="AW137" s="1077">
        <f>AR137/AP137-1</f>
        <v>0.26138664304296877</v>
      </c>
      <c r="AX137" s="1077">
        <f>AT137/AP137-1</f>
        <v>0.5522894290559639</v>
      </c>
      <c r="AY137" s="618"/>
      <c r="AZ137" s="978"/>
      <c r="BA137" s="978" t="str">
        <f>"Close to €"&amp;TEXT(ROUND(BF137/1000,1),"#,##0.0")&amp;"bn"</f>
        <v>Close to €2.7bn</v>
      </c>
      <c r="BB137" s="987"/>
      <c r="BC137" s="1077">
        <f>BF137/AR137-1</f>
        <v>0.21224725294778013</v>
      </c>
      <c r="BD137" s="1077">
        <f>BF137/AT137-1</f>
        <v>-1.4930808448652577E-2</v>
      </c>
      <c r="BE137" s="987"/>
      <c r="BF137" s="1070">
        <f>BF107-L45</f>
        <v>2705</v>
      </c>
    </row>
    <row r="138" spans="3:62" ht="15" customHeight="1">
      <c r="C138" s="614"/>
      <c r="D138" s="609"/>
      <c r="E138" s="606"/>
      <c r="F138" s="606"/>
      <c r="G138" s="606"/>
      <c r="H138" s="606"/>
      <c r="I138" s="606"/>
      <c r="J138" s="606"/>
      <c r="K138" s="606"/>
      <c r="L138" s="606"/>
      <c r="M138" s="598"/>
      <c r="N138" s="598"/>
      <c r="O138" s="598"/>
      <c r="P138" s="608"/>
      <c r="Q138" s="606"/>
      <c r="R138" s="606"/>
      <c r="S138" s="608"/>
      <c r="T138" s="598"/>
      <c r="U138" s="608"/>
      <c r="V138" s="576"/>
      <c r="W138" s="608"/>
      <c r="X138" s="608"/>
      <c r="Y138" s="608"/>
      <c r="Z138" s="608"/>
      <c r="AA138" s="608"/>
      <c r="AB138" s="608"/>
      <c r="AC138" s="608"/>
      <c r="AN138" s="581" t="s">
        <v>996</v>
      </c>
      <c r="AO138" s="576"/>
      <c r="AP138" s="670">
        <v>0.14436102497143791</v>
      </c>
      <c r="AQ138" s="576"/>
      <c r="AR138" s="667">
        <v>0.16055376251338868</v>
      </c>
      <c r="AS138" s="696" t="e">
        <f ca="1">'GSe vs Consensus'!$BK$30</f>
        <v>#NAME?</v>
      </c>
      <c r="AT138" s="696">
        <f>AT137/AT129</f>
        <v>0.16968423654452203</v>
      </c>
      <c r="AU138" s="993" t="e">
        <f ca="1">(AR138-AS138)*100</f>
        <v>#NAME?</v>
      </c>
      <c r="AV138" s="993">
        <f>(AR138-AT138)*100</f>
        <v>-0.91304740311333454</v>
      </c>
      <c r="AW138" s="994">
        <f>(AR138-AP138)*100</f>
        <v>1.6192737541950775</v>
      </c>
      <c r="AX138" s="994">
        <f>(AT138-AP138)*100</f>
        <v>2.5323211573084121</v>
      </c>
      <c r="AY138" s="576"/>
      <c r="AZ138" s="980"/>
      <c r="BA138" s="980" t="str">
        <f>"Implied ~"&amp;ROUND(BF138*100,1)&amp;"%"</f>
        <v>Implied ~17.1%</v>
      </c>
      <c r="BB138" s="983"/>
      <c r="BC138" s="994">
        <f>(BF138-AR138)*100</f>
        <v>1.0879879041365503</v>
      </c>
      <c r="BD138" s="994">
        <f>(BF138-AT138)*100</f>
        <v>0.17494050102321579</v>
      </c>
      <c r="BE138" s="983"/>
      <c r="BF138" s="1074">
        <f>BF137/BF129</f>
        <v>0.17143364155475418</v>
      </c>
      <c r="BI138" s="1046" t="s">
        <v>1735</v>
      </c>
      <c r="BJ138" s="1037">
        <v>3335.2305022859628</v>
      </c>
    </row>
    <row r="139" spans="3:62" ht="15" customHeight="1">
      <c r="C139" s="614"/>
      <c r="D139" s="609"/>
      <c r="E139" s="629"/>
      <c r="F139" s="629"/>
      <c r="G139" s="629"/>
      <c r="H139" s="629"/>
      <c r="I139" s="606"/>
      <c r="J139" s="606"/>
      <c r="K139" s="606"/>
      <c r="L139" s="606"/>
      <c r="M139" s="598"/>
      <c r="N139" s="598"/>
      <c r="O139" s="598"/>
      <c r="P139" s="608"/>
      <c r="Q139" s="606"/>
      <c r="R139" s="606"/>
      <c r="S139" s="608"/>
      <c r="T139" s="598"/>
      <c r="U139" s="608"/>
      <c r="V139" s="576"/>
      <c r="W139" s="608"/>
      <c r="X139" s="608"/>
      <c r="Y139" s="608"/>
      <c r="Z139" s="608"/>
      <c r="AA139" s="608"/>
      <c r="AB139" s="608"/>
      <c r="AC139" s="608"/>
      <c r="AN139" s="631" t="s">
        <v>979</v>
      </c>
      <c r="AO139" s="576"/>
      <c r="AP139" s="564">
        <v>1482</v>
      </c>
      <c r="AQ139" s="576"/>
      <c r="AR139" s="636">
        <v>1432.2698027181477</v>
      </c>
      <c r="AS139" s="692" t="e">
        <f ca="1">'GSe vs Consensus'!$BK$32</f>
        <v>#NAME?</v>
      </c>
      <c r="AT139" s="692">
        <f>AT109-L48</f>
        <v>1442</v>
      </c>
      <c r="AU139" s="1080" t="e">
        <f ca="1">AR139/AS139-1</f>
        <v>#NAME?</v>
      </c>
      <c r="AV139" s="1080">
        <f>AR139/AT139-1</f>
        <v>-6.7477096268045988E-3</v>
      </c>
      <c r="AW139" s="1077">
        <f>AR139/AP139-1</f>
        <v>-3.3556138516769418E-2</v>
      </c>
      <c r="AX139" s="1077">
        <f>AT139/AP139-1</f>
        <v>-2.6990553306342813E-2</v>
      </c>
      <c r="AY139" s="576"/>
      <c r="AZ139" s="658"/>
      <c r="BA139" s="658" t="str">
        <f>"~ €"&amp;TEXT(ROUND(BF139/1000,1),"#,##0.0")&amp;"bn"</f>
        <v>~ €1.4bn</v>
      </c>
      <c r="BB139" s="986"/>
      <c r="BC139" s="1077">
        <f>BF139/AR139-1</f>
        <v>-4.0683537841518347E-2</v>
      </c>
      <c r="BD139" s="1077">
        <f>BF139/AT139-1</f>
        <v>-4.7156726768377233E-2</v>
      </c>
      <c r="BE139" s="986"/>
      <c r="BF139" s="1070">
        <f>BF109-L48</f>
        <v>1374</v>
      </c>
      <c r="BI139" s="1046" t="s">
        <v>1738</v>
      </c>
      <c r="BJ139" s="1037" t="e">
        <f>BF113-L50</f>
        <v>#N/A</v>
      </c>
    </row>
    <row r="140" spans="3:62" ht="3.75" customHeight="1">
      <c r="C140" s="614"/>
      <c r="D140" s="612"/>
      <c r="E140" s="607"/>
      <c r="F140" s="607"/>
      <c r="G140" s="607"/>
      <c r="H140" s="607"/>
      <c r="I140" s="607"/>
      <c r="J140" s="607"/>
      <c r="K140" s="607"/>
      <c r="L140" s="607"/>
      <c r="M140" s="604"/>
      <c r="N140" s="604"/>
      <c r="O140" s="604"/>
      <c r="P140" s="610"/>
      <c r="Q140" s="607"/>
      <c r="R140" s="607"/>
      <c r="S140" s="610"/>
      <c r="T140" s="604"/>
      <c r="U140" s="610"/>
      <c r="V140" s="571"/>
      <c r="W140" s="610"/>
      <c r="X140" s="610"/>
      <c r="Y140" s="610"/>
      <c r="Z140" s="610"/>
      <c r="AA140" s="610"/>
      <c r="AB140" s="610"/>
      <c r="AC140" s="610"/>
      <c r="AJ140" s="570"/>
      <c r="AR140" s="714"/>
      <c r="AS140" s="715"/>
      <c r="AT140" s="715"/>
      <c r="AU140" s="716"/>
      <c r="AV140" s="716"/>
      <c r="AZ140" s="935"/>
      <c r="BA140" s="935"/>
      <c r="BB140" s="988"/>
      <c r="BE140" s="988"/>
      <c r="BF140" s="1067"/>
      <c r="BI140" s="1046"/>
      <c r="BJ140" s="1037"/>
    </row>
    <row r="141" spans="3:62" ht="15" customHeight="1">
      <c r="C141" s="614"/>
      <c r="D141" s="609"/>
      <c r="E141" s="608"/>
      <c r="F141" s="608"/>
      <c r="G141" s="608"/>
      <c r="H141" s="608"/>
      <c r="I141" s="606"/>
      <c r="J141" s="606"/>
      <c r="K141" s="606"/>
      <c r="L141" s="606"/>
      <c r="M141" s="598"/>
      <c r="N141" s="598"/>
      <c r="O141" s="598"/>
      <c r="P141" s="608"/>
      <c r="Q141" s="606"/>
      <c r="R141" s="606"/>
      <c r="S141" s="608"/>
      <c r="T141" s="598"/>
      <c r="U141" s="608"/>
      <c r="V141" s="576"/>
      <c r="W141" s="608"/>
      <c r="X141" s="608"/>
      <c r="Y141" s="608"/>
      <c r="Z141" s="608"/>
      <c r="AA141" s="608"/>
      <c r="AB141" s="608"/>
      <c r="AC141" s="608"/>
      <c r="AN141" s="631" t="s">
        <v>1725</v>
      </c>
      <c r="AO141" s="576"/>
      <c r="AP141" s="131">
        <v>0.30105302727973471</v>
      </c>
      <c r="AQ141" s="576"/>
      <c r="AR141" s="1083">
        <v>0.20911653469786251</v>
      </c>
      <c r="AS141" s="1084" t="e">
        <f ca="1">'GSe vs Consensus'!$BK$42</f>
        <v>#NAME?</v>
      </c>
      <c r="AT141" s="1084" t="e">
        <f>(AT113-L50)/BJ138-1</f>
        <v>#N/A</v>
      </c>
      <c r="AU141" s="995" t="e">
        <f ca="1">(AR141-AS141)*100</f>
        <v>#NAME?</v>
      </c>
      <c r="AV141" s="995" t="e">
        <f>(AR141-AT141)*100</f>
        <v>#N/A</v>
      </c>
      <c r="AW141" s="996">
        <f>(AR141-AP141)*100</f>
        <v>-9.1936492581872198</v>
      </c>
      <c r="AX141" s="996" t="e">
        <f>(AT141-AP141)*100</f>
        <v>#N/A</v>
      </c>
      <c r="AY141" s="576"/>
      <c r="AZ141" s="658"/>
      <c r="BA141" s="658" t="e">
        <f>"~ "&amp;ROUND(BF141*100,0)&amp;"%"</f>
        <v>#N/A</v>
      </c>
      <c r="BB141" s="986"/>
      <c r="BC141" s="996" t="e">
        <f>(BF141-AR141)*100</f>
        <v>#N/A</v>
      </c>
      <c r="BD141" s="996" t="e">
        <f>(BF141-AT141)*100</f>
        <v>#N/A</v>
      </c>
      <c r="BE141" s="986"/>
      <c r="BF141" s="1075" t="e">
        <f>BJ139/BJ138-1</f>
        <v>#N/A</v>
      </c>
    </row>
    <row r="142" spans="3:62" ht="6" customHeight="1">
      <c r="C142" s="614"/>
      <c r="D142" s="630"/>
      <c r="E142" s="611"/>
      <c r="F142" s="611"/>
      <c r="G142" s="611"/>
      <c r="H142" s="611"/>
      <c r="I142" s="608"/>
      <c r="J142" s="608"/>
      <c r="K142" s="608"/>
      <c r="L142" s="608"/>
      <c r="M142" s="609"/>
      <c r="N142" s="609"/>
      <c r="O142" s="609"/>
      <c r="P142" s="608"/>
      <c r="Q142" s="608"/>
      <c r="R142" s="608"/>
      <c r="S142" s="608"/>
      <c r="T142" s="609"/>
      <c r="U142" s="608"/>
      <c r="V142" s="552"/>
      <c r="W142" s="608"/>
      <c r="X142" s="608"/>
      <c r="Y142" s="608"/>
      <c r="Z142" s="608"/>
      <c r="AA142" s="608"/>
      <c r="AB142" s="608"/>
      <c r="AC142" s="608"/>
      <c r="AJ142" s="625"/>
      <c r="AR142" s="699"/>
      <c r="AS142" s="700"/>
      <c r="AT142" s="700"/>
      <c r="AU142" s="717"/>
      <c r="AV142" s="717"/>
      <c r="AZ142" s="934"/>
      <c r="BA142" s="934"/>
      <c r="BB142" s="587"/>
      <c r="BE142" s="587"/>
      <c r="BF142" s="1073"/>
    </row>
    <row r="143" spans="3:62" ht="22.5" customHeight="1">
      <c r="C143" s="614"/>
      <c r="D143" s="612"/>
      <c r="E143" s="607"/>
      <c r="F143" s="607"/>
      <c r="G143" s="607"/>
      <c r="H143" s="607"/>
      <c r="I143" s="607"/>
      <c r="J143" s="607"/>
      <c r="K143" s="607"/>
      <c r="L143" s="607"/>
      <c r="M143" s="604"/>
      <c r="N143" s="604"/>
      <c r="O143" s="604"/>
      <c r="P143" s="610"/>
      <c r="Q143" s="607"/>
      <c r="R143" s="607"/>
      <c r="S143" s="610"/>
      <c r="T143" s="604"/>
      <c r="U143" s="610"/>
      <c r="V143" s="571"/>
      <c r="W143" s="610"/>
      <c r="X143" s="610"/>
      <c r="Y143" s="610"/>
      <c r="Z143" s="610"/>
      <c r="AA143" s="610"/>
      <c r="AB143" s="610"/>
      <c r="AC143" s="610"/>
      <c r="AJ143" s="570"/>
      <c r="AN143" s="1049" t="s">
        <v>1706</v>
      </c>
      <c r="AZ143" s="1038"/>
      <c r="BA143" s="1038"/>
      <c r="BB143" s="1050"/>
      <c r="BE143" s="1050"/>
      <c r="BI143" s="1046"/>
      <c r="BJ143" s="1037"/>
    </row>
    <row r="144" spans="3:62">
      <c r="BB144" s="587"/>
      <c r="BE144" s="587"/>
    </row>
    <row r="145" spans="54:62">
      <c r="BB145" s="587"/>
      <c r="BE145" s="587"/>
      <c r="BI145" s="1046"/>
      <c r="BJ145" s="1037"/>
    </row>
    <row r="146" spans="54:62">
      <c r="BB146" s="587"/>
      <c r="BE146" s="587"/>
    </row>
  </sheetData>
  <mergeCells count="8">
    <mergeCell ref="AR120:AT120"/>
    <mergeCell ref="N10:N11"/>
    <mergeCell ref="N28:N29"/>
    <mergeCell ref="N59:N60"/>
    <mergeCell ref="P25:S25"/>
    <mergeCell ref="AA10:AA11"/>
    <mergeCell ref="Z10:Z11"/>
    <mergeCell ref="AR90:AT90"/>
  </mergeCells>
  <phoneticPr fontId="220" type="noConversion"/>
  <dataValidations disablePrompts="1" count="1">
    <dataValidation type="list" allowBlank="1" showInputMessage="1" showErrorMessage="1" sqref="B3" xr:uid="{0540A521-BD04-49F3-9B17-4C1A5FC09D3A}">
      <formula1>"1Q,2Q,3Q,4Q"</formula1>
    </dataValidation>
  </dataValidations>
  <printOptions horizontalCentered="1" verticalCentered="1"/>
  <pageMargins left="0.70866141732283472" right="0.70866141732283472" top="0.74803149606299213" bottom="0.74803149606299213" header="0.31496062992125984" footer="0.31496062992125984"/>
  <pageSetup paperSize="9" orientation="landscape" r:id="rId1"/>
  <customProperties>
    <customPr name="Qube.Worksheet.Visibility" r:id="rId2"/>
    <customPr name="QXL_SHEET_ID" r:id="rId3"/>
  </customProperties>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F10CAF-0036-4773-BAE0-9FBA35AB3851}">
  <sheetPr codeName="Sheet21">
    <tabColor rgb="FF002060"/>
  </sheetPr>
  <dimension ref="B3:DF74"/>
  <sheetViews>
    <sheetView showGridLines="0" zoomScaleNormal="100" workbookViewId="0">
      <pane ySplit="1" topLeftCell="A2" activePane="bottomLeft" state="frozen"/>
      <selection activeCell="W54" sqref="W54"/>
      <selection pane="bottomLeft" activeCell="W54" sqref="W54"/>
    </sheetView>
  </sheetViews>
  <sheetFormatPr defaultRowHeight="14.25" outlineLevelCol="1"/>
  <cols>
    <col min="2" max="2" width="42" bestFit="1" customWidth="1"/>
    <col min="4" max="23" width="9" hidden="1" customWidth="1" outlineLevel="1"/>
    <col min="24" max="24" width="9" customWidth="1" collapsed="1"/>
    <col min="25" max="31" width="9" customWidth="1"/>
    <col min="47" max="86" width="9" customWidth="1" outlineLevel="1"/>
  </cols>
  <sheetData>
    <row r="3" spans="2:110">
      <c r="B3" s="305" t="s">
        <v>1867</v>
      </c>
    </row>
    <row r="4" spans="2:110">
      <c r="B4" s="305" t="s">
        <v>1295</v>
      </c>
      <c r="D4" s="305"/>
      <c r="E4" s="305"/>
      <c r="F4" s="305"/>
      <c r="G4" s="305"/>
      <c r="H4" s="305"/>
      <c r="I4" s="305"/>
      <c r="J4" s="305"/>
      <c r="K4" s="305"/>
      <c r="L4" s="305"/>
      <c r="M4" s="305"/>
      <c r="N4" s="305"/>
      <c r="O4" s="305"/>
      <c r="P4" s="305"/>
      <c r="Q4" s="305"/>
      <c r="R4" s="305"/>
      <c r="S4" s="305"/>
      <c r="T4" s="305"/>
      <c r="U4" s="305"/>
      <c r="V4" s="305"/>
      <c r="W4" s="305"/>
      <c r="X4" s="305"/>
      <c r="Y4" s="305"/>
      <c r="Z4" s="305"/>
      <c r="AA4" s="305"/>
      <c r="AB4" s="305"/>
      <c r="AC4" s="305"/>
      <c r="AD4" s="305"/>
      <c r="AE4" s="305"/>
      <c r="AF4" s="332"/>
      <c r="AG4" s="332"/>
      <c r="AH4" s="332"/>
      <c r="AI4" s="332"/>
      <c r="AJ4" s="332"/>
      <c r="AK4" s="332"/>
      <c r="AL4" s="332"/>
      <c r="AM4" s="332"/>
      <c r="AN4" s="332"/>
      <c r="AO4" s="332"/>
      <c r="AP4" s="332"/>
      <c r="AQ4" s="332"/>
      <c r="AR4" s="467"/>
      <c r="AS4" s="213"/>
      <c r="AT4" s="213"/>
      <c r="AU4" s="333" t="s">
        <v>1571</v>
      </c>
      <c r="AV4" s="333" t="s">
        <v>1572</v>
      </c>
      <c r="AW4" s="333" t="s">
        <v>1573</v>
      </c>
      <c r="AX4" s="333" t="s">
        <v>1574</v>
      </c>
      <c r="AY4" s="333" t="str">
        <f>LEFT(AU4,3)&amp;VALUE(MID(AU4,4,4))+1</f>
        <v>1Q 2012</v>
      </c>
      <c r="AZ4" s="333" t="str">
        <f t="shared" ref="AZ4:CX4" si="0">LEFT(AV4,3)&amp;VALUE(MID(AV4,4,4))+1</f>
        <v>2Q 2012</v>
      </c>
      <c r="BA4" s="333" t="str">
        <f t="shared" si="0"/>
        <v>3Q 2012</v>
      </c>
      <c r="BB4" s="333" t="str">
        <f t="shared" si="0"/>
        <v>4Q 2012</v>
      </c>
      <c r="BC4" s="333" t="str">
        <f t="shared" si="0"/>
        <v>1Q 2013</v>
      </c>
      <c r="BD4" s="333" t="str">
        <f t="shared" si="0"/>
        <v>2Q 2013</v>
      </c>
      <c r="BE4" s="333" t="str">
        <f t="shared" si="0"/>
        <v>3Q 2013</v>
      </c>
      <c r="BF4" s="333" t="str">
        <f t="shared" si="0"/>
        <v>4Q 2013</v>
      </c>
      <c r="BG4" s="333" t="str">
        <f t="shared" si="0"/>
        <v>1Q 2014</v>
      </c>
      <c r="BH4" s="333" t="str">
        <f t="shared" si="0"/>
        <v>2Q 2014</v>
      </c>
      <c r="BI4" s="333" t="str">
        <f t="shared" si="0"/>
        <v>3Q 2014</v>
      </c>
      <c r="BJ4" s="333" t="str">
        <f t="shared" si="0"/>
        <v>4Q 2014</v>
      </c>
      <c r="BK4" s="333" t="str">
        <f t="shared" si="0"/>
        <v>1Q 2015</v>
      </c>
      <c r="BL4" s="333" t="str">
        <f t="shared" si="0"/>
        <v>2Q 2015</v>
      </c>
      <c r="BM4" s="333" t="str">
        <f t="shared" si="0"/>
        <v>3Q 2015</v>
      </c>
      <c r="BN4" s="333" t="str">
        <f t="shared" si="0"/>
        <v>4Q 2015</v>
      </c>
      <c r="BO4" s="333" t="str">
        <f t="shared" si="0"/>
        <v>1Q 2016</v>
      </c>
      <c r="BP4" s="333" t="str">
        <f t="shared" si="0"/>
        <v>2Q 2016</v>
      </c>
      <c r="BQ4" s="333" t="str">
        <f t="shared" si="0"/>
        <v>3Q 2016</v>
      </c>
      <c r="BR4" s="333" t="str">
        <f t="shared" si="0"/>
        <v>4Q 2016</v>
      </c>
      <c r="BS4" s="333" t="str">
        <f t="shared" si="0"/>
        <v>1Q 2017</v>
      </c>
      <c r="BT4" s="333" t="str">
        <f t="shared" si="0"/>
        <v>2Q 2017</v>
      </c>
      <c r="BU4" s="333" t="str">
        <f t="shared" si="0"/>
        <v>3Q 2017</v>
      </c>
      <c r="BV4" s="333" t="str">
        <f t="shared" si="0"/>
        <v>4Q 2017</v>
      </c>
      <c r="BW4" s="333" t="str">
        <f t="shared" si="0"/>
        <v>1Q 2018</v>
      </c>
      <c r="BX4" s="333" t="str">
        <f t="shared" si="0"/>
        <v>2Q 2018</v>
      </c>
      <c r="BY4" s="333" t="str">
        <f t="shared" si="0"/>
        <v>3Q 2018</v>
      </c>
      <c r="BZ4" s="333" t="str">
        <f t="shared" si="0"/>
        <v>4Q 2018</v>
      </c>
      <c r="CA4" s="333" t="str">
        <f t="shared" si="0"/>
        <v>1Q 2019</v>
      </c>
      <c r="CB4" s="333" t="str">
        <f t="shared" si="0"/>
        <v>2Q 2019</v>
      </c>
      <c r="CC4" s="333" t="str">
        <f t="shared" si="0"/>
        <v>3Q 2019</v>
      </c>
      <c r="CD4" s="333" t="str">
        <f t="shared" si="0"/>
        <v>4Q 2019</v>
      </c>
      <c r="CE4" s="333" t="str">
        <f t="shared" si="0"/>
        <v>1Q 2020</v>
      </c>
      <c r="CF4" s="333" t="str">
        <f t="shared" si="0"/>
        <v>2Q 2020</v>
      </c>
      <c r="CG4" s="333" t="str">
        <f t="shared" si="0"/>
        <v>3Q 2020</v>
      </c>
      <c r="CH4" s="333" t="str">
        <f t="shared" si="0"/>
        <v>4Q 2020</v>
      </c>
      <c r="CI4" s="333" t="str">
        <f t="shared" si="0"/>
        <v>1Q 2021</v>
      </c>
      <c r="CJ4" s="333" t="str">
        <f t="shared" si="0"/>
        <v>2Q 2021</v>
      </c>
      <c r="CK4" s="333" t="str">
        <f t="shared" si="0"/>
        <v>3Q 2021</v>
      </c>
      <c r="CL4" s="333" t="str">
        <f t="shared" si="0"/>
        <v>4Q 2021</v>
      </c>
      <c r="CM4" s="333" t="str">
        <f t="shared" si="0"/>
        <v>1Q 2022</v>
      </c>
      <c r="CN4" s="333" t="str">
        <f t="shared" si="0"/>
        <v>2Q 2022</v>
      </c>
      <c r="CO4" s="333" t="str">
        <f t="shared" si="0"/>
        <v>3Q 2022</v>
      </c>
      <c r="CP4" s="333" t="str">
        <f t="shared" si="0"/>
        <v>4Q 2022</v>
      </c>
      <c r="CQ4" s="333" t="str">
        <f t="shared" si="0"/>
        <v>1Q 2023</v>
      </c>
      <c r="CR4" s="333" t="str">
        <f t="shared" si="0"/>
        <v>2Q 2023</v>
      </c>
      <c r="CS4" s="333" t="str">
        <f t="shared" si="0"/>
        <v>3Q 2023</v>
      </c>
      <c r="CT4" s="333" t="str">
        <f t="shared" si="0"/>
        <v>4Q 2023</v>
      </c>
      <c r="CU4" s="333" t="str">
        <f t="shared" si="0"/>
        <v>1Q 2024</v>
      </c>
      <c r="CV4" s="333" t="str">
        <f t="shared" si="0"/>
        <v>2Q 2024</v>
      </c>
      <c r="CW4" s="333" t="str">
        <f t="shared" si="0"/>
        <v>3Q 2024</v>
      </c>
      <c r="CX4" s="333" t="str">
        <f t="shared" si="0"/>
        <v>4Q 2024</v>
      </c>
      <c r="CY4" s="333" t="str">
        <f>LEFT(CU4,3)&amp;VALUE(MID(CU4,4,4))+1</f>
        <v>1Q 2025</v>
      </c>
      <c r="CZ4" s="195" t="str">
        <f t="shared" ref="CZ4:DB4" si="1">LEFT(CV4,3)&amp;VALUE(MID(CV4,4,4))+1&amp;"E"</f>
        <v>2Q 2025E</v>
      </c>
      <c r="DA4" s="195" t="str">
        <f t="shared" si="1"/>
        <v>3Q 2025E</v>
      </c>
      <c r="DB4" s="195" t="str">
        <f t="shared" si="1"/>
        <v>4Q 2025E</v>
      </c>
      <c r="DC4" s="332"/>
      <c r="DD4" s="332"/>
      <c r="DE4" s="332"/>
      <c r="DF4" s="332"/>
    </row>
    <row r="5" spans="2:110">
      <c r="B5" s="306" t="s">
        <v>789</v>
      </c>
      <c r="D5" s="308"/>
      <c r="E5" s="308"/>
      <c r="F5" s="308"/>
      <c r="G5" s="308"/>
      <c r="H5" s="308"/>
      <c r="I5" s="308"/>
      <c r="J5" s="308"/>
      <c r="K5" s="308"/>
      <c r="L5" s="308"/>
      <c r="M5" s="308"/>
      <c r="N5" s="308"/>
      <c r="O5" s="308"/>
      <c r="P5" s="308"/>
      <c r="Q5" s="308"/>
      <c r="R5" s="308"/>
      <c r="S5" s="308"/>
      <c r="T5" s="308"/>
      <c r="U5" s="308"/>
      <c r="V5" s="308"/>
      <c r="W5" s="308"/>
      <c r="X5" s="308"/>
      <c r="Y5" s="308"/>
      <c r="Z5" s="308"/>
      <c r="AA5" s="308"/>
      <c r="AB5" s="308"/>
      <c r="AC5" s="308"/>
      <c r="AD5" s="308"/>
      <c r="AE5" s="308"/>
      <c r="AF5" s="308"/>
      <c r="AG5" s="308"/>
      <c r="AH5" s="308"/>
      <c r="AI5" s="308"/>
      <c r="AJ5" s="308"/>
      <c r="AK5" s="308"/>
      <c r="AL5" s="308"/>
      <c r="AM5" s="308"/>
      <c r="AN5" s="308"/>
      <c r="AO5" s="308"/>
      <c r="AP5" s="308"/>
      <c r="AQ5" s="308"/>
      <c r="AR5" s="339"/>
      <c r="AS5" s="213"/>
      <c r="AT5" s="213"/>
      <c r="AU5" s="308"/>
      <c r="AV5" s="308"/>
      <c r="AW5" s="308"/>
      <c r="AX5" s="308"/>
      <c r="AY5" s="308"/>
      <c r="AZ5" s="308"/>
      <c r="BA5" s="308"/>
      <c r="BB5" s="308"/>
      <c r="BC5" s="308"/>
      <c r="BD5" s="308"/>
      <c r="BE5" s="308"/>
      <c r="BF5" s="308"/>
      <c r="BG5" s="308"/>
      <c r="BH5" s="308"/>
      <c r="BI5" s="308"/>
      <c r="BJ5" s="308"/>
      <c r="BK5" s="308"/>
      <c r="BL5" s="308"/>
      <c r="BM5" s="308"/>
      <c r="BN5" s="308"/>
      <c r="BO5" s="308"/>
      <c r="BP5" s="308"/>
      <c r="BQ5" s="308"/>
      <c r="BR5" s="308"/>
      <c r="BS5" s="308"/>
      <c r="BT5" s="308"/>
      <c r="BU5" s="308"/>
      <c r="BV5" s="308"/>
      <c r="BW5" s="308"/>
      <c r="BX5" s="308"/>
      <c r="BY5" s="308"/>
      <c r="BZ5" s="308"/>
      <c r="CA5" s="308"/>
      <c r="CB5" s="308"/>
      <c r="CC5" s="308"/>
      <c r="CD5" s="308"/>
      <c r="CE5" s="308"/>
      <c r="CF5" s="308"/>
      <c r="CG5" s="308"/>
      <c r="CH5" s="308"/>
      <c r="CI5" s="308"/>
      <c r="CJ5" s="308"/>
      <c r="CK5" s="308"/>
      <c r="CL5" s="308"/>
      <c r="CM5" s="308"/>
      <c r="CN5" s="308"/>
      <c r="CO5" s="308"/>
      <c r="CP5" s="308"/>
      <c r="CQ5" s="308"/>
      <c r="CR5" s="308"/>
      <c r="CS5" s="308"/>
      <c r="CT5" s="308"/>
      <c r="CU5" s="308"/>
      <c r="CV5" s="308"/>
      <c r="CW5" s="308"/>
      <c r="CX5" s="308"/>
      <c r="CY5" s="308"/>
      <c r="CZ5" s="308"/>
      <c r="DA5" s="308"/>
      <c r="DB5" s="308"/>
      <c r="DC5" s="308"/>
      <c r="DD5" s="308"/>
      <c r="DE5" s="308"/>
      <c r="DF5" s="308"/>
    </row>
    <row r="6" spans="2:110">
      <c r="B6" s="19" t="s">
        <v>978</v>
      </c>
      <c r="D6" s="211">
        <v>2977</v>
      </c>
      <c r="E6" s="211">
        <v>3133</v>
      </c>
      <c r="F6" s="211">
        <v>3266</v>
      </c>
      <c r="G6" s="211">
        <v>3739</v>
      </c>
      <c r="H6" s="211">
        <v>3671</v>
      </c>
      <c r="I6" s="211">
        <v>3918</v>
      </c>
      <c r="J6" s="211">
        <v>3763</v>
      </c>
      <c r="K6" s="211">
        <v>4390</v>
      </c>
      <c r="L6" s="211">
        <v>4486</v>
      </c>
      <c r="M6" s="211">
        <v>4833</v>
      </c>
      <c r="N6" s="211">
        <v>4857</v>
      </c>
      <c r="O6" s="211">
        <v>4534</v>
      </c>
      <c r="P6" s="211">
        <v>4691</v>
      </c>
      <c r="Q6" s="211">
        <v>4666</v>
      </c>
      <c r="R6" s="211">
        <v>4805</v>
      </c>
      <c r="S6" s="211">
        <v>5774</v>
      </c>
      <c r="T6" s="211">
        <v>5902</v>
      </c>
      <c r="U6" s="211">
        <v>6143</v>
      </c>
      <c r="V6" s="211">
        <v>4047</v>
      </c>
      <c r="W6" s="211">
        <v>3616</v>
      </c>
      <c r="X6" s="211">
        <v>3249</v>
      </c>
      <c r="Y6" s="211">
        <v>4190</v>
      </c>
      <c r="Z6" s="211">
        <v>4176</v>
      </c>
      <c r="AA6" s="1278">
        <f>INDEX('Income Statement'!$B5:$AD5,MATCH(OpMod!BX$8,OpMod!$D$8:$AG$8,0))-Z6</f>
        <v>5330</v>
      </c>
      <c r="AB6" s="211">
        <v>5677</v>
      </c>
      <c r="AC6" s="1278">
        <f>INDEX('Income Statement'!$B5:$AD5,MATCH(OpMod!BZ$8,OpMod!$D$8:$AG$8,0))-AB6</f>
        <v>6199</v>
      </c>
      <c r="AD6" s="211">
        <v>6461</v>
      </c>
      <c r="AE6" s="1278">
        <f>INDEX('Income Statement'!$B5:$AD5,MATCH(OpMod!CB$8,OpMod!$D$8:$AG$8,0))-AD6</f>
        <v>7191</v>
      </c>
      <c r="AF6" s="228" t="e">
        <f>'Aerospace Propulsion Division'!#REF!</f>
        <v>#REF!</v>
      </c>
      <c r="AG6" s="228" t="e">
        <f>INDEX('Income Statement'!$B5:$AD5,MATCH(OpMod!CD$8,OpMod!$D$8:$AG$8,0))-AF6</f>
        <v>#REF!</v>
      </c>
      <c r="AH6" s="228" t="e">
        <f>'Aerospace Propulsion Division'!#REF!</f>
        <v>#REF!</v>
      </c>
      <c r="AI6" s="228" t="e">
        <f>INDEX('Income Statement'!$B5:$AD5,MATCH(OpMod!CF$8,OpMod!$D$8:$AG$8,0))-AH6</f>
        <v>#REF!</v>
      </c>
      <c r="AJ6" s="200"/>
      <c r="AK6" s="200"/>
      <c r="AL6" s="200"/>
      <c r="AM6" s="200"/>
      <c r="AN6" s="200"/>
      <c r="AO6" s="200"/>
      <c r="AP6" s="200"/>
      <c r="AQ6" s="200"/>
      <c r="AR6" s="200"/>
      <c r="AS6" s="213"/>
      <c r="AT6" s="213"/>
      <c r="AU6" s="342">
        <v>1423</v>
      </c>
      <c r="AV6" s="342">
        <v>1554</v>
      </c>
      <c r="AW6" s="342">
        <v>1459</v>
      </c>
      <c r="AX6" s="342">
        <v>1674</v>
      </c>
      <c r="AY6" s="342">
        <v>1585</v>
      </c>
      <c r="AZ6" s="342">
        <v>1681</v>
      </c>
      <c r="BA6" s="342">
        <v>1635</v>
      </c>
      <c r="BB6" s="342">
        <v>2104</v>
      </c>
      <c r="BC6" s="342">
        <v>1785</v>
      </c>
      <c r="BD6" s="342">
        <v>1886</v>
      </c>
      <c r="BE6" s="342">
        <v>1771</v>
      </c>
      <c r="BF6" s="342">
        <v>2147</v>
      </c>
      <c r="BG6" s="342">
        <v>1825</v>
      </c>
      <c r="BH6" s="342">
        <v>1938</v>
      </c>
      <c r="BI6" s="342">
        <v>1944</v>
      </c>
      <c r="BJ6" s="342">
        <v>2446</v>
      </c>
      <c r="BK6" s="342">
        <v>2070</v>
      </c>
      <c r="BL6" s="342">
        <v>2416</v>
      </c>
      <c r="BM6" s="342">
        <v>2220</v>
      </c>
      <c r="BN6" s="342">
        <v>2613</v>
      </c>
      <c r="BO6" s="342">
        <v>2301</v>
      </c>
      <c r="BP6" s="342">
        <v>2556</v>
      </c>
      <c r="BQ6" s="342">
        <v>2056</v>
      </c>
      <c r="BR6" s="342">
        <v>2478</v>
      </c>
      <c r="BS6" s="342">
        <v>2360</v>
      </c>
      <c r="BT6" s="342">
        <v>2331</v>
      </c>
      <c r="BU6" s="342">
        <v>2303</v>
      </c>
      <c r="BV6" s="342">
        <v>2363</v>
      </c>
      <c r="BW6" s="342">
        <v>2319</v>
      </c>
      <c r="BX6" s="342">
        <v>2486</v>
      </c>
      <c r="BY6" s="342">
        <v>2524</v>
      </c>
      <c r="BZ6" s="342">
        <v>3250</v>
      </c>
      <c r="CA6" s="342">
        <v>2771</v>
      </c>
      <c r="CB6" s="342">
        <v>3131</v>
      </c>
      <c r="CC6" s="342">
        <v>2987</v>
      </c>
      <c r="CD6" s="342">
        <v>3156</v>
      </c>
      <c r="CE6" s="342">
        <v>2497</v>
      </c>
      <c r="CF6" s="342">
        <v>1550</v>
      </c>
      <c r="CG6" s="342">
        <v>1559</v>
      </c>
      <c r="CH6" s="342">
        <v>2057</v>
      </c>
      <c r="CI6" s="342">
        <v>1561</v>
      </c>
      <c r="CJ6" s="342">
        <v>1688</v>
      </c>
      <c r="CK6" s="342">
        <v>1812</v>
      </c>
      <c r="CL6" s="342">
        <v>2378</v>
      </c>
      <c r="CM6" s="342">
        <v>1942</v>
      </c>
      <c r="CN6" s="1280" cm="1">
        <f t="array" ref="CN6">INDEX($D6:$AQ6,MATCH(1,(OpMod!EK$7=OpMod!$BA$7:$CN$7)*(OpMod!EK$8=OpMod!$BA$8:$CN$8),0))-CM6</f>
        <v>2234</v>
      </c>
      <c r="CO6" s="342">
        <v>2503</v>
      </c>
      <c r="CP6" s="1280">
        <f>INDEX('Income Statement'!$B5:$AE5,MATCH(OpMod!EM$8,OpMod!$D$8:$AG$8,0))-SUM(CM6:CO6)</f>
        <v>2827</v>
      </c>
      <c r="CQ6" s="342">
        <v>2714</v>
      </c>
      <c r="CR6" s="1280" cm="1">
        <f t="array" ref="CR6">INDEX($D6:$AQ6,MATCH(1,(OpMod!EO$7=OpMod!$BA$7:$CN$7)*(OpMod!EO$8=OpMod!$BA$8:$CN$8),0))-CQ6</f>
        <v>2963</v>
      </c>
      <c r="CS6" s="342">
        <v>3083</v>
      </c>
      <c r="CT6" s="1280">
        <f>INDEX('Income Statement'!$B5:$AE5,MATCH(OpMod!EQ$8,OpMod!$D$8:$AG$8,0))-SUM(CQ6:CS6)</f>
        <v>3116</v>
      </c>
      <c r="CU6" s="342">
        <v>3097</v>
      </c>
      <c r="CV6" s="1280" cm="1">
        <f t="array" ref="CV6">INDEX($D6:$AQ6,MATCH(1,(OpMod!ES$7=OpMod!$BA$7:$CN$7)*(OpMod!ES$8=OpMod!$BA$8:$CN$8),0))-CU6</f>
        <v>3364</v>
      </c>
      <c r="CW6" s="342">
        <v>3339</v>
      </c>
      <c r="CX6" s="1280">
        <f>INDEX('Income Statement'!$B5:$AE5,MATCH(OpMod!EU$8,OpMod!$D$8:$AG$8,0))-SUM(CU6:CW6)</f>
        <v>3852</v>
      </c>
      <c r="CY6" s="342">
        <v>3684</v>
      </c>
      <c r="CZ6" s="385" t="e" cm="1">
        <f t="array" ref="CZ6">INDEX($D6:$AQ6,MATCH(1,(OpMod!EW$7=OpMod!$BA$7:$CN$7)*(OpMod!EW$8=OpMod!$BA$8:$CN$8),0))-CY6</f>
        <v>#REF!</v>
      </c>
      <c r="DA6" s="385" t="e">
        <f>'Aerospace Propulsion Division'!#REF!</f>
        <v>#REF!</v>
      </c>
      <c r="DB6" s="385" t="e">
        <f>INDEX('Income Statement'!$B5:$AE5,MATCH(OpMod!EY$8,OpMod!$D$8:$AG$8,0))-SUM(CY6:DA6)</f>
        <v>#REF!</v>
      </c>
      <c r="DC6" s="385" t="e">
        <f>'Aerospace Propulsion Division'!#REF!</f>
        <v>#REF!</v>
      </c>
      <c r="DD6" s="385" t="e" cm="1">
        <f t="array" ref="DD6">INDEX($D6:$AQ6,MATCH(1,(OpMod!FA$7=OpMod!$BA$7:$CN$7)*(OpMod!FA$8=OpMod!$BA$8:$CN$8),0))-DC6</f>
        <v>#REF!</v>
      </c>
      <c r="DE6" s="385" t="e">
        <f>'Aerospace Propulsion Division'!#REF!</f>
        <v>#REF!</v>
      </c>
      <c r="DF6" s="385" t="e">
        <f>INDEX('Income Statement'!$B5:$AE5,MATCH(OpMod!FC$8,OpMod!$D$8:$AG$8,0))-SUM(DC6:DE6)</f>
        <v>#REF!</v>
      </c>
    </row>
    <row r="7" spans="2:110">
      <c r="B7" s="291" t="s">
        <v>977</v>
      </c>
      <c r="D7" s="211">
        <v>1504</v>
      </c>
      <c r="E7" s="211">
        <v>1593</v>
      </c>
      <c r="F7" s="211">
        <v>1787</v>
      </c>
      <c r="G7" s="211">
        <v>1904</v>
      </c>
      <c r="H7" s="211">
        <v>1945</v>
      </c>
      <c r="I7" s="211">
        <v>2146</v>
      </c>
      <c r="J7" s="211">
        <v>2137</v>
      </c>
      <c r="K7" s="211">
        <v>2309</v>
      </c>
      <c r="L7" s="211">
        <v>2414</v>
      </c>
      <c r="M7" s="211">
        <v>2529</v>
      </c>
      <c r="N7" s="211">
        <v>2542</v>
      </c>
      <c r="O7" s="211">
        <v>2603</v>
      </c>
      <c r="P7" s="211">
        <v>2715</v>
      </c>
      <c r="Q7" s="211">
        <v>2545</v>
      </c>
      <c r="R7" s="211">
        <v>2524</v>
      </c>
      <c r="S7" s="211">
        <v>2744</v>
      </c>
      <c r="T7" s="211">
        <v>3033.0019639310681</v>
      </c>
      <c r="U7" s="211">
        <v>3297.3682206920962</v>
      </c>
      <c r="V7" s="211">
        <v>1998.7893776882383</v>
      </c>
      <c r="W7" s="211">
        <v>2173.0103218607474</v>
      </c>
      <c r="X7" s="211">
        <v>1770.7064911400901</v>
      </c>
      <c r="Y7" s="211">
        <v>1925.0469935374038</v>
      </c>
      <c r="Z7" s="211"/>
      <c r="AA7" s="1278"/>
      <c r="AB7" s="211"/>
      <c r="AC7" s="1278"/>
      <c r="AD7" s="211"/>
      <c r="AE7" s="1278"/>
      <c r="AF7" s="200"/>
      <c r="AG7" s="200"/>
      <c r="AH7" s="200"/>
      <c r="AI7" s="200"/>
      <c r="AJ7" s="200"/>
      <c r="AK7" s="200"/>
      <c r="AL7" s="200"/>
      <c r="AM7" s="200"/>
      <c r="AN7" s="200"/>
      <c r="AO7" s="200"/>
      <c r="AP7" s="200"/>
      <c r="AQ7" s="200"/>
      <c r="AR7" s="200"/>
      <c r="AS7" s="213"/>
      <c r="AT7" s="213"/>
      <c r="AU7" s="342">
        <v>729</v>
      </c>
      <c r="AV7" s="342">
        <v>775</v>
      </c>
      <c r="AW7" s="342">
        <v>697</v>
      </c>
      <c r="AX7" s="342">
        <v>896</v>
      </c>
      <c r="AY7" s="342">
        <v>883</v>
      </c>
      <c r="AZ7" s="342">
        <v>904</v>
      </c>
      <c r="BA7" s="342">
        <v>850</v>
      </c>
      <c r="BB7" s="342">
        <v>1054</v>
      </c>
      <c r="BC7" s="342">
        <v>915</v>
      </c>
      <c r="BD7" s="342">
        <v>1030</v>
      </c>
      <c r="BE7" s="342">
        <v>982</v>
      </c>
      <c r="BF7" s="342">
        <v>1164</v>
      </c>
      <c r="BG7" s="342">
        <v>1016</v>
      </c>
      <c r="BH7" s="342">
        <v>1121</v>
      </c>
      <c r="BI7" s="342">
        <v>1021</v>
      </c>
      <c r="BJ7" s="342">
        <v>1288</v>
      </c>
      <c r="BK7" s="342">
        <v>1172</v>
      </c>
      <c r="BL7" s="342">
        <v>1242</v>
      </c>
      <c r="BM7" s="342">
        <v>1180</v>
      </c>
      <c r="BN7" s="342">
        <v>1349</v>
      </c>
      <c r="BO7" s="342">
        <v>1219</v>
      </c>
      <c r="BP7" s="342">
        <v>1323</v>
      </c>
      <c r="BQ7" s="342">
        <v>1208</v>
      </c>
      <c r="BR7" s="342">
        <v>1395</v>
      </c>
      <c r="BS7" s="342">
        <v>1335</v>
      </c>
      <c r="BT7" s="342">
        <v>1380</v>
      </c>
      <c r="BU7" s="342">
        <v>1225</v>
      </c>
      <c r="BV7" s="342">
        <v>1320</v>
      </c>
      <c r="BW7" s="342">
        <v>1230</v>
      </c>
      <c r="BX7" s="342">
        <v>1294</v>
      </c>
      <c r="BY7" s="342">
        <v>1312</v>
      </c>
      <c r="BZ7" s="342">
        <v>1432</v>
      </c>
      <c r="CA7" s="342">
        <v>1422</v>
      </c>
      <c r="CB7" s="342">
        <v>1611.0019639310681</v>
      </c>
      <c r="CC7" s="342">
        <v>1576.5842221384951</v>
      </c>
      <c r="CD7" s="342">
        <v>1720.7839985536011</v>
      </c>
      <c r="CE7" s="342">
        <v>937.11726166797575</v>
      </c>
      <c r="CF7" s="342">
        <v>1061.6721160202626</v>
      </c>
      <c r="CG7" s="342">
        <v>1038.9903579742349</v>
      </c>
      <c r="CH7" s="342">
        <v>1134.0199638865124</v>
      </c>
      <c r="CI7" s="342">
        <v>830.18232772184058</v>
      </c>
      <c r="CJ7" s="342">
        <v>940.52416341824949</v>
      </c>
      <c r="CK7" s="342">
        <v>920.43063247852547</v>
      </c>
      <c r="CL7" s="342">
        <v>1004.6163610588783</v>
      </c>
      <c r="CM7" s="342">
        <v>1081.9078749588848</v>
      </c>
      <c r="CN7" s="342"/>
      <c r="CO7" s="342"/>
      <c r="CP7" s="342"/>
      <c r="CQ7" s="342"/>
      <c r="CR7" s="342"/>
      <c r="CS7" s="342"/>
      <c r="CT7" s="342"/>
      <c r="CU7" s="342"/>
      <c r="CV7" s="342"/>
      <c r="CW7" s="342"/>
      <c r="CX7" s="342"/>
      <c r="CY7" s="342"/>
      <c r="CZ7" s="385"/>
      <c r="DA7" s="385"/>
      <c r="DB7" s="385"/>
      <c r="DC7" s="385"/>
      <c r="DD7" s="385"/>
      <c r="DE7" s="385"/>
      <c r="DF7" s="385"/>
    </row>
    <row r="8" spans="2:110">
      <c r="B8" s="291" t="s">
        <v>744</v>
      </c>
      <c r="D8" s="211">
        <v>624</v>
      </c>
      <c r="E8" s="211">
        <v>640</v>
      </c>
      <c r="F8" s="211">
        <v>640</v>
      </c>
      <c r="G8" s="211">
        <v>675</v>
      </c>
      <c r="H8" s="211">
        <v>566</v>
      </c>
      <c r="I8" s="211">
        <v>631</v>
      </c>
      <c r="J8" s="211">
        <v>584</v>
      </c>
      <c r="K8" s="211">
        <v>637</v>
      </c>
      <c r="L8" s="211">
        <v>616</v>
      </c>
      <c r="M8" s="211">
        <v>650</v>
      </c>
      <c r="N8" s="211">
        <v>584</v>
      </c>
      <c r="O8" s="211">
        <v>654</v>
      </c>
      <c r="P8" s="211">
        <v>624</v>
      </c>
      <c r="Q8" s="211">
        <v>692</v>
      </c>
      <c r="R8" s="211">
        <v>651</v>
      </c>
      <c r="S8" s="211">
        <v>735</v>
      </c>
      <c r="T8" s="211">
        <v>690</v>
      </c>
      <c r="U8" s="211">
        <v>1219.7155874999999</v>
      </c>
      <c r="V8" s="211">
        <v>690</v>
      </c>
      <c r="W8" s="211">
        <v>1219.7155874999999</v>
      </c>
      <c r="X8" s="211">
        <v>696.9</v>
      </c>
      <c r="Y8" s="211">
        <v>1231.912743375</v>
      </c>
      <c r="Z8" s="211"/>
      <c r="AA8" s="1278"/>
      <c r="AB8" s="211"/>
      <c r="AC8" s="1278"/>
      <c r="AD8" s="211"/>
      <c r="AE8" s="1278"/>
      <c r="AF8" s="200"/>
      <c r="AG8" s="200"/>
      <c r="AH8" s="200"/>
      <c r="AI8" s="200"/>
      <c r="AJ8" s="200"/>
      <c r="AK8" s="200"/>
      <c r="AL8" s="200"/>
      <c r="AM8" s="200"/>
      <c r="AN8" s="200"/>
      <c r="AO8" s="200"/>
      <c r="AP8" s="200"/>
      <c r="AQ8" s="200"/>
      <c r="AR8" s="200"/>
      <c r="AS8" s="213"/>
      <c r="AT8" s="213"/>
      <c r="AU8" s="342">
        <v>292</v>
      </c>
      <c r="AV8" s="342">
        <v>332</v>
      </c>
      <c r="AW8" s="342">
        <v>251</v>
      </c>
      <c r="AX8" s="342">
        <v>389</v>
      </c>
      <c r="AY8" s="342">
        <v>307</v>
      </c>
      <c r="AZ8" s="342">
        <v>333</v>
      </c>
      <c r="BA8" s="342">
        <v>276</v>
      </c>
      <c r="BB8" s="342">
        <v>399</v>
      </c>
      <c r="BC8" s="342">
        <v>292</v>
      </c>
      <c r="BD8" s="342">
        <v>274</v>
      </c>
      <c r="BE8" s="342">
        <v>258</v>
      </c>
      <c r="BF8" s="342">
        <v>373</v>
      </c>
      <c r="BG8" s="342">
        <v>257</v>
      </c>
      <c r="BH8" s="342">
        <v>327</v>
      </c>
      <c r="BI8" s="342">
        <v>256</v>
      </c>
      <c r="BJ8" s="342">
        <v>381</v>
      </c>
      <c r="BK8" s="342">
        <v>278</v>
      </c>
      <c r="BL8" s="342">
        <v>338</v>
      </c>
      <c r="BM8" s="342">
        <v>266</v>
      </c>
      <c r="BN8" s="342">
        <v>384</v>
      </c>
      <c r="BO8" s="342">
        <v>269</v>
      </c>
      <c r="BP8" s="342">
        <v>315</v>
      </c>
      <c r="BQ8" s="342">
        <v>253</v>
      </c>
      <c r="BR8" s="342">
        <v>401</v>
      </c>
      <c r="BS8" s="342">
        <v>284</v>
      </c>
      <c r="BT8" s="342">
        <v>340</v>
      </c>
      <c r="BU8" s="342">
        <v>281</v>
      </c>
      <c r="BV8" s="342">
        <v>411</v>
      </c>
      <c r="BW8" s="342">
        <v>298</v>
      </c>
      <c r="BX8" s="342">
        <v>353</v>
      </c>
      <c r="BY8" s="342">
        <v>309</v>
      </c>
      <c r="BZ8" s="342">
        <v>426</v>
      </c>
      <c r="CA8" s="342">
        <v>360</v>
      </c>
      <c r="CB8" s="342">
        <v>330</v>
      </c>
      <c r="CC8" s="342">
        <v>632.74672727272718</v>
      </c>
      <c r="CD8" s="342">
        <v>586.96886022727267</v>
      </c>
      <c r="CE8" s="342">
        <v>360</v>
      </c>
      <c r="CF8" s="342">
        <v>330</v>
      </c>
      <c r="CG8" s="342">
        <v>632.74672727272718</v>
      </c>
      <c r="CH8" s="342">
        <v>586.96886022727267</v>
      </c>
      <c r="CI8" s="342">
        <v>363.6</v>
      </c>
      <c r="CJ8" s="342">
        <v>333.29999999999995</v>
      </c>
      <c r="CK8" s="342">
        <v>639.07419454545436</v>
      </c>
      <c r="CL8" s="342">
        <v>592.83854882954552</v>
      </c>
      <c r="CM8" s="342">
        <v>426.7405764614889</v>
      </c>
      <c r="CN8" s="342"/>
      <c r="CO8" s="342"/>
      <c r="CP8" s="342"/>
      <c r="CQ8" s="342"/>
      <c r="CR8" s="342"/>
      <c r="CS8" s="342"/>
      <c r="CT8" s="342"/>
      <c r="CU8" s="342"/>
      <c r="CV8" s="342"/>
      <c r="CW8" s="342"/>
      <c r="CX8" s="342"/>
      <c r="CY8" s="342"/>
      <c r="CZ8" s="385"/>
      <c r="DA8" s="385"/>
      <c r="DB8" s="385"/>
      <c r="DC8" s="385"/>
      <c r="DD8" s="385"/>
      <c r="DE8" s="385"/>
      <c r="DF8" s="385"/>
    </row>
    <row r="9" spans="2:110">
      <c r="B9" s="291" t="s">
        <v>1243</v>
      </c>
      <c r="D9" s="211"/>
      <c r="E9" s="211"/>
      <c r="F9" s="211"/>
      <c r="G9" s="211"/>
      <c r="H9" s="211"/>
      <c r="I9" s="211"/>
      <c r="J9" s="211"/>
      <c r="K9" s="211"/>
      <c r="L9" s="211"/>
      <c r="M9" s="211"/>
      <c r="N9" s="211"/>
      <c r="O9" s="211"/>
      <c r="P9" s="211"/>
      <c r="Q9" s="211"/>
      <c r="R9" s="211">
        <v>537</v>
      </c>
      <c r="S9" s="211">
        <v>751</v>
      </c>
      <c r="T9" s="211">
        <v>507.95711393841816</v>
      </c>
      <c r="U9" s="211">
        <v>507.95711393841816</v>
      </c>
      <c r="V9" s="211">
        <v>405.74235647550722</v>
      </c>
      <c r="W9" s="211">
        <v>405.74235647550722</v>
      </c>
      <c r="X9" s="211">
        <v>350.21688597375316</v>
      </c>
      <c r="Y9" s="211">
        <v>350.21688597375316</v>
      </c>
      <c r="Z9" s="211"/>
      <c r="AA9" s="1278"/>
      <c r="AB9" s="211"/>
      <c r="AC9" s="1278"/>
      <c r="AD9" s="211"/>
      <c r="AE9" s="1278"/>
      <c r="AF9" s="200"/>
      <c r="AG9" s="200"/>
      <c r="AH9" s="200"/>
      <c r="AI9" s="200"/>
      <c r="AJ9" s="200"/>
      <c r="AK9" s="200"/>
      <c r="AL9" s="200"/>
      <c r="AM9" s="200"/>
      <c r="AN9" s="200"/>
      <c r="AO9" s="200"/>
      <c r="AP9" s="200"/>
      <c r="AQ9" s="200"/>
      <c r="AR9" s="200"/>
      <c r="AS9" s="213"/>
      <c r="AT9" s="213"/>
      <c r="AU9" s="342"/>
      <c r="AV9" s="342"/>
      <c r="AW9" s="342"/>
      <c r="AX9" s="342"/>
      <c r="AY9" s="342"/>
      <c r="AZ9" s="342"/>
      <c r="BA9" s="342"/>
      <c r="BB9" s="342"/>
      <c r="BC9" s="342"/>
      <c r="BD9" s="342"/>
      <c r="BE9" s="342"/>
      <c r="BF9" s="342"/>
      <c r="BG9" s="342"/>
      <c r="BH9" s="342"/>
      <c r="BI9" s="342"/>
      <c r="BJ9" s="342"/>
      <c r="BK9" s="342"/>
      <c r="BL9" s="342"/>
      <c r="BM9" s="342"/>
      <c r="BN9" s="342"/>
      <c r="BO9" s="342"/>
      <c r="BP9" s="342"/>
      <c r="BQ9" s="342"/>
      <c r="BR9" s="342"/>
      <c r="BS9" s="342"/>
      <c r="BT9" s="342"/>
      <c r="BU9" s="342"/>
      <c r="BV9" s="342"/>
      <c r="BW9" s="342">
        <v>113.5</v>
      </c>
      <c r="BX9" s="342">
        <v>423.5</v>
      </c>
      <c r="BY9" s="342">
        <v>431</v>
      </c>
      <c r="BZ9" s="342">
        <v>320</v>
      </c>
      <c r="CA9" s="342">
        <v>419</v>
      </c>
      <c r="CB9" s="342">
        <v>88.957113938418161</v>
      </c>
      <c r="CC9" s="342">
        <v>308.98570464613942</v>
      </c>
      <c r="CD9" s="342">
        <v>198.97140929227876</v>
      </c>
      <c r="CE9" s="342">
        <v>334.68582818951938</v>
      </c>
      <c r="CF9" s="342">
        <v>71.056528285987838</v>
      </c>
      <c r="CG9" s="342">
        <v>246.80939488834224</v>
      </c>
      <c r="CH9" s="342">
        <v>158.93296158716498</v>
      </c>
      <c r="CI9" s="342">
        <v>288.88437861467298</v>
      </c>
      <c r="CJ9" s="342">
        <v>61.332507359080182</v>
      </c>
      <c r="CK9" s="342">
        <v>213.03375486280879</v>
      </c>
      <c r="CL9" s="342">
        <v>137.18313111094437</v>
      </c>
      <c r="CM9" s="342">
        <v>207.35154857962632</v>
      </c>
      <c r="CN9" s="342"/>
      <c r="CO9" s="342"/>
      <c r="CP9" s="342"/>
      <c r="CQ9" s="342"/>
      <c r="CR9" s="342"/>
      <c r="CS9" s="342"/>
      <c r="CT9" s="342"/>
      <c r="CU9" s="342"/>
      <c r="CV9" s="342"/>
      <c r="CW9" s="342"/>
      <c r="CX9" s="342"/>
      <c r="CY9" s="342"/>
      <c r="CZ9" s="385"/>
      <c r="DA9" s="385"/>
      <c r="DB9" s="385"/>
      <c r="DC9" s="385"/>
      <c r="DD9" s="385"/>
      <c r="DE9" s="385"/>
      <c r="DF9" s="385"/>
    </row>
    <row r="10" spans="2:110">
      <c r="B10" s="19" t="s">
        <v>1930</v>
      </c>
      <c r="D10" s="200"/>
      <c r="E10" s="200"/>
      <c r="F10" s="200"/>
      <c r="G10" s="200"/>
      <c r="H10" s="200"/>
      <c r="I10" s="200"/>
      <c r="J10" s="200"/>
      <c r="K10" s="200"/>
      <c r="L10" s="200"/>
      <c r="M10" s="200"/>
      <c r="N10" s="200"/>
      <c r="O10" s="200"/>
      <c r="P10" s="200"/>
      <c r="Q10" s="200"/>
      <c r="R10" s="211">
        <v>3712</v>
      </c>
      <c r="S10" s="211">
        <v>4230</v>
      </c>
      <c r="T10" s="211">
        <v>4553</v>
      </c>
      <c r="U10" s="211">
        <v>4703</v>
      </c>
      <c r="V10" s="211">
        <v>3638</v>
      </c>
      <c r="W10" s="211">
        <v>3255</v>
      </c>
      <c r="X10" s="211">
        <v>2972</v>
      </c>
      <c r="Y10" s="211">
        <v>3353</v>
      </c>
      <c r="Z10" s="211">
        <v>3506</v>
      </c>
      <c r="AA10" s="1278">
        <f>INDEX('Income Statement'!$B6:$AD6,MATCH(OpMod!BX$8,OpMod!$D$8:$AG$8,0))-Z10</f>
        <v>4029</v>
      </c>
      <c r="AB10" s="211">
        <v>4100</v>
      </c>
      <c r="AC10" s="1278">
        <f>INDEX('Income Statement'!$B6:$AD6,MATCH(OpMod!BZ$8,OpMod!$D$8:$AG$8,0))-AB10</f>
        <v>4735</v>
      </c>
      <c r="AD10" s="211">
        <v>5170</v>
      </c>
      <c r="AE10" s="1278">
        <f>INDEX('Income Statement'!$B6:$AD6,MATCH(OpMod!CB$8,OpMod!$D$8:$AG$8,0))-AD10</f>
        <v>5448</v>
      </c>
      <c r="AF10" s="228" t="e">
        <f>'Equipment and Defense'!#REF!</f>
        <v>#REF!</v>
      </c>
      <c r="AG10" s="228" t="e">
        <f>INDEX('Income Statement'!$B6:$AD6,MATCH(OpMod!CD$8,OpMod!$D$8:$AG$8,0))-AF10</f>
        <v>#REF!</v>
      </c>
      <c r="AH10" s="228" t="e">
        <f>'Equipment and Defense'!#REF!</f>
        <v>#REF!</v>
      </c>
      <c r="AI10" s="228" t="e">
        <f>INDEX('Income Statement'!$B6:$AD6,MATCH(OpMod!CF$8,OpMod!$D$8:$AG$8,0))-AH10</f>
        <v>#REF!</v>
      </c>
      <c r="AJ10" s="200"/>
      <c r="AK10" s="200"/>
      <c r="AL10" s="200"/>
      <c r="AM10" s="200"/>
      <c r="AN10" s="200"/>
      <c r="AO10" s="200"/>
      <c r="AP10" s="200"/>
      <c r="AQ10" s="200"/>
      <c r="AR10" s="200"/>
      <c r="AS10" s="213"/>
      <c r="AT10" s="213"/>
      <c r="AU10" s="342"/>
      <c r="AV10" s="342"/>
      <c r="AW10" s="342"/>
      <c r="AX10" s="342"/>
      <c r="AY10" s="342"/>
      <c r="AZ10" s="342"/>
      <c r="BA10" s="342"/>
      <c r="BB10" s="342"/>
      <c r="BC10" s="342"/>
      <c r="BD10" s="342"/>
      <c r="BE10" s="342"/>
      <c r="BF10" s="342"/>
      <c r="BG10" s="342"/>
      <c r="BH10" s="342"/>
      <c r="BI10" s="342"/>
      <c r="BJ10" s="342"/>
      <c r="BK10" s="342"/>
      <c r="BL10" s="342"/>
      <c r="BM10" s="342"/>
      <c r="BN10" s="342"/>
      <c r="BO10" s="342"/>
      <c r="BP10" s="342"/>
      <c r="BQ10" s="342"/>
      <c r="BR10" s="342"/>
      <c r="BS10" s="342"/>
      <c r="BT10" s="342"/>
      <c r="BU10" s="342"/>
      <c r="BV10" s="342"/>
      <c r="BW10" s="342">
        <v>1641.5</v>
      </c>
      <c r="BX10" s="342">
        <v>2070.5</v>
      </c>
      <c r="BY10" s="342">
        <v>2052</v>
      </c>
      <c r="BZ10" s="342">
        <v>2178</v>
      </c>
      <c r="CA10" s="342">
        <v>2201</v>
      </c>
      <c r="CB10" s="342">
        <v>2352</v>
      </c>
      <c r="CC10" s="342">
        <v>2298</v>
      </c>
      <c r="CD10" s="342">
        <v>2405</v>
      </c>
      <c r="CE10" s="342">
        <v>2187</v>
      </c>
      <c r="CF10" s="342">
        <v>1451</v>
      </c>
      <c r="CG10" s="342">
        <v>1461</v>
      </c>
      <c r="CH10" s="342">
        <v>1794</v>
      </c>
      <c r="CI10" s="342">
        <v>1464</v>
      </c>
      <c r="CJ10" s="342">
        <v>1508</v>
      </c>
      <c r="CK10" s="342">
        <v>1535</v>
      </c>
      <c r="CL10" s="342">
        <v>1818</v>
      </c>
      <c r="CM10" s="342">
        <v>1716</v>
      </c>
      <c r="CN10" s="1280" cm="1">
        <f t="array" ref="CN10">INDEX($D10:$AQ10,MATCH(1,(OpMod!EK$7=OpMod!$BA$7:$CN$7)*(OpMod!EK$8=OpMod!$BA$8:$CN$8),0))-CM10</f>
        <v>1790</v>
      </c>
      <c r="CO10" s="342">
        <v>1820</v>
      </c>
      <c r="CP10" s="342">
        <v>2209</v>
      </c>
      <c r="CQ10" s="342">
        <v>1966</v>
      </c>
      <c r="CR10" s="1280" cm="1">
        <f t="array" ref="CR10">INDEX($D10:$AQ10,MATCH(1,(OpMod!EO$7=OpMod!$BA$7:$CN$7)*(OpMod!EO$8=OpMod!$BA$8:$CN$8),0))-CQ10</f>
        <v>2134</v>
      </c>
      <c r="CS10" s="342">
        <v>2134</v>
      </c>
      <c r="CT10" s="342">
        <v>2601</v>
      </c>
      <c r="CU10" s="342">
        <v>2444</v>
      </c>
      <c r="CV10" s="1280" cm="1">
        <f t="array" ref="CV10">INDEX($D10:$AQ10,MATCH(1,(OpMod!ES$7=OpMod!$BA$7:$CN$7)*(OpMod!ES$8=OpMod!$BA$8:$CN$8),0))-CU10</f>
        <v>2726</v>
      </c>
      <c r="CW10" s="342">
        <v>2527</v>
      </c>
      <c r="CX10" s="342" t="e">
        <f>'Equipment and Defense'!#REF!</f>
        <v>#REF!</v>
      </c>
      <c r="CY10" s="342">
        <v>2783</v>
      </c>
      <c r="CZ10" s="385" t="e" cm="1">
        <f t="array" ref="CZ10">INDEX($D10:$AQ10,MATCH(1,(OpMod!EW$7=OpMod!$BA$7:$CN$7)*(OpMod!EW$8=OpMod!$BA$8:$CN$8),0))-CY10</f>
        <v>#REF!</v>
      </c>
      <c r="DA10" s="385" t="e">
        <f>'Equipment and Defense'!#REF!</f>
        <v>#REF!</v>
      </c>
      <c r="DB10" s="385" t="e">
        <f>'Equipment and Defense'!#REF!</f>
        <v>#REF!</v>
      </c>
      <c r="DC10" s="385" t="e">
        <f>'Equipment and Defense'!#REF!</f>
        <v>#REF!</v>
      </c>
      <c r="DD10" s="385" t="e" cm="1">
        <f t="array" ref="DD10">INDEX($D10:$AQ10,MATCH(1,(OpMod!FA$7=OpMod!$BA$7:$CN$7)*(OpMod!FA$8=OpMod!$BA$8:$CN$8),0))-DC10</f>
        <v>#REF!</v>
      </c>
      <c r="DE10" s="385" t="e">
        <f>'Equipment and Defense'!#REF!</f>
        <v>#REF!</v>
      </c>
      <c r="DF10" s="385" t="e">
        <f>'Equipment and Defense'!#REF!</f>
        <v>#REF!</v>
      </c>
    </row>
    <row r="11" spans="2:110">
      <c r="B11" s="19" t="s">
        <v>1293</v>
      </c>
      <c r="D11" s="200"/>
      <c r="E11" s="200"/>
      <c r="F11" s="200"/>
      <c r="G11" s="200"/>
      <c r="H11" s="200"/>
      <c r="I11" s="200"/>
      <c r="J11" s="200"/>
      <c r="K11" s="200"/>
      <c r="L11" s="200"/>
      <c r="M11" s="200"/>
      <c r="N11" s="200"/>
      <c r="O11" s="200"/>
      <c r="P11" s="200"/>
      <c r="Q11" s="200"/>
      <c r="R11" s="211">
        <v>980</v>
      </c>
      <c r="S11" s="211">
        <v>1531</v>
      </c>
      <c r="T11" s="211">
        <v>1640</v>
      </c>
      <c r="U11" s="211">
        <v>1681</v>
      </c>
      <c r="V11" s="211">
        <v>1072</v>
      </c>
      <c r="W11" s="211">
        <v>850</v>
      </c>
      <c r="X11" s="211">
        <v>646</v>
      </c>
      <c r="Y11" s="211">
        <v>829</v>
      </c>
      <c r="Z11" s="211">
        <v>870</v>
      </c>
      <c r="AA11" s="1278">
        <f>INDEX('Income Statement'!$B7:$AD7,MATCH(OpMod!BX$8,OpMod!$D$8:$AG$8,0))-Z11</f>
        <v>1108</v>
      </c>
      <c r="AB11" s="211">
        <v>1163</v>
      </c>
      <c r="AC11" s="1278">
        <f>INDEX('Income Statement'!$B7:$AD7,MATCH(OpMod!BZ$8,OpMod!$D$8:$AG$8,0))-AB11</f>
        <v>1314</v>
      </c>
      <c r="AD11" s="211">
        <v>1411</v>
      </c>
      <c r="AE11" s="1278">
        <f>INDEX('Income Statement'!$B7:$AD7,MATCH(OpMod!CB$8,OpMod!$D$8:$AG$8,0))-AD11</f>
        <v>1626</v>
      </c>
      <c r="AF11" s="228" t="e">
        <f>'Aircraft Interiors Division'!#REF!</f>
        <v>#REF!</v>
      </c>
      <c r="AG11" s="228" t="e">
        <f>INDEX('Income Statement'!$B7:$AD7,MATCH(OpMod!CD$8,OpMod!$D$8:$AG$8,0))-AF11</f>
        <v>#REF!</v>
      </c>
      <c r="AH11" s="228" t="e">
        <f>'Aircraft Interiors Division'!#REF!</f>
        <v>#REF!</v>
      </c>
      <c r="AI11" s="228" t="e">
        <f>INDEX('Income Statement'!$B7:$AD7,MATCH(OpMod!CF$8,OpMod!$D$8:$AG$8,0))-AH11</f>
        <v>#REF!</v>
      </c>
      <c r="AJ11" s="200"/>
      <c r="AK11" s="200"/>
      <c r="AL11" s="200"/>
      <c r="AM11" s="200"/>
      <c r="AN11" s="200"/>
      <c r="AO11" s="200"/>
      <c r="AP11" s="200"/>
      <c r="AQ11" s="200"/>
      <c r="AR11" s="200"/>
      <c r="AS11" s="213"/>
      <c r="AT11" s="213"/>
      <c r="AU11" s="342"/>
      <c r="AV11" s="342"/>
      <c r="AW11" s="342"/>
      <c r="AX11" s="342"/>
      <c r="AY11" s="342"/>
      <c r="AZ11" s="342"/>
      <c r="BA11" s="342"/>
      <c r="BB11" s="342"/>
      <c r="BC11" s="342"/>
      <c r="BD11" s="342"/>
      <c r="BE11" s="342"/>
      <c r="BF11" s="342"/>
      <c r="BG11" s="342"/>
      <c r="BH11" s="342"/>
      <c r="BI11" s="342"/>
      <c r="BJ11" s="342"/>
      <c r="BK11" s="342"/>
      <c r="BL11" s="342"/>
      <c r="BM11" s="342"/>
      <c r="BN11" s="342"/>
      <c r="BO11" s="342"/>
      <c r="BP11" s="342"/>
      <c r="BQ11" s="342"/>
      <c r="BR11" s="342"/>
      <c r="BS11" s="342"/>
      <c r="BT11" s="342"/>
      <c r="BU11" s="342"/>
      <c r="BV11" s="342"/>
      <c r="BW11" s="342">
        <v>255.5</v>
      </c>
      <c r="BX11" s="342">
        <v>724.5</v>
      </c>
      <c r="BY11" s="342">
        <v>769</v>
      </c>
      <c r="BZ11" s="342">
        <v>762</v>
      </c>
      <c r="CA11" s="342">
        <v>806</v>
      </c>
      <c r="CB11" s="342">
        <v>834</v>
      </c>
      <c r="CC11" s="342">
        <v>805</v>
      </c>
      <c r="CD11" s="342">
        <v>876</v>
      </c>
      <c r="CE11" s="342">
        <v>694</v>
      </c>
      <c r="CF11" s="342">
        <v>378</v>
      </c>
      <c r="CG11" s="342">
        <v>357</v>
      </c>
      <c r="CH11" s="342">
        <v>493</v>
      </c>
      <c r="CI11" s="342">
        <v>313</v>
      </c>
      <c r="CJ11" s="342">
        <v>333</v>
      </c>
      <c r="CK11" s="342">
        <v>385</v>
      </c>
      <c r="CL11" s="342">
        <v>444</v>
      </c>
      <c r="CM11" s="342">
        <v>409</v>
      </c>
      <c r="CN11" s="1280" cm="1">
        <f t="array" ref="CN11">INDEX($D11:$AQ11,MATCH(1,(OpMod!EK$7=OpMod!$BA$7:$CN$7)*(OpMod!EK$8=OpMod!$BA$8:$CN$8),0))-CM11</f>
        <v>461</v>
      </c>
      <c r="CO11" s="342">
        <v>522</v>
      </c>
      <c r="CP11" s="342">
        <v>586</v>
      </c>
      <c r="CQ11" s="342">
        <v>584</v>
      </c>
      <c r="CR11" s="1280" cm="1">
        <f t="array" ref="CR11">INDEX($D11:$AQ11,MATCH(1,(OpMod!EO$7=OpMod!$BA$7:$CN$7)*(OpMod!EO$8=OpMod!$BA$8:$CN$8),0))-CQ11</f>
        <v>579</v>
      </c>
      <c r="CS11" s="342">
        <v>605</v>
      </c>
      <c r="CT11" s="342">
        <v>709</v>
      </c>
      <c r="CU11" s="342">
        <v>676</v>
      </c>
      <c r="CV11" s="1280" cm="1">
        <f t="array" ref="CV11">INDEX($D11:$AQ11,MATCH(1,(OpMod!ES$7=OpMod!$BA$7:$CN$7)*(OpMod!ES$8=OpMod!$BA$8:$CN$8),0))-CU11</f>
        <v>735</v>
      </c>
      <c r="CW11" s="342">
        <v>771</v>
      </c>
      <c r="CX11" s="342" t="e">
        <f>'Aircraft Interiors Division'!#REF!</f>
        <v>#REF!</v>
      </c>
      <c r="CY11" s="342">
        <v>788</v>
      </c>
      <c r="CZ11" s="385" t="e" cm="1">
        <f t="array" ref="CZ11">INDEX($D11:$AQ11,MATCH(1,(OpMod!EW$7=OpMod!$BA$7:$CN$7)*(OpMod!EW$8=OpMod!$BA$8:$CN$8),0))-CY11</f>
        <v>#REF!</v>
      </c>
      <c r="DA11" s="385" t="e">
        <f>'Aircraft Interiors Division'!#REF!</f>
        <v>#REF!</v>
      </c>
      <c r="DB11" s="385" t="e">
        <f>'Aircraft Interiors Division'!#REF!</f>
        <v>#REF!</v>
      </c>
      <c r="DC11" s="385" t="e">
        <f>'Aircraft Interiors Division'!#REF!</f>
        <v>#REF!</v>
      </c>
      <c r="DD11" s="385" t="e" cm="1">
        <f t="array" ref="DD11">INDEX($D11:$AQ11,MATCH(1,(OpMod!FA$7=OpMod!$BA$7:$CN$7)*(OpMod!FA$8=OpMod!$BA$8:$CN$8),0))-DC11</f>
        <v>#REF!</v>
      </c>
      <c r="DE11" s="385" t="e">
        <f>'Aircraft Interiors Division'!#REF!</f>
        <v>#REF!</v>
      </c>
      <c r="DF11" s="385" t="e">
        <f>'Aircraft Interiors Division'!#REF!</f>
        <v>#REF!</v>
      </c>
    </row>
    <row r="12" spans="2:110">
      <c r="B12" s="19" t="s">
        <v>976</v>
      </c>
      <c r="D12" s="211">
        <v>509</v>
      </c>
      <c r="E12" s="211">
        <v>740</v>
      </c>
      <c r="F12" s="211">
        <v>719</v>
      </c>
      <c r="G12" s="211">
        <v>827</v>
      </c>
      <c r="H12" s="211">
        <v>724</v>
      </c>
      <c r="I12" s="211">
        <v>758</v>
      </c>
      <c r="J12" s="211">
        <v>722</v>
      </c>
      <c r="K12" s="211">
        <v>808</v>
      </c>
      <c r="L12" s="211">
        <v>885</v>
      </c>
      <c r="M12" s="211">
        <v>993</v>
      </c>
      <c r="N12" s="211">
        <v>949</v>
      </c>
      <c r="O12" s="211">
        <v>0</v>
      </c>
      <c r="P12" s="200"/>
      <c r="Q12" s="200"/>
      <c r="R12" s="200"/>
      <c r="S12" s="200"/>
      <c r="T12" s="200"/>
      <c r="U12" s="200"/>
      <c r="V12" s="200"/>
      <c r="W12" s="200"/>
      <c r="X12" s="200"/>
      <c r="Y12" s="200"/>
      <c r="Z12" s="200"/>
      <c r="AA12" s="1278"/>
      <c r="AB12" s="200"/>
      <c r="AC12" s="1278"/>
      <c r="AD12" s="200"/>
      <c r="AE12" s="1278"/>
      <c r="AF12" s="200"/>
      <c r="AG12" s="200"/>
      <c r="AH12" s="200"/>
      <c r="AI12" s="200"/>
      <c r="AJ12" s="200"/>
      <c r="AK12" s="200"/>
      <c r="AL12" s="200"/>
      <c r="AM12" s="200"/>
      <c r="AN12" s="200"/>
      <c r="AO12" s="200"/>
      <c r="AP12" s="200"/>
      <c r="AQ12" s="200"/>
      <c r="AR12" s="200"/>
      <c r="AS12" s="213"/>
      <c r="AT12" s="213"/>
      <c r="AU12" s="342">
        <v>233</v>
      </c>
      <c r="AV12" s="342">
        <v>276</v>
      </c>
      <c r="AW12" s="342">
        <v>317</v>
      </c>
      <c r="AX12" s="342">
        <v>423</v>
      </c>
      <c r="AY12" s="342">
        <v>332</v>
      </c>
      <c r="AZ12" s="342">
        <v>387</v>
      </c>
      <c r="BA12" s="342">
        <v>371</v>
      </c>
      <c r="BB12" s="342">
        <v>456</v>
      </c>
      <c r="BC12" s="342">
        <v>340</v>
      </c>
      <c r="BD12" s="342">
        <v>384</v>
      </c>
      <c r="BE12" s="342">
        <v>349</v>
      </c>
      <c r="BF12" s="342">
        <v>409</v>
      </c>
      <c r="BG12" s="342">
        <v>345</v>
      </c>
      <c r="BH12" s="342">
        <v>377</v>
      </c>
      <c r="BI12" s="342">
        <v>368</v>
      </c>
      <c r="BJ12" s="342">
        <v>440</v>
      </c>
      <c r="BK12" s="342">
        <v>414</v>
      </c>
      <c r="BL12" s="342">
        <v>471</v>
      </c>
      <c r="BM12" s="342">
        <v>474</v>
      </c>
      <c r="BN12" s="342">
        <v>519</v>
      </c>
      <c r="BO12" s="342">
        <v>449</v>
      </c>
      <c r="BP12" s="342">
        <v>500</v>
      </c>
      <c r="BQ12" s="342">
        <v>470</v>
      </c>
      <c r="BR12" s="342"/>
      <c r="BS12" s="342"/>
      <c r="BT12" s="342"/>
      <c r="BU12" s="342"/>
      <c r="BV12" s="342"/>
      <c r="BW12" s="342"/>
      <c r="BX12" s="342"/>
      <c r="BY12" s="342"/>
      <c r="BZ12" s="342"/>
      <c r="CA12" s="342"/>
      <c r="CB12" s="342"/>
      <c r="CC12" s="342"/>
      <c r="CD12" s="342"/>
      <c r="CE12" s="342"/>
      <c r="CF12" s="342"/>
      <c r="CG12" s="342"/>
      <c r="CH12" s="342"/>
      <c r="CI12" s="342"/>
      <c r="CJ12" s="342"/>
      <c r="CK12" s="342"/>
      <c r="CL12" s="342"/>
      <c r="CM12" s="342"/>
      <c r="CN12" s="342"/>
      <c r="CO12" s="342"/>
      <c r="CP12" s="342"/>
      <c r="CQ12" s="342"/>
      <c r="CR12" s="342"/>
      <c r="CS12" s="342"/>
      <c r="CT12" s="342"/>
      <c r="CU12" s="342"/>
      <c r="CV12" s="342"/>
      <c r="CW12" s="342"/>
      <c r="CX12" s="342"/>
      <c r="CY12" s="342"/>
      <c r="CZ12" s="385"/>
      <c r="DA12" s="385"/>
      <c r="DB12" s="385"/>
      <c r="DC12" s="385"/>
      <c r="DD12" s="385"/>
      <c r="DE12" s="385"/>
      <c r="DF12" s="385"/>
    </row>
    <row r="13" spans="2:110">
      <c r="B13" s="19" t="s">
        <v>776</v>
      </c>
      <c r="D13" s="211">
        <v>0</v>
      </c>
      <c r="E13" s="211">
        <v>16</v>
      </c>
      <c r="F13" s="211">
        <v>1</v>
      </c>
      <c r="G13" s="211">
        <v>2</v>
      </c>
      <c r="H13" s="211">
        <v>1</v>
      </c>
      <c r="I13" s="211">
        <v>3</v>
      </c>
      <c r="J13" s="211">
        <v>2</v>
      </c>
      <c r="K13" s="211">
        <v>3</v>
      </c>
      <c r="L13" s="211">
        <v>2</v>
      </c>
      <c r="M13" s="211">
        <v>6</v>
      </c>
      <c r="N13" s="211">
        <v>4</v>
      </c>
      <c r="O13" s="211"/>
      <c r="P13" s="211">
        <v>8</v>
      </c>
      <c r="Q13" s="211">
        <v>12</v>
      </c>
      <c r="R13" s="211">
        <v>10</v>
      </c>
      <c r="S13" s="211">
        <v>8</v>
      </c>
      <c r="T13" s="211">
        <v>7</v>
      </c>
      <c r="U13" s="211">
        <v>11</v>
      </c>
      <c r="V13" s="211">
        <v>10</v>
      </c>
      <c r="W13" s="211">
        <v>10</v>
      </c>
      <c r="X13" s="211">
        <v>9</v>
      </c>
      <c r="Y13" s="211">
        <v>9</v>
      </c>
      <c r="Z13" s="211">
        <v>8</v>
      </c>
      <c r="AA13" s="1278">
        <f>INDEX('Income Statement'!$B8:$AD8,MATCH(OpMod!BX$8,OpMod!$D$8:$AG$8,0))-Z13</f>
        <v>8</v>
      </c>
      <c r="AB13" s="211">
        <v>5</v>
      </c>
      <c r="AC13" s="1278">
        <f>INDEX('Income Statement'!$B8:$AD8,MATCH(OpMod!BZ$8,OpMod!$D$8:$AG$8,0))-AB13</f>
        <v>6</v>
      </c>
      <c r="AD13" s="211">
        <v>5</v>
      </c>
      <c r="AE13" s="1278">
        <f>INDEX('Income Statement'!$B8:$AD8,MATCH(OpMod!CB$8,OpMod!$D$8:$AG$8,0))-AD13</f>
        <v>5</v>
      </c>
      <c r="AF13" s="228">
        <f>'Income Statement'!AA8-AE13</f>
        <v>5</v>
      </c>
      <c r="AG13" s="228">
        <f>INDEX('Income Statement'!$B8:$AD8,MATCH(OpMod!CD$8,OpMod!$D$8:$AG$8,0))-AF13</f>
        <v>5</v>
      </c>
      <c r="AH13" s="228">
        <f>'Income Statement'!AC8-AG13</f>
        <v>5</v>
      </c>
      <c r="AI13" s="228">
        <f>INDEX('Income Statement'!$B8:$AD8,MATCH(OpMod!CF$8,OpMod!$D$8:$AG$8,0))-AH13</f>
        <v>5</v>
      </c>
      <c r="AJ13" s="211"/>
      <c r="AK13" s="211"/>
      <c r="AL13" s="211"/>
      <c r="AM13" s="211"/>
      <c r="AN13" s="211"/>
      <c r="AO13" s="211"/>
      <c r="AP13" s="211"/>
      <c r="AQ13" s="211"/>
      <c r="AR13" s="211"/>
      <c r="AS13" s="213"/>
      <c r="AT13" s="213"/>
      <c r="AU13" s="342">
        <v>4</v>
      </c>
      <c r="AV13" s="342">
        <v>-4</v>
      </c>
      <c r="AW13" s="342">
        <v>12</v>
      </c>
      <c r="AX13" s="342">
        <v>4</v>
      </c>
      <c r="AY13" s="342">
        <v>1</v>
      </c>
      <c r="AZ13" s="342">
        <v>0</v>
      </c>
      <c r="BA13" s="342">
        <v>2</v>
      </c>
      <c r="BB13" s="342">
        <v>0</v>
      </c>
      <c r="BC13" s="342">
        <v>1</v>
      </c>
      <c r="BD13" s="342">
        <v>0</v>
      </c>
      <c r="BE13" s="342">
        <v>1</v>
      </c>
      <c r="BF13" s="342">
        <v>2</v>
      </c>
      <c r="BG13" s="342">
        <v>0</v>
      </c>
      <c r="BH13" s="342">
        <v>2</v>
      </c>
      <c r="BI13" s="342">
        <v>0</v>
      </c>
      <c r="BJ13" s="342">
        <v>3</v>
      </c>
      <c r="BK13" s="342">
        <v>1</v>
      </c>
      <c r="BL13" s="342">
        <v>1</v>
      </c>
      <c r="BM13" s="342">
        <v>1</v>
      </c>
      <c r="BN13" s="342">
        <v>5</v>
      </c>
      <c r="BO13" s="342">
        <v>2</v>
      </c>
      <c r="BP13" s="342">
        <v>2</v>
      </c>
      <c r="BQ13" s="342">
        <v>0</v>
      </c>
      <c r="BR13" s="342">
        <v>0</v>
      </c>
      <c r="BS13" s="342">
        <v>3</v>
      </c>
      <c r="BT13" s="342">
        <v>5</v>
      </c>
      <c r="BU13" s="342">
        <v>6</v>
      </c>
      <c r="BV13" s="342">
        <v>6</v>
      </c>
      <c r="BW13" s="342">
        <v>6</v>
      </c>
      <c r="BX13" s="342">
        <v>4</v>
      </c>
      <c r="BY13" s="342">
        <v>3</v>
      </c>
      <c r="BZ13" s="342">
        <v>5</v>
      </c>
      <c r="CA13" s="342">
        <v>3</v>
      </c>
      <c r="CB13" s="342">
        <v>5</v>
      </c>
      <c r="CC13" s="342">
        <v>5</v>
      </c>
      <c r="CD13" s="342">
        <v>6</v>
      </c>
      <c r="CE13" s="342">
        <v>5</v>
      </c>
      <c r="CF13" s="342">
        <v>5</v>
      </c>
      <c r="CG13" s="342">
        <v>5</v>
      </c>
      <c r="CH13" s="342">
        <v>5</v>
      </c>
      <c r="CI13" s="342">
        <v>4</v>
      </c>
      <c r="CJ13" s="342">
        <v>5</v>
      </c>
      <c r="CK13" s="342">
        <v>2</v>
      </c>
      <c r="CL13" s="342">
        <v>7</v>
      </c>
      <c r="CM13" s="342">
        <v>4</v>
      </c>
      <c r="CN13" s="1280" cm="1">
        <f t="array" ref="CN13">INDEX($D13:$AQ13,MATCH(1,(OpMod!EK$7=OpMod!$BA$7:$CN$7)*(OpMod!EK$8=OpMod!$BA$8:$CN$8),0))-CM13</f>
        <v>4</v>
      </c>
      <c r="CO13" s="342">
        <v>4</v>
      </c>
      <c r="CP13" s="342">
        <v>4</v>
      </c>
      <c r="CQ13" s="342">
        <v>2</v>
      </c>
      <c r="CR13" s="1280" cm="1">
        <f t="array" ref="CR13">INDEX($D13:$AQ13,MATCH(1,(OpMod!EO$7=OpMod!$BA$7:$CN$7)*(OpMod!EO$8=OpMod!$BA$8:$CN$8),0))-CQ13</f>
        <v>3</v>
      </c>
      <c r="CS13" s="342">
        <v>3</v>
      </c>
      <c r="CT13" s="342">
        <v>3</v>
      </c>
      <c r="CU13" s="342">
        <v>3</v>
      </c>
      <c r="CV13" s="1280" cm="1">
        <f t="array" ref="CV13">INDEX($D13:$AQ13,MATCH(1,(OpMod!ES$7=OpMod!$BA$7:$CN$7)*(OpMod!ES$8=OpMod!$BA$8:$CN$8),0))-CU13</f>
        <v>2</v>
      </c>
      <c r="CW13" s="342">
        <v>2</v>
      </c>
      <c r="CX13" s="342">
        <f>CW13</f>
        <v>2</v>
      </c>
      <c r="CY13" s="342">
        <v>2</v>
      </c>
      <c r="CZ13" s="385" cm="1">
        <f t="array" ref="CZ13">INDEX($D13:$AQ13,MATCH(1,(OpMod!EW$7=OpMod!$BA$7:$CN$7)*(OpMod!EW$8=OpMod!$BA$8:$CN$8),0))-CY13</f>
        <v>3</v>
      </c>
      <c r="DA13" s="385">
        <f>CZ13</f>
        <v>3</v>
      </c>
      <c r="DB13" s="385">
        <f>DA13</f>
        <v>3</v>
      </c>
      <c r="DC13" s="385">
        <f>DB13</f>
        <v>3</v>
      </c>
      <c r="DD13" s="385" cm="1">
        <f t="array" ref="DD13">INDEX($D13:$AQ13,MATCH(1,(OpMod!FA$7=OpMod!$BA$7:$CN$7)*(OpMod!FA$8=OpMod!$BA$8:$CN$8),0))-DC13</f>
        <v>2</v>
      </c>
      <c r="DE13" s="385">
        <f>DD13</f>
        <v>2</v>
      </c>
      <c r="DF13" s="385">
        <f>DE13</f>
        <v>2</v>
      </c>
    </row>
    <row r="14" spans="2:110">
      <c r="B14" s="19" t="s">
        <v>975</v>
      </c>
      <c r="D14" s="200"/>
      <c r="E14" s="200"/>
      <c r="F14" s="200"/>
      <c r="G14" s="200"/>
      <c r="H14" s="200"/>
      <c r="I14" s="200"/>
      <c r="J14" s="200"/>
      <c r="K14" s="200"/>
      <c r="L14" s="200"/>
      <c r="M14" s="200"/>
      <c r="N14" s="200"/>
      <c r="O14" s="200"/>
      <c r="P14" s="200"/>
      <c r="Q14" s="200"/>
      <c r="R14" s="200"/>
      <c r="S14" s="200"/>
      <c r="T14" s="200"/>
      <c r="U14" s="200"/>
      <c r="V14" s="200"/>
      <c r="W14" s="200"/>
      <c r="X14" s="200"/>
      <c r="Y14" s="200"/>
      <c r="Z14" s="200"/>
      <c r="AA14" s="1278"/>
      <c r="AB14" s="200"/>
      <c r="AC14" s="1278"/>
      <c r="AD14" s="200"/>
      <c r="AE14" s="1278"/>
      <c r="AF14" s="200"/>
      <c r="AG14" s="200"/>
      <c r="AH14" s="200"/>
      <c r="AI14" s="200"/>
      <c r="AJ14" s="200"/>
      <c r="AK14" s="200"/>
      <c r="AL14" s="200"/>
      <c r="AM14" s="200"/>
      <c r="AN14" s="200"/>
      <c r="AO14" s="200"/>
      <c r="AP14" s="200"/>
      <c r="AQ14" s="200"/>
      <c r="AR14" s="200"/>
      <c r="AS14" s="213"/>
      <c r="AT14" s="213"/>
      <c r="AU14" s="342"/>
      <c r="AV14" s="342"/>
      <c r="AW14" s="342"/>
      <c r="AX14" s="342"/>
      <c r="AY14" s="342"/>
      <c r="AZ14" s="342"/>
      <c r="BA14" s="342"/>
      <c r="BB14" s="342"/>
      <c r="BC14" s="342"/>
      <c r="BD14" s="342"/>
      <c r="BE14" s="342"/>
      <c r="BF14" s="342"/>
      <c r="BG14" s="342"/>
      <c r="BH14" s="342"/>
      <c r="BI14" s="342"/>
      <c r="BJ14" s="342"/>
      <c r="BK14" s="342"/>
      <c r="BL14" s="342"/>
      <c r="BM14" s="342"/>
      <c r="BN14" s="342"/>
      <c r="BO14" s="342"/>
      <c r="BP14" s="342"/>
      <c r="BQ14" s="342"/>
      <c r="BR14" s="342"/>
      <c r="BS14" s="342"/>
      <c r="BT14" s="342"/>
      <c r="BU14" s="342"/>
      <c r="BV14" s="342"/>
      <c r="BW14" s="342"/>
      <c r="BX14" s="342"/>
      <c r="BY14" s="342"/>
      <c r="BZ14" s="342"/>
      <c r="CA14" s="342"/>
      <c r="CB14" s="342"/>
      <c r="CC14" s="342"/>
      <c r="CD14" s="342"/>
      <c r="CE14" s="342"/>
      <c r="CF14" s="342"/>
      <c r="CG14" s="342"/>
      <c r="CH14" s="342"/>
      <c r="CI14" s="342"/>
      <c r="CJ14" s="342"/>
      <c r="CK14" s="342"/>
      <c r="CL14" s="342"/>
      <c r="CM14" s="342"/>
      <c r="CN14" s="342"/>
      <c r="CO14" s="342"/>
      <c r="CP14" s="342"/>
      <c r="CQ14" s="342"/>
      <c r="CR14" s="342"/>
      <c r="CS14" s="342"/>
      <c r="CT14" s="342"/>
      <c r="CU14" s="342"/>
      <c r="CV14" s="342"/>
      <c r="CW14" s="342"/>
      <c r="CX14" s="342"/>
      <c r="CY14" s="342"/>
      <c r="CZ14" s="385"/>
      <c r="DA14" s="385"/>
      <c r="DB14" s="385"/>
      <c r="DC14" s="385"/>
      <c r="DD14" s="385"/>
      <c r="DE14" s="385"/>
      <c r="DF14" s="385"/>
    </row>
    <row r="15" spans="2:110">
      <c r="B15" s="19" t="s">
        <v>743</v>
      </c>
      <c r="D15" s="200"/>
      <c r="E15" s="200"/>
      <c r="F15" s="200"/>
      <c r="G15" s="200"/>
      <c r="H15" s="200"/>
      <c r="I15" s="200"/>
      <c r="J15" s="200"/>
      <c r="K15" s="200"/>
      <c r="L15" s="200"/>
      <c r="M15" s="200"/>
      <c r="N15" s="200"/>
      <c r="O15" s="200"/>
      <c r="P15" s="200"/>
      <c r="Q15" s="200"/>
      <c r="R15" s="200"/>
      <c r="S15" s="200"/>
      <c r="T15" s="200"/>
      <c r="U15" s="200"/>
      <c r="V15" s="200"/>
      <c r="W15" s="200"/>
      <c r="X15" s="200"/>
      <c r="Y15" s="200"/>
      <c r="Z15" s="200"/>
      <c r="AA15" s="1278"/>
      <c r="AB15" s="200"/>
      <c r="AC15" s="1278"/>
      <c r="AD15" s="200"/>
      <c r="AE15" s="1278"/>
      <c r="AF15" s="200"/>
      <c r="AG15" s="200"/>
      <c r="AH15" s="200"/>
      <c r="AI15" s="200"/>
      <c r="AJ15" s="200"/>
      <c r="AK15" s="200"/>
      <c r="AL15" s="200"/>
      <c r="AM15" s="200"/>
      <c r="AN15" s="200"/>
      <c r="AO15" s="200"/>
      <c r="AP15" s="200"/>
      <c r="AQ15" s="200"/>
      <c r="AR15" s="200"/>
      <c r="AS15" s="213"/>
      <c r="AT15" s="213"/>
      <c r="AU15" s="342"/>
      <c r="AV15" s="342"/>
      <c r="AW15" s="342"/>
      <c r="AX15" s="342"/>
      <c r="AY15" s="342"/>
      <c r="AZ15" s="342"/>
      <c r="BA15" s="342"/>
      <c r="BB15" s="342"/>
      <c r="BC15" s="342"/>
      <c r="BD15" s="342"/>
      <c r="BE15" s="342"/>
      <c r="BF15" s="342"/>
      <c r="BG15" s="342"/>
      <c r="BH15" s="342"/>
      <c r="BI15" s="342"/>
      <c r="BJ15" s="342"/>
      <c r="BK15" s="342"/>
      <c r="BL15" s="342"/>
      <c r="BM15" s="342"/>
      <c r="BN15" s="342"/>
      <c r="BO15" s="342"/>
      <c r="BP15" s="342"/>
      <c r="BQ15" s="342"/>
      <c r="BR15" s="342"/>
      <c r="BS15" s="342"/>
      <c r="BT15" s="342"/>
      <c r="BU15" s="342"/>
      <c r="BV15" s="342"/>
      <c r="BW15" s="342"/>
      <c r="BX15" s="342"/>
      <c r="BY15" s="342"/>
      <c r="BZ15" s="342"/>
      <c r="CA15" s="342"/>
      <c r="CB15" s="342"/>
      <c r="CC15" s="342"/>
      <c r="CD15" s="342"/>
      <c r="CE15" s="342"/>
      <c r="CF15" s="342"/>
      <c r="CG15" s="342"/>
      <c r="CH15" s="342"/>
      <c r="CI15" s="342"/>
      <c r="CJ15" s="342"/>
      <c r="CK15" s="342"/>
      <c r="CL15" s="342"/>
      <c r="CM15" s="342"/>
      <c r="CN15" s="342"/>
      <c r="CO15" s="342"/>
      <c r="CP15" s="342"/>
      <c r="CQ15" s="342"/>
      <c r="CR15" s="342"/>
      <c r="CS15" s="342"/>
      <c r="CT15" s="342"/>
      <c r="CU15" s="342"/>
      <c r="CV15" s="342"/>
      <c r="CW15" s="342"/>
      <c r="CX15" s="342"/>
      <c r="CY15" s="342"/>
      <c r="CZ15" s="385"/>
      <c r="DA15" s="385"/>
      <c r="DB15" s="385"/>
      <c r="DC15" s="385"/>
      <c r="DD15" s="385"/>
      <c r="DE15" s="385"/>
      <c r="DF15" s="385"/>
    </row>
    <row r="16" spans="2:110">
      <c r="B16" s="214" t="s">
        <v>1008</v>
      </c>
      <c r="D16" s="190">
        <f t="shared" ref="D16:M16" si="2">SUM(D6:D15)</f>
        <v>5614</v>
      </c>
      <c r="E16" s="190">
        <f t="shared" si="2"/>
        <v>6122</v>
      </c>
      <c r="F16" s="190">
        <f t="shared" si="2"/>
        <v>6413</v>
      </c>
      <c r="G16" s="190">
        <f t="shared" si="2"/>
        <v>7147</v>
      </c>
      <c r="H16" s="190">
        <f t="shared" si="2"/>
        <v>6907</v>
      </c>
      <c r="I16" s="190">
        <f t="shared" si="2"/>
        <v>7456</v>
      </c>
      <c r="J16" s="190">
        <f t="shared" si="2"/>
        <v>7208</v>
      </c>
      <c r="K16" s="190">
        <f t="shared" si="2"/>
        <v>8147</v>
      </c>
      <c r="L16" s="190">
        <f t="shared" si="2"/>
        <v>8403</v>
      </c>
      <c r="M16" s="190">
        <f t="shared" si="2"/>
        <v>9011</v>
      </c>
      <c r="N16" s="190">
        <f>SUM(N6:N15)-N12</f>
        <v>7987</v>
      </c>
      <c r="O16" s="190">
        <f>'Income Statement'!R9-N16</f>
        <v>7794</v>
      </c>
      <c r="P16" s="190">
        <f>SUM(P6:P15)</f>
        <v>8038</v>
      </c>
      <c r="Q16" s="190">
        <f>SUM(Q6:Q15)</f>
        <v>7915</v>
      </c>
      <c r="R16" s="190">
        <f t="shared" ref="R16:Z16" si="3">SUM(R10:R15,R6)</f>
        <v>9507</v>
      </c>
      <c r="S16" s="190">
        <f t="shared" si="3"/>
        <v>11543</v>
      </c>
      <c r="T16" s="190">
        <f t="shared" si="3"/>
        <v>12102</v>
      </c>
      <c r="U16" s="190">
        <f t="shared" si="3"/>
        <v>12538</v>
      </c>
      <c r="V16" s="190">
        <f t="shared" si="3"/>
        <v>8767</v>
      </c>
      <c r="W16" s="190">
        <f t="shared" si="3"/>
        <v>7731</v>
      </c>
      <c r="X16" s="190">
        <f t="shared" si="3"/>
        <v>6876</v>
      </c>
      <c r="Y16" s="190">
        <f t="shared" si="3"/>
        <v>8381</v>
      </c>
      <c r="Z16" s="190">
        <f t="shared" si="3"/>
        <v>8560</v>
      </c>
      <c r="AA16" s="339">
        <f>INDEX('Income Statement'!$B9:$AD9,MATCH(OpMod!BX$8,OpMod!$D$8:$AG$8,0))-Z16</f>
        <v>10475</v>
      </c>
      <c r="AB16" s="190">
        <f>SUM(AB10:AB15,AB6)</f>
        <v>10945</v>
      </c>
      <c r="AC16" s="339">
        <f>INDEX('Income Statement'!$B9:$AD9,MATCH(OpMod!BZ$8,OpMod!$D$8:$AG$8,0))-AB16</f>
        <v>12254</v>
      </c>
      <c r="AD16" s="190">
        <f>SUM(AD10:AD15,AD6)</f>
        <v>13047</v>
      </c>
      <c r="AE16" s="339">
        <f>INDEX('Income Statement'!$B9:$AD9,MATCH(OpMod!CB$8,OpMod!$D$8:$AG$8,0))-AD16</f>
        <v>14270</v>
      </c>
      <c r="AF16" s="190" t="e">
        <f>SUM(AF10:AF15,AF6)</f>
        <v>#REF!</v>
      </c>
      <c r="AG16" s="190" t="e">
        <f>INDEX('Income Statement'!$B9:$AD9,MATCH(OpMod!CD$8,OpMod!$D$8:$AG$8,0))-AF16</f>
        <v>#REF!</v>
      </c>
      <c r="AH16" s="190" t="e">
        <f>SUM(AH10:AH15,AH6)</f>
        <v>#REF!</v>
      </c>
      <c r="AI16" s="190" t="e">
        <f>INDEX('Income Statement'!$B9:$AD9,MATCH(OpMod!CF$8,OpMod!$D$8:$AG$8,0))-AH16</f>
        <v>#REF!</v>
      </c>
      <c r="AJ16" s="190"/>
      <c r="AK16" s="190"/>
      <c r="AL16" s="190"/>
      <c r="AM16" s="190"/>
      <c r="AN16" s="190"/>
      <c r="AO16" s="190"/>
      <c r="AP16" s="190"/>
      <c r="AQ16" s="190"/>
      <c r="AR16" s="190"/>
      <c r="AS16" s="213"/>
      <c r="AT16" s="213"/>
      <c r="AU16" s="344">
        <f t="shared" ref="AU16:BN16" si="4">SUM(AU6:AU15)</f>
        <v>2681</v>
      </c>
      <c r="AV16" s="344">
        <f t="shared" si="4"/>
        <v>2933</v>
      </c>
      <c r="AW16" s="344">
        <f t="shared" si="4"/>
        <v>2736</v>
      </c>
      <c r="AX16" s="344">
        <f t="shared" si="4"/>
        <v>3386</v>
      </c>
      <c r="AY16" s="344">
        <f t="shared" si="4"/>
        <v>3108</v>
      </c>
      <c r="AZ16" s="344">
        <f t="shared" si="4"/>
        <v>3305</v>
      </c>
      <c r="BA16" s="344">
        <f t="shared" si="4"/>
        <v>3134</v>
      </c>
      <c r="BB16" s="344">
        <f t="shared" si="4"/>
        <v>4013</v>
      </c>
      <c r="BC16" s="344">
        <f t="shared" si="4"/>
        <v>3333</v>
      </c>
      <c r="BD16" s="344">
        <f t="shared" si="4"/>
        <v>3574</v>
      </c>
      <c r="BE16" s="344">
        <f t="shared" si="4"/>
        <v>3361</v>
      </c>
      <c r="BF16" s="344">
        <f t="shared" si="4"/>
        <v>4095</v>
      </c>
      <c r="BG16" s="344">
        <f t="shared" si="4"/>
        <v>3443</v>
      </c>
      <c r="BH16" s="344">
        <f t="shared" si="4"/>
        <v>3765</v>
      </c>
      <c r="BI16" s="344">
        <f t="shared" si="4"/>
        <v>3589</v>
      </c>
      <c r="BJ16" s="344">
        <f t="shared" si="4"/>
        <v>4558</v>
      </c>
      <c r="BK16" s="344">
        <f t="shared" si="4"/>
        <v>3935</v>
      </c>
      <c r="BL16" s="344">
        <f t="shared" si="4"/>
        <v>4468</v>
      </c>
      <c r="BM16" s="344">
        <f t="shared" si="4"/>
        <v>4141</v>
      </c>
      <c r="BN16" s="344">
        <f t="shared" si="4"/>
        <v>4870</v>
      </c>
      <c r="BO16" s="344">
        <f>SUM(BO6:BO15)-BO12</f>
        <v>3791</v>
      </c>
      <c r="BP16" s="344">
        <f>SUM(BP6:BP15)-BP12</f>
        <v>4196</v>
      </c>
      <c r="BQ16" s="344">
        <f>SUM(BQ6:BQ15)-BQ12</f>
        <v>3517</v>
      </c>
      <c r="BR16" s="344">
        <f>'Income Statement'!R9-SUM(BO16:BQ16)</f>
        <v>4277</v>
      </c>
      <c r="BS16" s="344">
        <f>SUM(BS6:BS15)</f>
        <v>3982</v>
      </c>
      <c r="BT16" s="344">
        <f>SUM(BT6:BT15)</f>
        <v>4056</v>
      </c>
      <c r="BU16" s="344">
        <f>SUM(BU6:BU15)</f>
        <v>3815</v>
      </c>
      <c r="BV16" s="344">
        <f>SUM(BV6:BV15)</f>
        <v>4100</v>
      </c>
      <c r="BW16" s="344">
        <f t="shared" ref="BW16:CM16" si="5">SUM(BW10:BW15,BW6)</f>
        <v>4222</v>
      </c>
      <c r="BX16" s="344">
        <f t="shared" si="5"/>
        <v>5285</v>
      </c>
      <c r="BY16" s="344">
        <f t="shared" si="5"/>
        <v>5348</v>
      </c>
      <c r="BZ16" s="344">
        <f t="shared" si="5"/>
        <v>6195</v>
      </c>
      <c r="CA16" s="344">
        <f t="shared" si="5"/>
        <v>5781</v>
      </c>
      <c r="CB16" s="344">
        <f t="shared" si="5"/>
        <v>6322</v>
      </c>
      <c r="CC16" s="344">
        <f t="shared" si="5"/>
        <v>6095</v>
      </c>
      <c r="CD16" s="344">
        <f t="shared" si="5"/>
        <v>6443</v>
      </c>
      <c r="CE16" s="344">
        <f t="shared" si="5"/>
        <v>5383</v>
      </c>
      <c r="CF16" s="344">
        <f t="shared" si="5"/>
        <v>3384</v>
      </c>
      <c r="CG16" s="344">
        <f t="shared" si="5"/>
        <v>3382</v>
      </c>
      <c r="CH16" s="344">
        <f t="shared" si="5"/>
        <v>4349</v>
      </c>
      <c r="CI16" s="344">
        <f t="shared" si="5"/>
        <v>3342</v>
      </c>
      <c r="CJ16" s="344">
        <f t="shared" si="5"/>
        <v>3534</v>
      </c>
      <c r="CK16" s="344">
        <f t="shared" si="5"/>
        <v>3734</v>
      </c>
      <c r="CL16" s="344">
        <f t="shared" si="5"/>
        <v>4647</v>
      </c>
      <c r="CM16" s="344">
        <f t="shared" si="5"/>
        <v>4071</v>
      </c>
      <c r="CN16" s="1279" cm="1">
        <f t="array" ref="CN16">INDEX($D16:$AQ16,MATCH(1,(OpMod!EK$7=OpMod!$BA$7:$CN$7)*(OpMod!EK$8=OpMod!$BA$8:$CN$8),0))-CM16</f>
        <v>4489</v>
      </c>
      <c r="CO16" s="344">
        <f>SUM(CO10:CO15,CO6)</f>
        <v>4849</v>
      </c>
      <c r="CP16" s="344">
        <f>SUM(CP10:CP15,CP6)</f>
        <v>5626</v>
      </c>
      <c r="CQ16" s="344">
        <f>SUM(CQ10:CQ15,CQ6)</f>
        <v>5266</v>
      </c>
      <c r="CR16" s="1279" cm="1">
        <f t="array" ref="CR16">INDEX($D16:$AQ16,MATCH(1,(OpMod!EO$7=OpMod!$BA$7:$CN$7)*(OpMod!EO$8=OpMod!$BA$8:$CN$8),0))-CQ16</f>
        <v>5679</v>
      </c>
      <c r="CS16" s="344">
        <f>SUM(CS10:CS15,CS6)</f>
        <v>5825</v>
      </c>
      <c r="CT16" s="344">
        <f>SUM(CT10:CT15,CT6)</f>
        <v>6429</v>
      </c>
      <c r="CU16" s="344">
        <f>SUM(CU10:CU15,CU6)</f>
        <v>6220</v>
      </c>
      <c r="CV16" s="1279" cm="1">
        <f t="array" ref="CV16">INDEX($D16:$AQ16,MATCH(1,(OpMod!ES$7=OpMod!$BA$7:$CN$7)*(OpMod!ES$8=OpMod!$BA$8:$CN$8),0))-CU16</f>
        <v>6827</v>
      </c>
      <c r="CW16" s="344">
        <f>SUM(CW10:CW15,CW6)</f>
        <v>6639</v>
      </c>
      <c r="CX16" s="344" t="e">
        <f>SUM(CX10:CX15,CX6)</f>
        <v>#REF!</v>
      </c>
      <c r="CY16" s="344">
        <f>SUM(CY10:CY15,CY6)</f>
        <v>7257</v>
      </c>
      <c r="CZ16" s="344" t="e" cm="1">
        <f t="array" ref="CZ16">INDEX($D16:$AQ16,MATCH(1,(OpMod!EW$7=OpMod!$BA$7:$CN$7)*(OpMod!EW$8=OpMod!$BA$8:$CN$8),0))-CY16</f>
        <v>#REF!</v>
      </c>
      <c r="DA16" s="344" t="e">
        <f>SUM(DA10:DA15,DA6)</f>
        <v>#REF!</v>
      </c>
      <c r="DB16" s="344" t="e">
        <f>SUM(DB10:DB15,DB6)</f>
        <v>#REF!</v>
      </c>
      <c r="DC16" s="344" t="e">
        <f>SUM(DC10:DC15,DC6)</f>
        <v>#REF!</v>
      </c>
      <c r="DD16" s="344" t="e" cm="1">
        <f t="array" ref="DD16">INDEX($D16:$AQ16,MATCH(1,(OpMod!FA$7=OpMod!$BA$7:$CN$7)*(OpMod!FA$8=OpMod!$BA$8:$CN$8),0))-DC16</f>
        <v>#REF!</v>
      </c>
      <c r="DE16" s="344" t="e">
        <f>SUM(DE10:DE15,DE6)</f>
        <v>#REF!</v>
      </c>
      <c r="DF16" s="344" t="e">
        <f>SUM(DF10:DF15,DF6)</f>
        <v>#REF!</v>
      </c>
    </row>
    <row r="17" spans="2:110">
      <c r="B17" s="213"/>
      <c r="D17" s="213"/>
      <c r="E17" s="213"/>
      <c r="F17" s="213"/>
      <c r="G17" s="213"/>
      <c r="H17" s="213"/>
      <c r="I17" s="213"/>
      <c r="J17" s="213"/>
      <c r="K17" s="213"/>
      <c r="L17" s="213"/>
      <c r="M17" s="213"/>
      <c r="N17" s="213"/>
      <c r="O17" s="213"/>
      <c r="P17" s="213"/>
      <c r="Q17" s="213"/>
      <c r="R17" s="213"/>
      <c r="S17" s="213"/>
      <c r="T17" s="213"/>
      <c r="U17" s="213"/>
      <c r="V17" s="213"/>
      <c r="W17" s="213"/>
      <c r="X17" s="213"/>
      <c r="Y17" s="213"/>
      <c r="Z17" s="213"/>
      <c r="AA17" s="213"/>
      <c r="AB17" s="213"/>
      <c r="AC17" s="213"/>
      <c r="AD17" s="213"/>
      <c r="AE17" s="213"/>
      <c r="AF17" s="213"/>
      <c r="AG17" s="213"/>
      <c r="AH17" s="213"/>
      <c r="AI17" s="213"/>
      <c r="AJ17" s="213"/>
      <c r="AK17" s="213"/>
      <c r="AL17" s="213"/>
      <c r="AM17" s="213"/>
      <c r="AN17" s="213"/>
      <c r="AO17" s="213"/>
      <c r="AP17" s="213"/>
      <c r="AQ17" s="213"/>
      <c r="AR17" s="213"/>
      <c r="AS17" s="213"/>
      <c r="AT17" s="213"/>
      <c r="AU17" s="213"/>
      <c r="AV17" s="213"/>
      <c r="AW17" s="213"/>
      <c r="AX17" s="213"/>
      <c r="AY17" s="213"/>
      <c r="AZ17" s="213"/>
      <c r="BA17" s="1021"/>
      <c r="BB17" s="213"/>
      <c r="BC17" s="213"/>
      <c r="BD17" s="213"/>
      <c r="BE17" s="1021"/>
      <c r="BF17" s="213"/>
      <c r="BG17" s="213"/>
      <c r="BH17" s="213"/>
      <c r="BI17" s="1021"/>
      <c r="BJ17" s="213"/>
      <c r="BK17" s="213"/>
      <c r="BL17" s="213"/>
      <c r="BM17" s="1021"/>
      <c r="BN17" s="213"/>
      <c r="BO17" s="213"/>
      <c r="BP17" s="213"/>
      <c r="BQ17" s="1021"/>
      <c r="BR17" s="213"/>
      <c r="BS17" s="213"/>
      <c r="BT17" s="213"/>
      <c r="BU17" s="1021"/>
      <c r="BV17" s="213"/>
      <c r="BW17" s="213"/>
      <c r="BX17" s="213"/>
      <c r="BY17" s="1021"/>
      <c r="BZ17" s="213"/>
      <c r="CA17" s="213"/>
      <c r="CB17" s="213"/>
      <c r="CC17" s="1021"/>
      <c r="CD17" s="213"/>
      <c r="CE17" s="213"/>
      <c r="CF17" s="213"/>
      <c r="CG17" s="213"/>
      <c r="CH17" s="213"/>
      <c r="CI17" s="213"/>
      <c r="CJ17" s="213"/>
      <c r="CK17" s="213"/>
      <c r="CL17" s="213"/>
      <c r="CM17" s="213"/>
      <c r="CN17" s="213"/>
      <c r="CO17" s="1021"/>
      <c r="CP17" s="213"/>
      <c r="CQ17" s="213"/>
      <c r="CR17" s="213"/>
      <c r="CS17" s="1021"/>
      <c r="CT17" s="213"/>
      <c r="CU17" s="213"/>
      <c r="CV17" s="213"/>
      <c r="CW17" s="1021"/>
      <c r="CX17" s="213"/>
      <c r="CY17" s="213"/>
      <c r="CZ17" s="213"/>
      <c r="DA17" s="213"/>
      <c r="DB17" s="213"/>
      <c r="DC17" s="213"/>
      <c r="DD17" s="213"/>
      <c r="DE17" s="213"/>
      <c r="DF17" s="213"/>
    </row>
    <row r="18" spans="2:110">
      <c r="B18" s="306" t="s">
        <v>1468</v>
      </c>
      <c r="D18" s="308"/>
      <c r="E18" s="308"/>
      <c r="F18" s="308"/>
      <c r="G18" s="308"/>
      <c r="H18" s="308"/>
      <c r="I18" s="308"/>
      <c r="J18" s="308"/>
      <c r="K18" s="308"/>
      <c r="L18" s="308"/>
      <c r="M18" s="308"/>
      <c r="N18" s="308"/>
      <c r="O18" s="308"/>
      <c r="P18" s="308"/>
      <c r="Q18" s="308"/>
      <c r="R18" s="308"/>
      <c r="S18" s="308"/>
      <c r="T18" s="308"/>
      <c r="U18" s="308"/>
      <c r="V18" s="308"/>
      <c r="W18" s="308"/>
      <c r="X18" s="308"/>
      <c r="Y18" s="308"/>
      <c r="Z18" s="308"/>
      <c r="AA18" s="308"/>
      <c r="AB18" s="308"/>
      <c r="AC18" s="308"/>
      <c r="AD18" s="308"/>
      <c r="AE18" s="308"/>
      <c r="AF18" s="308"/>
      <c r="AG18" s="308"/>
      <c r="AH18" s="308"/>
      <c r="AI18" s="308"/>
      <c r="AJ18" s="308"/>
      <c r="AK18" s="308"/>
      <c r="AL18" s="308"/>
      <c r="AM18" s="308"/>
      <c r="AN18" s="308"/>
      <c r="AO18" s="308"/>
      <c r="AP18" s="308"/>
      <c r="AQ18" s="308"/>
      <c r="AR18" s="339"/>
      <c r="AS18" s="213"/>
      <c r="AT18" s="213"/>
      <c r="AU18" s="308"/>
      <c r="AV18" s="308"/>
      <c r="AW18" s="308"/>
      <c r="AX18" s="308"/>
      <c r="AY18" s="308"/>
      <c r="AZ18" s="308"/>
      <c r="BA18" s="308"/>
      <c r="BB18" s="308"/>
      <c r="BC18" s="308"/>
      <c r="BD18" s="308"/>
      <c r="BE18" s="308"/>
      <c r="BF18" s="308"/>
      <c r="BG18" s="308"/>
      <c r="BH18" s="308"/>
      <c r="BI18" s="308"/>
      <c r="BJ18" s="308"/>
      <c r="BK18" s="308"/>
      <c r="BL18" s="308"/>
      <c r="BM18" s="308"/>
      <c r="BN18" s="308"/>
      <c r="BO18" s="308"/>
      <c r="BP18" s="308"/>
      <c r="BQ18" s="308"/>
      <c r="BR18" s="308"/>
      <c r="BS18" s="308"/>
      <c r="BT18" s="308"/>
      <c r="BU18" s="308"/>
      <c r="BV18" s="308"/>
      <c r="BW18" s="308"/>
      <c r="BX18" s="308"/>
      <c r="BY18" s="308"/>
      <c r="BZ18" s="308"/>
      <c r="CA18" s="308"/>
      <c r="CB18" s="308"/>
      <c r="CC18" s="308"/>
      <c r="CD18" s="308"/>
      <c r="CE18" s="308"/>
      <c r="CF18" s="308"/>
      <c r="CG18" s="308"/>
      <c r="CH18" s="308"/>
      <c r="CI18" s="308"/>
      <c r="CJ18" s="308"/>
      <c r="CK18" s="308"/>
      <c r="CL18" s="308"/>
      <c r="CM18" s="308"/>
      <c r="CN18" s="308"/>
      <c r="CO18" s="308"/>
      <c r="CP18" s="308"/>
      <c r="CQ18" s="308"/>
      <c r="CR18" s="308"/>
      <c r="CS18" s="308"/>
      <c r="CT18" s="308"/>
      <c r="CU18" s="308"/>
      <c r="CV18" s="308"/>
      <c r="CW18" s="308"/>
      <c r="CX18" s="308"/>
      <c r="CY18" s="308"/>
      <c r="CZ18" s="308"/>
      <c r="DA18" s="308"/>
      <c r="DB18" s="308"/>
      <c r="DC18" s="308"/>
      <c r="DD18" s="308"/>
      <c r="DE18" s="308"/>
      <c r="DF18" s="308"/>
    </row>
    <row r="19" spans="2:110">
      <c r="B19" s="19" t="s">
        <v>978</v>
      </c>
      <c r="D19" s="340"/>
      <c r="E19" s="340"/>
      <c r="F19" s="340">
        <f t="shared" ref="F19:AI19" si="6">F6/D6-1</f>
        <v>9.7077594894188879E-2</v>
      </c>
      <c r="G19" s="340">
        <f t="shared" si="6"/>
        <v>0.19342483242898179</v>
      </c>
      <c r="H19" s="340">
        <f t="shared" si="6"/>
        <v>0.12400489895897127</v>
      </c>
      <c r="I19" s="340">
        <f t="shared" si="6"/>
        <v>4.7873763038245531E-2</v>
      </c>
      <c r="J19" s="340">
        <f t="shared" si="6"/>
        <v>2.5061291201307512E-2</v>
      </c>
      <c r="K19" s="340">
        <f t="shared" si="6"/>
        <v>0.1204696273608985</v>
      </c>
      <c r="L19" s="340">
        <f t="shared" si="6"/>
        <v>0.19213393568960946</v>
      </c>
      <c r="M19" s="340">
        <f t="shared" si="6"/>
        <v>0.10091116173120729</v>
      </c>
      <c r="N19" s="340">
        <f t="shared" si="6"/>
        <v>8.2701738742755326E-2</v>
      </c>
      <c r="O19" s="340">
        <f t="shared" si="6"/>
        <v>-6.1866335609352396E-2</v>
      </c>
      <c r="P19" s="340">
        <f t="shared" si="6"/>
        <v>-3.4177475808112034E-2</v>
      </c>
      <c r="Q19" s="340">
        <f t="shared" si="6"/>
        <v>2.9113365681517456E-2</v>
      </c>
      <c r="R19" s="340">
        <f t="shared" si="6"/>
        <v>2.4301854615220719E-2</v>
      </c>
      <c r="S19" s="340">
        <f t="shared" si="6"/>
        <v>0.23746249464209179</v>
      </c>
      <c r="T19" s="340">
        <f t="shared" si="6"/>
        <v>0.22830385015608745</v>
      </c>
      <c r="U19" s="340">
        <f t="shared" si="6"/>
        <v>6.3907170072739827E-2</v>
      </c>
      <c r="V19" s="340">
        <f t="shared" si="6"/>
        <v>-0.31430023720772615</v>
      </c>
      <c r="W19" s="340">
        <f t="shared" si="6"/>
        <v>-0.41136252645287319</v>
      </c>
      <c r="X19" s="340">
        <f t="shared" si="6"/>
        <v>-0.19718309859154926</v>
      </c>
      <c r="Y19" s="340">
        <f t="shared" si="6"/>
        <v>0.15873893805309724</v>
      </c>
      <c r="Z19" s="340">
        <f t="shared" si="6"/>
        <v>0.28531855955678664</v>
      </c>
      <c r="AA19" s="340">
        <f t="shared" si="6"/>
        <v>0.2720763723150359</v>
      </c>
      <c r="AB19" s="340">
        <f t="shared" si="6"/>
        <v>0.3594348659003832</v>
      </c>
      <c r="AC19" s="340">
        <f t="shared" si="6"/>
        <v>0.16303939962476544</v>
      </c>
      <c r="AD19" s="340">
        <f t="shared" si="6"/>
        <v>0.13810110974106049</v>
      </c>
      <c r="AE19" s="340">
        <f t="shared" si="6"/>
        <v>0.16002581061461529</v>
      </c>
      <c r="AF19" s="340" t="e">
        <f t="shared" si="6"/>
        <v>#REF!</v>
      </c>
      <c r="AG19" s="340" t="e">
        <f t="shared" si="6"/>
        <v>#REF!</v>
      </c>
      <c r="AH19" s="340" t="e">
        <f t="shared" si="6"/>
        <v>#REF!</v>
      </c>
      <c r="AI19" s="340" t="e">
        <f t="shared" si="6"/>
        <v>#REF!</v>
      </c>
      <c r="AJ19" s="340"/>
      <c r="AK19" s="340"/>
      <c r="AL19" s="340"/>
      <c r="AM19" s="340"/>
      <c r="AN19" s="340"/>
      <c r="AO19" s="340"/>
      <c r="AP19" s="340"/>
      <c r="AQ19" s="340"/>
      <c r="AR19" s="457"/>
      <c r="AS19" s="213"/>
      <c r="AT19" s="213"/>
      <c r="AU19" s="340"/>
      <c r="AV19" s="340"/>
      <c r="AW19" s="340"/>
      <c r="AX19" s="340"/>
      <c r="AY19" s="340">
        <f t="shared" ref="AY19:CD19" si="7">AY6/AU6-1</f>
        <v>0.11384399156711167</v>
      </c>
      <c r="AZ19" s="340">
        <f t="shared" si="7"/>
        <v>8.1724581724581746E-2</v>
      </c>
      <c r="BA19" s="340">
        <f t="shared" si="7"/>
        <v>0.12063056888279644</v>
      </c>
      <c r="BB19" s="340">
        <f t="shared" si="7"/>
        <v>0.2568697729988052</v>
      </c>
      <c r="BC19" s="340">
        <f t="shared" si="7"/>
        <v>0.12618296529968465</v>
      </c>
      <c r="BD19" s="340">
        <f t="shared" si="7"/>
        <v>0.12195121951219523</v>
      </c>
      <c r="BE19" s="340">
        <f t="shared" si="7"/>
        <v>8.3180428134556506E-2</v>
      </c>
      <c r="BF19" s="340">
        <f t="shared" si="7"/>
        <v>2.0437262357414498E-2</v>
      </c>
      <c r="BG19" s="340">
        <f t="shared" si="7"/>
        <v>2.2408963585434094E-2</v>
      </c>
      <c r="BH19" s="340">
        <f t="shared" si="7"/>
        <v>2.7571580063626699E-2</v>
      </c>
      <c r="BI19" s="340">
        <f t="shared" si="7"/>
        <v>9.7684923771880205E-2</v>
      </c>
      <c r="BJ19" s="340">
        <f t="shared" si="7"/>
        <v>0.13926408942710755</v>
      </c>
      <c r="BK19" s="340">
        <f t="shared" si="7"/>
        <v>0.13424657534246576</v>
      </c>
      <c r="BL19" s="340">
        <f t="shared" si="7"/>
        <v>0.24664602683178538</v>
      </c>
      <c r="BM19" s="340">
        <f t="shared" si="7"/>
        <v>0.14197530864197527</v>
      </c>
      <c r="BN19" s="340">
        <f t="shared" si="7"/>
        <v>6.827473426001629E-2</v>
      </c>
      <c r="BO19" s="340">
        <f t="shared" si="7"/>
        <v>0.11159420289855082</v>
      </c>
      <c r="BP19" s="340">
        <f t="shared" si="7"/>
        <v>5.7947019867549576E-2</v>
      </c>
      <c r="BQ19" s="340">
        <f t="shared" si="7"/>
        <v>-7.3873873873873896E-2</v>
      </c>
      <c r="BR19" s="340">
        <f t="shared" si="7"/>
        <v>-5.1664753157290466E-2</v>
      </c>
      <c r="BS19" s="340">
        <f t="shared" si="7"/>
        <v>2.564102564102555E-2</v>
      </c>
      <c r="BT19" s="340">
        <f t="shared" si="7"/>
        <v>-8.8028169014084501E-2</v>
      </c>
      <c r="BU19" s="340">
        <f t="shared" si="7"/>
        <v>0.12013618677042803</v>
      </c>
      <c r="BV19" s="340">
        <f t="shared" si="7"/>
        <v>-4.6408393866021025E-2</v>
      </c>
      <c r="BW19" s="340">
        <f t="shared" si="7"/>
        <v>-1.7372881355932179E-2</v>
      </c>
      <c r="BX19" s="340">
        <f t="shared" si="7"/>
        <v>6.6495066495066535E-2</v>
      </c>
      <c r="BY19" s="340">
        <f t="shared" si="7"/>
        <v>9.5961788970907458E-2</v>
      </c>
      <c r="BZ19" s="340">
        <f t="shared" si="7"/>
        <v>0.37537029200169281</v>
      </c>
      <c r="CA19" s="340">
        <f t="shared" si="7"/>
        <v>0.19491159982751194</v>
      </c>
      <c r="CB19" s="340">
        <f t="shared" si="7"/>
        <v>0.25945293644408696</v>
      </c>
      <c r="CC19" s="340">
        <f t="shared" si="7"/>
        <v>0.18343898573692541</v>
      </c>
      <c r="CD19" s="340">
        <f t="shared" si="7"/>
        <v>-2.892307692307694E-2</v>
      </c>
      <c r="CE19" s="340">
        <f t="shared" ref="CE19:DF19" si="8">CE6/CA6-1</f>
        <v>-9.8881270299530866E-2</v>
      </c>
      <c r="CF19" s="340">
        <f t="shared" si="8"/>
        <v>-0.50495049504950495</v>
      </c>
      <c r="CG19" s="340">
        <f t="shared" si="8"/>
        <v>-0.47807164378975564</v>
      </c>
      <c r="CH19" s="340">
        <f t="shared" si="8"/>
        <v>-0.34822560202788344</v>
      </c>
      <c r="CI19" s="340">
        <f t="shared" si="8"/>
        <v>-0.37484981978374043</v>
      </c>
      <c r="CJ19" s="340">
        <f t="shared" si="8"/>
        <v>8.9032258064516201E-2</v>
      </c>
      <c r="CK19" s="340">
        <f t="shared" si="8"/>
        <v>0.16228351507376515</v>
      </c>
      <c r="CL19" s="340">
        <f t="shared" si="8"/>
        <v>0.15605250364608647</v>
      </c>
      <c r="CM19" s="340">
        <f t="shared" si="8"/>
        <v>0.24407431133888524</v>
      </c>
      <c r="CN19" s="340">
        <f t="shared" si="8"/>
        <v>0.32345971563981046</v>
      </c>
      <c r="CO19" s="340">
        <f t="shared" si="8"/>
        <v>0.38134657836644581</v>
      </c>
      <c r="CP19" s="340">
        <f t="shared" si="8"/>
        <v>0.18881412952060561</v>
      </c>
      <c r="CQ19" s="340">
        <f t="shared" si="8"/>
        <v>0.39752832131822857</v>
      </c>
      <c r="CR19" s="340">
        <f t="shared" si="8"/>
        <v>0.32632050134288271</v>
      </c>
      <c r="CS19" s="340">
        <f t="shared" si="8"/>
        <v>0.2317219336795846</v>
      </c>
      <c r="CT19" s="340">
        <f t="shared" si="8"/>
        <v>0.10222851078882211</v>
      </c>
      <c r="CU19" s="340">
        <f t="shared" si="8"/>
        <v>0.14112011790714818</v>
      </c>
      <c r="CV19" s="340">
        <f t="shared" si="8"/>
        <v>0.13533580830239611</v>
      </c>
      <c r="CW19" s="340">
        <f t="shared" si="8"/>
        <v>8.3036003892312582E-2</v>
      </c>
      <c r="CX19" s="340">
        <f t="shared" si="8"/>
        <v>0.23620025673940948</v>
      </c>
      <c r="CY19" s="340">
        <f t="shared" si="8"/>
        <v>0.18953826283500153</v>
      </c>
      <c r="CZ19" s="340" t="e">
        <f t="shared" si="8"/>
        <v>#REF!</v>
      </c>
      <c r="DA19" s="340" t="e">
        <f t="shared" si="8"/>
        <v>#REF!</v>
      </c>
      <c r="DB19" s="340" t="e">
        <f t="shared" si="8"/>
        <v>#REF!</v>
      </c>
      <c r="DC19" s="340" t="e">
        <f t="shared" si="8"/>
        <v>#REF!</v>
      </c>
      <c r="DD19" s="340" t="e">
        <f t="shared" si="8"/>
        <v>#REF!</v>
      </c>
      <c r="DE19" s="340" t="e">
        <f t="shared" si="8"/>
        <v>#REF!</v>
      </c>
      <c r="DF19" s="340" t="e">
        <f t="shared" si="8"/>
        <v>#REF!</v>
      </c>
    </row>
    <row r="20" spans="2:110">
      <c r="B20" s="291" t="s">
        <v>977</v>
      </c>
      <c r="D20" s="340"/>
      <c r="E20" s="340"/>
      <c r="F20" s="340">
        <f t="shared" ref="F20:O21" si="9">F7/D7-1</f>
        <v>0.18816489361702127</v>
      </c>
      <c r="G20" s="340">
        <f t="shared" si="9"/>
        <v>0.1952291274325173</v>
      </c>
      <c r="H20" s="340">
        <f t="shared" si="9"/>
        <v>8.8416340235030866E-2</v>
      </c>
      <c r="I20" s="340">
        <f t="shared" si="9"/>
        <v>0.12710084033613445</v>
      </c>
      <c r="J20" s="340">
        <f t="shared" si="9"/>
        <v>9.871465295629811E-2</v>
      </c>
      <c r="K20" s="340">
        <f t="shared" si="9"/>
        <v>7.5955265610438083E-2</v>
      </c>
      <c r="L20" s="340">
        <f t="shared" si="9"/>
        <v>0.12962096396817979</v>
      </c>
      <c r="M20" s="340">
        <f t="shared" si="9"/>
        <v>9.5279341706366427E-2</v>
      </c>
      <c r="N20" s="340">
        <f t="shared" si="9"/>
        <v>5.3024026512013211E-2</v>
      </c>
      <c r="O20" s="340">
        <f t="shared" si="9"/>
        <v>2.9260577303281909E-2</v>
      </c>
      <c r="P20" s="340">
        <f t="shared" ref="P20:Y21" si="10">P7/N7-1</f>
        <v>6.8056648308418621E-2</v>
      </c>
      <c r="Q20" s="340">
        <f t="shared" si="10"/>
        <v>-2.2281982328082983E-2</v>
      </c>
      <c r="R20" s="340">
        <f t="shared" si="10"/>
        <v>-7.0349907918968668E-2</v>
      </c>
      <c r="S20" s="340">
        <f t="shared" si="10"/>
        <v>7.81925343811396E-2</v>
      </c>
      <c r="T20" s="340">
        <f t="shared" si="10"/>
        <v>0.20166480345921878</v>
      </c>
      <c r="U20" s="340">
        <f t="shared" si="10"/>
        <v>0.20166480345921878</v>
      </c>
      <c r="V20" s="340">
        <f t="shared" si="10"/>
        <v>-0.34098645452322385</v>
      </c>
      <c r="W20" s="340">
        <f t="shared" si="10"/>
        <v>-0.34098645452322385</v>
      </c>
      <c r="X20" s="340">
        <f t="shared" si="10"/>
        <v>-0.11411051564219565</v>
      </c>
      <c r="Y20" s="340">
        <f t="shared" si="10"/>
        <v>-0.11411051564219576</v>
      </c>
      <c r="Z20" s="340"/>
      <c r="AA20" s="340"/>
      <c r="AB20" s="340"/>
      <c r="AC20" s="340"/>
      <c r="AD20" s="340"/>
      <c r="AE20" s="340"/>
      <c r="AF20" s="340"/>
      <c r="AG20" s="340"/>
      <c r="AH20" s="340"/>
      <c r="AI20" s="340"/>
      <c r="AJ20" s="340"/>
      <c r="AK20" s="340"/>
      <c r="AL20" s="340"/>
      <c r="AM20" s="340"/>
      <c r="AN20" s="340"/>
      <c r="AO20" s="340"/>
      <c r="AP20" s="340"/>
      <c r="AQ20" s="340"/>
      <c r="AR20" s="457"/>
      <c r="AS20" s="213"/>
      <c r="AT20" s="213"/>
      <c r="AU20" s="340"/>
      <c r="AV20" s="340"/>
      <c r="AW20" s="340"/>
      <c r="AX20" s="340"/>
      <c r="AY20" s="340">
        <f t="shared" ref="AY20:BH21" si="11">AY7/AU7-1</f>
        <v>0.2112482853223594</v>
      </c>
      <c r="AZ20" s="340">
        <f t="shared" si="11"/>
        <v>0.16645161290322585</v>
      </c>
      <c r="BA20" s="340">
        <f t="shared" si="11"/>
        <v>0.21951219512195119</v>
      </c>
      <c r="BB20" s="340">
        <f t="shared" si="11"/>
        <v>0.17633928571428581</v>
      </c>
      <c r="BC20" s="340">
        <f t="shared" si="11"/>
        <v>3.6240090600226482E-2</v>
      </c>
      <c r="BD20" s="340">
        <f t="shared" si="11"/>
        <v>0.13938053097345127</v>
      </c>
      <c r="BE20" s="340">
        <f t="shared" si="11"/>
        <v>0.1552941176470588</v>
      </c>
      <c r="BF20" s="340">
        <f t="shared" si="11"/>
        <v>0.10436432637571147</v>
      </c>
      <c r="BG20" s="340">
        <f t="shared" si="11"/>
        <v>0.11038251366120222</v>
      </c>
      <c r="BH20" s="340">
        <f t="shared" si="11"/>
        <v>8.8349514563106801E-2</v>
      </c>
      <c r="BI20" s="340">
        <f t="shared" ref="BI20:BR21" si="12">BI7/BE7-1</f>
        <v>3.9714867617107963E-2</v>
      </c>
      <c r="BJ20" s="340">
        <f t="shared" si="12"/>
        <v>0.10652920962199319</v>
      </c>
      <c r="BK20" s="340">
        <f t="shared" si="12"/>
        <v>0.15354330708661412</v>
      </c>
      <c r="BL20" s="340">
        <f t="shared" si="12"/>
        <v>0.10793933987511162</v>
      </c>
      <c r="BM20" s="340">
        <f t="shared" si="12"/>
        <v>0.15572967678746319</v>
      </c>
      <c r="BN20" s="340">
        <f t="shared" si="12"/>
        <v>4.7360248447204878E-2</v>
      </c>
      <c r="BO20" s="340">
        <f t="shared" si="12"/>
        <v>4.0102389078498391E-2</v>
      </c>
      <c r="BP20" s="340">
        <f t="shared" si="12"/>
        <v>6.5217391304347894E-2</v>
      </c>
      <c r="BQ20" s="340">
        <f t="shared" si="12"/>
        <v>2.3728813559322104E-2</v>
      </c>
      <c r="BR20" s="340">
        <f t="shared" si="12"/>
        <v>3.4099332839140128E-2</v>
      </c>
      <c r="BS20" s="340">
        <f t="shared" ref="BS20:BZ21" si="13">BS7/BO7-1</f>
        <v>9.5159967186218219E-2</v>
      </c>
      <c r="BT20" s="340">
        <f t="shared" si="13"/>
        <v>4.3083900226757343E-2</v>
      </c>
      <c r="BU20" s="340">
        <f t="shared" si="13"/>
        <v>1.4072847682119249E-2</v>
      </c>
      <c r="BV20" s="340">
        <f t="shared" si="13"/>
        <v>-5.3763440860215006E-2</v>
      </c>
      <c r="BW20" s="340">
        <f t="shared" si="13"/>
        <v>-7.8651685393258397E-2</v>
      </c>
      <c r="BX20" s="340">
        <f t="shared" si="13"/>
        <v>-6.2318840579710155E-2</v>
      </c>
      <c r="BY20" s="340">
        <f t="shared" si="13"/>
        <v>7.102040816326527E-2</v>
      </c>
      <c r="BZ20" s="340">
        <f t="shared" si="13"/>
        <v>8.4848484848484951E-2</v>
      </c>
      <c r="CA20" s="340"/>
      <c r="CB20" s="340"/>
      <c r="CC20" s="340"/>
      <c r="CD20" s="340"/>
      <c r="CE20" s="340"/>
      <c r="CF20" s="340"/>
      <c r="CG20" s="340"/>
      <c r="CH20" s="340"/>
      <c r="CI20" s="340"/>
      <c r="CJ20" s="340"/>
      <c r="CK20" s="340"/>
      <c r="CL20" s="340"/>
      <c r="CM20" s="340"/>
      <c r="CN20" s="340"/>
      <c r="CO20" s="340"/>
      <c r="CP20" s="340"/>
      <c r="CQ20" s="340"/>
      <c r="CR20" s="340"/>
      <c r="CS20" s="340"/>
      <c r="CT20" s="340"/>
      <c r="CU20" s="340"/>
      <c r="CV20" s="340"/>
      <c r="CW20" s="340"/>
      <c r="CX20" s="340"/>
      <c r="CY20" s="340"/>
      <c r="CZ20" s="340"/>
      <c r="DA20" s="340"/>
      <c r="DB20" s="340"/>
      <c r="DC20" s="340"/>
      <c r="DD20" s="340"/>
      <c r="DE20" s="340"/>
      <c r="DF20" s="340"/>
    </row>
    <row r="21" spans="2:110">
      <c r="B21" s="291" t="s">
        <v>744</v>
      </c>
      <c r="D21" s="340"/>
      <c r="E21" s="340"/>
      <c r="F21" s="340">
        <f t="shared" si="9"/>
        <v>2.564102564102555E-2</v>
      </c>
      <c r="G21" s="340">
        <f t="shared" si="9"/>
        <v>5.46875E-2</v>
      </c>
      <c r="H21" s="340">
        <f t="shared" si="9"/>
        <v>-0.11562499999999998</v>
      </c>
      <c r="I21" s="340">
        <f t="shared" si="9"/>
        <v>-6.5185185185185235E-2</v>
      </c>
      <c r="J21" s="340">
        <f t="shared" si="9"/>
        <v>3.180212014134276E-2</v>
      </c>
      <c r="K21" s="340">
        <f t="shared" si="9"/>
        <v>9.5087163232963068E-3</v>
      </c>
      <c r="L21" s="340">
        <f t="shared" si="9"/>
        <v>5.4794520547945202E-2</v>
      </c>
      <c r="M21" s="340">
        <f t="shared" si="9"/>
        <v>2.0408163265306145E-2</v>
      </c>
      <c r="N21" s="340">
        <f t="shared" si="9"/>
        <v>-5.1948051948051965E-2</v>
      </c>
      <c r="O21" s="340">
        <f t="shared" si="9"/>
        <v>6.1538461538461764E-3</v>
      </c>
      <c r="P21" s="340">
        <f t="shared" si="10"/>
        <v>6.8493150684931559E-2</v>
      </c>
      <c r="Q21" s="340">
        <f t="shared" si="10"/>
        <v>5.8103975535168217E-2</v>
      </c>
      <c r="R21" s="340">
        <f t="shared" si="10"/>
        <v>4.3269230769230838E-2</v>
      </c>
      <c r="S21" s="340">
        <f t="shared" si="10"/>
        <v>6.2138728323699377E-2</v>
      </c>
      <c r="T21" s="340">
        <f t="shared" si="10"/>
        <v>5.9907834101382562E-2</v>
      </c>
      <c r="U21" s="340">
        <f t="shared" si="10"/>
        <v>0.65947698979591807</v>
      </c>
      <c r="V21" s="340">
        <f t="shared" si="10"/>
        <v>0</v>
      </c>
      <c r="W21" s="340">
        <f t="shared" si="10"/>
        <v>0</v>
      </c>
      <c r="X21" s="340">
        <f t="shared" si="10"/>
        <v>1.0000000000000009E-2</v>
      </c>
      <c r="Y21" s="340">
        <f t="shared" si="10"/>
        <v>1.0000000000000009E-2</v>
      </c>
      <c r="Z21" s="340"/>
      <c r="AA21" s="340"/>
      <c r="AB21" s="340"/>
      <c r="AC21" s="340"/>
      <c r="AD21" s="340"/>
      <c r="AE21" s="340"/>
      <c r="AF21" s="340"/>
      <c r="AG21" s="340"/>
      <c r="AH21" s="340"/>
      <c r="AI21" s="340"/>
      <c r="AJ21" s="340"/>
      <c r="AK21" s="340"/>
      <c r="AL21" s="340"/>
      <c r="AM21" s="340"/>
      <c r="AN21" s="340"/>
      <c r="AO21" s="340"/>
      <c r="AP21" s="340"/>
      <c r="AQ21" s="340"/>
      <c r="AR21" s="457"/>
      <c r="AS21" s="213"/>
      <c r="AT21" s="213"/>
      <c r="AU21" s="340"/>
      <c r="AV21" s="340"/>
      <c r="AW21" s="340"/>
      <c r="AX21" s="340"/>
      <c r="AY21" s="340">
        <f t="shared" si="11"/>
        <v>5.1369863013698724E-2</v>
      </c>
      <c r="AZ21" s="340">
        <f t="shared" si="11"/>
        <v>3.0120481927711218E-3</v>
      </c>
      <c r="BA21" s="340">
        <f t="shared" si="11"/>
        <v>9.960159362549792E-2</v>
      </c>
      <c r="BB21" s="340">
        <f t="shared" si="11"/>
        <v>2.5706940874036022E-2</v>
      </c>
      <c r="BC21" s="340">
        <f t="shared" si="11"/>
        <v>-4.8859934853420217E-2</v>
      </c>
      <c r="BD21" s="340">
        <f t="shared" si="11"/>
        <v>-0.17717717717717718</v>
      </c>
      <c r="BE21" s="340">
        <f t="shared" si="11"/>
        <v>-6.5217391304347783E-2</v>
      </c>
      <c r="BF21" s="340">
        <f t="shared" si="11"/>
        <v>-6.5162907268170422E-2</v>
      </c>
      <c r="BG21" s="340">
        <f t="shared" si="11"/>
        <v>-0.11986301369863017</v>
      </c>
      <c r="BH21" s="340">
        <f t="shared" si="11"/>
        <v>0.1934306569343065</v>
      </c>
      <c r="BI21" s="340">
        <f t="shared" si="12"/>
        <v>-7.7519379844961378E-3</v>
      </c>
      <c r="BJ21" s="340">
        <f t="shared" si="12"/>
        <v>2.1447721179624679E-2</v>
      </c>
      <c r="BK21" s="340">
        <f t="shared" si="12"/>
        <v>8.171206225680927E-2</v>
      </c>
      <c r="BL21" s="340">
        <f t="shared" si="12"/>
        <v>3.3639143730886945E-2</v>
      </c>
      <c r="BM21" s="340">
        <f t="shared" si="12"/>
        <v>3.90625E-2</v>
      </c>
      <c r="BN21" s="340">
        <f t="shared" si="12"/>
        <v>7.8740157480314821E-3</v>
      </c>
      <c r="BO21" s="340">
        <f t="shared" si="12"/>
        <v>-3.2374100719424481E-2</v>
      </c>
      <c r="BP21" s="340">
        <f t="shared" si="12"/>
        <v>-6.8047337278106523E-2</v>
      </c>
      <c r="BQ21" s="340">
        <f t="shared" si="12"/>
        <v>-4.8872180451127845E-2</v>
      </c>
      <c r="BR21" s="340">
        <f t="shared" si="12"/>
        <v>4.4270833333333259E-2</v>
      </c>
      <c r="BS21" s="340">
        <f t="shared" si="13"/>
        <v>5.5762081784386686E-2</v>
      </c>
      <c r="BT21" s="340">
        <f t="shared" si="13"/>
        <v>7.9365079365079305E-2</v>
      </c>
      <c r="BU21" s="340">
        <f t="shared" si="13"/>
        <v>0.11067193675889331</v>
      </c>
      <c r="BV21" s="340">
        <f t="shared" si="13"/>
        <v>2.4937655860349128E-2</v>
      </c>
      <c r="BW21" s="340">
        <f t="shared" si="13"/>
        <v>4.9295774647887258E-2</v>
      </c>
      <c r="BX21" s="340">
        <f t="shared" si="13"/>
        <v>3.8235294117647145E-2</v>
      </c>
      <c r="BY21" s="340">
        <f t="shared" si="13"/>
        <v>9.9644128113878905E-2</v>
      </c>
      <c r="BZ21" s="340">
        <f t="shared" si="13"/>
        <v>3.649635036496357E-2</v>
      </c>
      <c r="CA21" s="340"/>
      <c r="CB21" s="340"/>
      <c r="CC21" s="340"/>
      <c r="CD21" s="340"/>
      <c r="CE21" s="340"/>
      <c r="CF21" s="340"/>
      <c r="CG21" s="340"/>
      <c r="CH21" s="340"/>
      <c r="CI21" s="340"/>
      <c r="CJ21" s="340"/>
      <c r="CK21" s="340"/>
      <c r="CL21" s="340"/>
      <c r="CM21" s="340"/>
      <c r="CN21" s="340"/>
      <c r="CO21" s="340"/>
      <c r="CP21" s="340"/>
      <c r="CQ21" s="340"/>
      <c r="CR21" s="340"/>
      <c r="CS21" s="340"/>
      <c r="CT21" s="340"/>
      <c r="CU21" s="340"/>
      <c r="CV21" s="340"/>
      <c r="CW21" s="340"/>
      <c r="CX21" s="340"/>
      <c r="CY21" s="340"/>
      <c r="CZ21" s="340"/>
      <c r="DA21" s="340"/>
      <c r="DB21" s="340"/>
      <c r="DC21" s="340"/>
      <c r="DD21" s="340"/>
      <c r="DE21" s="340"/>
      <c r="DF21" s="340"/>
    </row>
    <row r="22" spans="2:110">
      <c r="B22" s="291" t="s">
        <v>1243</v>
      </c>
      <c r="D22" s="340"/>
      <c r="E22" s="340"/>
      <c r="F22" s="340"/>
      <c r="G22" s="340"/>
      <c r="H22" s="340"/>
      <c r="I22" s="340"/>
      <c r="J22" s="340"/>
      <c r="K22" s="340"/>
      <c r="L22" s="340"/>
      <c r="M22" s="340"/>
      <c r="N22" s="340"/>
      <c r="O22" s="340"/>
      <c r="P22" s="340"/>
      <c r="Q22" s="340"/>
      <c r="R22" s="340"/>
      <c r="S22" s="340"/>
      <c r="T22" s="340">
        <f t="shared" ref="T22:Y24" si="14">T9/R9-1</f>
        <v>-5.4083586706856313E-2</v>
      </c>
      <c r="U22" s="340">
        <f t="shared" si="14"/>
        <v>-0.32362568050809837</v>
      </c>
      <c r="V22" s="340">
        <f t="shared" si="14"/>
        <v>-0.20122714035914235</v>
      </c>
      <c r="W22" s="340">
        <f t="shared" si="14"/>
        <v>-0.20122714035914235</v>
      </c>
      <c r="X22" s="340">
        <f t="shared" si="14"/>
        <v>-0.1368490856712069</v>
      </c>
      <c r="Y22" s="340">
        <f t="shared" si="14"/>
        <v>-0.1368490856712069</v>
      </c>
      <c r="Z22" s="340"/>
      <c r="AA22" s="340"/>
      <c r="AB22" s="340"/>
      <c r="AC22" s="340"/>
      <c r="AD22" s="340"/>
      <c r="AE22" s="340"/>
      <c r="AF22" s="340"/>
      <c r="AG22" s="340"/>
      <c r="AH22" s="340"/>
      <c r="AI22" s="340"/>
      <c r="AJ22" s="340"/>
      <c r="AK22" s="340"/>
      <c r="AL22" s="340"/>
      <c r="AM22" s="340"/>
      <c r="AN22" s="340"/>
      <c r="AO22" s="340"/>
      <c r="AP22" s="340"/>
      <c r="AQ22" s="340"/>
      <c r="AR22" s="457"/>
      <c r="AS22" s="213"/>
      <c r="AT22" s="213"/>
      <c r="AU22" s="340"/>
      <c r="AV22" s="340"/>
      <c r="AW22" s="340"/>
      <c r="AX22" s="340"/>
      <c r="AY22" s="340"/>
      <c r="AZ22" s="340"/>
      <c r="BA22" s="340"/>
      <c r="BB22" s="340"/>
      <c r="BC22" s="340"/>
      <c r="BD22" s="340"/>
      <c r="BE22" s="340"/>
      <c r="BF22" s="340"/>
      <c r="BG22" s="340"/>
      <c r="BH22" s="340"/>
      <c r="BI22" s="340"/>
      <c r="BJ22" s="340"/>
      <c r="BK22" s="340"/>
      <c r="BL22" s="340"/>
      <c r="BM22" s="340"/>
      <c r="BN22" s="340"/>
      <c r="BO22" s="340"/>
      <c r="BP22" s="340"/>
      <c r="BQ22" s="340"/>
      <c r="BR22" s="340"/>
      <c r="BS22" s="340"/>
      <c r="BT22" s="340"/>
      <c r="BU22" s="340"/>
      <c r="BV22" s="340"/>
      <c r="BW22" s="340"/>
      <c r="BX22" s="340"/>
      <c r="BY22" s="340"/>
      <c r="BZ22" s="340"/>
      <c r="CA22" s="340"/>
      <c r="CB22" s="340"/>
      <c r="CC22" s="340"/>
      <c r="CD22" s="340"/>
      <c r="CE22" s="340"/>
      <c r="CF22" s="340"/>
      <c r="CG22" s="340"/>
      <c r="CH22" s="340"/>
      <c r="CI22" s="340"/>
      <c r="CJ22" s="340"/>
      <c r="CK22" s="340"/>
      <c r="CL22" s="340"/>
      <c r="CM22" s="340"/>
      <c r="CN22" s="340"/>
      <c r="CO22" s="340"/>
      <c r="CP22" s="340"/>
      <c r="CQ22" s="340"/>
      <c r="CR22" s="340"/>
      <c r="CS22" s="340"/>
      <c r="CT22" s="340"/>
      <c r="CU22" s="340"/>
      <c r="CV22" s="340"/>
      <c r="CW22" s="340"/>
      <c r="CX22" s="340"/>
      <c r="CY22" s="340"/>
      <c r="CZ22" s="340"/>
      <c r="DA22" s="340"/>
      <c r="DB22" s="340"/>
      <c r="DC22" s="340"/>
      <c r="DD22" s="340"/>
      <c r="DE22" s="340"/>
      <c r="DF22" s="340"/>
    </row>
    <row r="23" spans="2:110">
      <c r="B23" s="19" t="s">
        <v>1930</v>
      </c>
      <c r="D23" s="340"/>
      <c r="E23" s="340"/>
      <c r="F23" s="340"/>
      <c r="G23" s="340"/>
      <c r="H23" s="340"/>
      <c r="I23" s="340"/>
      <c r="J23" s="340"/>
      <c r="K23" s="340"/>
      <c r="L23" s="340"/>
      <c r="M23" s="340"/>
      <c r="N23" s="340"/>
      <c r="O23" s="340"/>
      <c r="P23" s="340"/>
      <c r="Q23" s="340"/>
      <c r="R23" s="340"/>
      <c r="S23" s="340"/>
      <c r="T23" s="340">
        <f t="shared" si="14"/>
        <v>0.2265625</v>
      </c>
      <c r="U23" s="340">
        <f t="shared" si="14"/>
        <v>0.11182033096926713</v>
      </c>
      <c r="V23" s="340">
        <f t="shared" si="14"/>
        <v>-0.20096639578300024</v>
      </c>
      <c r="W23" s="340">
        <f t="shared" si="14"/>
        <v>-0.30788858175632572</v>
      </c>
      <c r="X23" s="340">
        <f t="shared" si="14"/>
        <v>-0.183067619571193</v>
      </c>
      <c r="Y23" s="340">
        <f t="shared" si="14"/>
        <v>3.0107526881720359E-2</v>
      </c>
      <c r="Z23" s="340">
        <f t="shared" ref="Z23:AI24" si="15">Z10/X10-1</f>
        <v>0.17967698519515474</v>
      </c>
      <c r="AA23" s="340">
        <f t="shared" si="15"/>
        <v>0.20161049806143749</v>
      </c>
      <c r="AB23" s="340">
        <f t="shared" si="15"/>
        <v>0.16942384483742146</v>
      </c>
      <c r="AC23" s="340">
        <f t="shared" si="15"/>
        <v>0.17522958550508805</v>
      </c>
      <c r="AD23" s="340">
        <f t="shared" si="15"/>
        <v>0.26097560975609757</v>
      </c>
      <c r="AE23" s="340">
        <f t="shared" si="15"/>
        <v>0.15058078141499465</v>
      </c>
      <c r="AF23" s="340" t="e">
        <f t="shared" si="15"/>
        <v>#REF!</v>
      </c>
      <c r="AG23" s="340" t="e">
        <f t="shared" si="15"/>
        <v>#REF!</v>
      </c>
      <c r="AH23" s="340" t="e">
        <f t="shared" si="15"/>
        <v>#REF!</v>
      </c>
      <c r="AI23" s="340" t="e">
        <f t="shared" si="15"/>
        <v>#REF!</v>
      </c>
      <c r="AJ23" s="340"/>
      <c r="AK23" s="340"/>
      <c r="AL23" s="340"/>
      <c r="AM23" s="340"/>
      <c r="AN23" s="340"/>
      <c r="AO23" s="340"/>
      <c r="AP23" s="340"/>
      <c r="AQ23" s="340"/>
      <c r="AR23" s="457"/>
      <c r="AS23" s="213"/>
      <c r="AT23" s="213"/>
      <c r="AU23" s="340"/>
      <c r="AV23" s="340"/>
      <c r="AW23" s="340"/>
      <c r="AX23" s="340"/>
      <c r="AY23" s="340"/>
      <c r="AZ23" s="340"/>
      <c r="BA23" s="340"/>
      <c r="BB23" s="340"/>
      <c r="BC23" s="340"/>
      <c r="BD23" s="340"/>
      <c r="BE23" s="340"/>
      <c r="BF23" s="340"/>
      <c r="BG23" s="340"/>
      <c r="BH23" s="340"/>
      <c r="BI23" s="340"/>
      <c r="BJ23" s="340"/>
      <c r="BK23" s="340"/>
      <c r="BL23" s="340"/>
      <c r="BM23" s="340"/>
      <c r="BN23" s="340"/>
      <c r="BO23" s="340"/>
      <c r="BP23" s="340"/>
      <c r="BQ23" s="340"/>
      <c r="BR23" s="340"/>
      <c r="BS23" s="340"/>
      <c r="BT23" s="340"/>
      <c r="BU23" s="340"/>
      <c r="BV23" s="340"/>
      <c r="BW23" s="340"/>
      <c r="BX23" s="340"/>
      <c r="BY23" s="340"/>
      <c r="BZ23" s="340"/>
      <c r="CA23" s="340"/>
      <c r="CB23" s="340">
        <f t="shared" ref="CB23:CK24" si="16">CB10/BX10-1</f>
        <v>0.13595749818884317</v>
      </c>
      <c r="CC23" s="340">
        <f t="shared" si="16"/>
        <v>0.11988304093567259</v>
      </c>
      <c r="CD23" s="340">
        <f t="shared" si="16"/>
        <v>0.10422405876951335</v>
      </c>
      <c r="CE23" s="340">
        <f t="shared" si="16"/>
        <v>-6.360745115856381E-3</v>
      </c>
      <c r="CF23" s="340">
        <f t="shared" si="16"/>
        <v>-0.38307823129251706</v>
      </c>
      <c r="CG23" s="340">
        <f t="shared" si="16"/>
        <v>-0.36422976501305482</v>
      </c>
      <c r="CH23" s="340">
        <f t="shared" si="16"/>
        <v>-0.25405405405405401</v>
      </c>
      <c r="CI23" s="340">
        <f t="shared" si="16"/>
        <v>-0.33058984910836764</v>
      </c>
      <c r="CJ23" s="340">
        <f t="shared" si="16"/>
        <v>3.9283252929014578E-2</v>
      </c>
      <c r="CK23" s="340">
        <f t="shared" si="16"/>
        <v>5.0650239561943922E-2</v>
      </c>
      <c r="CL23" s="340">
        <f t="shared" ref="CL23:CU24" si="17">CL10/CH10-1</f>
        <v>1.3377926421404673E-2</v>
      </c>
      <c r="CM23" s="340">
        <f t="shared" si="17"/>
        <v>0.17213114754098369</v>
      </c>
      <c r="CN23" s="340">
        <f t="shared" si="17"/>
        <v>0.18700265251989401</v>
      </c>
      <c r="CO23" s="340">
        <f t="shared" si="17"/>
        <v>0.18566775244299683</v>
      </c>
      <c r="CP23" s="340">
        <f t="shared" si="17"/>
        <v>0.21507150715071499</v>
      </c>
      <c r="CQ23" s="340">
        <f t="shared" si="17"/>
        <v>0.14568764568764569</v>
      </c>
      <c r="CR23" s="340">
        <f t="shared" si="17"/>
        <v>0.19217877094972069</v>
      </c>
      <c r="CS23" s="340">
        <f t="shared" si="17"/>
        <v>0.17252747252747258</v>
      </c>
      <c r="CT23" s="340">
        <f t="shared" si="17"/>
        <v>0.17745586238116795</v>
      </c>
      <c r="CU23" s="340">
        <f t="shared" si="17"/>
        <v>0.24313326551373349</v>
      </c>
      <c r="CV23" s="340">
        <f t="shared" ref="CV23:DE24" si="18">CV10/CR10-1</f>
        <v>0.27741330834114342</v>
      </c>
      <c r="CW23" s="340">
        <f t="shared" si="18"/>
        <v>0.18416119962511712</v>
      </c>
      <c r="CX23" s="340" t="e">
        <f t="shared" si="18"/>
        <v>#REF!</v>
      </c>
      <c r="CY23" s="340">
        <f t="shared" si="18"/>
        <v>0.1387070376432078</v>
      </c>
      <c r="CZ23" s="340" t="e">
        <f t="shared" si="18"/>
        <v>#REF!</v>
      </c>
      <c r="DA23" s="340" t="e">
        <f t="shared" si="18"/>
        <v>#REF!</v>
      </c>
      <c r="DB23" s="340" t="e">
        <f t="shared" si="18"/>
        <v>#REF!</v>
      </c>
      <c r="DC23" s="340" t="e">
        <f t="shared" si="18"/>
        <v>#REF!</v>
      </c>
      <c r="DD23" s="340" t="e">
        <f t="shared" si="18"/>
        <v>#REF!</v>
      </c>
      <c r="DE23" s="340" t="e">
        <f t="shared" si="18"/>
        <v>#REF!</v>
      </c>
      <c r="DF23" s="340" t="e">
        <f t="shared" ref="DF23:DF24" si="19">DF10/DB10-1</f>
        <v>#REF!</v>
      </c>
    </row>
    <row r="24" spans="2:110">
      <c r="B24" s="19" t="s">
        <v>1293</v>
      </c>
      <c r="D24" s="340"/>
      <c r="E24" s="340"/>
      <c r="F24" s="340"/>
      <c r="G24" s="340"/>
      <c r="H24" s="340"/>
      <c r="I24" s="340"/>
      <c r="J24" s="340"/>
      <c r="K24" s="340"/>
      <c r="L24" s="340"/>
      <c r="M24" s="340"/>
      <c r="N24" s="340"/>
      <c r="O24" s="340"/>
      <c r="P24" s="340"/>
      <c r="Q24" s="340"/>
      <c r="R24" s="340"/>
      <c r="S24" s="340"/>
      <c r="T24" s="340">
        <f t="shared" si="14"/>
        <v>0.67346938775510212</v>
      </c>
      <c r="U24" s="340">
        <f t="shared" si="14"/>
        <v>9.7975179621162534E-2</v>
      </c>
      <c r="V24" s="340">
        <f t="shared" si="14"/>
        <v>-0.34634146341463412</v>
      </c>
      <c r="W24" s="340">
        <f t="shared" si="14"/>
        <v>-0.49434860202260555</v>
      </c>
      <c r="X24" s="340">
        <f t="shared" si="14"/>
        <v>-0.39738805970149249</v>
      </c>
      <c r="Y24" s="340">
        <f t="shared" si="14"/>
        <v>-2.4705882352941133E-2</v>
      </c>
      <c r="Z24" s="340">
        <f t="shared" si="15"/>
        <v>0.34674922600619196</v>
      </c>
      <c r="AA24" s="340">
        <f t="shared" si="15"/>
        <v>0.33655006031363088</v>
      </c>
      <c r="AB24" s="340">
        <f t="shared" si="15"/>
        <v>0.33678160919540234</v>
      </c>
      <c r="AC24" s="340">
        <f t="shared" si="15"/>
        <v>0.1859205776173285</v>
      </c>
      <c r="AD24" s="340">
        <f t="shared" si="15"/>
        <v>0.21324161650902829</v>
      </c>
      <c r="AE24" s="340">
        <f t="shared" si="15"/>
        <v>0.23744292237442921</v>
      </c>
      <c r="AF24" s="340" t="e">
        <f t="shared" si="15"/>
        <v>#REF!</v>
      </c>
      <c r="AG24" s="340" t="e">
        <f t="shared" si="15"/>
        <v>#REF!</v>
      </c>
      <c r="AH24" s="340" t="e">
        <f t="shared" si="15"/>
        <v>#REF!</v>
      </c>
      <c r="AI24" s="340" t="e">
        <f t="shared" si="15"/>
        <v>#REF!</v>
      </c>
      <c r="AJ24" s="340"/>
      <c r="AK24" s="340"/>
      <c r="AL24" s="340"/>
      <c r="AM24" s="340"/>
      <c r="AN24" s="340"/>
      <c r="AO24" s="340"/>
      <c r="AP24" s="340"/>
      <c r="AQ24" s="340"/>
      <c r="AR24" s="457"/>
      <c r="AS24" s="213"/>
      <c r="AT24" s="213"/>
      <c r="AU24" s="340"/>
      <c r="AV24" s="340"/>
      <c r="AW24" s="340"/>
      <c r="AX24" s="340"/>
      <c r="AY24" s="340"/>
      <c r="AZ24" s="340"/>
      <c r="BA24" s="340"/>
      <c r="BB24" s="340"/>
      <c r="BC24" s="340"/>
      <c r="BD24" s="340"/>
      <c r="BE24" s="340"/>
      <c r="BF24" s="340"/>
      <c r="BG24" s="340"/>
      <c r="BH24" s="340"/>
      <c r="BI24" s="340"/>
      <c r="BJ24" s="340"/>
      <c r="BK24" s="340"/>
      <c r="BL24" s="340"/>
      <c r="BM24" s="340"/>
      <c r="BN24" s="340"/>
      <c r="BO24" s="340"/>
      <c r="BP24" s="340"/>
      <c r="BQ24" s="340"/>
      <c r="BR24" s="340"/>
      <c r="BS24" s="340"/>
      <c r="BT24" s="340"/>
      <c r="BU24" s="340"/>
      <c r="BV24" s="340"/>
      <c r="BW24" s="340"/>
      <c r="BX24" s="340"/>
      <c r="BY24" s="340"/>
      <c r="BZ24" s="340"/>
      <c r="CA24" s="340"/>
      <c r="CB24" s="340">
        <f t="shared" si="16"/>
        <v>0.15113871635610776</v>
      </c>
      <c r="CC24" s="340">
        <f t="shared" si="16"/>
        <v>4.6814044213264072E-2</v>
      </c>
      <c r="CD24" s="340">
        <f t="shared" si="16"/>
        <v>0.14960629921259838</v>
      </c>
      <c r="CE24" s="340">
        <f t="shared" si="16"/>
        <v>-0.13895781637717119</v>
      </c>
      <c r="CF24" s="340">
        <f t="shared" si="16"/>
        <v>-0.54676258992805749</v>
      </c>
      <c r="CG24" s="340">
        <f t="shared" si="16"/>
        <v>-0.55652173913043479</v>
      </c>
      <c r="CH24" s="340">
        <f t="shared" si="16"/>
        <v>-0.43721461187214616</v>
      </c>
      <c r="CI24" s="340">
        <f t="shared" si="16"/>
        <v>-0.54899135446685876</v>
      </c>
      <c r="CJ24" s="340">
        <f t="shared" si="16"/>
        <v>-0.11904761904761907</v>
      </c>
      <c r="CK24" s="340">
        <f t="shared" si="16"/>
        <v>7.8431372549019551E-2</v>
      </c>
      <c r="CL24" s="340">
        <f t="shared" si="17"/>
        <v>-9.9391480730223081E-2</v>
      </c>
      <c r="CM24" s="340">
        <f t="shared" si="17"/>
        <v>0.30670926517571884</v>
      </c>
      <c r="CN24" s="340">
        <f t="shared" si="17"/>
        <v>0.38438438438438438</v>
      </c>
      <c r="CO24" s="340">
        <f t="shared" si="17"/>
        <v>0.35584415584415585</v>
      </c>
      <c r="CP24" s="340">
        <f t="shared" si="17"/>
        <v>0.31981981981981988</v>
      </c>
      <c r="CQ24" s="340">
        <f t="shared" si="17"/>
        <v>0.42787286063569674</v>
      </c>
      <c r="CR24" s="340">
        <f t="shared" si="17"/>
        <v>0.25596529284164848</v>
      </c>
      <c r="CS24" s="340">
        <f t="shared" si="17"/>
        <v>0.15900383141762453</v>
      </c>
      <c r="CT24" s="340">
        <f t="shared" si="17"/>
        <v>0.20989761092150161</v>
      </c>
      <c r="CU24" s="340">
        <f t="shared" si="17"/>
        <v>0.15753424657534243</v>
      </c>
      <c r="CV24" s="340">
        <f t="shared" si="18"/>
        <v>0.26943005181347157</v>
      </c>
      <c r="CW24" s="340">
        <f t="shared" si="18"/>
        <v>0.27438016528925613</v>
      </c>
      <c r="CX24" s="340" t="e">
        <f t="shared" si="18"/>
        <v>#REF!</v>
      </c>
      <c r="CY24" s="340">
        <f t="shared" si="18"/>
        <v>0.16568047337278102</v>
      </c>
      <c r="CZ24" s="340" t="e">
        <f t="shared" si="18"/>
        <v>#REF!</v>
      </c>
      <c r="DA24" s="340" t="e">
        <f t="shared" si="18"/>
        <v>#REF!</v>
      </c>
      <c r="DB24" s="340" t="e">
        <f t="shared" si="18"/>
        <v>#REF!</v>
      </c>
      <c r="DC24" s="340" t="e">
        <f t="shared" si="18"/>
        <v>#REF!</v>
      </c>
      <c r="DD24" s="340" t="e">
        <f t="shared" si="18"/>
        <v>#REF!</v>
      </c>
      <c r="DE24" s="340" t="e">
        <f t="shared" si="18"/>
        <v>#REF!</v>
      </c>
      <c r="DF24" s="340" t="e">
        <f t="shared" si="19"/>
        <v>#REF!</v>
      </c>
    </row>
    <row r="25" spans="2:110">
      <c r="B25" s="19" t="s">
        <v>976</v>
      </c>
      <c r="D25" s="340"/>
      <c r="E25" s="340"/>
      <c r="F25" s="340">
        <f t="shared" ref="F25:N25" si="20">F12/D12-1</f>
        <v>0.41257367387033406</v>
      </c>
      <c r="G25" s="340">
        <f t="shared" si="20"/>
        <v>0.11756756756756759</v>
      </c>
      <c r="H25" s="340">
        <f t="shared" si="20"/>
        <v>6.9541029207231819E-3</v>
      </c>
      <c r="I25" s="340">
        <f t="shared" si="20"/>
        <v>-8.3434099153567143E-2</v>
      </c>
      <c r="J25" s="340">
        <f t="shared" si="20"/>
        <v>-2.7624309392265678E-3</v>
      </c>
      <c r="K25" s="340">
        <f t="shared" si="20"/>
        <v>6.5963060686015762E-2</v>
      </c>
      <c r="L25" s="340">
        <f t="shared" si="20"/>
        <v>0.22576177285318555</v>
      </c>
      <c r="M25" s="340">
        <f t="shared" si="20"/>
        <v>0.22896039603960405</v>
      </c>
      <c r="N25" s="340">
        <f t="shared" si="20"/>
        <v>7.2316384180791005E-2</v>
      </c>
      <c r="O25" s="340"/>
      <c r="P25" s="340"/>
      <c r="Q25" s="340"/>
      <c r="R25" s="340"/>
      <c r="S25" s="340"/>
      <c r="T25" s="340"/>
      <c r="U25" s="340"/>
      <c r="V25" s="340"/>
      <c r="W25" s="340"/>
      <c r="X25" s="340"/>
      <c r="Y25" s="340"/>
      <c r="Z25" s="340"/>
      <c r="AA25" s="340"/>
      <c r="AB25" s="340"/>
      <c r="AC25" s="340"/>
      <c r="AD25" s="340"/>
      <c r="AE25" s="340"/>
      <c r="AF25" s="340"/>
      <c r="AG25" s="340"/>
      <c r="AH25" s="340"/>
      <c r="AI25" s="340"/>
      <c r="AJ25" s="340"/>
      <c r="AK25" s="340"/>
      <c r="AL25" s="340"/>
      <c r="AM25" s="340"/>
      <c r="AN25" s="340"/>
      <c r="AO25" s="340"/>
      <c r="AP25" s="340"/>
      <c r="AQ25" s="340"/>
      <c r="AR25" s="457"/>
      <c r="AS25" s="213"/>
      <c r="AT25" s="213"/>
      <c r="AU25" s="340"/>
      <c r="AV25" s="340"/>
      <c r="AW25" s="340"/>
      <c r="AX25" s="340"/>
      <c r="AY25" s="340"/>
      <c r="AZ25" s="340"/>
      <c r="BA25" s="340"/>
      <c r="BB25" s="340"/>
      <c r="BC25" s="340"/>
      <c r="BD25" s="340"/>
      <c r="BE25" s="340"/>
      <c r="BF25" s="340"/>
      <c r="BG25" s="340"/>
      <c r="BH25" s="340"/>
      <c r="BI25" s="340"/>
      <c r="BJ25" s="340"/>
      <c r="BK25" s="340"/>
      <c r="BL25" s="340"/>
      <c r="BM25" s="340"/>
      <c r="BN25" s="340"/>
      <c r="BO25" s="340"/>
      <c r="BP25" s="340"/>
      <c r="BQ25" s="340"/>
      <c r="BR25" s="340"/>
      <c r="BS25" s="340"/>
      <c r="BT25" s="340"/>
      <c r="BU25" s="340"/>
      <c r="BV25" s="340"/>
      <c r="BW25" s="340"/>
      <c r="BX25" s="340"/>
      <c r="BY25" s="340"/>
      <c r="BZ25" s="340"/>
      <c r="CA25" s="340"/>
      <c r="CB25" s="340"/>
      <c r="CC25" s="340"/>
      <c r="CD25" s="340"/>
      <c r="CE25" s="340"/>
      <c r="CF25" s="340"/>
      <c r="CG25" s="340"/>
      <c r="CH25" s="340"/>
      <c r="CI25" s="340"/>
      <c r="CJ25" s="340"/>
      <c r="CK25" s="340"/>
      <c r="CL25" s="340"/>
      <c r="CM25" s="340"/>
      <c r="CN25" s="340"/>
      <c r="CO25" s="340"/>
      <c r="CP25" s="340"/>
      <c r="CQ25" s="340"/>
      <c r="CR25" s="340"/>
      <c r="CS25" s="340"/>
      <c r="CT25" s="340"/>
      <c r="CU25" s="340"/>
      <c r="CV25" s="340"/>
      <c r="CW25" s="340"/>
      <c r="CX25" s="340"/>
      <c r="CY25" s="340"/>
      <c r="CZ25" s="340"/>
      <c r="DA25" s="340"/>
      <c r="DB25" s="340"/>
      <c r="DC25" s="340"/>
      <c r="DD25" s="340"/>
      <c r="DE25" s="340"/>
      <c r="DF25" s="340"/>
    </row>
    <row r="26" spans="2:110">
      <c r="B26" s="19" t="s">
        <v>776</v>
      </c>
      <c r="D26" s="340"/>
      <c r="E26" s="340"/>
      <c r="F26" s="340"/>
      <c r="G26" s="340"/>
      <c r="H26" s="340"/>
      <c r="I26" s="340"/>
      <c r="J26" s="340"/>
      <c r="K26" s="340"/>
      <c r="L26" s="340"/>
      <c r="M26" s="340"/>
      <c r="N26" s="340"/>
      <c r="O26" s="340"/>
      <c r="P26" s="340"/>
      <c r="Q26" s="340"/>
      <c r="R26" s="340"/>
      <c r="S26" s="340"/>
      <c r="T26" s="340"/>
      <c r="U26" s="340"/>
      <c r="V26" s="340"/>
      <c r="W26" s="340"/>
      <c r="X26" s="340"/>
      <c r="Y26" s="340"/>
      <c r="Z26" s="340"/>
      <c r="AA26" s="340"/>
      <c r="AB26" s="340"/>
      <c r="AC26" s="340"/>
      <c r="AD26" s="340"/>
      <c r="AE26" s="340"/>
      <c r="AF26" s="340"/>
      <c r="AG26" s="340"/>
      <c r="AH26" s="340"/>
      <c r="AI26" s="340"/>
      <c r="AJ26" s="340"/>
      <c r="AK26" s="340"/>
      <c r="AL26" s="340"/>
      <c r="AM26" s="340"/>
      <c r="AN26" s="340"/>
      <c r="AO26" s="340"/>
      <c r="AP26" s="340"/>
      <c r="AQ26" s="340"/>
      <c r="AR26" s="457"/>
      <c r="AS26" s="213"/>
      <c r="AT26" s="213"/>
      <c r="AU26" s="340"/>
      <c r="AV26" s="340"/>
      <c r="AW26" s="340"/>
      <c r="AX26" s="340"/>
      <c r="AY26" s="340"/>
      <c r="AZ26" s="340"/>
      <c r="BA26" s="340"/>
      <c r="BB26" s="340"/>
      <c r="BC26" s="340"/>
      <c r="BD26" s="340"/>
      <c r="BE26" s="340"/>
      <c r="BF26" s="340"/>
      <c r="BG26" s="340"/>
      <c r="BH26" s="340"/>
      <c r="BI26" s="340"/>
      <c r="BJ26" s="340"/>
      <c r="BK26" s="340"/>
      <c r="BL26" s="340"/>
      <c r="BM26" s="340"/>
      <c r="BN26" s="340"/>
      <c r="BO26" s="340"/>
      <c r="BP26" s="340"/>
      <c r="BQ26" s="340"/>
      <c r="BR26" s="340"/>
      <c r="BS26" s="340"/>
      <c r="BT26" s="340"/>
      <c r="BU26" s="340"/>
      <c r="BV26" s="340"/>
      <c r="BW26" s="340"/>
      <c r="BX26" s="340"/>
      <c r="BY26" s="340"/>
      <c r="BZ26" s="340"/>
      <c r="CA26" s="340"/>
      <c r="CB26" s="340"/>
      <c r="CC26" s="340"/>
      <c r="CD26" s="340"/>
      <c r="CE26" s="340"/>
      <c r="CF26" s="340"/>
      <c r="CG26" s="340"/>
      <c r="CH26" s="340"/>
      <c r="CI26" s="340"/>
      <c r="CJ26" s="340"/>
      <c r="CK26" s="340"/>
      <c r="CL26" s="340"/>
      <c r="CM26" s="340"/>
      <c r="CN26" s="340"/>
      <c r="CO26" s="340"/>
      <c r="CP26" s="340"/>
      <c r="CQ26" s="340"/>
      <c r="CR26" s="340"/>
      <c r="CS26" s="340"/>
      <c r="CT26" s="340"/>
      <c r="CU26" s="340"/>
      <c r="CV26" s="340"/>
      <c r="CW26" s="340"/>
      <c r="CX26" s="340"/>
      <c r="CY26" s="340"/>
      <c r="CZ26" s="340"/>
      <c r="DA26" s="340"/>
      <c r="DB26" s="340"/>
      <c r="DC26" s="340"/>
      <c r="DD26" s="340"/>
      <c r="DE26" s="340"/>
      <c r="DF26" s="340"/>
    </row>
    <row r="27" spans="2:110">
      <c r="B27" s="19" t="s">
        <v>975</v>
      </c>
      <c r="D27" s="340"/>
      <c r="E27" s="340"/>
      <c r="F27" s="340"/>
      <c r="G27" s="340"/>
      <c r="H27" s="340"/>
      <c r="I27" s="340"/>
      <c r="J27" s="340"/>
      <c r="K27" s="340"/>
      <c r="L27" s="340"/>
      <c r="M27" s="340"/>
      <c r="N27" s="340"/>
      <c r="O27" s="340"/>
      <c r="P27" s="340"/>
      <c r="Q27" s="340"/>
      <c r="R27" s="340"/>
      <c r="S27" s="340"/>
      <c r="T27" s="340"/>
      <c r="U27" s="340"/>
      <c r="V27" s="340"/>
      <c r="W27" s="340"/>
      <c r="X27" s="340"/>
      <c r="Y27" s="340"/>
      <c r="Z27" s="340"/>
      <c r="AA27" s="340"/>
      <c r="AB27" s="340"/>
      <c r="AC27" s="340"/>
      <c r="AD27" s="340"/>
      <c r="AE27" s="340"/>
      <c r="AF27" s="340"/>
      <c r="AG27" s="340"/>
      <c r="AH27" s="340"/>
      <c r="AI27" s="340"/>
      <c r="AJ27" s="340"/>
      <c r="AK27" s="340"/>
      <c r="AL27" s="340"/>
      <c r="AM27" s="340"/>
      <c r="AN27" s="340"/>
      <c r="AO27" s="340"/>
      <c r="AP27" s="340"/>
      <c r="AQ27" s="340"/>
      <c r="AR27" s="457"/>
      <c r="AS27" s="213"/>
      <c r="AT27" s="213"/>
      <c r="AU27" s="340"/>
      <c r="AV27" s="340"/>
      <c r="AW27" s="340"/>
      <c r="AX27" s="340"/>
      <c r="AY27" s="340"/>
      <c r="AZ27" s="340"/>
      <c r="BA27" s="340"/>
      <c r="BB27" s="340"/>
      <c r="BC27" s="340"/>
      <c r="BD27" s="340"/>
      <c r="BE27" s="340"/>
      <c r="BF27" s="340"/>
      <c r="BG27" s="340"/>
      <c r="BH27" s="340"/>
      <c r="BI27" s="340"/>
      <c r="BJ27" s="340"/>
      <c r="BK27" s="340"/>
      <c r="BL27" s="340"/>
      <c r="BM27" s="340"/>
      <c r="BN27" s="340"/>
      <c r="BO27" s="340"/>
      <c r="BP27" s="340"/>
      <c r="BQ27" s="340"/>
      <c r="BR27" s="340"/>
      <c r="BS27" s="340"/>
      <c r="BT27" s="340"/>
      <c r="BU27" s="340"/>
      <c r="BV27" s="340"/>
      <c r="BW27" s="340"/>
      <c r="BX27" s="340"/>
      <c r="BY27" s="340"/>
      <c r="BZ27" s="340"/>
      <c r="CA27" s="340"/>
      <c r="CB27" s="340"/>
      <c r="CC27" s="340"/>
      <c r="CD27" s="340"/>
      <c r="CE27" s="340"/>
      <c r="CF27" s="340"/>
      <c r="CG27" s="340"/>
      <c r="CH27" s="340"/>
      <c r="CI27" s="340"/>
      <c r="CJ27" s="340"/>
      <c r="CK27" s="340"/>
      <c r="CL27" s="340"/>
      <c r="CM27" s="340"/>
      <c r="CN27" s="340"/>
      <c r="CO27" s="340"/>
      <c r="CP27" s="340"/>
      <c r="CQ27" s="340"/>
      <c r="CR27" s="340"/>
      <c r="CS27" s="340"/>
      <c r="CT27" s="340"/>
      <c r="CU27" s="340"/>
      <c r="CV27" s="340"/>
      <c r="CW27" s="340"/>
      <c r="CX27" s="340"/>
      <c r="CY27" s="340"/>
      <c r="CZ27" s="340"/>
      <c r="DA27" s="340"/>
      <c r="DB27" s="340"/>
      <c r="DC27" s="340"/>
      <c r="DD27" s="340"/>
      <c r="DE27" s="340"/>
      <c r="DF27" s="340"/>
    </row>
    <row r="28" spans="2:110">
      <c r="B28" s="19" t="s">
        <v>743</v>
      </c>
      <c r="D28" s="340"/>
      <c r="E28" s="340"/>
      <c r="F28" s="340"/>
      <c r="G28" s="340"/>
      <c r="H28" s="340"/>
      <c r="I28" s="340"/>
      <c r="J28" s="340"/>
      <c r="K28" s="340"/>
      <c r="L28" s="340"/>
      <c r="M28" s="340"/>
      <c r="N28" s="340"/>
      <c r="O28" s="340"/>
      <c r="P28" s="340"/>
      <c r="Q28" s="340"/>
      <c r="R28" s="340"/>
      <c r="S28" s="340"/>
      <c r="T28" s="340"/>
      <c r="U28" s="340"/>
      <c r="V28" s="340"/>
      <c r="W28" s="340"/>
      <c r="X28" s="340"/>
      <c r="Y28" s="340"/>
      <c r="Z28" s="340"/>
      <c r="AA28" s="340"/>
      <c r="AB28" s="340"/>
      <c r="AC28" s="340"/>
      <c r="AD28" s="340"/>
      <c r="AE28" s="340"/>
      <c r="AF28" s="340"/>
      <c r="AG28" s="340"/>
      <c r="AH28" s="340"/>
      <c r="AI28" s="340"/>
      <c r="AJ28" s="340"/>
      <c r="AK28" s="340"/>
      <c r="AL28" s="340"/>
      <c r="AM28" s="340"/>
      <c r="AN28" s="340"/>
      <c r="AO28" s="340"/>
      <c r="AP28" s="340"/>
      <c r="AQ28" s="340"/>
      <c r="AR28" s="457"/>
      <c r="AS28" s="213"/>
      <c r="AT28" s="213"/>
      <c r="AU28" s="340"/>
      <c r="AV28" s="340"/>
      <c r="AW28" s="340"/>
      <c r="AX28" s="340"/>
      <c r="AY28" s="340"/>
      <c r="AZ28" s="340"/>
      <c r="BA28" s="340"/>
      <c r="BB28" s="340"/>
      <c r="BC28" s="340"/>
      <c r="BD28" s="340"/>
      <c r="BE28" s="340"/>
      <c r="BF28" s="340"/>
      <c r="BG28" s="340"/>
      <c r="BH28" s="340"/>
      <c r="BI28" s="340"/>
      <c r="BJ28" s="340"/>
      <c r="BK28" s="340"/>
      <c r="BL28" s="340"/>
      <c r="BM28" s="340"/>
      <c r="BN28" s="340"/>
      <c r="BO28" s="340"/>
      <c r="BP28" s="340"/>
      <c r="BQ28" s="340"/>
      <c r="BR28" s="340"/>
      <c r="BS28" s="340"/>
      <c r="BT28" s="340"/>
      <c r="BU28" s="340"/>
      <c r="BV28" s="340"/>
      <c r="BW28" s="340"/>
      <c r="BX28" s="340"/>
      <c r="BY28" s="340"/>
      <c r="BZ28" s="340"/>
      <c r="CA28" s="340"/>
      <c r="CB28" s="340"/>
      <c r="CC28" s="340"/>
      <c r="CD28" s="340"/>
      <c r="CE28" s="340"/>
      <c r="CF28" s="340"/>
      <c r="CG28" s="340"/>
      <c r="CH28" s="340"/>
      <c r="CI28" s="340"/>
      <c r="CJ28" s="340"/>
      <c r="CK28" s="340"/>
      <c r="CL28" s="340"/>
      <c r="CM28" s="340"/>
      <c r="CN28" s="340"/>
      <c r="CO28" s="340"/>
      <c r="CP28" s="340"/>
      <c r="CQ28" s="340"/>
      <c r="CR28" s="340"/>
      <c r="CS28" s="340"/>
      <c r="CT28" s="340"/>
      <c r="CU28" s="340"/>
      <c r="CV28" s="340"/>
      <c r="CW28" s="340"/>
      <c r="CX28" s="340"/>
      <c r="CY28" s="340"/>
      <c r="CZ28" s="340"/>
      <c r="DA28" s="340"/>
      <c r="DB28" s="340"/>
      <c r="DC28" s="340"/>
      <c r="DD28" s="340"/>
      <c r="DE28" s="340"/>
      <c r="DF28" s="340"/>
    </row>
    <row r="29" spans="2:110">
      <c r="B29" s="214" t="s">
        <v>1008</v>
      </c>
      <c r="D29" s="341"/>
      <c r="E29" s="341"/>
      <c r="F29" s="341">
        <f t="shared" ref="F29:AI29" si="21">F16/D16-1</f>
        <v>0.14232276451727821</v>
      </c>
      <c r="G29" s="341">
        <f t="shared" si="21"/>
        <v>0.1674289447892845</v>
      </c>
      <c r="H29" s="341">
        <f t="shared" si="21"/>
        <v>7.7031030718852422E-2</v>
      </c>
      <c r="I29" s="341">
        <f t="shared" si="21"/>
        <v>4.3234923744228437E-2</v>
      </c>
      <c r="J29" s="341">
        <f t="shared" si="21"/>
        <v>4.3578977848559353E-2</v>
      </c>
      <c r="K29" s="341">
        <f t="shared" si="21"/>
        <v>9.2677038626609365E-2</v>
      </c>
      <c r="L29" s="341">
        <f t="shared" si="21"/>
        <v>0.16578801331853499</v>
      </c>
      <c r="M29" s="341">
        <f t="shared" si="21"/>
        <v>0.10605130722965517</v>
      </c>
      <c r="N29" s="341">
        <f t="shared" si="21"/>
        <v>-4.9506128763536883E-2</v>
      </c>
      <c r="O29" s="341">
        <f t="shared" si="21"/>
        <v>-0.13505715236932636</v>
      </c>
      <c r="P29" s="341">
        <f t="shared" si="21"/>
        <v>6.3853762363841327E-3</v>
      </c>
      <c r="Q29" s="341">
        <f t="shared" si="21"/>
        <v>1.5524762637926681E-2</v>
      </c>
      <c r="R29" s="341">
        <f t="shared" si="21"/>
        <v>0.18275690470266226</v>
      </c>
      <c r="S29" s="341">
        <f t="shared" si="21"/>
        <v>0.45837018319646239</v>
      </c>
      <c r="T29" s="341">
        <f t="shared" si="21"/>
        <v>0.27295676869674979</v>
      </c>
      <c r="U29" s="341">
        <f t="shared" si="21"/>
        <v>8.6199428224898123E-2</v>
      </c>
      <c r="V29" s="341">
        <f t="shared" si="21"/>
        <v>-0.2755742852421087</v>
      </c>
      <c r="W29" s="341">
        <f t="shared" si="21"/>
        <v>-0.38339448077843352</v>
      </c>
      <c r="X29" s="341">
        <f t="shared" si="21"/>
        <v>-0.21569522071404124</v>
      </c>
      <c r="Y29" s="341">
        <f t="shared" si="21"/>
        <v>8.4077092226102712E-2</v>
      </c>
      <c r="Z29" s="341">
        <f t="shared" si="21"/>
        <v>0.24490983129726596</v>
      </c>
      <c r="AA29" s="341">
        <f t="shared" si="21"/>
        <v>0.24985085312015265</v>
      </c>
      <c r="AB29" s="341">
        <f t="shared" si="21"/>
        <v>0.2786214953271029</v>
      </c>
      <c r="AC29" s="341">
        <f t="shared" si="21"/>
        <v>0.16983293556085921</v>
      </c>
      <c r="AD29" s="341">
        <f t="shared" si="21"/>
        <v>0.19205116491548657</v>
      </c>
      <c r="AE29" s="341">
        <f t="shared" si="21"/>
        <v>0.16451770850334579</v>
      </c>
      <c r="AF29" s="341" t="e">
        <f t="shared" si="21"/>
        <v>#REF!</v>
      </c>
      <c r="AG29" s="341" t="e">
        <f t="shared" si="21"/>
        <v>#REF!</v>
      </c>
      <c r="AH29" s="341" t="e">
        <f t="shared" si="21"/>
        <v>#REF!</v>
      </c>
      <c r="AI29" s="341" t="e">
        <f t="shared" si="21"/>
        <v>#REF!</v>
      </c>
      <c r="AJ29" s="341"/>
      <c r="AK29" s="341"/>
      <c r="AL29" s="341"/>
      <c r="AM29" s="341"/>
      <c r="AN29" s="341"/>
      <c r="AO29" s="341"/>
      <c r="AP29" s="341"/>
      <c r="AQ29" s="341"/>
      <c r="AR29" s="475"/>
      <c r="AS29" s="213"/>
      <c r="AT29" s="213"/>
      <c r="AU29" s="341"/>
      <c r="AV29" s="341"/>
      <c r="AW29" s="341"/>
      <c r="AX29" s="341"/>
      <c r="AY29" s="341">
        <f t="shared" ref="AY29:CD29" si="22">AY16/AU16-1</f>
        <v>0.15926892950391647</v>
      </c>
      <c r="AZ29" s="341">
        <f t="shared" si="22"/>
        <v>0.12683259461302421</v>
      </c>
      <c r="BA29" s="341">
        <f t="shared" si="22"/>
        <v>0.14546783625730986</v>
      </c>
      <c r="BB29" s="341">
        <f t="shared" si="22"/>
        <v>0.18517424689899586</v>
      </c>
      <c r="BC29" s="341">
        <f t="shared" si="22"/>
        <v>7.2393822393822305E-2</v>
      </c>
      <c r="BD29" s="341">
        <f t="shared" si="22"/>
        <v>8.139183055975785E-2</v>
      </c>
      <c r="BE29" s="341">
        <f t="shared" si="22"/>
        <v>7.2431397574983958E-2</v>
      </c>
      <c r="BF29" s="341">
        <f t="shared" si="22"/>
        <v>2.0433590829803228E-2</v>
      </c>
      <c r="BG29" s="341">
        <f t="shared" si="22"/>
        <v>3.3003300330032959E-2</v>
      </c>
      <c r="BH29" s="341">
        <f t="shared" si="22"/>
        <v>5.3441522104085148E-2</v>
      </c>
      <c r="BI29" s="341">
        <f t="shared" si="22"/>
        <v>6.7836953287711887E-2</v>
      </c>
      <c r="BJ29" s="341">
        <f t="shared" si="22"/>
        <v>0.11306471306471311</v>
      </c>
      <c r="BK29" s="341">
        <f t="shared" si="22"/>
        <v>0.14289863491141452</v>
      </c>
      <c r="BL29" s="341">
        <f t="shared" si="22"/>
        <v>0.18671978751660023</v>
      </c>
      <c r="BM29" s="341">
        <f t="shared" si="22"/>
        <v>0.1538032878239064</v>
      </c>
      <c r="BN29" s="341">
        <f t="shared" si="22"/>
        <v>6.8451075032909259E-2</v>
      </c>
      <c r="BO29" s="341">
        <f t="shared" si="22"/>
        <v>-3.6594663278271877E-2</v>
      </c>
      <c r="BP29" s="341">
        <f t="shared" si="22"/>
        <v>-6.0877350044762801E-2</v>
      </c>
      <c r="BQ29" s="341">
        <f t="shared" si="22"/>
        <v>-0.15068823955566291</v>
      </c>
      <c r="BR29" s="341">
        <f t="shared" si="22"/>
        <v>-0.12176591375770018</v>
      </c>
      <c r="BS29" s="341">
        <f t="shared" si="22"/>
        <v>5.0382484832498076E-2</v>
      </c>
      <c r="BT29" s="341">
        <f t="shared" si="22"/>
        <v>-3.3365109628217371E-2</v>
      </c>
      <c r="BU29" s="341">
        <f t="shared" si="22"/>
        <v>8.4731305089565057E-2</v>
      </c>
      <c r="BV29" s="341">
        <f t="shared" si="22"/>
        <v>-4.1384147767126511E-2</v>
      </c>
      <c r="BW29" s="341">
        <f t="shared" si="22"/>
        <v>6.0271220492214894E-2</v>
      </c>
      <c r="BX29" s="341">
        <f t="shared" si="22"/>
        <v>0.30300788954635105</v>
      </c>
      <c r="BY29" s="341">
        <f t="shared" si="22"/>
        <v>0.40183486238532118</v>
      </c>
      <c r="BZ29" s="341">
        <f t="shared" si="22"/>
        <v>0.51097560975609757</v>
      </c>
      <c r="CA29" s="341">
        <f t="shared" si="22"/>
        <v>0.36925627664613936</v>
      </c>
      <c r="CB29" s="341">
        <f t="shared" si="22"/>
        <v>0.19621570482497641</v>
      </c>
      <c r="CC29" s="341">
        <f t="shared" si="22"/>
        <v>0.13967838444278224</v>
      </c>
      <c r="CD29" s="341">
        <f t="shared" si="22"/>
        <v>4.003228410008064E-2</v>
      </c>
      <c r="CE29" s="341">
        <f t="shared" ref="CE29:DF29" si="23">CE16/CA16-1</f>
        <v>-6.8846220377097422E-2</v>
      </c>
      <c r="CF29" s="341">
        <f t="shared" si="23"/>
        <v>-0.46472635242012017</v>
      </c>
      <c r="CG29" s="341">
        <f t="shared" si="23"/>
        <v>-0.44511894995898282</v>
      </c>
      <c r="CH29" s="341">
        <f t="shared" si="23"/>
        <v>-0.32500388018004034</v>
      </c>
      <c r="CI29" s="341">
        <f t="shared" si="23"/>
        <v>-0.37915660412409435</v>
      </c>
      <c r="CJ29" s="341">
        <f t="shared" si="23"/>
        <v>4.4326241134751809E-2</v>
      </c>
      <c r="CK29" s="341">
        <f t="shared" si="23"/>
        <v>0.10408042578355992</v>
      </c>
      <c r="CL29" s="341">
        <f t="shared" si="23"/>
        <v>6.8521499195217217E-2</v>
      </c>
      <c r="CM29" s="341">
        <f t="shared" si="23"/>
        <v>0.21813285457809695</v>
      </c>
      <c r="CN29" s="341">
        <f t="shared" si="23"/>
        <v>0.27023203169213361</v>
      </c>
      <c r="CO29" s="341">
        <f t="shared" si="23"/>
        <v>0.2986073915372256</v>
      </c>
      <c r="CP29" s="341">
        <f t="shared" si="23"/>
        <v>0.21067355282978273</v>
      </c>
      <c r="CQ29" s="341">
        <f t="shared" si="23"/>
        <v>0.29353967084254484</v>
      </c>
      <c r="CR29" s="341">
        <f t="shared" si="23"/>
        <v>0.26509244820672762</v>
      </c>
      <c r="CS29" s="341">
        <f t="shared" si="23"/>
        <v>0.2012786141472469</v>
      </c>
      <c r="CT29" s="341">
        <f t="shared" si="23"/>
        <v>0.14273018130110193</v>
      </c>
      <c r="CU29" s="341">
        <f t="shared" si="23"/>
        <v>0.18116217242688948</v>
      </c>
      <c r="CV29" s="341">
        <f t="shared" si="23"/>
        <v>0.20214826553970777</v>
      </c>
      <c r="CW29" s="341">
        <f t="shared" si="23"/>
        <v>0.13974248927038624</v>
      </c>
      <c r="CX29" s="341" t="e">
        <f t="shared" si="23"/>
        <v>#REF!</v>
      </c>
      <c r="CY29" s="341">
        <f t="shared" si="23"/>
        <v>0.16672025723472661</v>
      </c>
      <c r="CZ29" s="341" t="e">
        <f t="shared" si="23"/>
        <v>#REF!</v>
      </c>
      <c r="DA29" s="341" t="e">
        <f t="shared" si="23"/>
        <v>#REF!</v>
      </c>
      <c r="DB29" s="341" t="e">
        <f t="shared" si="23"/>
        <v>#REF!</v>
      </c>
      <c r="DC29" s="341" t="e">
        <f t="shared" si="23"/>
        <v>#REF!</v>
      </c>
      <c r="DD29" s="341" t="e">
        <f t="shared" si="23"/>
        <v>#REF!</v>
      </c>
      <c r="DE29" s="341" t="e">
        <f t="shared" si="23"/>
        <v>#REF!</v>
      </c>
      <c r="DF29" s="341" t="e">
        <f t="shared" si="23"/>
        <v>#REF!</v>
      </c>
    </row>
    <row r="30" spans="2:110">
      <c r="B30" s="214" t="s">
        <v>1582</v>
      </c>
      <c r="D30" s="213"/>
      <c r="E30" s="213"/>
      <c r="F30" s="213"/>
      <c r="G30" s="213"/>
      <c r="H30" s="213"/>
      <c r="I30" s="213"/>
      <c r="J30" s="213"/>
      <c r="K30" s="213"/>
      <c r="L30" s="213"/>
      <c r="M30" s="213"/>
      <c r="N30" s="213"/>
      <c r="O30" s="213"/>
      <c r="P30" s="213"/>
      <c r="Q30" s="213"/>
      <c r="R30" s="213"/>
      <c r="S30" s="213"/>
      <c r="T30" s="213"/>
      <c r="U30" s="213"/>
      <c r="V30" s="213"/>
      <c r="W30" s="213"/>
      <c r="X30" s="213"/>
      <c r="Y30" s="213"/>
      <c r="Z30" s="213"/>
      <c r="AA30" s="213"/>
      <c r="AB30" s="213"/>
      <c r="AC30" s="213"/>
      <c r="AD30" s="213"/>
      <c r="AE30" s="213"/>
      <c r="AF30" s="213"/>
      <c r="AG30" s="213"/>
      <c r="AH30" s="213"/>
      <c r="AI30" s="213"/>
      <c r="AJ30" s="213"/>
      <c r="AK30" s="213"/>
      <c r="AL30" s="213"/>
      <c r="AM30" s="213"/>
      <c r="AN30" s="213"/>
      <c r="AO30" s="213"/>
      <c r="AP30" s="213"/>
      <c r="AQ30" s="213"/>
      <c r="AR30" s="213"/>
      <c r="AS30" s="213"/>
      <c r="AT30" s="213"/>
      <c r="AU30" s="213"/>
      <c r="AV30" s="213"/>
      <c r="AW30" s="213"/>
      <c r="AX30" s="213"/>
      <c r="AY30" s="213"/>
      <c r="AZ30" s="213"/>
      <c r="BA30" s="213"/>
      <c r="BB30" s="213"/>
      <c r="BC30" s="213"/>
      <c r="BD30" s="213"/>
      <c r="BE30" s="213"/>
      <c r="BF30" s="213"/>
      <c r="BG30" s="213"/>
      <c r="BH30" s="213"/>
      <c r="BI30" s="213"/>
      <c r="BJ30" s="213"/>
      <c r="BK30" s="213"/>
      <c r="BL30" s="213"/>
      <c r="BM30" s="213"/>
      <c r="BN30" s="213"/>
      <c r="BO30" s="213"/>
      <c r="BP30" s="213"/>
      <c r="BQ30" s="213"/>
      <c r="BR30" s="213"/>
      <c r="BS30" s="213"/>
      <c r="BT30" s="213"/>
      <c r="BU30" s="213"/>
      <c r="BV30" s="213"/>
      <c r="BW30" s="213"/>
      <c r="BX30" s="213"/>
      <c r="BY30" s="213"/>
      <c r="BZ30" s="213"/>
      <c r="CA30" s="213"/>
      <c r="CB30" s="213"/>
      <c r="CC30" s="213"/>
      <c r="CD30" s="213"/>
      <c r="CE30" s="213"/>
      <c r="CF30" s="213"/>
      <c r="CG30" s="213"/>
      <c r="CH30" s="213"/>
      <c r="CI30" s="213"/>
      <c r="CJ30" s="213"/>
      <c r="CK30" s="213"/>
      <c r="CL30" s="213"/>
      <c r="CM30" s="213"/>
      <c r="CN30" s="213"/>
      <c r="CO30" s="213"/>
      <c r="CP30" s="213"/>
      <c r="CQ30" s="519">
        <v>0.247</v>
      </c>
      <c r="CR30" s="213"/>
      <c r="CS30" s="213"/>
      <c r="CT30" s="213"/>
      <c r="CU30" s="519"/>
      <c r="CV30" s="519"/>
      <c r="CW30" s="213"/>
      <c r="CX30" s="213"/>
      <c r="CY30" s="213"/>
      <c r="CZ30" s="213"/>
      <c r="DA30" s="213"/>
      <c r="DB30" s="213"/>
      <c r="DC30" s="213"/>
      <c r="DD30" s="213"/>
      <c r="DE30" s="213"/>
      <c r="DF30" s="213"/>
    </row>
    <row r="31" spans="2:110">
      <c r="B31" s="213"/>
      <c r="D31" s="213"/>
      <c r="E31" s="213"/>
      <c r="F31" s="213"/>
      <c r="G31" s="213"/>
      <c r="H31" s="213"/>
      <c r="I31" s="213"/>
      <c r="J31" s="213"/>
      <c r="K31" s="213"/>
      <c r="L31" s="213"/>
      <c r="M31" s="213"/>
      <c r="N31" s="213"/>
      <c r="O31" s="213"/>
      <c r="P31" s="213"/>
      <c r="Q31" s="213"/>
      <c r="R31" s="213"/>
      <c r="S31" s="213"/>
      <c r="T31" s="213"/>
      <c r="U31" s="213"/>
      <c r="V31" s="213"/>
      <c r="W31" s="213"/>
      <c r="X31" s="213"/>
      <c r="Y31" s="213"/>
      <c r="Z31" s="213"/>
      <c r="AA31" s="213"/>
      <c r="AB31" s="213"/>
      <c r="AC31" s="213"/>
      <c r="AD31" s="213"/>
      <c r="AE31" s="213"/>
      <c r="AF31" s="213"/>
      <c r="AG31" s="213"/>
      <c r="AH31" s="213"/>
      <c r="AI31" s="213"/>
      <c r="AJ31" s="213"/>
      <c r="AK31" s="213"/>
      <c r="AL31" s="213"/>
      <c r="AM31" s="213"/>
      <c r="AN31" s="213"/>
      <c r="AO31" s="213"/>
      <c r="AP31" s="213"/>
      <c r="AQ31" s="213"/>
      <c r="AR31" s="213"/>
      <c r="AS31" s="213"/>
      <c r="AT31" s="213"/>
      <c r="AU31" s="213"/>
      <c r="AV31" s="213"/>
      <c r="AW31" s="213"/>
      <c r="AX31" s="213"/>
      <c r="AY31" s="213"/>
      <c r="AZ31" s="213"/>
      <c r="BA31" s="213"/>
      <c r="BB31" s="213"/>
      <c r="BC31" s="213"/>
      <c r="BD31" s="213"/>
      <c r="BE31" s="213"/>
      <c r="BF31" s="213"/>
      <c r="BG31" s="213"/>
      <c r="BH31" s="213"/>
      <c r="BI31" s="213"/>
      <c r="BJ31" s="213"/>
      <c r="BK31" s="213"/>
      <c r="BL31" s="213"/>
      <c r="BM31" s="213"/>
      <c r="BN31" s="213"/>
      <c r="BO31" s="213"/>
      <c r="BP31" s="213"/>
      <c r="BQ31" s="213"/>
      <c r="BR31" s="213"/>
      <c r="BS31" s="213"/>
      <c r="BT31" s="213"/>
      <c r="BU31" s="213"/>
      <c r="BV31" s="213"/>
      <c r="BW31" s="213"/>
      <c r="BX31" s="213"/>
      <c r="BY31" s="213"/>
      <c r="BZ31" s="213"/>
      <c r="CA31" s="213"/>
      <c r="CB31" s="213"/>
      <c r="CC31" s="213"/>
      <c r="CD31" s="213"/>
      <c r="CE31" s="213"/>
      <c r="CF31" s="213"/>
      <c r="CG31" s="213"/>
      <c r="CH31" s="213"/>
      <c r="CI31" s="213"/>
      <c r="CJ31" s="213"/>
      <c r="CK31" s="213"/>
      <c r="CL31" s="213"/>
      <c r="CM31" s="213"/>
      <c r="CN31" s="213"/>
      <c r="CO31" s="213"/>
      <c r="CP31" s="213"/>
      <c r="CQ31" s="213"/>
      <c r="CR31" s="213"/>
      <c r="CS31" s="213"/>
      <c r="CT31" s="213"/>
      <c r="CU31" s="213"/>
      <c r="CV31" s="213"/>
      <c r="CW31" s="213"/>
      <c r="CX31" s="213"/>
      <c r="CY31" s="213"/>
      <c r="CZ31" s="213"/>
      <c r="DA31" s="213"/>
      <c r="DB31" s="213"/>
      <c r="DC31" s="213"/>
      <c r="DD31" s="213"/>
      <c r="DE31" s="213"/>
      <c r="DF31" s="213"/>
    </row>
    <row r="32" spans="2:110">
      <c r="B32" s="305" t="s">
        <v>1469</v>
      </c>
      <c r="D32" s="333" t="s">
        <v>1568</v>
      </c>
      <c r="E32" s="333" t="s">
        <v>1569</v>
      </c>
      <c r="F32" s="333" t="str">
        <f>LEFT(D32,3)&amp;VALUE(MID(D32,4,4))+1</f>
        <v>1H 2012</v>
      </c>
      <c r="G32" s="333" t="str">
        <f t="shared" ref="G32:AE32" si="24">LEFT(E32,3)&amp;VALUE(MID(E32,4,4))+1</f>
        <v>2H 2012</v>
      </c>
      <c r="H32" s="333" t="str">
        <f t="shared" si="24"/>
        <v>1H 2013</v>
      </c>
      <c r="I32" s="333" t="str">
        <f t="shared" si="24"/>
        <v>2H 2013</v>
      </c>
      <c r="J32" s="333" t="str">
        <f t="shared" si="24"/>
        <v>1H 2014</v>
      </c>
      <c r="K32" s="333" t="str">
        <f t="shared" si="24"/>
        <v>2H 2014</v>
      </c>
      <c r="L32" s="333" t="str">
        <f t="shared" si="24"/>
        <v>1H 2015</v>
      </c>
      <c r="M32" s="333" t="str">
        <f t="shared" si="24"/>
        <v>2H 2015</v>
      </c>
      <c r="N32" s="333" t="str">
        <f t="shared" si="24"/>
        <v>1H 2016</v>
      </c>
      <c r="O32" s="333" t="str">
        <f t="shared" si="24"/>
        <v>2H 2016</v>
      </c>
      <c r="P32" s="333" t="str">
        <f t="shared" si="24"/>
        <v>1H 2017</v>
      </c>
      <c r="Q32" s="333" t="str">
        <f t="shared" si="24"/>
        <v>2H 2017</v>
      </c>
      <c r="R32" s="333" t="str">
        <f t="shared" si="24"/>
        <v>1H 2018</v>
      </c>
      <c r="S32" s="333" t="str">
        <f t="shared" si="24"/>
        <v>2H 2018</v>
      </c>
      <c r="T32" s="333" t="str">
        <f t="shared" si="24"/>
        <v>1H 2019</v>
      </c>
      <c r="U32" s="333" t="str">
        <f t="shared" si="24"/>
        <v>2H 2019</v>
      </c>
      <c r="V32" s="333" t="str">
        <f t="shared" si="24"/>
        <v>1H 2020</v>
      </c>
      <c r="W32" s="333" t="str">
        <f t="shared" si="24"/>
        <v>2H 2020</v>
      </c>
      <c r="X32" s="333" t="str">
        <f t="shared" si="24"/>
        <v>1H 2021</v>
      </c>
      <c r="Y32" s="333" t="str">
        <f t="shared" si="24"/>
        <v>2H 2021</v>
      </c>
      <c r="Z32" s="333" t="str">
        <f t="shared" si="24"/>
        <v>1H 2022</v>
      </c>
      <c r="AA32" s="333" t="str">
        <f t="shared" si="24"/>
        <v>2H 2022</v>
      </c>
      <c r="AB32" s="333" t="str">
        <f t="shared" si="24"/>
        <v>1H 2023</v>
      </c>
      <c r="AC32" s="333" t="str">
        <f t="shared" si="24"/>
        <v>2H 2023</v>
      </c>
      <c r="AD32" s="333" t="str">
        <f t="shared" si="24"/>
        <v>1H 2024</v>
      </c>
      <c r="AE32" s="333" t="str">
        <f t="shared" si="24"/>
        <v>2H 2024</v>
      </c>
      <c r="AF32" s="334" t="str">
        <f t="shared" ref="AF32" si="25">LEFT(AD32,3)&amp;VALUE(MID(AD32,4,4))+1&amp;"E"</f>
        <v>1H 2025E</v>
      </c>
      <c r="AG32" s="332"/>
      <c r="AH32" s="332"/>
      <c r="AI32" s="332"/>
      <c r="AJ32" s="332"/>
      <c r="AK32" s="332"/>
      <c r="AL32" s="332"/>
      <c r="AM32" s="332"/>
      <c r="AN32" s="332"/>
      <c r="AO32" s="332"/>
      <c r="AP32" s="332"/>
      <c r="AQ32" s="332"/>
      <c r="AR32" s="467"/>
      <c r="AS32" s="213"/>
      <c r="AT32" s="213"/>
      <c r="AU32" s="305"/>
      <c r="AV32" s="305"/>
      <c r="AW32" s="305"/>
      <c r="AX32" s="305"/>
      <c r="AY32" s="305"/>
      <c r="AZ32" s="305"/>
      <c r="BA32" s="305"/>
      <c r="BB32" s="305"/>
      <c r="BC32" s="305"/>
      <c r="BD32" s="305"/>
      <c r="BE32" s="305"/>
      <c r="BF32" s="305"/>
      <c r="BG32" s="305"/>
      <c r="BH32" s="305"/>
      <c r="BI32" s="305"/>
      <c r="BJ32" s="305"/>
      <c r="BK32" s="305"/>
      <c r="BL32" s="305"/>
      <c r="BM32" s="305"/>
      <c r="BN32" s="305"/>
      <c r="BO32" s="305"/>
      <c r="BP32" s="305"/>
      <c r="BQ32" s="305"/>
      <c r="BR32" s="305"/>
      <c r="BS32" s="305"/>
      <c r="BT32" s="305"/>
      <c r="BU32" s="305"/>
      <c r="BV32" s="305"/>
      <c r="BW32" s="305"/>
      <c r="BX32" s="305"/>
      <c r="BY32" s="305"/>
      <c r="BZ32" s="305"/>
      <c r="CA32" s="305"/>
      <c r="CB32" s="305"/>
      <c r="CC32" s="305"/>
      <c r="CD32" s="305"/>
      <c r="CE32" s="305"/>
      <c r="CF32" s="305"/>
      <c r="CG32" s="305"/>
      <c r="CH32" s="305"/>
      <c r="CI32" s="305"/>
      <c r="CJ32" s="305"/>
      <c r="CK32" s="305"/>
      <c r="CL32" s="305"/>
      <c r="CM32" s="305"/>
      <c r="CN32" s="305"/>
      <c r="CO32" s="305"/>
      <c r="CP32" s="305"/>
      <c r="CQ32" s="305"/>
      <c r="CR32" s="305"/>
      <c r="CS32" s="305"/>
      <c r="CT32" s="305"/>
      <c r="CU32" s="305"/>
      <c r="CV32" s="305"/>
      <c r="CW32" s="305"/>
      <c r="CX32" s="305"/>
      <c r="CY32" s="305"/>
      <c r="CZ32" s="332"/>
      <c r="DA32" s="332"/>
      <c r="DB32" s="332"/>
      <c r="DC32" s="332"/>
      <c r="DD32" s="332"/>
      <c r="DE32" s="332"/>
      <c r="DF32" s="332"/>
    </row>
    <row r="33" spans="2:110">
      <c r="B33" s="306" t="s">
        <v>1469</v>
      </c>
      <c r="D33" s="308"/>
      <c r="E33" s="308"/>
      <c r="F33" s="308"/>
      <c r="G33" s="308"/>
      <c r="H33" s="308"/>
      <c r="I33" s="308"/>
      <c r="J33" s="308"/>
      <c r="K33" s="308"/>
      <c r="L33" s="308"/>
      <c r="M33" s="308"/>
      <c r="N33" s="308"/>
      <c r="O33" s="308"/>
      <c r="P33" s="308"/>
      <c r="Q33" s="308"/>
      <c r="R33" s="308"/>
      <c r="S33" s="308"/>
      <c r="T33" s="308"/>
      <c r="U33" s="308"/>
      <c r="V33" s="308"/>
      <c r="W33" s="308"/>
      <c r="X33" s="308"/>
      <c r="Y33" s="308"/>
      <c r="Z33" s="308"/>
      <c r="AA33" s="308"/>
      <c r="AB33" s="308"/>
      <c r="AC33" s="308"/>
      <c r="AD33" s="308"/>
      <c r="AE33" s="308"/>
      <c r="AF33" s="308"/>
      <c r="AG33" s="308"/>
      <c r="AH33" s="308"/>
      <c r="AI33" s="308"/>
      <c r="AJ33" s="308"/>
      <c r="AK33" s="308"/>
      <c r="AL33" s="308"/>
      <c r="AM33" s="308"/>
      <c r="AN33" s="308"/>
      <c r="AO33" s="308"/>
      <c r="AP33" s="308"/>
      <c r="AQ33" s="308"/>
      <c r="AR33" s="339"/>
      <c r="AS33" s="213"/>
      <c r="AT33" s="213"/>
      <c r="AU33" s="308"/>
      <c r="AV33" s="308"/>
      <c r="AW33" s="308"/>
      <c r="AX33" s="308"/>
      <c r="AY33" s="308"/>
      <c r="AZ33" s="308"/>
      <c r="BA33" s="308"/>
      <c r="BB33" s="308"/>
      <c r="BC33" s="308"/>
      <c r="BD33" s="308"/>
      <c r="BE33" s="308"/>
      <c r="BF33" s="308"/>
      <c r="BG33" s="308"/>
      <c r="BH33" s="308"/>
      <c r="BI33" s="308"/>
      <c r="BJ33" s="308"/>
      <c r="BK33" s="308"/>
      <c r="BL33" s="308"/>
      <c r="BM33" s="308"/>
      <c r="BN33" s="308"/>
      <c r="BO33" s="308"/>
      <c r="BP33" s="308"/>
      <c r="BQ33" s="308"/>
      <c r="BR33" s="308"/>
      <c r="BS33" s="308"/>
      <c r="BT33" s="308"/>
      <c r="BU33" s="308"/>
      <c r="BV33" s="308"/>
      <c r="BW33" s="308"/>
      <c r="BX33" s="308"/>
      <c r="BY33" s="308"/>
      <c r="BZ33" s="308"/>
      <c r="CA33" s="308"/>
      <c r="CB33" s="308"/>
      <c r="CC33" s="308"/>
      <c r="CD33" s="308"/>
      <c r="CE33" s="308"/>
      <c r="CF33" s="308"/>
      <c r="CG33" s="308"/>
      <c r="CH33" s="308"/>
      <c r="CI33" s="308"/>
      <c r="CJ33" s="308"/>
      <c r="CK33" s="308"/>
      <c r="CL33" s="308"/>
      <c r="CM33" s="308"/>
      <c r="CN33" s="308"/>
      <c r="CO33" s="308"/>
      <c r="CP33" s="308"/>
      <c r="CQ33" s="308"/>
      <c r="CR33" s="308"/>
      <c r="CS33" s="308"/>
      <c r="CT33" s="308"/>
      <c r="CU33" s="308"/>
      <c r="CV33" s="308"/>
      <c r="CW33" s="308"/>
      <c r="CX33" s="308"/>
      <c r="CY33" s="308"/>
      <c r="CZ33" s="308"/>
      <c r="DA33" s="308"/>
      <c r="DB33" s="308"/>
      <c r="DC33" s="308"/>
      <c r="DD33" s="308"/>
      <c r="DE33" s="308"/>
      <c r="DF33" s="308"/>
    </row>
    <row r="34" spans="2:110">
      <c r="B34" s="19" t="s">
        <v>978</v>
      </c>
      <c r="D34" s="260">
        <v>424</v>
      </c>
      <c r="E34" s="260">
        <v>485</v>
      </c>
      <c r="F34" s="260">
        <v>512</v>
      </c>
      <c r="G34" s="260">
        <v>564</v>
      </c>
      <c r="H34" s="260">
        <v>631</v>
      </c>
      <c r="I34" s="260">
        <v>727</v>
      </c>
      <c r="J34" s="260">
        <v>727</v>
      </c>
      <c r="K34" s="260">
        <v>906</v>
      </c>
      <c r="L34" s="260">
        <v>944</v>
      </c>
      <c r="M34" s="260">
        <v>889</v>
      </c>
      <c r="N34" s="260">
        <v>942</v>
      </c>
      <c r="O34" s="260">
        <v>844</v>
      </c>
      <c r="P34" s="260">
        <v>849</v>
      </c>
      <c r="Q34" s="260">
        <v>667</v>
      </c>
      <c r="R34" s="260">
        <v>915</v>
      </c>
      <c r="S34" s="260">
        <v>1115</v>
      </c>
      <c r="T34" s="260">
        <v>1227</v>
      </c>
      <c r="U34" s="260">
        <v>1258</v>
      </c>
      <c r="V34" s="260">
        <v>699</v>
      </c>
      <c r="W34" s="260">
        <v>493</v>
      </c>
      <c r="X34" s="260">
        <v>504</v>
      </c>
      <c r="Y34" s="260">
        <v>838</v>
      </c>
      <c r="Z34" s="260">
        <v>723</v>
      </c>
      <c r="AA34" s="1003">
        <f>INDEX('Income Statement'!$B19:$AD19,MATCH(OpMod!BX$8,OpMod!$D$8:$AG$8,0))-Z34</f>
        <v>987</v>
      </c>
      <c r="AB34" s="260">
        <v>1051</v>
      </c>
      <c r="AC34" s="1003">
        <f>INDEX('Income Statement'!$B19:$AD19,MATCH(OpMod!BZ$8,OpMod!$D$8:$AG$8,0))-AB34</f>
        <v>1339</v>
      </c>
      <c r="AD34" s="260">
        <v>1285</v>
      </c>
      <c r="AE34" s="1003">
        <f>INDEX('Income Statement'!$B19:$AD19,MATCH(OpMod!CB$8,OpMod!$D$8:$AG$8,0))-AD34</f>
        <v>1534</v>
      </c>
      <c r="AF34" s="385" t="e">
        <f>'Aerospace Propulsion Division'!#REF!</f>
        <v>#REF!</v>
      </c>
      <c r="AG34" s="385" t="e">
        <f>INDEX('Income Statement'!$B19:$AD19,MATCH(OpMod!CD$8,OpMod!$D$8:$AG$8,0))-AF34</f>
        <v>#REF!</v>
      </c>
      <c r="AH34" s="385" t="e">
        <f>'Aerospace Propulsion Division'!#REF!</f>
        <v>#REF!</v>
      </c>
      <c r="AI34" s="385" t="e">
        <f>INDEX('Income Statement'!$B19:$AD19,MATCH(OpMod!CF$8,OpMod!$D$8:$AG$8,0))-AH34</f>
        <v>#REF!</v>
      </c>
      <c r="AJ34" s="259"/>
      <c r="AK34" s="259"/>
      <c r="AL34" s="259"/>
      <c r="AM34" s="259"/>
      <c r="AN34" s="259"/>
      <c r="AO34" s="259"/>
      <c r="AP34" s="259"/>
      <c r="AQ34" s="259"/>
      <c r="AR34" s="259"/>
      <c r="AS34" s="259"/>
      <c r="AT34" s="259"/>
      <c r="AU34" s="502"/>
      <c r="AV34" s="502"/>
      <c r="AW34" s="459"/>
      <c r="AX34" s="459"/>
      <c r="AY34" s="459"/>
      <c r="AZ34" s="459"/>
      <c r="BA34" s="459"/>
      <c r="BB34" s="459"/>
      <c r="BC34" s="459"/>
      <c r="BD34" s="459"/>
      <c r="BE34" s="459"/>
      <c r="BF34" s="459"/>
      <c r="BG34" s="459"/>
      <c r="BH34" s="459"/>
      <c r="BI34" s="459"/>
      <c r="BJ34" s="459"/>
      <c r="BK34" s="459"/>
      <c r="BL34" s="459"/>
      <c r="BM34" s="459"/>
      <c r="BN34" s="459"/>
      <c r="BO34" s="459"/>
      <c r="BP34" s="459"/>
      <c r="BQ34" s="459"/>
      <c r="BR34" s="459"/>
      <c r="BS34" s="459"/>
      <c r="BT34" s="459"/>
      <c r="BU34" s="459"/>
      <c r="BV34" s="459"/>
      <c r="BW34" s="459"/>
      <c r="BX34" s="459"/>
      <c r="BY34" s="459"/>
      <c r="BZ34" s="459"/>
      <c r="CA34" s="459"/>
      <c r="CB34" s="459"/>
      <c r="CC34" s="459"/>
      <c r="CD34" s="459"/>
      <c r="CE34" s="459"/>
      <c r="CF34" s="459"/>
      <c r="CG34" s="459"/>
      <c r="CH34" s="459"/>
      <c r="CI34" s="459"/>
      <c r="CJ34" s="459"/>
      <c r="CK34" s="459"/>
      <c r="CL34" s="459"/>
      <c r="CM34" s="459"/>
      <c r="CN34" s="459"/>
      <c r="CO34" s="459"/>
      <c r="CP34" s="459"/>
      <c r="CQ34" s="459"/>
      <c r="CR34" s="459"/>
      <c r="CS34" s="459"/>
      <c r="CT34" s="459"/>
      <c r="CU34" s="459"/>
      <c r="CV34" s="459"/>
      <c r="CW34" s="459"/>
      <c r="CX34" s="459"/>
      <c r="CY34" s="459"/>
      <c r="CZ34" s="459"/>
      <c r="DA34" s="459"/>
      <c r="DB34" s="459"/>
      <c r="DC34" s="459"/>
      <c r="DD34" s="459"/>
      <c r="DE34" s="459"/>
      <c r="DF34" s="459"/>
    </row>
    <row r="35" spans="2:110">
      <c r="B35" s="291" t="s">
        <v>977</v>
      </c>
      <c r="D35" s="260">
        <v>99</v>
      </c>
      <c r="E35" s="260">
        <v>103</v>
      </c>
      <c r="F35" s="260">
        <v>134</v>
      </c>
      <c r="G35" s="260">
        <v>152</v>
      </c>
      <c r="H35" s="260">
        <v>174</v>
      </c>
      <c r="I35" s="260">
        <v>202</v>
      </c>
      <c r="J35" s="260">
        <v>197</v>
      </c>
      <c r="K35" s="260">
        <v>229</v>
      </c>
      <c r="L35" s="260">
        <v>199</v>
      </c>
      <c r="M35" s="260">
        <v>267</v>
      </c>
      <c r="N35" s="260">
        <v>271</v>
      </c>
      <c r="O35" s="260">
        <v>296</v>
      </c>
      <c r="P35" s="260">
        <v>327</v>
      </c>
      <c r="Q35" s="260">
        <v>292</v>
      </c>
      <c r="R35" s="260">
        <v>300</v>
      </c>
      <c r="S35" s="260">
        <v>369</v>
      </c>
      <c r="T35" s="260"/>
      <c r="U35" s="260"/>
      <c r="V35" s="260"/>
      <c r="W35" s="260"/>
      <c r="X35" s="260"/>
      <c r="Y35" s="260"/>
      <c r="Z35" s="260"/>
      <c r="AA35" s="1003"/>
      <c r="AB35" s="260"/>
      <c r="AC35" s="1003"/>
      <c r="AD35" s="260"/>
      <c r="AE35" s="1003"/>
      <c r="AF35" s="320"/>
      <c r="AG35" s="320"/>
      <c r="AH35" s="320"/>
      <c r="AI35" s="320"/>
      <c r="AJ35" s="259"/>
      <c r="AK35" s="259"/>
      <c r="AL35" s="259"/>
      <c r="AM35" s="259"/>
      <c r="AN35" s="259"/>
      <c r="AO35" s="259"/>
      <c r="AP35" s="259"/>
      <c r="AQ35" s="259"/>
      <c r="AR35" s="259"/>
      <c r="AS35" s="259"/>
      <c r="AT35" s="259"/>
      <c r="AU35" s="502"/>
      <c r="AV35" s="502"/>
      <c r="AW35" s="460"/>
      <c r="AX35" s="460"/>
      <c r="AY35" s="460"/>
      <c r="AZ35" s="460"/>
      <c r="BA35" s="460"/>
      <c r="BB35" s="460"/>
      <c r="BC35" s="460"/>
      <c r="BD35" s="460"/>
      <c r="BE35" s="460"/>
      <c r="BF35" s="460"/>
      <c r="BG35" s="460"/>
      <c r="BH35" s="460"/>
      <c r="BI35" s="460"/>
      <c r="BJ35" s="460"/>
      <c r="BK35" s="460"/>
      <c r="BL35" s="460"/>
      <c r="BM35" s="460"/>
      <c r="BN35" s="460"/>
      <c r="BO35" s="460"/>
      <c r="BP35" s="460"/>
      <c r="BQ35" s="460"/>
      <c r="BR35" s="460"/>
      <c r="BS35" s="460"/>
      <c r="BT35" s="460"/>
      <c r="BU35" s="460"/>
      <c r="BV35" s="460"/>
      <c r="BW35" s="460"/>
      <c r="BX35" s="460"/>
      <c r="BY35" s="460"/>
      <c r="BZ35" s="460"/>
      <c r="CA35" s="460"/>
      <c r="CB35" s="460"/>
      <c r="CC35" s="460"/>
      <c r="CD35" s="460"/>
      <c r="CE35" s="460"/>
      <c r="CF35" s="460"/>
      <c r="CG35" s="460"/>
      <c r="CH35" s="460"/>
      <c r="CI35" s="460"/>
      <c r="CJ35" s="460"/>
      <c r="CK35" s="460"/>
      <c r="CL35" s="460"/>
      <c r="CM35" s="460"/>
      <c r="CN35" s="460"/>
      <c r="CO35" s="460"/>
      <c r="CP35" s="460"/>
      <c r="CQ35" s="460"/>
      <c r="CR35" s="460"/>
      <c r="CS35" s="460"/>
      <c r="CT35" s="460"/>
      <c r="CU35" s="460"/>
      <c r="CV35" s="460"/>
      <c r="CW35" s="460"/>
      <c r="CX35" s="460"/>
      <c r="CY35" s="460"/>
      <c r="CZ35" s="460"/>
      <c r="DA35" s="460"/>
      <c r="DB35" s="460"/>
      <c r="DC35" s="460"/>
      <c r="DD35" s="460"/>
      <c r="DE35" s="460"/>
      <c r="DF35" s="460"/>
    </row>
    <row r="36" spans="2:110">
      <c r="B36" s="291" t="s">
        <v>744</v>
      </c>
      <c r="D36" s="260">
        <v>31</v>
      </c>
      <c r="E36" s="260">
        <v>27</v>
      </c>
      <c r="F36" s="260">
        <v>45</v>
      </c>
      <c r="G36" s="260">
        <v>34</v>
      </c>
      <c r="H36" s="260">
        <v>45</v>
      </c>
      <c r="I36" s="260">
        <v>39</v>
      </c>
      <c r="J36" s="260">
        <v>43</v>
      </c>
      <c r="K36" s="260">
        <v>28</v>
      </c>
      <c r="L36" s="260">
        <v>15</v>
      </c>
      <c r="M36" s="260">
        <v>49</v>
      </c>
      <c r="N36" s="260">
        <v>22</v>
      </c>
      <c r="O36" s="260">
        <v>54</v>
      </c>
      <c r="P36" s="260">
        <v>40</v>
      </c>
      <c r="Q36" s="260">
        <v>53</v>
      </c>
      <c r="R36" s="260">
        <v>45</v>
      </c>
      <c r="S36" s="260">
        <v>73</v>
      </c>
      <c r="T36" s="260"/>
      <c r="U36" s="260"/>
      <c r="V36" s="260"/>
      <c r="W36" s="260"/>
      <c r="X36" s="260"/>
      <c r="Y36" s="260"/>
      <c r="Z36" s="260"/>
      <c r="AA36" s="1003"/>
      <c r="AB36" s="260"/>
      <c r="AC36" s="1003"/>
      <c r="AD36" s="260"/>
      <c r="AE36" s="1003"/>
      <c r="AF36" s="320"/>
      <c r="AG36" s="320"/>
      <c r="AH36" s="320"/>
      <c r="AI36" s="320"/>
      <c r="AJ36" s="259"/>
      <c r="AK36" s="259"/>
      <c r="AL36" s="259"/>
      <c r="AM36" s="259"/>
      <c r="AN36" s="259"/>
      <c r="AO36" s="259"/>
      <c r="AP36" s="259"/>
      <c r="AQ36" s="259"/>
      <c r="AR36" s="259"/>
      <c r="AS36" s="259"/>
      <c r="AT36" s="259"/>
      <c r="AU36" s="502"/>
      <c r="AV36" s="502"/>
      <c r="AW36" s="460"/>
      <c r="AX36" s="460"/>
      <c r="AY36" s="460"/>
      <c r="AZ36" s="460"/>
      <c r="BA36" s="460"/>
      <c r="BB36" s="460"/>
      <c r="BC36" s="460"/>
      <c r="BD36" s="460"/>
      <c r="BE36" s="460"/>
      <c r="BF36" s="460"/>
      <c r="BG36" s="460"/>
      <c r="BH36" s="460"/>
      <c r="BI36" s="460"/>
      <c r="BJ36" s="460"/>
      <c r="BK36" s="460"/>
      <c r="BL36" s="460"/>
      <c r="BM36" s="460"/>
      <c r="BN36" s="460"/>
      <c r="BO36" s="460"/>
      <c r="BP36" s="460"/>
      <c r="BQ36" s="460"/>
      <c r="BR36" s="460"/>
      <c r="BS36" s="460"/>
      <c r="BT36" s="460"/>
      <c r="BU36" s="460"/>
      <c r="BV36" s="460"/>
      <c r="BW36" s="460"/>
      <c r="BX36" s="460"/>
      <c r="BY36" s="460"/>
      <c r="BZ36" s="460"/>
      <c r="CA36" s="460"/>
      <c r="CB36" s="460"/>
      <c r="CC36" s="460"/>
      <c r="CD36" s="460"/>
      <c r="CE36" s="460"/>
      <c r="CF36" s="460"/>
      <c r="CG36" s="460"/>
      <c r="CH36" s="460"/>
      <c r="CI36" s="460"/>
      <c r="CJ36" s="460"/>
      <c r="CK36" s="460"/>
      <c r="CL36" s="460"/>
      <c r="CM36" s="460"/>
      <c r="CN36" s="460"/>
      <c r="CO36" s="460"/>
      <c r="CP36" s="460"/>
      <c r="CQ36" s="460"/>
      <c r="CR36" s="460"/>
      <c r="CS36" s="460"/>
      <c r="CT36" s="460"/>
      <c r="CU36" s="460"/>
      <c r="CV36" s="460"/>
      <c r="CW36" s="460"/>
      <c r="CX36" s="460"/>
      <c r="CY36" s="460"/>
      <c r="CZ36" s="460"/>
      <c r="DA36" s="460"/>
      <c r="DB36" s="460"/>
      <c r="DC36" s="460"/>
      <c r="DD36" s="460"/>
      <c r="DE36" s="460"/>
      <c r="DF36" s="460"/>
    </row>
    <row r="37" spans="2:110">
      <c r="B37" s="291" t="s">
        <v>1243</v>
      </c>
      <c r="D37" s="260"/>
      <c r="E37" s="260"/>
      <c r="F37" s="260"/>
      <c r="G37" s="260"/>
      <c r="H37" s="260"/>
      <c r="I37" s="260"/>
      <c r="J37" s="260"/>
      <c r="K37" s="260"/>
      <c r="L37" s="260"/>
      <c r="M37" s="260"/>
      <c r="N37" s="260"/>
      <c r="O37" s="260"/>
      <c r="P37" s="260"/>
      <c r="Q37" s="260"/>
      <c r="R37" s="260">
        <v>97</v>
      </c>
      <c r="S37" s="260">
        <v>108</v>
      </c>
      <c r="T37" s="260"/>
      <c r="U37" s="260"/>
      <c r="V37" s="260"/>
      <c r="W37" s="260"/>
      <c r="X37" s="260"/>
      <c r="Y37" s="260"/>
      <c r="Z37" s="260"/>
      <c r="AA37" s="1003"/>
      <c r="AB37" s="260"/>
      <c r="AC37" s="1003"/>
      <c r="AD37" s="260"/>
      <c r="AE37" s="1003"/>
      <c r="AF37" s="320"/>
      <c r="AG37" s="320"/>
      <c r="AH37" s="320"/>
      <c r="AI37" s="320"/>
      <c r="AJ37" s="259"/>
      <c r="AK37" s="259"/>
      <c r="AL37" s="259"/>
      <c r="AM37" s="259"/>
      <c r="AN37" s="259"/>
      <c r="AO37" s="259"/>
      <c r="AP37" s="259"/>
      <c r="AQ37" s="259"/>
      <c r="AR37" s="259"/>
      <c r="AS37" s="259"/>
      <c r="AT37" s="259"/>
      <c r="AU37" s="502"/>
      <c r="AV37" s="502"/>
      <c r="AW37" s="460"/>
      <c r="AX37" s="460"/>
      <c r="AY37" s="460"/>
      <c r="AZ37" s="460"/>
      <c r="BA37" s="460"/>
      <c r="BB37" s="460"/>
      <c r="BC37" s="460"/>
      <c r="BD37" s="460"/>
      <c r="BE37" s="460"/>
      <c r="BF37" s="460"/>
      <c r="BG37" s="460"/>
      <c r="BH37" s="460"/>
      <c r="BI37" s="460"/>
      <c r="BJ37" s="460"/>
      <c r="BK37" s="460"/>
      <c r="BL37" s="460"/>
      <c r="BM37" s="460"/>
      <c r="BN37" s="460"/>
      <c r="BO37" s="460"/>
      <c r="BP37" s="460"/>
      <c r="BQ37" s="460"/>
      <c r="BR37" s="460"/>
      <c r="BS37" s="460"/>
      <c r="BT37" s="460"/>
      <c r="BU37" s="460"/>
      <c r="BV37" s="460"/>
      <c r="BW37" s="460"/>
      <c r="BX37" s="460"/>
      <c r="BY37" s="460"/>
      <c r="BZ37" s="460"/>
      <c r="CA37" s="460"/>
      <c r="CB37" s="460"/>
      <c r="CC37" s="460"/>
      <c r="CD37" s="460"/>
      <c r="CE37" s="460"/>
      <c r="CF37" s="460"/>
      <c r="CG37" s="460"/>
      <c r="CH37" s="460"/>
      <c r="CI37" s="460"/>
      <c r="CJ37" s="460"/>
      <c r="CK37" s="460"/>
      <c r="CL37" s="460"/>
      <c r="CM37" s="460"/>
      <c r="CN37" s="460"/>
      <c r="CO37" s="460"/>
      <c r="CP37" s="460"/>
      <c r="CQ37" s="460"/>
      <c r="CR37" s="460"/>
      <c r="CS37" s="460"/>
      <c r="CT37" s="460"/>
      <c r="CU37" s="460"/>
      <c r="CV37" s="460"/>
      <c r="CW37" s="460"/>
      <c r="CX37" s="460"/>
      <c r="CY37" s="460"/>
      <c r="CZ37" s="460"/>
      <c r="DA37" s="460"/>
      <c r="DB37" s="460"/>
      <c r="DC37" s="460"/>
      <c r="DD37" s="460"/>
      <c r="DE37" s="460"/>
      <c r="DF37" s="460"/>
    </row>
    <row r="38" spans="2:110">
      <c r="B38" s="19" t="s">
        <v>1930</v>
      </c>
      <c r="D38" s="260"/>
      <c r="E38" s="260"/>
      <c r="F38" s="260"/>
      <c r="G38" s="260"/>
      <c r="H38" s="260"/>
      <c r="I38" s="260"/>
      <c r="J38" s="260"/>
      <c r="K38" s="260"/>
      <c r="L38" s="260"/>
      <c r="M38" s="260"/>
      <c r="N38" s="260"/>
      <c r="O38" s="260"/>
      <c r="P38" s="260"/>
      <c r="Q38" s="260"/>
      <c r="R38" s="260">
        <v>442</v>
      </c>
      <c r="S38" s="260">
        <v>550</v>
      </c>
      <c r="T38" s="260">
        <v>588</v>
      </c>
      <c r="U38" s="260">
        <v>621</v>
      </c>
      <c r="V38" s="260">
        <v>343</v>
      </c>
      <c r="W38" s="260">
        <v>344</v>
      </c>
      <c r="X38" s="260">
        <v>270</v>
      </c>
      <c r="Y38" s="260">
        <v>380</v>
      </c>
      <c r="Z38" s="260">
        <v>411</v>
      </c>
      <c r="AA38" s="1003">
        <f>INDEX('Income Statement'!$B20:$AD20,MATCH(OpMod!BX$8,OpMod!$D$8:$AG$8,0))-Z38</f>
        <v>463</v>
      </c>
      <c r="AB38" s="260">
        <v>466</v>
      </c>
      <c r="AC38" s="1003">
        <f>INDEX('Income Statement'!$B20:$AD20,MATCH(OpMod!BZ$8,OpMod!$D$8:$AG$8,0))-AB38</f>
        <v>526</v>
      </c>
      <c r="AD38" s="260">
        <v>657</v>
      </c>
      <c r="AE38" s="1003">
        <f>INDEX('Income Statement'!$B20:$AD20,MATCH(OpMod!CB$8,OpMod!$D$8:$AG$8,0))-AD38</f>
        <v>641</v>
      </c>
      <c r="AF38" s="385" t="e">
        <f>'Equipment and Defense'!#REF!</f>
        <v>#REF!</v>
      </c>
      <c r="AG38" s="385" t="e">
        <f>INDEX('Income Statement'!$B20:$AD20,MATCH(OpMod!CD$8,OpMod!$D$8:$AG$8,0))-AF38</f>
        <v>#REF!</v>
      </c>
      <c r="AH38" s="385" t="e">
        <f>'Equipment and Defense'!#REF!</f>
        <v>#REF!</v>
      </c>
      <c r="AI38" s="385" t="e">
        <f>INDEX('Income Statement'!$B20:$AD20,MATCH(OpMod!CF$8,OpMod!$D$8:$AG$8,0))-AH38</f>
        <v>#REF!</v>
      </c>
      <c r="AJ38" s="314"/>
      <c r="AK38" s="314"/>
      <c r="AL38" s="314"/>
      <c r="AM38" s="314"/>
      <c r="AN38" s="314"/>
      <c r="AO38" s="314"/>
      <c r="AP38" s="314"/>
      <c r="AQ38" s="314"/>
      <c r="AR38" s="314"/>
      <c r="AS38" s="259"/>
      <c r="AT38" s="259"/>
      <c r="AU38" s="461"/>
      <c r="AV38" s="461"/>
      <c r="AW38" s="461"/>
      <c r="AX38" s="461"/>
      <c r="AY38" s="461"/>
      <c r="AZ38" s="461"/>
      <c r="BA38" s="461"/>
      <c r="BB38" s="461"/>
      <c r="BC38" s="461"/>
      <c r="BD38" s="461"/>
      <c r="BE38" s="461"/>
      <c r="BF38" s="461"/>
      <c r="BG38" s="461"/>
      <c r="BH38" s="461"/>
      <c r="BI38" s="461"/>
      <c r="BJ38" s="461"/>
      <c r="BK38" s="461"/>
      <c r="BL38" s="461"/>
      <c r="BM38" s="461"/>
      <c r="BN38" s="461"/>
      <c r="BO38" s="461"/>
      <c r="BP38" s="461"/>
      <c r="BQ38" s="461"/>
      <c r="BR38" s="461"/>
      <c r="BS38" s="461"/>
      <c r="BT38" s="461"/>
      <c r="BU38" s="461"/>
      <c r="BV38" s="461"/>
      <c r="BW38" s="461"/>
      <c r="BX38" s="461"/>
      <c r="BY38" s="461"/>
      <c r="BZ38" s="461"/>
      <c r="CA38" s="461"/>
      <c r="CB38" s="461"/>
      <c r="CC38" s="461"/>
      <c r="CD38" s="461"/>
      <c r="CE38" s="461"/>
      <c r="CF38" s="461"/>
      <c r="CG38" s="461"/>
      <c r="CH38" s="461"/>
      <c r="CI38" s="461"/>
      <c r="CJ38" s="461"/>
      <c r="CK38" s="461"/>
      <c r="CL38" s="461"/>
      <c r="CM38" s="461"/>
      <c r="CN38" s="461"/>
      <c r="CO38" s="461"/>
      <c r="CP38" s="461"/>
      <c r="CQ38" s="461"/>
      <c r="CR38" s="461"/>
      <c r="CS38" s="461"/>
      <c r="CT38" s="461"/>
      <c r="CU38" s="461"/>
      <c r="CV38" s="461"/>
      <c r="CW38" s="461"/>
      <c r="CX38" s="461"/>
      <c r="CY38" s="461"/>
      <c r="CZ38" s="461"/>
      <c r="DA38" s="461"/>
      <c r="DB38" s="461"/>
      <c r="DC38" s="461"/>
      <c r="DD38" s="461"/>
      <c r="DE38" s="461"/>
      <c r="DF38" s="461"/>
    </row>
    <row r="39" spans="2:110">
      <c r="B39" s="19" t="s">
        <v>1293</v>
      </c>
      <c r="D39" s="260"/>
      <c r="E39" s="260"/>
      <c r="F39" s="260"/>
      <c r="G39" s="260"/>
      <c r="H39" s="260"/>
      <c r="I39" s="260"/>
      <c r="J39" s="260"/>
      <c r="K39" s="260"/>
      <c r="L39" s="260"/>
      <c r="M39" s="260"/>
      <c r="N39" s="260"/>
      <c r="O39" s="260"/>
      <c r="P39" s="260"/>
      <c r="Q39" s="260"/>
      <c r="R39" s="260">
        <v>32</v>
      </c>
      <c r="S39" s="260">
        <v>49</v>
      </c>
      <c r="T39" s="260">
        <v>85</v>
      </c>
      <c r="U39" s="260">
        <v>103</v>
      </c>
      <c r="V39" s="260">
        <v>-101</v>
      </c>
      <c r="W39" s="260">
        <v>-73</v>
      </c>
      <c r="X39" s="260">
        <v>-110</v>
      </c>
      <c r="Y39" s="260">
        <v>-57</v>
      </c>
      <c r="Z39" s="260">
        <v>-82</v>
      </c>
      <c r="AA39" s="1003">
        <f>INDEX('Income Statement'!$B21:$AD21,MATCH(OpMod!BX$8,OpMod!$D$8:$AG$8,0))-Z39</f>
        <v>-58</v>
      </c>
      <c r="AB39" s="260">
        <v>-100</v>
      </c>
      <c r="AC39" s="1003">
        <f>INDEX('Income Statement'!$B21:$AD21,MATCH(OpMod!BZ$8,OpMod!$D$8:$AG$8,0))-AB39</f>
        <v>-16</v>
      </c>
      <c r="AD39" s="260">
        <v>10</v>
      </c>
      <c r="AE39" s="1003">
        <f>INDEX('Income Statement'!$B21:$AD21,MATCH(OpMod!CB$8,OpMod!$D$8:$AG$8,0))-AD39</f>
        <v>17</v>
      </c>
      <c r="AF39" s="385" t="e">
        <f>'Aircraft Interiors Division'!#REF!</f>
        <v>#REF!</v>
      </c>
      <c r="AG39" s="385" t="e">
        <f>INDEX('Income Statement'!$B21:$AD21,MATCH(OpMod!CD$8,OpMod!$D$8:$AG$8,0))-AF39</f>
        <v>#REF!</v>
      </c>
      <c r="AH39" s="385" t="e">
        <f>'Aircraft Interiors Division'!#REF!</f>
        <v>#REF!</v>
      </c>
      <c r="AI39" s="385" t="e">
        <f>INDEX('Income Statement'!$B21:$AD21,MATCH(OpMod!CF$8,OpMod!$D$8:$AG$8,0))-AH39</f>
        <v>#REF!</v>
      </c>
      <c r="AJ39" s="314"/>
      <c r="AK39" s="314"/>
      <c r="AL39" s="314"/>
      <c r="AM39" s="314"/>
      <c r="AN39" s="314"/>
      <c r="AO39" s="314"/>
      <c r="AP39" s="314"/>
      <c r="AQ39" s="314"/>
      <c r="AR39" s="314"/>
      <c r="AS39" s="259"/>
      <c r="AT39" s="259"/>
      <c r="AU39" s="461"/>
      <c r="AV39" s="461"/>
      <c r="AW39" s="461"/>
      <c r="AX39" s="461"/>
      <c r="AY39" s="461"/>
      <c r="AZ39" s="461"/>
      <c r="BA39" s="461"/>
      <c r="BB39" s="461"/>
      <c r="BC39" s="461"/>
      <c r="BD39" s="461"/>
      <c r="BE39" s="461"/>
      <c r="BF39" s="461"/>
      <c r="BG39" s="461"/>
      <c r="BH39" s="461"/>
      <c r="BI39" s="461"/>
      <c r="BJ39" s="461"/>
      <c r="BK39" s="461"/>
      <c r="BL39" s="461"/>
      <c r="BM39" s="461"/>
      <c r="BN39" s="461"/>
      <c r="BO39" s="461"/>
      <c r="BP39" s="461"/>
      <c r="BQ39" s="461"/>
      <c r="BR39" s="461"/>
      <c r="BS39" s="461"/>
      <c r="BT39" s="461"/>
      <c r="BU39" s="461"/>
      <c r="BV39" s="461"/>
      <c r="BW39" s="461"/>
      <c r="BX39" s="461"/>
      <c r="BY39" s="461"/>
      <c r="BZ39" s="461"/>
      <c r="CA39" s="461"/>
      <c r="CB39" s="461"/>
      <c r="CC39" s="461"/>
      <c r="CD39" s="461"/>
      <c r="CE39" s="461"/>
      <c r="CF39" s="461"/>
      <c r="CG39" s="461"/>
      <c r="CH39" s="461"/>
      <c r="CI39" s="461"/>
      <c r="CJ39" s="461"/>
      <c r="CK39" s="461"/>
      <c r="CL39" s="461"/>
      <c r="CM39" s="461"/>
      <c r="CN39" s="461"/>
      <c r="CO39" s="461"/>
      <c r="CP39" s="461"/>
      <c r="CQ39" s="461"/>
      <c r="CR39" s="461"/>
      <c r="CS39" s="461"/>
      <c r="CT39" s="461"/>
      <c r="CU39" s="461"/>
      <c r="CV39" s="461"/>
      <c r="CW39" s="461"/>
      <c r="CX39" s="461"/>
      <c r="CY39" s="461"/>
      <c r="CZ39" s="461"/>
      <c r="DA39" s="461"/>
      <c r="DB39" s="461"/>
      <c r="DC39" s="461"/>
      <c r="DD39" s="461"/>
      <c r="DE39" s="461"/>
      <c r="DF39" s="461"/>
    </row>
    <row r="40" spans="2:110">
      <c r="B40" s="19" t="s">
        <v>976</v>
      </c>
      <c r="D40" s="260">
        <v>59</v>
      </c>
      <c r="E40" s="260">
        <v>80</v>
      </c>
      <c r="F40" s="260">
        <v>66</v>
      </c>
      <c r="G40" s="260">
        <v>79</v>
      </c>
      <c r="H40" s="260">
        <v>65</v>
      </c>
      <c r="I40" s="260">
        <v>55</v>
      </c>
      <c r="J40" s="260">
        <v>64</v>
      </c>
      <c r="K40" s="260">
        <v>70</v>
      </c>
      <c r="L40" s="260">
        <v>66</v>
      </c>
      <c r="M40" s="260">
        <v>85</v>
      </c>
      <c r="N40" s="260">
        <v>79</v>
      </c>
      <c r="O40" s="260">
        <v>-79</v>
      </c>
      <c r="P40" s="260"/>
      <c r="Q40" s="260"/>
      <c r="R40" s="260"/>
      <c r="S40" s="260"/>
      <c r="T40" s="260"/>
      <c r="U40" s="260"/>
      <c r="V40" s="260"/>
      <c r="W40" s="260"/>
      <c r="X40" s="260"/>
      <c r="Y40" s="260"/>
      <c r="Z40" s="260"/>
      <c r="AA40" s="1003"/>
      <c r="AB40" s="260"/>
      <c r="AC40" s="1003"/>
      <c r="AD40" s="260"/>
      <c r="AE40" s="1003"/>
      <c r="AF40" s="320"/>
      <c r="AG40" s="320"/>
      <c r="AH40" s="320"/>
      <c r="AI40" s="320"/>
      <c r="AJ40" s="259"/>
      <c r="AK40" s="259"/>
      <c r="AL40" s="259"/>
      <c r="AM40" s="259"/>
      <c r="AN40" s="259"/>
      <c r="AO40" s="259"/>
      <c r="AP40" s="259"/>
      <c r="AQ40" s="259"/>
      <c r="AR40" s="259"/>
      <c r="AS40" s="259"/>
      <c r="AT40" s="259"/>
      <c r="AU40" s="502"/>
      <c r="AV40" s="502"/>
      <c r="AW40" s="460"/>
      <c r="AX40" s="460"/>
      <c r="AY40" s="460"/>
      <c r="AZ40" s="460"/>
      <c r="BA40" s="460"/>
      <c r="BB40" s="460"/>
      <c r="BC40" s="460"/>
      <c r="BD40" s="460"/>
      <c r="BE40" s="460"/>
      <c r="BF40" s="460"/>
      <c r="BG40" s="460"/>
      <c r="BH40" s="460"/>
      <c r="BI40" s="460"/>
      <c r="BJ40" s="460"/>
      <c r="BK40" s="460"/>
      <c r="BL40" s="460"/>
      <c r="BM40" s="460"/>
      <c r="BN40" s="460"/>
      <c r="BO40" s="460"/>
      <c r="BP40" s="460"/>
      <c r="BQ40" s="460"/>
      <c r="BR40" s="460"/>
      <c r="BS40" s="460"/>
      <c r="BT40" s="460"/>
      <c r="BU40" s="460"/>
      <c r="BV40" s="460"/>
      <c r="BW40" s="460"/>
      <c r="BX40" s="460"/>
      <c r="BY40" s="460"/>
      <c r="BZ40" s="460"/>
      <c r="CA40" s="460"/>
      <c r="CB40" s="460"/>
      <c r="CC40" s="460"/>
      <c r="CD40" s="460"/>
      <c r="CE40" s="460"/>
      <c r="CF40" s="460"/>
      <c r="CG40" s="460"/>
      <c r="CH40" s="460"/>
      <c r="CI40" s="460"/>
      <c r="CJ40" s="460"/>
      <c r="CK40" s="460"/>
      <c r="CL40" s="460"/>
      <c r="CM40" s="460"/>
      <c r="CN40" s="460"/>
      <c r="CO40" s="460"/>
      <c r="CP40" s="460"/>
      <c r="CQ40" s="460"/>
      <c r="CR40" s="460"/>
      <c r="CS40" s="460"/>
      <c r="CT40" s="460"/>
      <c r="CU40" s="460"/>
      <c r="CV40" s="460"/>
      <c r="CW40" s="460"/>
      <c r="CX40" s="460"/>
      <c r="CY40" s="460"/>
      <c r="CZ40" s="460"/>
      <c r="DA40" s="460"/>
      <c r="DB40" s="460"/>
      <c r="DC40" s="460"/>
      <c r="DD40" s="460"/>
      <c r="DE40" s="460"/>
      <c r="DF40" s="460"/>
    </row>
    <row r="41" spans="2:110">
      <c r="B41" s="19" t="s">
        <v>776</v>
      </c>
      <c r="D41" s="260">
        <v>-59</v>
      </c>
      <c r="E41" s="260">
        <v>-60</v>
      </c>
      <c r="F41" s="260">
        <v>-76</v>
      </c>
      <c r="G41" s="260">
        <v>-66</v>
      </c>
      <c r="H41" s="260">
        <v>-68</v>
      </c>
      <c r="I41" s="260">
        <v>-90</v>
      </c>
      <c r="J41" s="260">
        <v>-75</v>
      </c>
      <c r="K41" s="260">
        <v>-100</v>
      </c>
      <c r="L41" s="260">
        <v>-53</v>
      </c>
      <c r="M41" s="260">
        <v>-29</v>
      </c>
      <c r="N41" s="260">
        <v>-5</v>
      </c>
      <c r="O41" s="260">
        <v>-20</v>
      </c>
      <c r="P41" s="260">
        <v>2</v>
      </c>
      <c r="Q41" s="260">
        <v>-38</v>
      </c>
      <c r="R41" s="260">
        <v>-3</v>
      </c>
      <c r="S41" s="260">
        <v>-77</v>
      </c>
      <c r="T41" s="260">
        <v>-17</v>
      </c>
      <c r="U41" s="260">
        <v>-45</v>
      </c>
      <c r="V41" s="260">
        <v>6</v>
      </c>
      <c r="W41" s="260">
        <v>-25</v>
      </c>
      <c r="X41" s="260">
        <v>-5</v>
      </c>
      <c r="Y41" s="260">
        <v>-15</v>
      </c>
      <c r="Z41" s="260">
        <v>-5</v>
      </c>
      <c r="AA41" s="1003">
        <f>INDEX('Income Statement'!$B22:$AD22,MATCH(OpMod!BX$8,OpMod!$D$8:$AG$8,0))-Z41</f>
        <v>-31</v>
      </c>
      <c r="AB41" s="260">
        <v>-20</v>
      </c>
      <c r="AC41" s="1003">
        <f>INDEX('Income Statement'!$B22:$AD22,MATCH(OpMod!BZ$8,OpMod!$D$8:$AG$8,0))-AB41</f>
        <v>-80</v>
      </c>
      <c r="AD41" s="260">
        <v>22</v>
      </c>
      <c r="AE41" s="1003">
        <f>INDEX('Income Statement'!$B22:$AD22,MATCH(OpMod!CB$8,OpMod!$D$8:$AG$8,0))-AD41</f>
        <v>-47</v>
      </c>
      <c r="AF41" s="653">
        <f>'Income Statement'!AA22-AE41</f>
        <v>18.633079289084282</v>
      </c>
      <c r="AG41" s="653">
        <f>INDEX('Income Statement'!$B22:$AD22,MATCH(OpMod!CD$8,OpMod!$D$8:$AG$8,0))-AF41</f>
        <v>-47</v>
      </c>
      <c r="AH41" s="653">
        <f>'Income Statement'!AC22-AG41</f>
        <v>12.066999661394654</v>
      </c>
      <c r="AI41" s="653">
        <f>INDEX('Income Statement'!$B22:$AD22,MATCH(OpMod!CF$8,OpMod!$D$8:$AG$8,0))-AH41</f>
        <v>-43.659695312021434</v>
      </c>
      <c r="AJ41" s="260"/>
      <c r="AK41" s="260"/>
      <c r="AL41" s="260"/>
      <c r="AM41" s="260"/>
      <c r="AN41" s="260"/>
      <c r="AO41" s="260"/>
      <c r="AP41" s="260"/>
      <c r="AQ41" s="260"/>
      <c r="AR41" s="260"/>
      <c r="AS41" s="259"/>
      <c r="AT41" s="259"/>
      <c r="AU41" s="503"/>
      <c r="AV41" s="503"/>
      <c r="AW41" s="462"/>
      <c r="AX41" s="462"/>
      <c r="AY41" s="462"/>
      <c r="AZ41" s="462"/>
      <c r="BA41" s="462"/>
      <c r="BB41" s="462"/>
      <c r="BC41" s="462"/>
      <c r="BD41" s="462"/>
      <c r="BE41" s="462"/>
      <c r="BF41" s="462"/>
      <c r="BG41" s="462"/>
      <c r="BH41" s="462"/>
      <c r="BI41" s="462"/>
      <c r="BJ41" s="462"/>
      <c r="BK41" s="462"/>
      <c r="BL41" s="462"/>
      <c r="BM41" s="462"/>
      <c r="BN41" s="462"/>
      <c r="BO41" s="462"/>
      <c r="BP41" s="462"/>
      <c r="BQ41" s="462"/>
      <c r="BR41" s="462"/>
      <c r="BS41" s="462"/>
      <c r="BT41" s="462"/>
      <c r="BU41" s="462"/>
      <c r="BV41" s="462"/>
      <c r="BW41" s="462"/>
      <c r="BX41" s="462"/>
      <c r="BY41" s="462"/>
      <c r="BZ41" s="462"/>
      <c r="CA41" s="462"/>
      <c r="CB41" s="462"/>
      <c r="CC41" s="462"/>
      <c r="CD41" s="462"/>
      <c r="CE41" s="462"/>
      <c r="CF41" s="462"/>
      <c r="CG41" s="462"/>
      <c r="CH41" s="462"/>
      <c r="CI41" s="462"/>
      <c r="CJ41" s="462"/>
      <c r="CK41" s="462"/>
      <c r="CL41" s="462"/>
      <c r="CM41" s="462"/>
      <c r="CN41" s="462"/>
      <c r="CO41" s="462"/>
      <c r="CP41" s="462"/>
      <c r="CQ41" s="462"/>
      <c r="CR41" s="462"/>
      <c r="CS41" s="462"/>
      <c r="CT41" s="462"/>
      <c r="CU41" s="462"/>
      <c r="CV41" s="462"/>
      <c r="CW41" s="462"/>
      <c r="CX41" s="462"/>
      <c r="CY41" s="462"/>
      <c r="CZ41" s="462"/>
      <c r="DA41" s="462"/>
      <c r="DB41" s="462"/>
      <c r="DC41" s="462"/>
      <c r="DD41" s="462"/>
      <c r="DE41" s="462"/>
      <c r="DF41" s="462"/>
    </row>
    <row r="42" spans="2:110">
      <c r="B42" s="19" t="s">
        <v>975</v>
      </c>
      <c r="D42" s="260"/>
      <c r="E42" s="260"/>
      <c r="F42" s="260"/>
      <c r="G42" s="260"/>
      <c r="H42" s="260"/>
      <c r="I42" s="260"/>
      <c r="J42" s="260"/>
      <c r="K42" s="260"/>
      <c r="L42" s="260"/>
      <c r="M42" s="260"/>
      <c r="N42" s="260"/>
      <c r="O42" s="260"/>
      <c r="P42" s="260"/>
      <c r="Q42" s="260"/>
      <c r="R42" s="260"/>
      <c r="S42" s="260"/>
      <c r="T42" s="260"/>
      <c r="U42" s="260"/>
      <c r="V42" s="260"/>
      <c r="W42" s="260"/>
      <c r="X42" s="260"/>
      <c r="Y42" s="260"/>
      <c r="Z42" s="260"/>
      <c r="AA42" s="1003"/>
      <c r="AB42" s="260"/>
      <c r="AC42" s="1003"/>
      <c r="AD42" s="260"/>
      <c r="AE42" s="1003"/>
      <c r="AF42" s="320"/>
      <c r="AG42" s="320"/>
      <c r="AH42" s="320"/>
      <c r="AI42" s="320"/>
      <c r="AJ42" s="259"/>
      <c r="AK42" s="259"/>
      <c r="AL42" s="259"/>
      <c r="AM42" s="259"/>
      <c r="AN42" s="259"/>
      <c r="AO42" s="259"/>
      <c r="AP42" s="259"/>
      <c r="AQ42" s="259"/>
      <c r="AR42" s="259"/>
      <c r="AS42" s="259"/>
      <c r="AT42" s="259"/>
      <c r="AU42" s="502"/>
      <c r="AV42" s="502"/>
      <c r="AW42" s="460"/>
      <c r="AX42" s="460"/>
      <c r="AY42" s="460"/>
      <c r="AZ42" s="460"/>
      <c r="BA42" s="460"/>
      <c r="BB42" s="460"/>
      <c r="BC42" s="460"/>
      <c r="BD42" s="460"/>
      <c r="BE42" s="460"/>
      <c r="BF42" s="460"/>
      <c r="BG42" s="460"/>
      <c r="BH42" s="460"/>
      <c r="BI42" s="460"/>
      <c r="BJ42" s="460"/>
      <c r="BK42" s="460"/>
      <c r="BL42" s="460"/>
      <c r="BM42" s="460"/>
      <c r="BN42" s="460"/>
      <c r="BO42" s="460"/>
      <c r="BP42" s="460"/>
      <c r="BQ42" s="460"/>
      <c r="BR42" s="460"/>
      <c r="BS42" s="460"/>
      <c r="BT42" s="460"/>
      <c r="BU42" s="460"/>
      <c r="BV42" s="460"/>
      <c r="BW42" s="460"/>
      <c r="BX42" s="460"/>
      <c r="BY42" s="460"/>
      <c r="BZ42" s="460"/>
      <c r="CA42" s="460"/>
      <c r="CB42" s="460"/>
      <c r="CC42" s="460"/>
      <c r="CD42" s="460"/>
      <c r="CE42" s="460"/>
      <c r="CF42" s="460"/>
      <c r="CG42" s="460"/>
      <c r="CH42" s="460"/>
      <c r="CI42" s="460"/>
      <c r="CJ42" s="460"/>
      <c r="CK42" s="460"/>
      <c r="CL42" s="460"/>
      <c r="CM42" s="460"/>
      <c r="CN42" s="460"/>
      <c r="CO42" s="460"/>
      <c r="CP42" s="460"/>
      <c r="CQ42" s="460"/>
      <c r="CR42" s="460"/>
      <c r="CS42" s="460"/>
      <c r="CT42" s="460"/>
      <c r="CU42" s="460"/>
      <c r="CV42" s="460"/>
      <c r="CW42" s="460"/>
      <c r="CX42" s="460"/>
      <c r="CY42" s="460"/>
      <c r="CZ42" s="460"/>
      <c r="DA42" s="460"/>
      <c r="DB42" s="460"/>
      <c r="DC42" s="460"/>
      <c r="DD42" s="460"/>
      <c r="DE42" s="460"/>
      <c r="DF42" s="460"/>
    </row>
    <row r="43" spans="2:110">
      <c r="B43" s="19" t="s">
        <v>743</v>
      </c>
      <c r="D43" s="260"/>
      <c r="E43" s="260"/>
      <c r="F43" s="260"/>
      <c r="G43" s="260"/>
      <c r="H43" s="260"/>
      <c r="I43" s="260"/>
      <c r="J43" s="260"/>
      <c r="K43" s="260"/>
      <c r="L43" s="260"/>
      <c r="M43" s="260"/>
      <c r="N43" s="260"/>
      <c r="O43" s="260"/>
      <c r="P43" s="260"/>
      <c r="Q43" s="260"/>
      <c r="R43" s="260"/>
      <c r="S43" s="260"/>
      <c r="T43" s="260"/>
      <c r="U43" s="260"/>
      <c r="V43" s="260"/>
      <c r="W43" s="260"/>
      <c r="X43" s="260"/>
      <c r="Y43" s="260"/>
      <c r="Z43" s="260"/>
      <c r="AA43" s="1003"/>
      <c r="AB43" s="260"/>
      <c r="AC43" s="1003"/>
      <c r="AD43" s="260"/>
      <c r="AE43" s="1003"/>
      <c r="AF43" s="320"/>
      <c r="AG43" s="320"/>
      <c r="AH43" s="320"/>
      <c r="AI43" s="320"/>
      <c r="AJ43" s="259"/>
      <c r="AK43" s="259"/>
      <c r="AL43" s="259"/>
      <c r="AM43" s="259"/>
      <c r="AN43" s="259"/>
      <c r="AO43" s="259"/>
      <c r="AP43" s="259"/>
      <c r="AQ43" s="259"/>
      <c r="AR43" s="259"/>
      <c r="AS43" s="259"/>
      <c r="AT43" s="259"/>
      <c r="AU43" s="502"/>
      <c r="AV43" s="502"/>
      <c r="AW43" s="460"/>
      <c r="AX43" s="460"/>
      <c r="AY43" s="460"/>
      <c r="AZ43" s="460"/>
      <c r="BA43" s="460"/>
      <c r="BB43" s="460"/>
      <c r="BC43" s="460"/>
      <c r="BD43" s="460"/>
      <c r="BE43" s="460"/>
      <c r="BF43" s="460"/>
      <c r="BG43" s="460"/>
      <c r="BH43" s="460"/>
      <c r="BI43" s="460"/>
      <c r="BJ43" s="460"/>
      <c r="BK43" s="460"/>
      <c r="BL43" s="460"/>
      <c r="BM43" s="460"/>
      <c r="BN43" s="460"/>
      <c r="BO43" s="460"/>
      <c r="BP43" s="460"/>
      <c r="BQ43" s="460"/>
      <c r="BR43" s="460"/>
      <c r="BS43" s="460"/>
      <c r="BT43" s="460"/>
      <c r="BU43" s="460"/>
      <c r="BV43" s="460"/>
      <c r="BW43" s="460"/>
      <c r="BX43" s="460"/>
      <c r="BY43" s="460"/>
      <c r="BZ43" s="460"/>
      <c r="CA43" s="460"/>
      <c r="CB43" s="460"/>
      <c r="CC43" s="460"/>
      <c r="CD43" s="460"/>
      <c r="CE43" s="460"/>
      <c r="CF43" s="460"/>
      <c r="CG43" s="460"/>
      <c r="CH43" s="460"/>
      <c r="CI43" s="460"/>
      <c r="CJ43" s="460"/>
      <c r="CK43" s="460"/>
      <c r="CL43" s="460"/>
      <c r="CM43" s="460"/>
      <c r="CN43" s="460"/>
      <c r="CO43" s="460"/>
      <c r="CP43" s="460"/>
      <c r="CQ43" s="460"/>
      <c r="CR43" s="460"/>
      <c r="CS43" s="460"/>
      <c r="CT43" s="460"/>
      <c r="CU43" s="460"/>
      <c r="CV43" s="460"/>
      <c r="CW43" s="460"/>
      <c r="CX43" s="460"/>
      <c r="CY43" s="460"/>
      <c r="CZ43" s="460"/>
      <c r="DA43" s="460"/>
      <c r="DB43" s="460"/>
      <c r="DC43" s="460"/>
      <c r="DD43" s="460"/>
      <c r="DE43" s="460"/>
      <c r="DF43" s="460"/>
    </row>
    <row r="44" spans="2:110">
      <c r="B44" s="214" t="s">
        <v>1008</v>
      </c>
      <c r="D44" s="344">
        <f t="shared" ref="D44:Q44" si="26">SUM(D34:D43)</f>
        <v>554</v>
      </c>
      <c r="E44" s="344">
        <f t="shared" si="26"/>
        <v>635</v>
      </c>
      <c r="F44" s="344">
        <f t="shared" si="26"/>
        <v>681</v>
      </c>
      <c r="G44" s="344">
        <f t="shared" si="26"/>
        <v>763</v>
      </c>
      <c r="H44" s="344">
        <f t="shared" si="26"/>
        <v>847</v>
      </c>
      <c r="I44" s="344">
        <f t="shared" si="26"/>
        <v>933</v>
      </c>
      <c r="J44" s="344">
        <f t="shared" si="26"/>
        <v>956</v>
      </c>
      <c r="K44" s="344">
        <f t="shared" si="26"/>
        <v>1133</v>
      </c>
      <c r="L44" s="344">
        <f t="shared" si="26"/>
        <v>1171</v>
      </c>
      <c r="M44" s="344">
        <f t="shared" si="26"/>
        <v>1261</v>
      </c>
      <c r="N44" s="344">
        <f t="shared" si="26"/>
        <v>1309</v>
      </c>
      <c r="O44" s="344">
        <f t="shared" si="26"/>
        <v>1095</v>
      </c>
      <c r="P44" s="344">
        <f t="shared" si="26"/>
        <v>1218</v>
      </c>
      <c r="Q44" s="344">
        <f t="shared" si="26"/>
        <v>974</v>
      </c>
      <c r="R44" s="344">
        <f t="shared" ref="R44:Z44" si="27">SUM(R38:R43,R34)</f>
        <v>1386</v>
      </c>
      <c r="S44" s="344">
        <f t="shared" si="27"/>
        <v>1637</v>
      </c>
      <c r="T44" s="344">
        <f t="shared" si="27"/>
        <v>1883</v>
      </c>
      <c r="U44" s="344">
        <f t="shared" si="27"/>
        <v>1937</v>
      </c>
      <c r="V44" s="344">
        <f t="shared" si="27"/>
        <v>947</v>
      </c>
      <c r="W44" s="344">
        <f t="shared" si="27"/>
        <v>739</v>
      </c>
      <c r="X44" s="344">
        <f t="shared" si="27"/>
        <v>659</v>
      </c>
      <c r="Y44" s="344">
        <f t="shared" si="27"/>
        <v>1146</v>
      </c>
      <c r="Z44" s="344">
        <f t="shared" si="27"/>
        <v>1047</v>
      </c>
      <c r="AA44" s="1279">
        <f>INDEX('Income Statement'!$B23:$AD23,MATCH(OpMod!BX$8,OpMod!$D$8:$AG$8,0))-Z44</f>
        <v>1361</v>
      </c>
      <c r="AB44" s="344">
        <f>SUM(AB38:AB43,AB34)</f>
        <v>1397</v>
      </c>
      <c r="AC44" s="1279">
        <f>INDEX('Income Statement'!$B23:$AD23,MATCH(OpMod!BZ$8,OpMod!$D$8:$AG$8,0))-AB44</f>
        <v>1769</v>
      </c>
      <c r="AD44" s="344">
        <f>SUM(AD38:AD43,AD34)</f>
        <v>1974</v>
      </c>
      <c r="AE44" s="1279">
        <f>INDEX('Income Statement'!$B23:$AD23,MATCH(OpMod!CB$8,OpMod!$D$8:$AG$8,0))-AD44</f>
        <v>2145</v>
      </c>
      <c r="AF44" s="344" t="e">
        <f>SUM(AF38:AF43,AF34)</f>
        <v>#REF!</v>
      </c>
      <c r="AG44" s="344" t="e">
        <f>INDEX('Income Statement'!$B23:$AD23,MATCH(OpMod!CD$8,OpMod!$D$8:$AG$8,0))-AF44</f>
        <v>#REF!</v>
      </c>
      <c r="AH44" s="344" t="e">
        <f>SUM(AH38:AH43,AH34)</f>
        <v>#REF!</v>
      </c>
      <c r="AI44" s="344" t="e">
        <f>INDEX('Income Statement'!$B23:$AD23,MATCH(OpMod!CF$8,OpMod!$D$8:$AG$8,0))-AH44</f>
        <v>#REF!</v>
      </c>
      <c r="AJ44" s="344"/>
      <c r="AK44" s="344"/>
      <c r="AL44" s="344"/>
      <c r="AM44" s="344"/>
      <c r="AN44" s="344"/>
      <c r="AO44" s="344"/>
      <c r="AP44" s="344"/>
      <c r="AQ44" s="344"/>
      <c r="AR44" s="344"/>
      <c r="AS44" s="259"/>
      <c r="AT44" s="259"/>
      <c r="AU44" s="463"/>
      <c r="AV44" s="463"/>
      <c r="AW44" s="463"/>
      <c r="AX44" s="463"/>
      <c r="AY44" s="463"/>
      <c r="AZ44" s="463"/>
      <c r="BA44" s="463"/>
      <c r="BB44" s="463"/>
      <c r="BC44" s="463"/>
      <c r="BD44" s="463"/>
      <c r="BE44" s="463"/>
      <c r="BF44" s="463"/>
      <c r="BG44" s="463"/>
      <c r="BH44" s="463"/>
      <c r="BI44" s="463"/>
      <c r="BJ44" s="463"/>
      <c r="BK44" s="463"/>
      <c r="BL44" s="463"/>
      <c r="BM44" s="463"/>
      <c r="BN44" s="463"/>
      <c r="BO44" s="463"/>
      <c r="BP44" s="463"/>
      <c r="BQ44" s="463"/>
      <c r="BR44" s="463"/>
      <c r="BS44" s="463"/>
      <c r="BT44" s="463"/>
      <c r="BU44" s="463"/>
      <c r="BV44" s="463"/>
      <c r="BW44" s="463"/>
      <c r="BX44" s="463"/>
      <c r="BY44" s="463"/>
      <c r="BZ44" s="463"/>
      <c r="CA44" s="463"/>
      <c r="CB44" s="463"/>
      <c r="CC44" s="463"/>
      <c r="CD44" s="463"/>
      <c r="CE44" s="463"/>
      <c r="CF44" s="463"/>
      <c r="CG44" s="463"/>
      <c r="CH44" s="463"/>
      <c r="CI44" s="463"/>
      <c r="CJ44" s="463"/>
      <c r="CK44" s="463"/>
      <c r="CL44" s="463"/>
      <c r="CM44" s="463"/>
      <c r="CN44" s="463"/>
      <c r="CO44" s="463"/>
      <c r="CP44" s="463"/>
      <c r="CQ44" s="463"/>
      <c r="CR44" s="463"/>
      <c r="CS44" s="463"/>
      <c r="CT44" s="463"/>
      <c r="CU44" s="463"/>
      <c r="CV44" s="463"/>
      <c r="CW44" s="463"/>
      <c r="CX44" s="463"/>
      <c r="CY44" s="463"/>
      <c r="CZ44" s="463"/>
      <c r="DA44" s="463"/>
      <c r="DB44" s="463"/>
      <c r="DC44" s="463"/>
      <c r="DD44" s="463"/>
      <c r="DE44" s="463"/>
      <c r="DF44" s="463"/>
    </row>
    <row r="45" spans="2:110">
      <c r="B45" s="213"/>
      <c r="D45" s="259"/>
      <c r="E45" s="259"/>
      <c r="F45" s="259"/>
      <c r="G45" s="259"/>
      <c r="H45" s="259"/>
      <c r="I45" s="259"/>
      <c r="J45" s="259"/>
      <c r="K45" s="259"/>
      <c r="L45" s="259"/>
      <c r="M45" s="259"/>
      <c r="N45" s="259"/>
      <c r="O45" s="259"/>
      <c r="P45" s="259"/>
      <c r="Q45" s="259"/>
      <c r="R45" s="259"/>
      <c r="S45" s="259"/>
      <c r="T45" s="259"/>
      <c r="U45" s="259"/>
      <c r="V45" s="259"/>
      <c r="W45" s="259"/>
      <c r="X45" s="259"/>
      <c r="Y45" s="259"/>
      <c r="Z45" s="259"/>
      <c r="AA45" s="259"/>
      <c r="AB45" s="259"/>
      <c r="AC45" s="259"/>
      <c r="AD45" s="259"/>
      <c r="AE45" s="259"/>
      <c r="AF45" s="259"/>
      <c r="AG45" s="259"/>
      <c r="AH45" s="259"/>
      <c r="AI45" s="259"/>
      <c r="AJ45" s="259"/>
      <c r="AK45" s="259"/>
      <c r="AL45" s="259"/>
      <c r="AM45" s="259"/>
      <c r="AN45" s="259"/>
      <c r="AO45" s="259"/>
      <c r="AP45" s="259"/>
      <c r="AQ45" s="259"/>
      <c r="AR45" s="259"/>
      <c r="AS45" s="259"/>
      <c r="AT45" s="259"/>
      <c r="AU45" s="259"/>
      <c r="AV45" s="259"/>
      <c r="AW45" s="213"/>
      <c r="AX45" s="213"/>
      <c r="AY45" s="213"/>
      <c r="AZ45" s="213"/>
      <c r="BA45" s="213"/>
      <c r="BB45" s="213"/>
      <c r="BC45" s="213"/>
      <c r="BD45" s="213"/>
      <c r="BE45" s="213"/>
      <c r="BF45" s="213"/>
      <c r="BG45" s="213"/>
      <c r="BH45" s="213"/>
      <c r="BI45" s="213"/>
      <c r="BJ45" s="213"/>
      <c r="BK45" s="213"/>
      <c r="BL45" s="213"/>
      <c r="BM45" s="213"/>
      <c r="BN45" s="213"/>
      <c r="BO45" s="213"/>
      <c r="BP45" s="213"/>
      <c r="BQ45" s="213"/>
      <c r="BR45" s="213"/>
      <c r="BS45" s="213"/>
      <c r="BT45" s="213"/>
      <c r="BU45" s="213"/>
      <c r="BV45" s="213"/>
      <c r="BW45" s="213"/>
      <c r="BX45" s="213"/>
      <c r="BY45" s="213"/>
      <c r="BZ45" s="213"/>
      <c r="CA45" s="213"/>
      <c r="CB45" s="213"/>
      <c r="CC45" s="213"/>
      <c r="CD45" s="213"/>
      <c r="CE45" s="213"/>
      <c r="CF45" s="213"/>
      <c r="CG45" s="213"/>
      <c r="CH45" s="213"/>
      <c r="CI45" s="213"/>
      <c r="CJ45" s="213"/>
      <c r="CK45" s="213"/>
      <c r="CL45" s="213"/>
      <c r="CM45" s="213"/>
      <c r="CN45" s="213"/>
      <c r="CO45" s="213"/>
      <c r="CP45" s="213"/>
      <c r="CQ45" s="213"/>
      <c r="CR45" s="213"/>
      <c r="CS45" s="213"/>
      <c r="CT45" s="213"/>
      <c r="CU45" s="213"/>
      <c r="CV45" s="213"/>
      <c r="CW45" s="213"/>
      <c r="CX45" s="213"/>
      <c r="CY45" s="213"/>
      <c r="CZ45" s="213"/>
      <c r="DA45" s="213"/>
      <c r="DB45" s="213"/>
      <c r="DC45" s="213"/>
      <c r="DD45" s="213"/>
      <c r="DE45" s="213"/>
      <c r="DF45" s="213"/>
    </row>
    <row r="46" spans="2:110">
      <c r="B46" s="306" t="s">
        <v>1470</v>
      </c>
      <c r="D46" s="308"/>
      <c r="E46" s="308"/>
      <c r="F46" s="308"/>
      <c r="G46" s="308"/>
      <c r="H46" s="308"/>
      <c r="I46" s="308"/>
      <c r="J46" s="308"/>
      <c r="K46" s="308"/>
      <c r="L46" s="308"/>
      <c r="M46" s="308"/>
      <c r="N46" s="308"/>
      <c r="O46" s="308"/>
      <c r="P46" s="308"/>
      <c r="Q46" s="308"/>
      <c r="R46" s="308"/>
      <c r="S46" s="308"/>
      <c r="T46" s="308"/>
      <c r="U46" s="308"/>
      <c r="V46" s="308"/>
      <c r="W46" s="308"/>
      <c r="X46" s="308"/>
      <c r="Y46" s="308"/>
      <c r="Z46" s="308"/>
      <c r="AA46" s="308"/>
      <c r="AB46" s="308"/>
      <c r="AC46" s="308"/>
      <c r="AD46" s="308"/>
      <c r="AE46" s="308"/>
      <c r="AF46" s="308"/>
      <c r="AG46" s="308"/>
      <c r="AH46" s="308"/>
      <c r="AI46" s="308"/>
      <c r="AJ46" s="308"/>
      <c r="AK46" s="308"/>
      <c r="AL46" s="308"/>
      <c r="AM46" s="308"/>
      <c r="AN46" s="308"/>
      <c r="AO46" s="308"/>
      <c r="AP46" s="308"/>
      <c r="AQ46" s="308"/>
      <c r="AR46" s="339"/>
      <c r="AS46" s="213"/>
      <c r="AT46" s="213"/>
      <c r="AU46" s="308"/>
      <c r="AV46" s="308"/>
      <c r="AW46" s="308"/>
      <c r="AX46" s="308"/>
      <c r="AY46" s="308"/>
      <c r="AZ46" s="308"/>
      <c r="BA46" s="308"/>
      <c r="BB46" s="308"/>
      <c r="BC46" s="308"/>
      <c r="BD46" s="308"/>
      <c r="BE46" s="308"/>
      <c r="BF46" s="308"/>
      <c r="BG46" s="308"/>
      <c r="BH46" s="308"/>
      <c r="BI46" s="308"/>
      <c r="BJ46" s="308"/>
      <c r="BK46" s="308"/>
      <c r="BL46" s="308"/>
      <c r="BM46" s="308"/>
      <c r="BN46" s="308"/>
      <c r="BO46" s="308"/>
      <c r="BP46" s="308"/>
      <c r="BQ46" s="308"/>
      <c r="BR46" s="308"/>
      <c r="BS46" s="308"/>
      <c r="BT46" s="308"/>
      <c r="BU46" s="308"/>
      <c r="BV46" s="308"/>
      <c r="BW46" s="308"/>
      <c r="BX46" s="308"/>
      <c r="BY46" s="308"/>
      <c r="BZ46" s="308"/>
      <c r="CA46" s="308"/>
      <c r="CB46" s="308"/>
      <c r="CC46" s="308"/>
      <c r="CD46" s="308"/>
      <c r="CE46" s="308"/>
      <c r="CF46" s="308"/>
      <c r="CG46" s="308"/>
      <c r="CH46" s="308"/>
      <c r="CI46" s="308"/>
      <c r="CJ46" s="308"/>
      <c r="CK46" s="308"/>
      <c r="CL46" s="308"/>
      <c r="CM46" s="308"/>
      <c r="CN46" s="308"/>
      <c r="CO46" s="308"/>
      <c r="CP46" s="308"/>
      <c r="CQ46" s="308"/>
      <c r="CR46" s="308"/>
      <c r="CS46" s="308"/>
      <c r="CT46" s="308"/>
      <c r="CU46" s="308"/>
      <c r="CV46" s="308"/>
      <c r="CW46" s="308"/>
      <c r="CX46" s="308"/>
      <c r="CY46" s="308"/>
      <c r="CZ46" s="308"/>
      <c r="DA46" s="308"/>
      <c r="DB46" s="308"/>
      <c r="DC46" s="308"/>
      <c r="DD46" s="308"/>
      <c r="DE46" s="308"/>
      <c r="DF46" s="308"/>
    </row>
    <row r="47" spans="2:110">
      <c r="B47" s="19" t="s">
        <v>978</v>
      </c>
      <c r="D47" s="345">
        <f t="shared" ref="D47:AI47" si="28">D34/D6</f>
        <v>0.14242526032919045</v>
      </c>
      <c r="E47" s="345">
        <f t="shared" si="28"/>
        <v>0.15480370252154485</v>
      </c>
      <c r="F47" s="345">
        <f t="shared" si="28"/>
        <v>0.15676668707899571</v>
      </c>
      <c r="G47" s="345">
        <f t="shared" si="28"/>
        <v>0.15084247124899705</v>
      </c>
      <c r="H47" s="345">
        <f t="shared" si="28"/>
        <v>0.17188776900027242</v>
      </c>
      <c r="I47" s="345">
        <f t="shared" si="28"/>
        <v>0.1855538540071465</v>
      </c>
      <c r="J47" s="345">
        <f t="shared" si="28"/>
        <v>0.19319691735317565</v>
      </c>
      <c r="K47" s="345">
        <f t="shared" si="28"/>
        <v>0.20637813211845102</v>
      </c>
      <c r="L47" s="345">
        <f t="shared" si="28"/>
        <v>0.21043245653143111</v>
      </c>
      <c r="M47" s="345">
        <f t="shared" si="28"/>
        <v>0.18394372025656941</v>
      </c>
      <c r="N47" s="345">
        <f t="shared" si="28"/>
        <v>0.19394688079061148</v>
      </c>
      <c r="O47" s="345">
        <f t="shared" si="28"/>
        <v>0.18614909572121746</v>
      </c>
      <c r="P47" s="345">
        <f t="shared" si="28"/>
        <v>0.1809848646344063</v>
      </c>
      <c r="Q47" s="345">
        <f t="shared" si="28"/>
        <v>0.14294899271324474</v>
      </c>
      <c r="R47" s="345">
        <f t="shared" si="28"/>
        <v>0.19042663891779396</v>
      </c>
      <c r="S47" s="345">
        <f t="shared" si="28"/>
        <v>0.19310703152060962</v>
      </c>
      <c r="T47" s="345">
        <f t="shared" si="28"/>
        <v>0.20789562860047442</v>
      </c>
      <c r="U47" s="345">
        <f t="shared" si="28"/>
        <v>0.20478593521080904</v>
      </c>
      <c r="V47" s="345">
        <f t="shared" si="28"/>
        <v>0.17272053372868792</v>
      </c>
      <c r="W47" s="345">
        <f t="shared" si="28"/>
        <v>0.13633849557522124</v>
      </c>
      <c r="X47" s="345">
        <f t="shared" si="28"/>
        <v>0.15512465373961218</v>
      </c>
      <c r="Y47" s="345">
        <f t="shared" si="28"/>
        <v>0.2</v>
      </c>
      <c r="Z47" s="345">
        <f t="shared" si="28"/>
        <v>0.17313218390804597</v>
      </c>
      <c r="AA47" s="345">
        <f t="shared" si="28"/>
        <v>0.18517823639774858</v>
      </c>
      <c r="AB47" s="345">
        <f t="shared" si="28"/>
        <v>0.18513299277787565</v>
      </c>
      <c r="AC47" s="345">
        <f t="shared" si="28"/>
        <v>0.21600258106146153</v>
      </c>
      <c r="AD47" s="345">
        <f t="shared" si="28"/>
        <v>0.19888562142083269</v>
      </c>
      <c r="AE47" s="345">
        <f t="shared" si="28"/>
        <v>0.2133222083159505</v>
      </c>
      <c r="AF47" s="345" t="e">
        <f t="shared" si="28"/>
        <v>#REF!</v>
      </c>
      <c r="AG47" s="345" t="e">
        <f t="shared" si="28"/>
        <v>#REF!</v>
      </c>
      <c r="AH47" s="345" t="e">
        <f t="shared" si="28"/>
        <v>#REF!</v>
      </c>
      <c r="AI47" s="345" t="e">
        <f t="shared" si="28"/>
        <v>#REF!</v>
      </c>
      <c r="AJ47" s="345"/>
      <c r="AK47" s="345"/>
      <c r="AL47" s="345"/>
      <c r="AM47" s="345"/>
      <c r="AN47" s="345"/>
      <c r="AO47" s="345"/>
      <c r="AP47" s="345"/>
      <c r="AQ47" s="345"/>
      <c r="AR47" s="476"/>
      <c r="AS47" s="213"/>
      <c r="AT47" s="213"/>
      <c r="AU47" s="502"/>
      <c r="AV47" s="502"/>
      <c r="AW47" s="459"/>
      <c r="AX47" s="459"/>
      <c r="AY47" s="459"/>
      <c r="AZ47" s="459"/>
      <c r="BA47" s="459"/>
      <c r="BB47" s="459"/>
      <c r="BC47" s="459"/>
      <c r="BD47" s="459"/>
      <c r="BE47" s="459"/>
      <c r="BF47" s="459"/>
      <c r="BG47" s="459"/>
      <c r="BH47" s="459"/>
      <c r="BI47" s="459"/>
      <c r="BJ47" s="459"/>
      <c r="BK47" s="459"/>
      <c r="BL47" s="459"/>
      <c r="BM47" s="459"/>
      <c r="BN47" s="459"/>
      <c r="BO47" s="459"/>
      <c r="BP47" s="459"/>
      <c r="BQ47" s="459"/>
      <c r="BR47" s="459"/>
      <c r="BS47" s="459"/>
      <c r="BT47" s="459"/>
      <c r="BU47" s="459"/>
      <c r="BV47" s="459"/>
      <c r="BW47" s="459"/>
      <c r="BX47" s="459"/>
      <c r="BY47" s="459"/>
      <c r="BZ47" s="459"/>
      <c r="CA47" s="459"/>
      <c r="CB47" s="459"/>
      <c r="CC47" s="459"/>
      <c r="CD47" s="459"/>
      <c r="CE47" s="459"/>
      <c r="CF47" s="459"/>
      <c r="CG47" s="459"/>
      <c r="CH47" s="459"/>
      <c r="CI47" s="459"/>
      <c r="CJ47" s="459"/>
      <c r="CK47" s="459"/>
      <c r="CL47" s="459"/>
      <c r="CM47" s="459"/>
      <c r="CN47" s="459"/>
      <c r="CO47" s="459"/>
      <c r="CP47" s="459"/>
      <c r="CQ47" s="459"/>
      <c r="CR47" s="459"/>
      <c r="CS47" s="459"/>
      <c r="CT47" s="459"/>
      <c r="CU47" s="459"/>
      <c r="CV47" s="459"/>
      <c r="CW47" s="459"/>
      <c r="CX47" s="459"/>
      <c r="CY47" s="459"/>
      <c r="CZ47" s="459"/>
      <c r="DA47" s="459"/>
      <c r="DB47" s="459"/>
      <c r="DC47" s="459"/>
      <c r="DD47" s="459"/>
      <c r="DE47" s="459"/>
      <c r="DF47" s="459"/>
    </row>
    <row r="48" spans="2:110">
      <c r="B48" s="291" t="s">
        <v>977</v>
      </c>
      <c r="D48" s="345">
        <f t="shared" ref="D48:S48" si="29">D35/D7</f>
        <v>6.5824468085106377E-2</v>
      </c>
      <c r="E48" s="345">
        <f t="shared" si="29"/>
        <v>6.4657878217200246E-2</v>
      </c>
      <c r="F48" s="345">
        <f t="shared" si="29"/>
        <v>7.4986010072747619E-2</v>
      </c>
      <c r="G48" s="345">
        <f t="shared" si="29"/>
        <v>7.9831932773109238E-2</v>
      </c>
      <c r="H48" s="345">
        <f t="shared" si="29"/>
        <v>8.9460154241645246E-2</v>
      </c>
      <c r="I48" s="345">
        <f t="shared" si="29"/>
        <v>9.4128611369990678E-2</v>
      </c>
      <c r="J48" s="345">
        <f t="shared" si="29"/>
        <v>9.218530650444548E-2</v>
      </c>
      <c r="K48" s="345">
        <f t="shared" si="29"/>
        <v>9.9177132957990466E-2</v>
      </c>
      <c r="L48" s="345">
        <f t="shared" si="29"/>
        <v>8.2435791217895613E-2</v>
      </c>
      <c r="M48" s="345">
        <f t="shared" si="29"/>
        <v>0.1055753262158956</v>
      </c>
      <c r="N48" s="345">
        <f t="shared" si="29"/>
        <v>0.10660896931549961</v>
      </c>
      <c r="O48" s="345">
        <f t="shared" si="29"/>
        <v>0.11371494429504418</v>
      </c>
      <c r="P48" s="345">
        <f t="shared" si="29"/>
        <v>0.12044198895027625</v>
      </c>
      <c r="Q48" s="345">
        <f t="shared" si="29"/>
        <v>0.11473477406679765</v>
      </c>
      <c r="R48" s="345">
        <f t="shared" si="29"/>
        <v>0.11885895404120443</v>
      </c>
      <c r="S48" s="345">
        <f t="shared" si="29"/>
        <v>0.13447521865889212</v>
      </c>
      <c r="T48" s="345"/>
      <c r="U48" s="345"/>
      <c r="V48" s="345"/>
      <c r="W48" s="345"/>
      <c r="X48" s="345"/>
      <c r="Y48" s="345"/>
      <c r="Z48" s="345"/>
      <c r="AA48" s="345"/>
      <c r="AB48" s="345"/>
      <c r="AC48" s="345"/>
      <c r="AD48" s="345"/>
      <c r="AE48" s="345"/>
      <c r="AF48" s="345"/>
      <c r="AG48" s="345"/>
      <c r="AH48" s="345"/>
      <c r="AI48" s="345"/>
      <c r="AJ48" s="345"/>
      <c r="AK48" s="345"/>
      <c r="AL48" s="345"/>
      <c r="AM48" s="345"/>
      <c r="AN48" s="345"/>
      <c r="AO48" s="345"/>
      <c r="AP48" s="345"/>
      <c r="AQ48" s="345"/>
      <c r="AR48" s="476"/>
      <c r="AS48" s="213"/>
      <c r="AT48" s="213"/>
      <c r="AU48" s="502"/>
      <c r="AV48" s="502"/>
      <c r="AW48" s="460"/>
      <c r="AX48" s="460"/>
      <c r="AY48" s="460"/>
      <c r="AZ48" s="460"/>
      <c r="BA48" s="460"/>
      <c r="BB48" s="460"/>
      <c r="BC48" s="460"/>
      <c r="BD48" s="460"/>
      <c r="BE48" s="460"/>
      <c r="BF48" s="460"/>
      <c r="BG48" s="460"/>
      <c r="BH48" s="460"/>
      <c r="BI48" s="460"/>
      <c r="BJ48" s="460"/>
      <c r="BK48" s="460"/>
      <c r="BL48" s="460"/>
      <c r="BM48" s="460"/>
      <c r="BN48" s="460"/>
      <c r="BO48" s="460"/>
      <c r="BP48" s="460"/>
      <c r="BQ48" s="460"/>
      <c r="BR48" s="460"/>
      <c r="BS48" s="460"/>
      <c r="BT48" s="460"/>
      <c r="BU48" s="460"/>
      <c r="BV48" s="460"/>
      <c r="BW48" s="460"/>
      <c r="BX48" s="460"/>
      <c r="BY48" s="460"/>
      <c r="BZ48" s="460"/>
      <c r="CA48" s="460"/>
      <c r="CB48" s="460"/>
      <c r="CC48" s="460"/>
      <c r="CD48" s="460"/>
      <c r="CE48" s="460"/>
      <c r="CF48" s="460"/>
      <c r="CG48" s="460"/>
      <c r="CH48" s="460"/>
      <c r="CI48" s="460"/>
      <c r="CJ48" s="460"/>
      <c r="CK48" s="460"/>
      <c r="CL48" s="460"/>
      <c r="CM48" s="460"/>
      <c r="CN48" s="460"/>
      <c r="CO48" s="460"/>
      <c r="CP48" s="460"/>
      <c r="CQ48" s="460"/>
      <c r="CR48" s="460"/>
      <c r="CS48" s="460"/>
      <c r="CT48" s="460"/>
      <c r="CU48" s="460"/>
      <c r="CV48" s="460"/>
      <c r="CW48" s="460"/>
      <c r="CX48" s="460"/>
      <c r="CY48" s="460"/>
      <c r="CZ48" s="460"/>
      <c r="DA48" s="460"/>
      <c r="DB48" s="460"/>
      <c r="DC48" s="460"/>
      <c r="DD48" s="460"/>
      <c r="DE48" s="460"/>
      <c r="DF48" s="460"/>
    </row>
    <row r="49" spans="2:110">
      <c r="B49" s="291" t="s">
        <v>744</v>
      </c>
      <c r="D49" s="345">
        <f t="shared" ref="D49:S49" si="30">D36/D8</f>
        <v>4.9679487179487176E-2</v>
      </c>
      <c r="E49" s="345">
        <f t="shared" si="30"/>
        <v>4.2187500000000003E-2</v>
      </c>
      <c r="F49" s="345">
        <f t="shared" si="30"/>
        <v>7.03125E-2</v>
      </c>
      <c r="G49" s="345">
        <f t="shared" si="30"/>
        <v>5.0370370370370371E-2</v>
      </c>
      <c r="H49" s="345">
        <f t="shared" si="30"/>
        <v>7.9505300353356886E-2</v>
      </c>
      <c r="I49" s="345">
        <f t="shared" si="30"/>
        <v>6.1806656101426306E-2</v>
      </c>
      <c r="J49" s="345">
        <f t="shared" si="30"/>
        <v>7.3630136986301373E-2</v>
      </c>
      <c r="K49" s="345">
        <f t="shared" si="30"/>
        <v>4.3956043956043959E-2</v>
      </c>
      <c r="L49" s="345">
        <f t="shared" si="30"/>
        <v>2.4350649350649352E-2</v>
      </c>
      <c r="M49" s="345">
        <f t="shared" si="30"/>
        <v>7.5384615384615383E-2</v>
      </c>
      <c r="N49" s="345">
        <f t="shared" si="30"/>
        <v>3.7671232876712327E-2</v>
      </c>
      <c r="O49" s="345">
        <f t="shared" si="30"/>
        <v>8.2568807339449546E-2</v>
      </c>
      <c r="P49" s="345">
        <f t="shared" si="30"/>
        <v>6.4102564102564097E-2</v>
      </c>
      <c r="Q49" s="345">
        <f t="shared" si="30"/>
        <v>7.6589595375722547E-2</v>
      </c>
      <c r="R49" s="345">
        <f t="shared" si="30"/>
        <v>6.9124423963133647E-2</v>
      </c>
      <c r="S49" s="345">
        <f t="shared" si="30"/>
        <v>9.9319727891156465E-2</v>
      </c>
      <c r="T49" s="345"/>
      <c r="U49" s="345"/>
      <c r="V49" s="345"/>
      <c r="W49" s="345"/>
      <c r="X49" s="345"/>
      <c r="Y49" s="345"/>
      <c r="Z49" s="345"/>
      <c r="AA49" s="345"/>
      <c r="AB49" s="345"/>
      <c r="AC49" s="345"/>
      <c r="AD49" s="345"/>
      <c r="AE49" s="345"/>
      <c r="AF49" s="345"/>
      <c r="AG49" s="345"/>
      <c r="AH49" s="345"/>
      <c r="AI49" s="345"/>
      <c r="AJ49" s="345"/>
      <c r="AK49" s="345"/>
      <c r="AL49" s="345"/>
      <c r="AM49" s="345"/>
      <c r="AN49" s="345"/>
      <c r="AO49" s="345"/>
      <c r="AP49" s="345"/>
      <c r="AQ49" s="345"/>
      <c r="AR49" s="476"/>
      <c r="AS49" s="213"/>
      <c r="AT49" s="213"/>
      <c r="AU49" s="502"/>
      <c r="AV49" s="502"/>
      <c r="AW49" s="460"/>
      <c r="AX49" s="460"/>
      <c r="AY49" s="460"/>
      <c r="AZ49" s="460"/>
      <c r="BA49" s="460"/>
      <c r="BB49" s="460"/>
      <c r="BC49" s="460"/>
      <c r="BD49" s="460"/>
      <c r="BE49" s="460"/>
      <c r="BF49" s="460"/>
      <c r="BG49" s="460"/>
      <c r="BH49" s="460"/>
      <c r="BI49" s="460"/>
      <c r="BJ49" s="460"/>
      <c r="BK49" s="460"/>
      <c r="BL49" s="460"/>
      <c r="BM49" s="460"/>
      <c r="BN49" s="460"/>
      <c r="BO49" s="460"/>
      <c r="BP49" s="460"/>
      <c r="BQ49" s="460"/>
      <c r="BR49" s="460"/>
      <c r="BS49" s="460"/>
      <c r="BT49" s="460"/>
      <c r="BU49" s="460"/>
      <c r="BV49" s="460"/>
      <c r="BW49" s="460"/>
      <c r="BX49" s="460"/>
      <c r="BY49" s="460"/>
      <c r="BZ49" s="460"/>
      <c r="CA49" s="460"/>
      <c r="CB49" s="460"/>
      <c r="CC49" s="460"/>
      <c r="CD49" s="460"/>
      <c r="CE49" s="460"/>
      <c r="CF49" s="460"/>
      <c r="CG49" s="460"/>
      <c r="CH49" s="460"/>
      <c r="CI49" s="460"/>
      <c r="CJ49" s="460"/>
      <c r="CK49" s="460"/>
      <c r="CL49" s="460"/>
      <c r="CM49" s="460"/>
      <c r="CN49" s="460"/>
      <c r="CO49" s="460"/>
      <c r="CP49" s="460"/>
      <c r="CQ49" s="460"/>
      <c r="CR49" s="460"/>
      <c r="CS49" s="460"/>
      <c r="CT49" s="460"/>
      <c r="CU49" s="460"/>
      <c r="CV49" s="460"/>
      <c r="CW49" s="460"/>
      <c r="CX49" s="460"/>
      <c r="CY49" s="460"/>
      <c r="CZ49" s="460"/>
      <c r="DA49" s="460"/>
      <c r="DB49" s="460"/>
      <c r="DC49" s="460"/>
      <c r="DD49" s="460"/>
      <c r="DE49" s="460"/>
      <c r="DF49" s="460"/>
    </row>
    <row r="50" spans="2:110">
      <c r="B50" s="291" t="s">
        <v>1243</v>
      </c>
      <c r="D50" s="345"/>
      <c r="E50" s="345"/>
      <c r="F50" s="345"/>
      <c r="G50" s="345"/>
      <c r="H50" s="345"/>
      <c r="I50" s="345"/>
      <c r="J50" s="345"/>
      <c r="K50" s="345"/>
      <c r="L50" s="345"/>
      <c r="M50" s="345"/>
      <c r="N50" s="345"/>
      <c r="O50" s="345"/>
      <c r="P50" s="345"/>
      <c r="Q50" s="345"/>
      <c r="R50" s="345">
        <f t="shared" ref="R50:S52" si="31">R37/R9</f>
        <v>0.18063314711359404</v>
      </c>
      <c r="S50" s="345">
        <f t="shared" si="31"/>
        <v>0.14380825565912117</v>
      </c>
      <c r="T50" s="345"/>
      <c r="U50" s="345"/>
      <c r="V50" s="345"/>
      <c r="W50" s="345"/>
      <c r="X50" s="345"/>
      <c r="Y50" s="345"/>
      <c r="Z50" s="345"/>
      <c r="AA50" s="345"/>
      <c r="AB50" s="345"/>
      <c r="AC50" s="345"/>
      <c r="AD50" s="345"/>
      <c r="AE50" s="345"/>
      <c r="AF50" s="345"/>
      <c r="AG50" s="345"/>
      <c r="AH50" s="345"/>
      <c r="AI50" s="345"/>
      <c r="AJ50" s="345"/>
      <c r="AK50" s="345"/>
      <c r="AL50" s="345"/>
      <c r="AM50" s="345"/>
      <c r="AN50" s="345"/>
      <c r="AO50" s="345"/>
      <c r="AP50" s="345"/>
      <c r="AQ50" s="345"/>
      <c r="AR50" s="476"/>
      <c r="AS50" s="213"/>
      <c r="AT50" s="213"/>
      <c r="AU50" s="502"/>
      <c r="AV50" s="502"/>
      <c r="AW50" s="460"/>
      <c r="AX50" s="460"/>
      <c r="AY50" s="460"/>
      <c r="AZ50" s="460"/>
      <c r="BA50" s="460"/>
      <c r="BB50" s="460"/>
      <c r="BC50" s="460"/>
      <c r="BD50" s="460"/>
      <c r="BE50" s="460"/>
      <c r="BF50" s="460"/>
      <c r="BG50" s="460"/>
      <c r="BH50" s="460"/>
      <c r="BI50" s="460"/>
      <c r="BJ50" s="460"/>
      <c r="BK50" s="460"/>
      <c r="BL50" s="460"/>
      <c r="BM50" s="460"/>
      <c r="BN50" s="460"/>
      <c r="BO50" s="460"/>
      <c r="BP50" s="460"/>
      <c r="BQ50" s="460"/>
      <c r="BR50" s="460"/>
      <c r="BS50" s="460"/>
      <c r="BT50" s="460"/>
      <c r="BU50" s="460"/>
      <c r="BV50" s="460"/>
      <c r="BW50" s="460"/>
      <c r="BX50" s="460"/>
      <c r="BY50" s="460"/>
      <c r="BZ50" s="460"/>
      <c r="CA50" s="460"/>
      <c r="CB50" s="460"/>
      <c r="CC50" s="460"/>
      <c r="CD50" s="460"/>
      <c r="CE50" s="460"/>
      <c r="CF50" s="460"/>
      <c r="CG50" s="460"/>
      <c r="CH50" s="460"/>
      <c r="CI50" s="460"/>
      <c r="CJ50" s="460"/>
      <c r="CK50" s="460"/>
      <c r="CL50" s="460"/>
      <c r="CM50" s="460"/>
      <c r="CN50" s="460"/>
      <c r="CO50" s="460"/>
      <c r="CP50" s="460"/>
      <c r="CQ50" s="460"/>
      <c r="CR50" s="460"/>
      <c r="CS50" s="460"/>
      <c r="CT50" s="460"/>
      <c r="CU50" s="460"/>
      <c r="CV50" s="460"/>
      <c r="CW50" s="460"/>
      <c r="CX50" s="460"/>
      <c r="CY50" s="460"/>
      <c r="CZ50" s="460"/>
      <c r="DA50" s="460"/>
      <c r="DB50" s="460"/>
      <c r="DC50" s="460"/>
      <c r="DD50" s="460"/>
      <c r="DE50" s="460"/>
      <c r="DF50" s="460"/>
    </row>
    <row r="51" spans="2:110">
      <c r="B51" s="19" t="s">
        <v>1930</v>
      </c>
      <c r="D51" s="345"/>
      <c r="E51" s="345"/>
      <c r="F51" s="345"/>
      <c r="G51" s="345"/>
      <c r="H51" s="345"/>
      <c r="I51" s="345"/>
      <c r="J51" s="345"/>
      <c r="K51" s="345"/>
      <c r="L51" s="345"/>
      <c r="M51" s="345"/>
      <c r="N51" s="345"/>
      <c r="O51" s="345"/>
      <c r="P51" s="345"/>
      <c r="Q51" s="345"/>
      <c r="R51" s="345">
        <f t="shared" si="31"/>
        <v>0.11907327586206896</v>
      </c>
      <c r="S51" s="345">
        <f t="shared" si="31"/>
        <v>0.13002364066193853</v>
      </c>
      <c r="T51" s="345">
        <f t="shared" ref="T51:AI51" si="32">T38/T10</f>
        <v>0.12914561827366572</v>
      </c>
      <c r="U51" s="345">
        <f t="shared" si="32"/>
        <v>0.13204337656814799</v>
      </c>
      <c r="V51" s="345">
        <f t="shared" si="32"/>
        <v>9.4282572842220996E-2</v>
      </c>
      <c r="W51" s="345">
        <f t="shared" si="32"/>
        <v>0.10568356374807988</v>
      </c>
      <c r="X51" s="345">
        <f t="shared" si="32"/>
        <v>9.0847913862718704E-2</v>
      </c>
      <c r="Y51" s="345">
        <f t="shared" si="32"/>
        <v>0.11333134506412168</v>
      </c>
      <c r="Z51" s="345">
        <f t="shared" si="32"/>
        <v>0.11722760981175129</v>
      </c>
      <c r="AA51" s="345">
        <f t="shared" si="32"/>
        <v>0.1149168528170762</v>
      </c>
      <c r="AB51" s="345">
        <f t="shared" si="32"/>
        <v>0.11365853658536586</v>
      </c>
      <c r="AC51" s="345">
        <f t="shared" si="32"/>
        <v>0.11108764519535375</v>
      </c>
      <c r="AD51" s="345">
        <f t="shared" si="32"/>
        <v>0.12707930367504836</v>
      </c>
      <c r="AE51" s="345">
        <f t="shared" si="32"/>
        <v>0.11765785609397944</v>
      </c>
      <c r="AF51" s="345" t="e">
        <f t="shared" si="32"/>
        <v>#REF!</v>
      </c>
      <c r="AG51" s="345" t="e">
        <f t="shared" si="32"/>
        <v>#REF!</v>
      </c>
      <c r="AH51" s="345" t="e">
        <f t="shared" si="32"/>
        <v>#REF!</v>
      </c>
      <c r="AI51" s="345" t="e">
        <f t="shared" si="32"/>
        <v>#REF!</v>
      </c>
      <c r="AJ51" s="345"/>
      <c r="AK51" s="345"/>
      <c r="AL51" s="345"/>
      <c r="AM51" s="345"/>
      <c r="AN51" s="345"/>
      <c r="AO51" s="345"/>
      <c r="AP51" s="345"/>
      <c r="AQ51" s="345"/>
      <c r="AR51" s="476"/>
      <c r="AS51" s="213"/>
      <c r="AT51" s="213"/>
      <c r="AU51" s="461"/>
      <c r="AV51" s="461"/>
      <c r="AW51" s="461"/>
      <c r="AX51" s="461"/>
      <c r="AY51" s="461"/>
      <c r="AZ51" s="461"/>
      <c r="BA51" s="461"/>
      <c r="BB51" s="461"/>
      <c r="BC51" s="461"/>
      <c r="BD51" s="461"/>
      <c r="BE51" s="461"/>
      <c r="BF51" s="461"/>
      <c r="BG51" s="461"/>
      <c r="BH51" s="461"/>
      <c r="BI51" s="461"/>
      <c r="BJ51" s="461"/>
      <c r="BK51" s="461"/>
      <c r="BL51" s="461"/>
      <c r="BM51" s="461"/>
      <c r="BN51" s="461"/>
      <c r="BO51" s="461"/>
      <c r="BP51" s="461"/>
      <c r="BQ51" s="461"/>
      <c r="BR51" s="461"/>
      <c r="BS51" s="461"/>
      <c r="BT51" s="461"/>
      <c r="BU51" s="461"/>
      <c r="BV51" s="461"/>
      <c r="BW51" s="461"/>
      <c r="BX51" s="461"/>
      <c r="BY51" s="461"/>
      <c r="BZ51" s="461"/>
      <c r="CA51" s="461"/>
      <c r="CB51" s="461"/>
      <c r="CC51" s="461"/>
      <c r="CD51" s="461"/>
      <c r="CE51" s="461"/>
      <c r="CF51" s="461"/>
      <c r="CG51" s="461"/>
      <c r="CH51" s="461"/>
      <c r="CI51" s="461"/>
      <c r="CJ51" s="461"/>
      <c r="CK51" s="461"/>
      <c r="CL51" s="461"/>
      <c r="CM51" s="461"/>
      <c r="CN51" s="461"/>
      <c r="CO51" s="461"/>
      <c r="CP51" s="461"/>
      <c r="CQ51" s="461"/>
      <c r="CR51" s="461"/>
      <c r="CS51" s="461"/>
      <c r="CT51" s="461"/>
      <c r="CU51" s="461"/>
      <c r="CV51" s="461"/>
      <c r="CW51" s="461"/>
      <c r="CX51" s="461"/>
      <c r="CY51" s="461"/>
      <c r="CZ51" s="461"/>
      <c r="DA51" s="461"/>
      <c r="DB51" s="461"/>
      <c r="DC51" s="461"/>
      <c r="DD51" s="461"/>
      <c r="DE51" s="461"/>
      <c r="DF51" s="461"/>
    </row>
    <row r="52" spans="2:110">
      <c r="B52" s="19" t="s">
        <v>1293</v>
      </c>
      <c r="D52" s="345"/>
      <c r="E52" s="345"/>
      <c r="F52" s="345"/>
      <c r="G52" s="345"/>
      <c r="H52" s="345"/>
      <c r="I52" s="345"/>
      <c r="J52" s="345"/>
      <c r="K52" s="345"/>
      <c r="L52" s="345"/>
      <c r="M52" s="345"/>
      <c r="N52" s="345"/>
      <c r="O52" s="345"/>
      <c r="P52" s="345"/>
      <c r="Q52" s="345"/>
      <c r="R52" s="345">
        <f t="shared" si="31"/>
        <v>3.2653061224489799E-2</v>
      </c>
      <c r="S52" s="345">
        <f t="shared" si="31"/>
        <v>3.2005225342913127E-2</v>
      </c>
      <c r="T52" s="345">
        <f t="shared" ref="T52:AI52" si="33">T39/T11</f>
        <v>5.1829268292682924E-2</v>
      </c>
      <c r="U52" s="345">
        <f t="shared" si="33"/>
        <v>6.1273051754907791E-2</v>
      </c>
      <c r="V52" s="345">
        <f t="shared" si="33"/>
        <v>-9.4216417910447756E-2</v>
      </c>
      <c r="W52" s="345">
        <f t="shared" si="33"/>
        <v>-8.5882352941176465E-2</v>
      </c>
      <c r="X52" s="345">
        <f t="shared" si="33"/>
        <v>-0.17027863777089783</v>
      </c>
      <c r="Y52" s="345">
        <f t="shared" si="33"/>
        <v>-6.8757539203860074E-2</v>
      </c>
      <c r="Z52" s="345">
        <f t="shared" si="33"/>
        <v>-9.4252873563218389E-2</v>
      </c>
      <c r="AA52" s="345">
        <f t="shared" si="33"/>
        <v>-5.2346570397111915E-2</v>
      </c>
      <c r="AB52" s="345">
        <f t="shared" si="33"/>
        <v>-8.5984522785898534E-2</v>
      </c>
      <c r="AC52" s="345">
        <f t="shared" si="33"/>
        <v>-1.2176560121765601E-2</v>
      </c>
      <c r="AD52" s="345">
        <f t="shared" si="33"/>
        <v>7.0871722182849041E-3</v>
      </c>
      <c r="AE52" s="345">
        <f t="shared" si="33"/>
        <v>1.0455104551045511E-2</v>
      </c>
      <c r="AF52" s="345" t="e">
        <f t="shared" si="33"/>
        <v>#REF!</v>
      </c>
      <c r="AG52" s="345" t="e">
        <f t="shared" si="33"/>
        <v>#REF!</v>
      </c>
      <c r="AH52" s="345" t="e">
        <f t="shared" si="33"/>
        <v>#REF!</v>
      </c>
      <c r="AI52" s="345" t="e">
        <f t="shared" si="33"/>
        <v>#REF!</v>
      </c>
      <c r="AJ52" s="345"/>
      <c r="AK52" s="345"/>
      <c r="AL52" s="345"/>
      <c r="AM52" s="345"/>
      <c r="AN52" s="345"/>
      <c r="AO52" s="345"/>
      <c r="AP52" s="345"/>
      <c r="AQ52" s="345"/>
      <c r="AR52" s="476"/>
      <c r="AS52" s="213"/>
      <c r="AT52" s="213"/>
      <c r="AU52" s="461"/>
      <c r="AV52" s="461"/>
      <c r="AW52" s="461"/>
      <c r="AX52" s="461"/>
      <c r="AY52" s="461"/>
      <c r="AZ52" s="461"/>
      <c r="BA52" s="461"/>
      <c r="BB52" s="461"/>
      <c r="BC52" s="461"/>
      <c r="BD52" s="461"/>
      <c r="BE52" s="461"/>
      <c r="BF52" s="461"/>
      <c r="BG52" s="461"/>
      <c r="BH52" s="461"/>
      <c r="BI52" s="461"/>
      <c r="BJ52" s="461"/>
      <c r="BK52" s="461"/>
      <c r="BL52" s="461"/>
      <c r="BM52" s="461"/>
      <c r="BN52" s="461"/>
      <c r="BO52" s="461"/>
      <c r="BP52" s="461"/>
      <c r="BQ52" s="461"/>
      <c r="BR52" s="461"/>
      <c r="BS52" s="461"/>
      <c r="BT52" s="461"/>
      <c r="BU52" s="461"/>
      <c r="BV52" s="461"/>
      <c r="BW52" s="461"/>
      <c r="BX52" s="461"/>
      <c r="BY52" s="461"/>
      <c r="BZ52" s="461"/>
      <c r="CA52" s="461"/>
      <c r="CB52" s="461"/>
      <c r="CC52" s="461"/>
      <c r="CD52" s="461"/>
      <c r="CE52" s="461"/>
      <c r="CF52" s="461"/>
      <c r="CG52" s="461"/>
      <c r="CH52" s="461"/>
      <c r="CI52" s="461"/>
      <c r="CJ52" s="461"/>
      <c r="CK52" s="461"/>
      <c r="CL52" s="461"/>
      <c r="CM52" s="461"/>
      <c r="CN52" s="461"/>
      <c r="CO52" s="461"/>
      <c r="CP52" s="461"/>
      <c r="CQ52" s="461"/>
      <c r="CR52" s="461"/>
      <c r="CS52" s="461"/>
      <c r="CT52" s="461"/>
      <c r="CU52" s="461"/>
      <c r="CV52" s="461"/>
      <c r="CW52" s="461"/>
      <c r="CX52" s="461"/>
      <c r="CY52" s="461"/>
      <c r="CZ52" s="461"/>
      <c r="DA52" s="461"/>
      <c r="DB52" s="461"/>
      <c r="DC52" s="461"/>
      <c r="DD52" s="461"/>
      <c r="DE52" s="461"/>
      <c r="DF52" s="461"/>
    </row>
    <row r="53" spans="2:110">
      <c r="B53" s="19" t="s">
        <v>976</v>
      </c>
      <c r="D53" s="345">
        <f t="shared" ref="D53:N53" si="34">D40/D12</f>
        <v>0.11591355599214145</v>
      </c>
      <c r="E53" s="345">
        <f t="shared" si="34"/>
        <v>0.10810810810810811</v>
      </c>
      <c r="F53" s="345">
        <f t="shared" si="34"/>
        <v>9.1794158553546598E-2</v>
      </c>
      <c r="G53" s="345">
        <f t="shared" si="34"/>
        <v>9.5525997581620309E-2</v>
      </c>
      <c r="H53" s="345">
        <f t="shared" si="34"/>
        <v>8.9779005524861885E-2</v>
      </c>
      <c r="I53" s="345">
        <f t="shared" si="34"/>
        <v>7.255936675461741E-2</v>
      </c>
      <c r="J53" s="345">
        <f t="shared" si="34"/>
        <v>8.8642659279778394E-2</v>
      </c>
      <c r="K53" s="345">
        <f t="shared" si="34"/>
        <v>8.6633663366336627E-2</v>
      </c>
      <c r="L53" s="345">
        <f t="shared" si="34"/>
        <v>7.4576271186440682E-2</v>
      </c>
      <c r="M53" s="345">
        <f t="shared" si="34"/>
        <v>8.559919436052367E-2</v>
      </c>
      <c r="N53" s="345">
        <f t="shared" si="34"/>
        <v>8.3245521601685982E-2</v>
      </c>
      <c r="O53" s="345"/>
      <c r="P53" s="345"/>
      <c r="Q53" s="345"/>
      <c r="R53" s="345"/>
      <c r="S53" s="345"/>
      <c r="T53" s="345"/>
      <c r="U53" s="345"/>
      <c r="V53" s="345"/>
      <c r="W53" s="345"/>
      <c r="X53" s="345"/>
      <c r="Y53" s="345"/>
      <c r="Z53" s="345"/>
      <c r="AA53" s="345"/>
      <c r="AB53" s="345"/>
      <c r="AC53" s="345"/>
      <c r="AD53" s="345"/>
      <c r="AE53" s="345"/>
      <c r="AF53" s="345"/>
      <c r="AG53" s="345"/>
      <c r="AH53" s="345"/>
      <c r="AI53" s="345"/>
      <c r="AJ53" s="345"/>
      <c r="AK53" s="345"/>
      <c r="AL53" s="345"/>
      <c r="AM53" s="345"/>
      <c r="AN53" s="345"/>
      <c r="AO53" s="345"/>
      <c r="AP53" s="345"/>
      <c r="AQ53" s="345"/>
      <c r="AR53" s="476"/>
      <c r="AS53" s="213"/>
      <c r="AT53" s="213"/>
      <c r="AU53" s="502"/>
      <c r="AV53" s="502"/>
      <c r="AW53" s="460"/>
      <c r="AX53" s="460"/>
      <c r="AY53" s="460"/>
      <c r="AZ53" s="460"/>
      <c r="BA53" s="460"/>
      <c r="BB53" s="460"/>
      <c r="BC53" s="460"/>
      <c r="BD53" s="460"/>
      <c r="BE53" s="460"/>
      <c r="BF53" s="460"/>
      <c r="BG53" s="460"/>
      <c r="BH53" s="460"/>
      <c r="BI53" s="460"/>
      <c r="BJ53" s="460"/>
      <c r="BK53" s="460"/>
      <c r="BL53" s="460"/>
      <c r="BM53" s="460"/>
      <c r="BN53" s="460"/>
      <c r="BO53" s="460"/>
      <c r="BP53" s="460"/>
      <c r="BQ53" s="460"/>
      <c r="BR53" s="460"/>
      <c r="BS53" s="460"/>
      <c r="BT53" s="460"/>
      <c r="BU53" s="460"/>
      <c r="BV53" s="460"/>
      <c r="BW53" s="460"/>
      <c r="BX53" s="460"/>
      <c r="BY53" s="460"/>
      <c r="BZ53" s="460"/>
      <c r="CA53" s="460"/>
      <c r="CB53" s="460"/>
      <c r="CC53" s="460"/>
      <c r="CD53" s="460"/>
      <c r="CE53" s="460"/>
      <c r="CF53" s="460"/>
      <c r="CG53" s="460"/>
      <c r="CH53" s="460"/>
      <c r="CI53" s="460"/>
      <c r="CJ53" s="460"/>
      <c r="CK53" s="460"/>
      <c r="CL53" s="460"/>
      <c r="CM53" s="460"/>
      <c r="CN53" s="460"/>
      <c r="CO53" s="460"/>
      <c r="CP53" s="460"/>
      <c r="CQ53" s="460"/>
      <c r="CR53" s="460"/>
      <c r="CS53" s="460"/>
      <c r="CT53" s="460"/>
      <c r="CU53" s="460"/>
      <c r="CV53" s="460"/>
      <c r="CW53" s="460"/>
      <c r="CX53" s="460"/>
      <c r="CY53" s="460"/>
      <c r="CZ53" s="460"/>
      <c r="DA53" s="460"/>
      <c r="DB53" s="460"/>
      <c r="DC53" s="460"/>
      <c r="DD53" s="460"/>
      <c r="DE53" s="460"/>
      <c r="DF53" s="460"/>
    </row>
    <row r="54" spans="2:110">
      <c r="B54" s="19" t="s">
        <v>776</v>
      </c>
      <c r="D54" s="345"/>
      <c r="E54" s="345"/>
      <c r="F54" s="345"/>
      <c r="G54" s="345"/>
      <c r="H54" s="345"/>
      <c r="I54" s="345"/>
      <c r="J54" s="345"/>
      <c r="K54" s="345"/>
      <c r="L54" s="345"/>
      <c r="M54" s="345"/>
      <c r="N54" s="345"/>
      <c r="O54" s="345"/>
      <c r="P54" s="345"/>
      <c r="Q54" s="345"/>
      <c r="R54" s="345"/>
      <c r="S54" s="345"/>
      <c r="T54" s="345"/>
      <c r="U54" s="345"/>
      <c r="V54" s="345"/>
      <c r="W54" s="345"/>
      <c r="X54" s="345"/>
      <c r="Y54" s="345"/>
      <c r="Z54" s="345"/>
      <c r="AA54" s="345"/>
      <c r="AB54" s="345"/>
      <c r="AC54" s="345"/>
      <c r="AD54" s="345"/>
      <c r="AE54" s="345"/>
      <c r="AF54" s="345"/>
      <c r="AG54" s="345"/>
      <c r="AH54" s="345"/>
      <c r="AI54" s="345"/>
      <c r="AJ54" s="345"/>
      <c r="AK54" s="345"/>
      <c r="AL54" s="345"/>
      <c r="AM54" s="345"/>
      <c r="AN54" s="345"/>
      <c r="AO54" s="345"/>
      <c r="AP54" s="345"/>
      <c r="AQ54" s="345"/>
      <c r="AR54" s="476"/>
      <c r="AS54" s="213"/>
      <c r="AT54" s="213"/>
      <c r="AU54" s="503"/>
      <c r="AV54" s="503"/>
      <c r="AW54" s="462"/>
      <c r="AX54" s="462"/>
      <c r="AY54" s="462"/>
      <c r="AZ54" s="462"/>
      <c r="BA54" s="462"/>
      <c r="BB54" s="462"/>
      <c r="BC54" s="462"/>
      <c r="BD54" s="462"/>
      <c r="BE54" s="462"/>
      <c r="BF54" s="462"/>
      <c r="BG54" s="462"/>
      <c r="BH54" s="462"/>
      <c r="BI54" s="462"/>
      <c r="BJ54" s="462"/>
      <c r="BK54" s="462"/>
      <c r="BL54" s="462"/>
      <c r="BM54" s="462"/>
      <c r="BN54" s="462"/>
      <c r="BO54" s="462"/>
      <c r="BP54" s="462"/>
      <c r="BQ54" s="462"/>
      <c r="BR54" s="462"/>
      <c r="BS54" s="462"/>
      <c r="BT54" s="462"/>
      <c r="BU54" s="462"/>
      <c r="BV54" s="462"/>
      <c r="BW54" s="462"/>
      <c r="BX54" s="462"/>
      <c r="BY54" s="462"/>
      <c r="BZ54" s="462"/>
      <c r="CA54" s="462"/>
      <c r="CB54" s="462"/>
      <c r="CC54" s="462"/>
      <c r="CD54" s="462"/>
      <c r="CE54" s="462"/>
      <c r="CF54" s="462"/>
      <c r="CG54" s="462"/>
      <c r="CH54" s="462"/>
      <c r="CI54" s="462"/>
      <c r="CJ54" s="462"/>
      <c r="CK54" s="462"/>
      <c r="CL54" s="462"/>
      <c r="CM54" s="462"/>
      <c r="CN54" s="462"/>
      <c r="CO54" s="462"/>
      <c r="CP54" s="462"/>
      <c r="CQ54" s="462"/>
      <c r="CR54" s="462"/>
      <c r="CS54" s="462"/>
      <c r="CT54" s="462"/>
      <c r="CU54" s="462"/>
      <c r="CV54" s="462"/>
      <c r="CW54" s="462"/>
      <c r="CX54" s="462"/>
      <c r="CY54" s="462"/>
      <c r="CZ54" s="462"/>
      <c r="DA54" s="462"/>
      <c r="DB54" s="462"/>
      <c r="DC54" s="462"/>
      <c r="DD54" s="462"/>
      <c r="DE54" s="462"/>
      <c r="DF54" s="462"/>
    </row>
    <row r="55" spans="2:110">
      <c r="B55" s="19" t="s">
        <v>975</v>
      </c>
      <c r="D55" s="345"/>
      <c r="E55" s="345"/>
      <c r="F55" s="345"/>
      <c r="G55" s="345"/>
      <c r="H55" s="345"/>
      <c r="I55" s="345"/>
      <c r="J55" s="345"/>
      <c r="K55" s="345"/>
      <c r="L55" s="345"/>
      <c r="M55" s="345"/>
      <c r="N55" s="345"/>
      <c r="O55" s="345"/>
      <c r="P55" s="345"/>
      <c r="Q55" s="345"/>
      <c r="R55" s="345"/>
      <c r="S55" s="345"/>
      <c r="T55" s="345"/>
      <c r="U55" s="345"/>
      <c r="V55" s="345"/>
      <c r="W55" s="345"/>
      <c r="X55" s="345"/>
      <c r="Y55" s="345"/>
      <c r="Z55" s="345"/>
      <c r="AA55" s="345"/>
      <c r="AB55" s="345"/>
      <c r="AC55" s="345"/>
      <c r="AD55" s="345"/>
      <c r="AE55" s="345"/>
      <c r="AF55" s="345"/>
      <c r="AG55" s="345"/>
      <c r="AH55" s="345"/>
      <c r="AI55" s="345"/>
      <c r="AJ55" s="345"/>
      <c r="AK55" s="345"/>
      <c r="AL55" s="345"/>
      <c r="AM55" s="345"/>
      <c r="AN55" s="345"/>
      <c r="AO55" s="345"/>
      <c r="AP55" s="345"/>
      <c r="AQ55" s="345"/>
      <c r="AR55" s="476"/>
      <c r="AS55" s="213"/>
      <c r="AT55" s="213"/>
      <c r="AU55" s="502"/>
      <c r="AV55" s="502"/>
      <c r="AW55" s="460"/>
      <c r="AX55" s="460"/>
      <c r="AY55" s="460"/>
      <c r="AZ55" s="460"/>
      <c r="BA55" s="460"/>
      <c r="BB55" s="460"/>
      <c r="BC55" s="460"/>
      <c r="BD55" s="460"/>
      <c r="BE55" s="460"/>
      <c r="BF55" s="460"/>
      <c r="BG55" s="460"/>
      <c r="BH55" s="460"/>
      <c r="BI55" s="460"/>
      <c r="BJ55" s="460"/>
      <c r="BK55" s="460"/>
      <c r="BL55" s="460"/>
      <c r="BM55" s="460"/>
      <c r="BN55" s="460"/>
      <c r="BO55" s="460"/>
      <c r="BP55" s="460"/>
      <c r="BQ55" s="460"/>
      <c r="BR55" s="460"/>
      <c r="BS55" s="460"/>
      <c r="BT55" s="460"/>
      <c r="BU55" s="460"/>
      <c r="BV55" s="460"/>
      <c r="BW55" s="460"/>
      <c r="BX55" s="460"/>
      <c r="BY55" s="460"/>
      <c r="BZ55" s="460"/>
      <c r="CA55" s="460"/>
      <c r="CB55" s="460"/>
      <c r="CC55" s="460"/>
      <c r="CD55" s="460"/>
      <c r="CE55" s="460"/>
      <c r="CF55" s="460"/>
      <c r="CG55" s="460"/>
      <c r="CH55" s="460"/>
      <c r="CI55" s="460"/>
      <c r="CJ55" s="460"/>
      <c r="CK55" s="460"/>
      <c r="CL55" s="460"/>
      <c r="CM55" s="460"/>
      <c r="CN55" s="460"/>
      <c r="CO55" s="460"/>
      <c r="CP55" s="460"/>
      <c r="CQ55" s="460"/>
      <c r="CR55" s="460"/>
      <c r="CS55" s="460"/>
      <c r="CT55" s="460"/>
      <c r="CU55" s="460"/>
      <c r="CV55" s="460"/>
      <c r="CW55" s="460"/>
      <c r="CX55" s="460"/>
      <c r="CY55" s="460"/>
      <c r="CZ55" s="460"/>
      <c r="DA55" s="460"/>
      <c r="DB55" s="460"/>
      <c r="DC55" s="460"/>
      <c r="DD55" s="460"/>
      <c r="DE55" s="460"/>
      <c r="DF55" s="460"/>
    </row>
    <row r="56" spans="2:110">
      <c r="B56" s="19" t="s">
        <v>743</v>
      </c>
      <c r="D56" s="345"/>
      <c r="E56" s="345"/>
      <c r="F56" s="345"/>
      <c r="G56" s="345"/>
      <c r="H56" s="345"/>
      <c r="I56" s="345"/>
      <c r="J56" s="345"/>
      <c r="K56" s="345"/>
      <c r="L56" s="345"/>
      <c r="M56" s="345"/>
      <c r="N56" s="345"/>
      <c r="O56" s="345"/>
      <c r="P56" s="345"/>
      <c r="Q56" s="345"/>
      <c r="R56" s="345"/>
      <c r="S56" s="345"/>
      <c r="T56" s="345"/>
      <c r="U56" s="345"/>
      <c r="V56" s="345"/>
      <c r="W56" s="345"/>
      <c r="X56" s="345"/>
      <c r="Y56" s="345"/>
      <c r="Z56" s="345"/>
      <c r="AA56" s="345"/>
      <c r="AB56" s="345"/>
      <c r="AC56" s="345"/>
      <c r="AD56" s="345"/>
      <c r="AE56" s="345"/>
      <c r="AF56" s="345"/>
      <c r="AG56" s="345"/>
      <c r="AH56" s="345"/>
      <c r="AI56" s="345"/>
      <c r="AJ56" s="345"/>
      <c r="AK56" s="345"/>
      <c r="AL56" s="345"/>
      <c r="AM56" s="345"/>
      <c r="AN56" s="345"/>
      <c r="AO56" s="345"/>
      <c r="AP56" s="345"/>
      <c r="AQ56" s="345"/>
      <c r="AR56" s="476"/>
      <c r="AS56" s="213"/>
      <c r="AT56" s="213"/>
      <c r="AU56" s="502"/>
      <c r="AV56" s="502"/>
      <c r="AW56" s="460"/>
      <c r="AX56" s="460"/>
      <c r="AY56" s="460"/>
      <c r="AZ56" s="460"/>
      <c r="BA56" s="460"/>
      <c r="BB56" s="460"/>
      <c r="BC56" s="460"/>
      <c r="BD56" s="460"/>
      <c r="BE56" s="460"/>
      <c r="BF56" s="460"/>
      <c r="BG56" s="460"/>
      <c r="BH56" s="460"/>
      <c r="BI56" s="460"/>
      <c r="BJ56" s="460"/>
      <c r="BK56" s="460"/>
      <c r="BL56" s="460"/>
      <c r="BM56" s="460"/>
      <c r="BN56" s="460"/>
      <c r="BO56" s="460"/>
      <c r="BP56" s="460"/>
      <c r="BQ56" s="460"/>
      <c r="BR56" s="460"/>
      <c r="BS56" s="460"/>
      <c r="BT56" s="460"/>
      <c r="BU56" s="460"/>
      <c r="BV56" s="460"/>
      <c r="BW56" s="460"/>
      <c r="BX56" s="460"/>
      <c r="BY56" s="460"/>
      <c r="BZ56" s="460"/>
      <c r="CA56" s="460"/>
      <c r="CB56" s="460"/>
      <c r="CC56" s="460"/>
      <c r="CD56" s="460"/>
      <c r="CE56" s="460"/>
      <c r="CF56" s="460"/>
      <c r="CG56" s="460"/>
      <c r="CH56" s="460"/>
      <c r="CI56" s="460"/>
      <c r="CJ56" s="460"/>
      <c r="CK56" s="460"/>
      <c r="CL56" s="460"/>
      <c r="CM56" s="460"/>
      <c r="CN56" s="460"/>
      <c r="CO56" s="460"/>
      <c r="CP56" s="460"/>
      <c r="CQ56" s="460"/>
      <c r="CR56" s="460"/>
      <c r="CS56" s="460"/>
      <c r="CT56" s="460"/>
      <c r="CU56" s="460"/>
      <c r="CV56" s="460"/>
      <c r="CW56" s="460"/>
      <c r="CX56" s="460"/>
      <c r="CY56" s="460"/>
      <c r="CZ56" s="460"/>
      <c r="DA56" s="460"/>
      <c r="DB56" s="460"/>
      <c r="DC56" s="460"/>
      <c r="DD56" s="460"/>
      <c r="DE56" s="460"/>
      <c r="DF56" s="460"/>
    </row>
    <row r="57" spans="2:110">
      <c r="B57" s="214" t="s">
        <v>1008</v>
      </c>
      <c r="D57" s="346">
        <f t="shared" ref="D57:AI57" si="35">D44/D16</f>
        <v>9.8681866761667264E-2</v>
      </c>
      <c r="E57" s="346">
        <f t="shared" si="35"/>
        <v>0.10372427311336165</v>
      </c>
      <c r="F57" s="346">
        <f t="shared" si="35"/>
        <v>0.1061905504444098</v>
      </c>
      <c r="G57" s="346">
        <f t="shared" si="35"/>
        <v>0.10675808031341821</v>
      </c>
      <c r="H57" s="346">
        <f t="shared" si="35"/>
        <v>0.12262921673664398</v>
      </c>
      <c r="I57" s="346">
        <f t="shared" si="35"/>
        <v>0.12513412017167383</v>
      </c>
      <c r="J57" s="346">
        <f t="shared" si="35"/>
        <v>0.13263041065482797</v>
      </c>
      <c r="K57" s="346">
        <f t="shared" si="35"/>
        <v>0.13906959617036946</v>
      </c>
      <c r="L57" s="346">
        <f t="shared" si="35"/>
        <v>0.13935499226466738</v>
      </c>
      <c r="M57" s="346">
        <f t="shared" si="35"/>
        <v>0.13994007324381311</v>
      </c>
      <c r="N57" s="346">
        <f t="shared" si="35"/>
        <v>0.16389132340052587</v>
      </c>
      <c r="O57" s="346">
        <f t="shared" si="35"/>
        <v>0.14049268668206313</v>
      </c>
      <c r="P57" s="346">
        <f t="shared" si="35"/>
        <v>0.15153023140084598</v>
      </c>
      <c r="Q57" s="346">
        <f t="shared" si="35"/>
        <v>0.12305748578648136</v>
      </c>
      <c r="R57" s="346">
        <f t="shared" si="35"/>
        <v>0.14578731461028716</v>
      </c>
      <c r="S57" s="346">
        <f t="shared" si="35"/>
        <v>0.14181755176297323</v>
      </c>
      <c r="T57" s="346">
        <f t="shared" si="35"/>
        <v>0.15559411667492976</v>
      </c>
      <c r="U57" s="346">
        <f t="shared" si="35"/>
        <v>0.15449034933801245</v>
      </c>
      <c r="V57" s="346">
        <f t="shared" si="35"/>
        <v>0.10801870651306034</v>
      </c>
      <c r="W57" s="346">
        <f t="shared" si="35"/>
        <v>9.5589186392445999E-2</v>
      </c>
      <c r="X57" s="346">
        <f t="shared" si="35"/>
        <v>9.5840605002908669E-2</v>
      </c>
      <c r="Y57" s="346">
        <f t="shared" si="35"/>
        <v>0.13673785944398043</v>
      </c>
      <c r="Z57" s="346">
        <f t="shared" si="35"/>
        <v>0.12231308411214953</v>
      </c>
      <c r="AA57" s="346">
        <f t="shared" si="35"/>
        <v>0.12992840095465394</v>
      </c>
      <c r="AB57" s="346">
        <f t="shared" si="35"/>
        <v>0.12763819095477386</v>
      </c>
      <c r="AC57" s="346">
        <f t="shared" si="35"/>
        <v>0.14436102497143791</v>
      </c>
      <c r="AD57" s="346">
        <f t="shared" si="35"/>
        <v>0.15129914922970797</v>
      </c>
      <c r="AE57" s="346">
        <f t="shared" si="35"/>
        <v>0.15031534688156972</v>
      </c>
      <c r="AF57" s="346" t="e">
        <f t="shared" si="35"/>
        <v>#REF!</v>
      </c>
      <c r="AG57" s="346" t="e">
        <f t="shared" si="35"/>
        <v>#REF!</v>
      </c>
      <c r="AH57" s="346" t="e">
        <f t="shared" si="35"/>
        <v>#REF!</v>
      </c>
      <c r="AI57" s="346" t="e">
        <f t="shared" si="35"/>
        <v>#REF!</v>
      </c>
      <c r="AJ57" s="346"/>
      <c r="AK57" s="346"/>
      <c r="AL57" s="346"/>
      <c r="AM57" s="346"/>
      <c r="AN57" s="346"/>
      <c r="AO57" s="346"/>
      <c r="AP57" s="346"/>
      <c r="AQ57" s="346"/>
      <c r="AR57" s="163"/>
      <c r="AS57" s="213"/>
      <c r="AT57" s="213"/>
      <c r="AU57" s="463"/>
      <c r="AV57" s="463"/>
      <c r="AW57" s="463"/>
      <c r="AX57" s="463"/>
      <c r="AY57" s="463"/>
      <c r="AZ57" s="463"/>
      <c r="BA57" s="463"/>
      <c r="BB57" s="463"/>
      <c r="BC57" s="463"/>
      <c r="BD57" s="463"/>
      <c r="BE57" s="463"/>
      <c r="BF57" s="463"/>
      <c r="BG57" s="463"/>
      <c r="BH57" s="463"/>
      <c r="BI57" s="463"/>
      <c r="BJ57" s="463"/>
      <c r="BK57" s="463"/>
      <c r="BL57" s="463"/>
      <c r="BM57" s="463"/>
      <c r="BN57" s="463"/>
      <c r="BO57" s="463"/>
      <c r="BP57" s="463"/>
      <c r="BQ57" s="463"/>
      <c r="BR57" s="463"/>
      <c r="BS57" s="463"/>
      <c r="BT57" s="463"/>
      <c r="BU57" s="463"/>
      <c r="BV57" s="463"/>
      <c r="BW57" s="463"/>
      <c r="BX57" s="463"/>
      <c r="BY57" s="463"/>
      <c r="BZ57" s="463"/>
      <c r="CA57" s="463"/>
      <c r="CB57" s="463"/>
      <c r="CC57" s="463"/>
      <c r="CD57" s="463"/>
      <c r="CE57" s="463"/>
      <c r="CF57" s="463"/>
      <c r="CG57" s="463"/>
      <c r="CH57" s="463"/>
      <c r="CI57" s="463"/>
      <c r="CJ57" s="463"/>
      <c r="CK57" s="463"/>
      <c r="CL57" s="463"/>
      <c r="CM57" s="463"/>
      <c r="CN57" s="463"/>
      <c r="CO57" s="463"/>
      <c r="CP57" s="463"/>
      <c r="CQ57" s="463"/>
      <c r="CR57" s="463"/>
      <c r="CS57" s="463"/>
      <c r="CT57" s="463"/>
      <c r="CU57" s="463"/>
      <c r="CV57" s="463"/>
      <c r="CW57" s="463"/>
      <c r="CX57" s="463"/>
      <c r="CY57" s="463"/>
      <c r="CZ57" s="463"/>
      <c r="DA57" s="463"/>
      <c r="DB57" s="463"/>
      <c r="DC57" s="463"/>
      <c r="DD57" s="463"/>
      <c r="DE57" s="463"/>
      <c r="DF57" s="463"/>
    </row>
    <row r="58" spans="2:110">
      <c r="B58" s="214"/>
      <c r="D58" s="213"/>
      <c r="E58" s="213"/>
      <c r="F58" s="213"/>
      <c r="G58" s="213"/>
      <c r="H58" s="213"/>
      <c r="I58" s="213"/>
      <c r="J58" s="213"/>
      <c r="K58" s="213"/>
      <c r="L58" s="213"/>
      <c r="M58" s="213"/>
      <c r="N58" s="213"/>
      <c r="O58" s="213"/>
      <c r="P58" s="213"/>
      <c r="Q58" s="213"/>
      <c r="R58" s="213"/>
      <c r="S58" s="213"/>
      <c r="T58" s="213"/>
      <c r="U58" s="213"/>
      <c r="V58" s="213"/>
      <c r="W58" s="213"/>
      <c r="X58" s="213"/>
      <c r="Y58" s="213"/>
      <c r="Z58" s="213"/>
      <c r="AA58" s="213"/>
      <c r="AB58" s="213"/>
      <c r="AC58" s="213"/>
      <c r="AD58" s="213"/>
      <c r="AE58" s="213"/>
      <c r="AF58" s="213"/>
      <c r="AG58" s="213"/>
      <c r="AH58" s="213"/>
      <c r="AI58" s="213"/>
      <c r="AJ58" s="213"/>
      <c r="AK58" s="213"/>
      <c r="AL58" s="213"/>
      <c r="AM58" s="213"/>
      <c r="AN58" s="213"/>
      <c r="AO58" s="213"/>
      <c r="AP58" s="213"/>
      <c r="AQ58" s="213"/>
      <c r="AR58" s="213"/>
      <c r="AS58" s="213"/>
      <c r="AT58" s="213"/>
      <c r="AU58" s="213"/>
      <c r="AV58" s="213"/>
      <c r="AW58" s="213"/>
      <c r="AX58" s="213"/>
      <c r="AY58" s="213"/>
      <c r="AZ58" s="213"/>
      <c r="BA58" s="213"/>
      <c r="BB58" s="213"/>
      <c r="BC58" s="213"/>
      <c r="BD58" s="213"/>
      <c r="BE58" s="213"/>
      <c r="BF58" s="213"/>
      <c r="BG58" s="213"/>
      <c r="BH58" s="213"/>
      <c r="BI58" s="213"/>
      <c r="BJ58" s="213"/>
      <c r="BK58" s="213"/>
      <c r="BL58" s="213"/>
      <c r="BM58" s="213"/>
      <c r="BN58" s="213"/>
      <c r="BO58" s="213"/>
      <c r="BP58" s="213"/>
      <c r="BQ58" s="213"/>
      <c r="BR58" s="213"/>
      <c r="BS58" s="213"/>
      <c r="BT58" s="213"/>
      <c r="BU58" s="213"/>
      <c r="BV58" s="213"/>
      <c r="BW58" s="213"/>
      <c r="BX58" s="213"/>
      <c r="BY58" s="213"/>
      <c r="BZ58" s="213"/>
      <c r="CA58" s="213"/>
      <c r="CB58" s="213"/>
      <c r="CC58" s="213"/>
      <c r="CD58" s="213"/>
      <c r="CE58" s="213"/>
      <c r="CF58" s="213"/>
      <c r="CG58" s="213"/>
      <c r="CH58" s="213"/>
      <c r="CI58" s="213"/>
      <c r="CJ58" s="213"/>
      <c r="CK58" s="213"/>
      <c r="CL58" s="213"/>
      <c r="CM58" s="213"/>
      <c r="CN58" s="213"/>
      <c r="CO58" s="213"/>
      <c r="CP58" s="213"/>
      <c r="CQ58" s="213"/>
      <c r="CR58" s="213"/>
      <c r="CS58" s="213"/>
      <c r="CT58" s="213"/>
      <c r="CU58" s="213"/>
      <c r="CV58" s="213"/>
      <c r="CW58" s="213"/>
      <c r="CX58" s="213"/>
      <c r="CY58" s="213"/>
      <c r="CZ58" s="213"/>
      <c r="DA58" s="213"/>
      <c r="DB58" s="213"/>
      <c r="DC58" s="213"/>
      <c r="DD58" s="213"/>
      <c r="DE58" s="213"/>
      <c r="DF58" s="213"/>
    </row>
    <row r="59" spans="2:110">
      <c r="B59" s="306" t="s">
        <v>1552</v>
      </c>
      <c r="D59" s="308"/>
      <c r="E59" s="308"/>
      <c r="F59" s="308"/>
      <c r="G59" s="308"/>
      <c r="H59" s="308"/>
      <c r="I59" s="308"/>
      <c r="J59" s="308"/>
      <c r="K59" s="308"/>
      <c r="L59" s="308"/>
      <c r="M59" s="308"/>
      <c r="N59" s="308"/>
      <c r="O59" s="308"/>
      <c r="P59" s="308"/>
      <c r="Q59" s="308"/>
      <c r="R59" s="308"/>
      <c r="S59" s="308"/>
      <c r="T59" s="308"/>
      <c r="U59" s="308"/>
      <c r="V59" s="308"/>
      <c r="W59" s="308"/>
      <c r="X59" s="308"/>
      <c r="Y59" s="308"/>
      <c r="Z59" s="308"/>
      <c r="AA59" s="308"/>
      <c r="AB59" s="308"/>
      <c r="AC59" s="308"/>
      <c r="AD59" s="308"/>
      <c r="AE59" s="308"/>
      <c r="AF59" s="308"/>
      <c r="AG59" s="308"/>
      <c r="AH59" s="308"/>
      <c r="AI59" s="308"/>
      <c r="AJ59" s="308"/>
      <c r="AK59" s="308"/>
      <c r="AL59" s="308"/>
      <c r="AM59" s="308"/>
      <c r="AN59" s="308"/>
      <c r="AO59" s="308"/>
      <c r="AP59" s="308"/>
      <c r="AQ59" s="308"/>
      <c r="AR59" s="339"/>
      <c r="AS59" s="213"/>
      <c r="AT59" s="213"/>
      <c r="AU59" s="308"/>
      <c r="AV59" s="308"/>
      <c r="AW59" s="308"/>
      <c r="AX59" s="308"/>
      <c r="AY59" s="308"/>
      <c r="AZ59" s="308"/>
      <c r="BA59" s="308"/>
      <c r="BB59" s="308"/>
      <c r="BC59" s="308"/>
      <c r="BD59" s="308"/>
      <c r="BE59" s="308"/>
      <c r="BF59" s="308"/>
      <c r="BG59" s="308"/>
      <c r="BH59" s="308"/>
      <c r="BI59" s="308"/>
      <c r="BJ59" s="308"/>
      <c r="BK59" s="308"/>
      <c r="BL59" s="308"/>
      <c r="BM59" s="308"/>
      <c r="BN59" s="308"/>
      <c r="BO59" s="308"/>
      <c r="BP59" s="308"/>
      <c r="BQ59" s="308"/>
      <c r="BR59" s="308"/>
      <c r="BS59" s="308"/>
      <c r="BT59" s="308"/>
      <c r="BU59" s="308"/>
      <c r="BV59" s="308"/>
      <c r="BW59" s="308"/>
      <c r="BX59" s="308"/>
      <c r="BY59" s="308"/>
      <c r="BZ59" s="308"/>
      <c r="CA59" s="308"/>
      <c r="CB59" s="308"/>
      <c r="CC59" s="308"/>
      <c r="CD59" s="308"/>
      <c r="CE59" s="308"/>
      <c r="CF59" s="308"/>
      <c r="CG59" s="308"/>
      <c r="CH59" s="308"/>
      <c r="CI59" s="308"/>
      <c r="CJ59" s="308"/>
      <c r="CK59" s="308"/>
      <c r="CL59" s="308"/>
      <c r="CM59" s="308"/>
      <c r="CN59" s="308"/>
      <c r="CO59" s="308"/>
      <c r="CP59" s="308"/>
      <c r="CQ59" s="308"/>
      <c r="CR59" s="308"/>
      <c r="CS59" s="308"/>
      <c r="CT59" s="308"/>
      <c r="CU59" s="308"/>
      <c r="CV59" s="308"/>
      <c r="CW59" s="308"/>
      <c r="CX59" s="308"/>
      <c r="CY59" s="308"/>
      <c r="CZ59" s="308"/>
      <c r="DA59" s="308"/>
      <c r="DB59" s="308"/>
      <c r="DC59" s="308"/>
      <c r="DD59" s="308"/>
      <c r="DE59" s="308"/>
      <c r="DF59" s="308"/>
    </row>
    <row r="60" spans="2:110">
      <c r="B60" s="19" t="s">
        <v>978</v>
      </c>
      <c r="D60" s="340"/>
      <c r="E60" s="340"/>
      <c r="F60" s="340">
        <f t="shared" ref="F60:AI60" si="36">F34/D34-1</f>
        <v>0.20754716981132071</v>
      </c>
      <c r="G60" s="340">
        <f t="shared" si="36"/>
        <v>0.16288659793814442</v>
      </c>
      <c r="H60" s="340">
        <f t="shared" si="36"/>
        <v>0.232421875</v>
      </c>
      <c r="I60" s="340">
        <f t="shared" si="36"/>
        <v>0.28900709219858145</v>
      </c>
      <c r="J60" s="340">
        <f t="shared" si="36"/>
        <v>0.15213946117274157</v>
      </c>
      <c r="K60" s="340">
        <f t="shared" si="36"/>
        <v>0.24621733149931235</v>
      </c>
      <c r="L60" s="340">
        <f t="shared" si="36"/>
        <v>0.29848693259972481</v>
      </c>
      <c r="M60" s="340">
        <f t="shared" si="36"/>
        <v>-1.8763796909492259E-2</v>
      </c>
      <c r="N60" s="340">
        <f t="shared" si="36"/>
        <v>-2.1186440677966045E-3</v>
      </c>
      <c r="O60" s="340">
        <f t="shared" si="36"/>
        <v>-5.0618672665916797E-2</v>
      </c>
      <c r="P60" s="340">
        <f t="shared" si="36"/>
        <v>-9.8726114649681507E-2</v>
      </c>
      <c r="Q60" s="340">
        <f t="shared" si="36"/>
        <v>-0.20971563981042651</v>
      </c>
      <c r="R60" s="340">
        <f t="shared" si="36"/>
        <v>7.7738515901060179E-2</v>
      </c>
      <c r="S60" s="340">
        <f t="shared" si="36"/>
        <v>0.671664167916042</v>
      </c>
      <c r="T60" s="340">
        <f t="shared" si="36"/>
        <v>0.34098360655737703</v>
      </c>
      <c r="U60" s="340">
        <f t="shared" si="36"/>
        <v>0.12825112107623315</v>
      </c>
      <c r="V60" s="340">
        <f t="shared" si="36"/>
        <v>-0.43031784841075793</v>
      </c>
      <c r="W60" s="340">
        <f t="shared" si="36"/>
        <v>-0.60810810810810811</v>
      </c>
      <c r="X60" s="340">
        <f t="shared" si="36"/>
        <v>-0.27896995708154504</v>
      </c>
      <c r="Y60" s="340">
        <f t="shared" si="36"/>
        <v>0.69979716024340766</v>
      </c>
      <c r="Z60" s="340">
        <f t="shared" si="36"/>
        <v>0.43452380952380953</v>
      </c>
      <c r="AA60" s="340">
        <f t="shared" si="36"/>
        <v>0.17780429594272085</v>
      </c>
      <c r="AB60" s="340">
        <f t="shared" si="36"/>
        <v>0.45366528354080216</v>
      </c>
      <c r="AC60" s="340">
        <f t="shared" si="36"/>
        <v>0.35663627152988853</v>
      </c>
      <c r="AD60" s="340">
        <f t="shared" si="36"/>
        <v>0.22264509990485259</v>
      </c>
      <c r="AE60" s="340">
        <f t="shared" si="36"/>
        <v>0.14563106796116498</v>
      </c>
      <c r="AF60" s="340" t="e">
        <f t="shared" si="36"/>
        <v>#REF!</v>
      </c>
      <c r="AG60" s="340" t="e">
        <f t="shared" si="36"/>
        <v>#REF!</v>
      </c>
      <c r="AH60" s="340" t="e">
        <f t="shared" si="36"/>
        <v>#REF!</v>
      </c>
      <c r="AI60" s="340" t="e">
        <f t="shared" si="36"/>
        <v>#REF!</v>
      </c>
      <c r="AJ60" s="340"/>
      <c r="AK60" s="340"/>
      <c r="AL60" s="340"/>
      <c r="AM60" s="340"/>
      <c r="AN60" s="340"/>
      <c r="AO60" s="340"/>
      <c r="AP60" s="340"/>
      <c r="AQ60" s="340"/>
      <c r="AR60" s="457"/>
      <c r="AS60" s="213"/>
      <c r="AT60" s="213"/>
      <c r="AU60" s="502"/>
      <c r="AV60" s="502"/>
      <c r="AW60" s="459"/>
      <c r="AX60" s="459"/>
      <c r="AY60" s="459"/>
      <c r="AZ60" s="459"/>
      <c r="BA60" s="459"/>
      <c r="BB60" s="459"/>
      <c r="BC60" s="459"/>
      <c r="BD60" s="459"/>
      <c r="BE60" s="459"/>
      <c r="BF60" s="459"/>
      <c r="BG60" s="459"/>
      <c r="BH60" s="459"/>
      <c r="BI60" s="459"/>
      <c r="BJ60" s="459"/>
      <c r="BK60" s="459"/>
      <c r="BL60" s="459"/>
      <c r="BM60" s="459"/>
      <c r="BN60" s="459"/>
      <c r="BO60" s="459"/>
      <c r="BP60" s="459"/>
      <c r="BQ60" s="459"/>
      <c r="BR60" s="459"/>
      <c r="BS60" s="459"/>
      <c r="BT60" s="459"/>
      <c r="BU60" s="459"/>
      <c r="BV60" s="459"/>
      <c r="BW60" s="459"/>
      <c r="BX60" s="459"/>
      <c r="BY60" s="459"/>
      <c r="BZ60" s="459"/>
      <c r="CA60" s="459"/>
      <c r="CB60" s="459"/>
      <c r="CC60" s="459"/>
      <c r="CD60" s="459"/>
      <c r="CE60" s="459"/>
      <c r="CF60" s="459"/>
      <c r="CG60" s="459"/>
      <c r="CH60" s="459"/>
      <c r="CI60" s="459"/>
      <c r="CJ60" s="459"/>
      <c r="CK60" s="459"/>
      <c r="CL60" s="459"/>
      <c r="CM60" s="459"/>
      <c r="CN60" s="459"/>
      <c r="CO60" s="459"/>
      <c r="CP60" s="459"/>
      <c r="CQ60" s="459"/>
      <c r="CR60" s="459"/>
      <c r="CS60" s="459"/>
      <c r="CT60" s="459"/>
      <c r="CU60" s="459"/>
      <c r="CV60" s="459"/>
      <c r="CW60" s="459"/>
      <c r="CX60" s="459"/>
      <c r="CY60" s="459"/>
      <c r="CZ60" s="459"/>
      <c r="DA60" s="459"/>
      <c r="DB60" s="459"/>
      <c r="DC60" s="459"/>
      <c r="DD60" s="459"/>
      <c r="DE60" s="459"/>
      <c r="DF60" s="459"/>
    </row>
    <row r="61" spans="2:110">
      <c r="B61" s="291" t="s">
        <v>977</v>
      </c>
      <c r="D61" s="340"/>
      <c r="E61" s="340"/>
      <c r="F61" s="340">
        <f t="shared" ref="F61:S62" si="37">F35/D35-1</f>
        <v>0.35353535353535359</v>
      </c>
      <c r="G61" s="340">
        <f t="shared" si="37"/>
        <v>0.47572815533980584</v>
      </c>
      <c r="H61" s="340">
        <f t="shared" si="37"/>
        <v>0.29850746268656714</v>
      </c>
      <c r="I61" s="340">
        <f t="shared" si="37"/>
        <v>0.32894736842105265</v>
      </c>
      <c r="J61" s="340">
        <f t="shared" si="37"/>
        <v>0.13218390804597702</v>
      </c>
      <c r="K61" s="340">
        <f t="shared" si="37"/>
        <v>0.13366336633663356</v>
      </c>
      <c r="L61" s="340">
        <f t="shared" si="37"/>
        <v>1.0152284263959421E-2</v>
      </c>
      <c r="M61" s="340">
        <f t="shared" si="37"/>
        <v>0.1659388646288209</v>
      </c>
      <c r="N61" s="340">
        <f t="shared" si="37"/>
        <v>0.36180904522613067</v>
      </c>
      <c r="O61" s="340">
        <f t="shared" si="37"/>
        <v>0.10861423220973787</v>
      </c>
      <c r="P61" s="340">
        <f t="shared" si="37"/>
        <v>0.20664206642066429</v>
      </c>
      <c r="Q61" s="340">
        <f t="shared" si="37"/>
        <v>-1.3513513513513487E-2</v>
      </c>
      <c r="R61" s="340">
        <f t="shared" si="37"/>
        <v>-8.256880733944949E-2</v>
      </c>
      <c r="S61" s="340">
        <f t="shared" si="37"/>
        <v>0.26369863013698636</v>
      </c>
      <c r="T61" s="340"/>
      <c r="U61" s="340"/>
      <c r="V61" s="340"/>
      <c r="W61" s="340"/>
      <c r="X61" s="340"/>
      <c r="Y61" s="340"/>
      <c r="Z61" s="340"/>
      <c r="AA61" s="340"/>
      <c r="AB61" s="340"/>
      <c r="AC61" s="340"/>
      <c r="AD61" s="340"/>
      <c r="AE61" s="340"/>
      <c r="AF61" s="340"/>
      <c r="AG61" s="340"/>
      <c r="AH61" s="340"/>
      <c r="AI61" s="340"/>
      <c r="AJ61" s="340"/>
      <c r="AK61" s="340"/>
      <c r="AL61" s="340"/>
      <c r="AM61" s="340"/>
      <c r="AN61" s="340"/>
      <c r="AO61" s="340"/>
      <c r="AP61" s="340"/>
      <c r="AQ61" s="340"/>
      <c r="AR61" s="457"/>
      <c r="AS61" s="213"/>
      <c r="AT61" s="213"/>
      <c r="AU61" s="502"/>
      <c r="AV61" s="502"/>
      <c r="AW61" s="460"/>
      <c r="AX61" s="460"/>
      <c r="AY61" s="460"/>
      <c r="AZ61" s="460"/>
      <c r="BA61" s="460"/>
      <c r="BB61" s="460"/>
      <c r="BC61" s="460"/>
      <c r="BD61" s="460"/>
      <c r="BE61" s="460"/>
      <c r="BF61" s="460"/>
      <c r="BG61" s="460"/>
      <c r="BH61" s="460"/>
      <c r="BI61" s="460"/>
      <c r="BJ61" s="460"/>
      <c r="BK61" s="460"/>
      <c r="BL61" s="460"/>
      <c r="BM61" s="460"/>
      <c r="BN61" s="460"/>
      <c r="BO61" s="460"/>
      <c r="BP61" s="460"/>
      <c r="BQ61" s="460"/>
      <c r="BR61" s="460"/>
      <c r="BS61" s="460"/>
      <c r="BT61" s="460"/>
      <c r="BU61" s="460"/>
      <c r="BV61" s="460"/>
      <c r="BW61" s="460"/>
      <c r="BX61" s="460"/>
      <c r="BY61" s="460"/>
      <c r="BZ61" s="460"/>
      <c r="CA61" s="460"/>
      <c r="CB61" s="460"/>
      <c r="CC61" s="460"/>
      <c r="CD61" s="460"/>
      <c r="CE61" s="460"/>
      <c r="CF61" s="460"/>
      <c r="CG61" s="460"/>
      <c r="CH61" s="460"/>
      <c r="CI61" s="460"/>
      <c r="CJ61" s="460"/>
      <c r="CK61" s="460"/>
      <c r="CL61" s="460"/>
      <c r="CM61" s="460"/>
      <c r="CN61" s="460"/>
      <c r="CO61" s="460"/>
      <c r="CP61" s="460"/>
      <c r="CQ61" s="460"/>
      <c r="CR61" s="460"/>
      <c r="CS61" s="460"/>
      <c r="CT61" s="460"/>
      <c r="CU61" s="460"/>
      <c r="CV61" s="460"/>
      <c r="CW61" s="460"/>
      <c r="CX61" s="460"/>
      <c r="CY61" s="460"/>
      <c r="CZ61" s="460"/>
      <c r="DA61" s="460"/>
      <c r="DB61" s="460"/>
      <c r="DC61" s="460"/>
      <c r="DD61" s="460"/>
      <c r="DE61" s="460"/>
      <c r="DF61" s="460"/>
    </row>
    <row r="62" spans="2:110">
      <c r="B62" s="291" t="s">
        <v>744</v>
      </c>
      <c r="D62" s="340"/>
      <c r="E62" s="340"/>
      <c r="F62" s="340">
        <f t="shared" si="37"/>
        <v>0.45161290322580649</v>
      </c>
      <c r="G62" s="340">
        <f t="shared" si="37"/>
        <v>0.2592592592592593</v>
      </c>
      <c r="H62" s="340">
        <f t="shared" si="37"/>
        <v>0</v>
      </c>
      <c r="I62" s="340">
        <f t="shared" si="37"/>
        <v>0.14705882352941169</v>
      </c>
      <c r="J62" s="340">
        <f t="shared" si="37"/>
        <v>-4.4444444444444398E-2</v>
      </c>
      <c r="K62" s="340">
        <f t="shared" si="37"/>
        <v>-0.28205128205128205</v>
      </c>
      <c r="L62" s="340">
        <f t="shared" si="37"/>
        <v>-0.65116279069767447</v>
      </c>
      <c r="M62" s="340">
        <f t="shared" si="37"/>
        <v>0.75</v>
      </c>
      <c r="N62" s="340">
        <f t="shared" si="37"/>
        <v>0.46666666666666656</v>
      </c>
      <c r="O62" s="340">
        <f t="shared" si="37"/>
        <v>0.1020408163265305</v>
      </c>
      <c r="P62" s="340">
        <f t="shared" si="37"/>
        <v>0.81818181818181812</v>
      </c>
      <c r="Q62" s="340">
        <f t="shared" si="37"/>
        <v>-1.851851851851849E-2</v>
      </c>
      <c r="R62" s="340">
        <f t="shared" si="37"/>
        <v>0.125</v>
      </c>
      <c r="S62" s="340">
        <f t="shared" si="37"/>
        <v>0.37735849056603765</v>
      </c>
      <c r="T62" s="340"/>
      <c r="U62" s="340"/>
      <c r="V62" s="340"/>
      <c r="W62" s="340"/>
      <c r="X62" s="340"/>
      <c r="Y62" s="340"/>
      <c r="Z62" s="340"/>
      <c r="AA62" s="340"/>
      <c r="AB62" s="340"/>
      <c r="AC62" s="340"/>
      <c r="AD62" s="340"/>
      <c r="AE62" s="340"/>
      <c r="AF62" s="340"/>
      <c r="AG62" s="340"/>
      <c r="AH62" s="340"/>
      <c r="AI62" s="340"/>
      <c r="AJ62" s="340"/>
      <c r="AK62" s="340"/>
      <c r="AL62" s="340"/>
      <c r="AM62" s="340"/>
      <c r="AN62" s="340"/>
      <c r="AO62" s="340"/>
      <c r="AP62" s="340"/>
      <c r="AQ62" s="340"/>
      <c r="AR62" s="457"/>
      <c r="AS62" s="213"/>
      <c r="AT62" s="213"/>
      <c r="AU62" s="502"/>
      <c r="AV62" s="502"/>
      <c r="AW62" s="460"/>
      <c r="AX62" s="460"/>
      <c r="AY62" s="460"/>
      <c r="AZ62" s="460"/>
      <c r="BA62" s="460"/>
      <c r="BB62" s="460"/>
      <c r="BC62" s="460"/>
      <c r="BD62" s="460"/>
      <c r="BE62" s="460"/>
      <c r="BF62" s="460"/>
      <c r="BG62" s="460"/>
      <c r="BH62" s="460"/>
      <c r="BI62" s="460"/>
      <c r="BJ62" s="460"/>
      <c r="BK62" s="460"/>
      <c r="BL62" s="460"/>
      <c r="BM62" s="460"/>
      <c r="BN62" s="460"/>
      <c r="BO62" s="460"/>
      <c r="BP62" s="460"/>
      <c r="BQ62" s="460"/>
      <c r="BR62" s="460"/>
      <c r="BS62" s="460"/>
      <c r="BT62" s="460"/>
      <c r="BU62" s="460"/>
      <c r="BV62" s="460"/>
      <c r="BW62" s="460"/>
      <c r="BX62" s="460"/>
      <c r="BY62" s="460"/>
      <c r="BZ62" s="460"/>
      <c r="CA62" s="460"/>
      <c r="CB62" s="460"/>
      <c r="CC62" s="460"/>
      <c r="CD62" s="460"/>
      <c r="CE62" s="460"/>
      <c r="CF62" s="460"/>
      <c r="CG62" s="460"/>
      <c r="CH62" s="460"/>
      <c r="CI62" s="460"/>
      <c r="CJ62" s="460"/>
      <c r="CK62" s="460"/>
      <c r="CL62" s="460"/>
      <c r="CM62" s="460"/>
      <c r="CN62" s="460"/>
      <c r="CO62" s="460"/>
      <c r="CP62" s="460"/>
      <c r="CQ62" s="460"/>
      <c r="CR62" s="460"/>
      <c r="CS62" s="460"/>
      <c r="CT62" s="460"/>
      <c r="CU62" s="460"/>
      <c r="CV62" s="460"/>
      <c r="CW62" s="460"/>
      <c r="CX62" s="460"/>
      <c r="CY62" s="460"/>
      <c r="CZ62" s="460"/>
      <c r="DA62" s="460"/>
      <c r="DB62" s="460"/>
      <c r="DC62" s="460"/>
      <c r="DD62" s="460"/>
      <c r="DE62" s="460"/>
      <c r="DF62" s="460"/>
    </row>
    <row r="63" spans="2:110">
      <c r="B63" s="291" t="s">
        <v>1243</v>
      </c>
      <c r="D63" s="340"/>
      <c r="E63" s="340"/>
      <c r="F63" s="340"/>
      <c r="G63" s="340"/>
      <c r="H63" s="340"/>
      <c r="I63" s="340"/>
      <c r="J63" s="340"/>
      <c r="K63" s="340"/>
      <c r="L63" s="340"/>
      <c r="M63" s="340"/>
      <c r="N63" s="340"/>
      <c r="O63" s="340"/>
      <c r="P63" s="340"/>
      <c r="Q63" s="340"/>
      <c r="R63" s="340"/>
      <c r="S63" s="340"/>
      <c r="T63" s="340"/>
      <c r="U63" s="340"/>
      <c r="V63" s="340"/>
      <c r="W63" s="340"/>
      <c r="X63" s="340"/>
      <c r="Y63" s="340"/>
      <c r="Z63" s="340"/>
      <c r="AA63" s="340"/>
      <c r="AB63" s="340"/>
      <c r="AC63" s="340"/>
      <c r="AD63" s="340"/>
      <c r="AE63" s="340"/>
      <c r="AF63" s="340"/>
      <c r="AG63" s="340"/>
      <c r="AH63" s="340"/>
      <c r="AI63" s="340"/>
      <c r="AJ63" s="340"/>
      <c r="AK63" s="340"/>
      <c r="AL63" s="340"/>
      <c r="AM63" s="340"/>
      <c r="AN63" s="340"/>
      <c r="AO63" s="340"/>
      <c r="AP63" s="340"/>
      <c r="AQ63" s="340"/>
      <c r="AR63" s="457"/>
      <c r="AS63" s="213"/>
      <c r="AT63" s="213"/>
      <c r="AU63" s="502"/>
      <c r="AV63" s="502"/>
      <c r="AW63" s="460"/>
      <c r="AX63" s="460"/>
      <c r="AY63" s="460"/>
      <c r="AZ63" s="460"/>
      <c r="BA63" s="460"/>
      <c r="BB63" s="460"/>
      <c r="BC63" s="460"/>
      <c r="BD63" s="460"/>
      <c r="BE63" s="460"/>
      <c r="BF63" s="460"/>
      <c r="BG63" s="460"/>
      <c r="BH63" s="460"/>
      <c r="BI63" s="460"/>
      <c r="BJ63" s="460"/>
      <c r="BK63" s="460"/>
      <c r="BL63" s="460"/>
      <c r="BM63" s="460"/>
      <c r="BN63" s="460"/>
      <c r="BO63" s="460"/>
      <c r="BP63" s="460"/>
      <c r="BQ63" s="460"/>
      <c r="BR63" s="460"/>
      <c r="BS63" s="460"/>
      <c r="BT63" s="460"/>
      <c r="BU63" s="460"/>
      <c r="BV63" s="460"/>
      <c r="BW63" s="460"/>
      <c r="BX63" s="460"/>
      <c r="BY63" s="460"/>
      <c r="BZ63" s="460"/>
      <c r="CA63" s="460"/>
      <c r="CB63" s="460"/>
      <c r="CC63" s="460"/>
      <c r="CD63" s="460"/>
      <c r="CE63" s="460"/>
      <c r="CF63" s="460"/>
      <c r="CG63" s="460"/>
      <c r="CH63" s="460"/>
      <c r="CI63" s="460"/>
      <c r="CJ63" s="460"/>
      <c r="CK63" s="460"/>
      <c r="CL63" s="460"/>
      <c r="CM63" s="460"/>
      <c r="CN63" s="460"/>
      <c r="CO63" s="460"/>
      <c r="CP63" s="460"/>
      <c r="CQ63" s="460"/>
      <c r="CR63" s="460"/>
      <c r="CS63" s="460"/>
      <c r="CT63" s="460"/>
      <c r="CU63" s="460"/>
      <c r="CV63" s="460"/>
      <c r="CW63" s="460"/>
      <c r="CX63" s="460"/>
      <c r="CY63" s="460"/>
      <c r="CZ63" s="460"/>
      <c r="DA63" s="460"/>
      <c r="DB63" s="460"/>
      <c r="DC63" s="460"/>
      <c r="DD63" s="460"/>
      <c r="DE63" s="460"/>
      <c r="DF63" s="460"/>
    </row>
    <row r="64" spans="2:110">
      <c r="B64" s="19" t="s">
        <v>1930</v>
      </c>
      <c r="D64" s="340"/>
      <c r="E64" s="340"/>
      <c r="F64" s="340"/>
      <c r="G64" s="340"/>
      <c r="H64" s="340"/>
      <c r="I64" s="340"/>
      <c r="J64" s="340"/>
      <c r="K64" s="340"/>
      <c r="L64" s="340"/>
      <c r="M64" s="340"/>
      <c r="N64" s="340"/>
      <c r="O64" s="340"/>
      <c r="P64" s="340"/>
      <c r="Q64" s="340"/>
      <c r="R64" s="340"/>
      <c r="S64" s="340"/>
      <c r="T64" s="340">
        <f t="shared" ref="T64:AI64" si="38">T38/R38-1</f>
        <v>0.3303167420814479</v>
      </c>
      <c r="U64" s="340">
        <f t="shared" si="38"/>
        <v>0.12909090909090915</v>
      </c>
      <c r="V64" s="340">
        <f t="shared" si="38"/>
        <v>-0.41666666666666663</v>
      </c>
      <c r="W64" s="340">
        <f t="shared" si="38"/>
        <v>-0.44605475040257647</v>
      </c>
      <c r="X64" s="340">
        <f t="shared" si="38"/>
        <v>-0.21282798833819239</v>
      </c>
      <c r="Y64" s="340">
        <f t="shared" si="38"/>
        <v>0.10465116279069764</v>
      </c>
      <c r="Z64" s="340">
        <f t="shared" si="38"/>
        <v>0.52222222222222214</v>
      </c>
      <c r="AA64" s="340">
        <f t="shared" si="38"/>
        <v>0.21842105263157885</v>
      </c>
      <c r="AB64" s="340">
        <f t="shared" si="38"/>
        <v>0.13381995133819946</v>
      </c>
      <c r="AC64" s="340">
        <f t="shared" si="38"/>
        <v>0.13606911447084236</v>
      </c>
      <c r="AD64" s="340">
        <f t="shared" si="38"/>
        <v>0.40987124463519309</v>
      </c>
      <c r="AE64" s="340">
        <f t="shared" si="38"/>
        <v>0.21863117870722437</v>
      </c>
      <c r="AF64" s="340" t="e">
        <f t="shared" si="38"/>
        <v>#REF!</v>
      </c>
      <c r="AG64" s="340" t="e">
        <f t="shared" si="38"/>
        <v>#REF!</v>
      </c>
      <c r="AH64" s="340" t="e">
        <f t="shared" si="38"/>
        <v>#REF!</v>
      </c>
      <c r="AI64" s="340" t="e">
        <f t="shared" si="38"/>
        <v>#REF!</v>
      </c>
      <c r="AJ64" s="340"/>
      <c r="AK64" s="340"/>
      <c r="AL64" s="340"/>
      <c r="AM64" s="340"/>
      <c r="AN64" s="340"/>
      <c r="AO64" s="340"/>
      <c r="AP64" s="340"/>
      <c r="AQ64" s="340"/>
      <c r="AR64" s="457"/>
      <c r="AS64" s="213"/>
      <c r="AT64" s="213"/>
      <c r="AU64" s="461"/>
      <c r="AV64" s="461"/>
      <c r="AW64" s="461"/>
      <c r="AX64" s="461"/>
      <c r="AY64" s="461"/>
      <c r="AZ64" s="461"/>
      <c r="BA64" s="461"/>
      <c r="BB64" s="461"/>
      <c r="BC64" s="461"/>
      <c r="BD64" s="461"/>
      <c r="BE64" s="461"/>
      <c r="BF64" s="461"/>
      <c r="BG64" s="461"/>
      <c r="BH64" s="461"/>
      <c r="BI64" s="461"/>
      <c r="BJ64" s="461"/>
      <c r="BK64" s="461"/>
      <c r="BL64" s="461"/>
      <c r="BM64" s="461"/>
      <c r="BN64" s="461"/>
      <c r="BO64" s="461"/>
      <c r="BP64" s="461"/>
      <c r="BQ64" s="461"/>
      <c r="BR64" s="461"/>
      <c r="BS64" s="461"/>
      <c r="BT64" s="461"/>
      <c r="BU64" s="461"/>
      <c r="BV64" s="461"/>
      <c r="BW64" s="461"/>
      <c r="BX64" s="461"/>
      <c r="BY64" s="461"/>
      <c r="BZ64" s="461"/>
      <c r="CA64" s="461"/>
      <c r="CB64" s="461"/>
      <c r="CC64" s="461"/>
      <c r="CD64" s="461"/>
      <c r="CE64" s="461"/>
      <c r="CF64" s="461"/>
      <c r="CG64" s="461"/>
      <c r="CH64" s="461"/>
      <c r="CI64" s="461"/>
      <c r="CJ64" s="461"/>
      <c r="CK64" s="461"/>
      <c r="CL64" s="461"/>
      <c r="CM64" s="461"/>
      <c r="CN64" s="461"/>
      <c r="CO64" s="461"/>
      <c r="CP64" s="461"/>
      <c r="CQ64" s="461"/>
      <c r="CR64" s="461"/>
      <c r="CS64" s="461"/>
      <c r="CT64" s="461"/>
      <c r="CU64" s="461"/>
      <c r="CV64" s="461"/>
      <c r="CW64" s="461"/>
      <c r="CX64" s="461"/>
      <c r="CY64" s="461"/>
      <c r="CZ64" s="461"/>
      <c r="DA64" s="461"/>
      <c r="DB64" s="461"/>
      <c r="DC64" s="461"/>
      <c r="DD64" s="461"/>
      <c r="DE64" s="461"/>
      <c r="DF64" s="461"/>
    </row>
    <row r="65" spans="2:110">
      <c r="B65" s="19" t="s">
        <v>1293</v>
      </c>
      <c r="D65" s="340"/>
      <c r="E65" s="340"/>
      <c r="F65" s="340"/>
      <c r="G65" s="340"/>
      <c r="H65" s="340"/>
      <c r="I65" s="340"/>
      <c r="J65" s="340"/>
      <c r="K65" s="340"/>
      <c r="L65" s="340"/>
      <c r="M65" s="340"/>
      <c r="N65" s="340"/>
      <c r="O65" s="340"/>
      <c r="P65" s="340"/>
      <c r="Q65" s="340"/>
      <c r="R65" s="340"/>
      <c r="S65" s="340"/>
      <c r="T65" s="340">
        <f>T39/R39-1</f>
        <v>1.65625</v>
      </c>
      <c r="U65" s="340">
        <f>U39/S39-1</f>
        <v>1.1020408163265305</v>
      </c>
      <c r="V65" s="340">
        <f>V39/T39-1</f>
        <v>-2.1882352941176473</v>
      </c>
      <c r="W65" s="340">
        <f>W39/U39-1</f>
        <v>-1.70873786407767</v>
      </c>
      <c r="X65" s="340">
        <f t="shared" ref="X65:AI65" si="39">-(X39/V39-1)</f>
        <v>-8.9108910891089188E-2</v>
      </c>
      <c r="Y65" s="340">
        <f t="shared" si="39"/>
        <v>0.21917808219178081</v>
      </c>
      <c r="Z65" s="340">
        <f t="shared" si="39"/>
        <v>0.25454545454545452</v>
      </c>
      <c r="AA65" s="340">
        <f t="shared" si="39"/>
        <v>-1.7543859649122862E-2</v>
      </c>
      <c r="AB65" s="340">
        <f t="shared" si="39"/>
        <v>-0.21951219512195119</v>
      </c>
      <c r="AC65" s="340">
        <f t="shared" si="39"/>
        <v>0.72413793103448276</v>
      </c>
      <c r="AD65" s="340">
        <f t="shared" si="39"/>
        <v>1.1000000000000001</v>
      </c>
      <c r="AE65" s="340">
        <f t="shared" si="39"/>
        <v>2.0625</v>
      </c>
      <c r="AF65" s="340" t="e">
        <f t="shared" si="39"/>
        <v>#REF!</v>
      </c>
      <c r="AG65" s="340" t="e">
        <f t="shared" si="39"/>
        <v>#REF!</v>
      </c>
      <c r="AH65" s="340" t="e">
        <f t="shared" si="39"/>
        <v>#REF!</v>
      </c>
      <c r="AI65" s="340" t="e">
        <f t="shared" si="39"/>
        <v>#REF!</v>
      </c>
      <c r="AJ65" s="340"/>
      <c r="AK65" s="340"/>
      <c r="AL65" s="340"/>
      <c r="AM65" s="340"/>
      <c r="AN65" s="340"/>
      <c r="AO65" s="340"/>
      <c r="AP65" s="340"/>
      <c r="AQ65" s="340"/>
      <c r="AR65" s="457"/>
      <c r="AS65" s="213"/>
      <c r="AT65" s="213"/>
      <c r="AU65" s="461"/>
      <c r="AV65" s="461"/>
      <c r="AW65" s="461"/>
      <c r="AX65" s="461"/>
      <c r="AY65" s="461"/>
      <c r="AZ65" s="461"/>
      <c r="BA65" s="461"/>
      <c r="BB65" s="461"/>
      <c r="BC65" s="461"/>
      <c r="BD65" s="461"/>
      <c r="BE65" s="461"/>
      <c r="BF65" s="461"/>
      <c r="BG65" s="461"/>
      <c r="BH65" s="461"/>
      <c r="BI65" s="461"/>
      <c r="BJ65" s="461"/>
      <c r="BK65" s="461"/>
      <c r="BL65" s="461"/>
      <c r="BM65" s="461"/>
      <c r="BN65" s="461"/>
      <c r="BO65" s="461"/>
      <c r="BP65" s="461"/>
      <c r="BQ65" s="461"/>
      <c r="BR65" s="461"/>
      <c r="BS65" s="461"/>
      <c r="BT65" s="461"/>
      <c r="BU65" s="461"/>
      <c r="BV65" s="461"/>
      <c r="BW65" s="461"/>
      <c r="BX65" s="461"/>
      <c r="BY65" s="461"/>
      <c r="BZ65" s="461"/>
      <c r="CA65" s="461"/>
      <c r="CB65" s="461"/>
      <c r="CC65" s="461"/>
      <c r="CD65" s="461"/>
      <c r="CE65" s="461"/>
      <c r="CF65" s="461"/>
      <c r="CG65" s="461"/>
      <c r="CH65" s="461"/>
      <c r="CI65" s="461"/>
      <c r="CJ65" s="461"/>
      <c r="CK65" s="461"/>
      <c r="CL65" s="461"/>
      <c r="CM65" s="461"/>
      <c r="CN65" s="461"/>
      <c r="CO65" s="461"/>
      <c r="CP65" s="461"/>
      <c r="CQ65" s="461"/>
      <c r="CR65" s="461"/>
      <c r="CS65" s="461"/>
      <c r="CT65" s="461"/>
      <c r="CU65" s="461"/>
      <c r="CV65" s="461"/>
      <c r="CW65" s="461"/>
      <c r="CX65" s="461"/>
      <c r="CY65" s="461"/>
      <c r="CZ65" s="461"/>
      <c r="DA65" s="461"/>
      <c r="DB65" s="461"/>
      <c r="DC65" s="461"/>
      <c r="DD65" s="461"/>
      <c r="DE65" s="461"/>
      <c r="DF65" s="461"/>
    </row>
    <row r="66" spans="2:110">
      <c r="B66" s="19" t="s">
        <v>976</v>
      </c>
      <c r="D66" s="340"/>
      <c r="E66" s="340"/>
      <c r="F66" s="340">
        <f t="shared" ref="F66:O66" si="40">F40/D40-1</f>
        <v>0.11864406779661008</v>
      </c>
      <c r="G66" s="340">
        <f t="shared" si="40"/>
        <v>-1.2499999999999956E-2</v>
      </c>
      <c r="H66" s="340">
        <f t="shared" si="40"/>
        <v>-1.5151515151515138E-2</v>
      </c>
      <c r="I66" s="340">
        <f t="shared" si="40"/>
        <v>-0.30379746835443033</v>
      </c>
      <c r="J66" s="340">
        <f t="shared" si="40"/>
        <v>-1.538461538461533E-2</v>
      </c>
      <c r="K66" s="340">
        <f t="shared" si="40"/>
        <v>0.27272727272727271</v>
      </c>
      <c r="L66" s="340">
        <f t="shared" si="40"/>
        <v>3.125E-2</v>
      </c>
      <c r="M66" s="340">
        <f t="shared" si="40"/>
        <v>0.21428571428571419</v>
      </c>
      <c r="N66" s="340">
        <f t="shared" si="40"/>
        <v>0.19696969696969702</v>
      </c>
      <c r="O66" s="340">
        <f t="shared" si="40"/>
        <v>-1.9294117647058824</v>
      </c>
      <c r="P66" s="340"/>
      <c r="Q66" s="340"/>
      <c r="R66" s="340"/>
      <c r="S66" s="340"/>
      <c r="T66" s="340"/>
      <c r="U66" s="340"/>
      <c r="V66" s="340"/>
      <c r="W66" s="340"/>
      <c r="X66" s="340"/>
      <c r="Y66" s="340"/>
      <c r="Z66" s="340"/>
      <c r="AA66" s="340"/>
      <c r="AB66" s="340"/>
      <c r="AC66" s="340"/>
      <c r="AD66" s="340"/>
      <c r="AE66" s="340"/>
      <c r="AF66" s="340"/>
      <c r="AG66" s="340"/>
      <c r="AH66" s="340"/>
      <c r="AI66" s="340"/>
      <c r="AJ66" s="340"/>
      <c r="AK66" s="340"/>
      <c r="AL66" s="340"/>
      <c r="AM66" s="340"/>
      <c r="AN66" s="340"/>
      <c r="AO66" s="340"/>
      <c r="AP66" s="340"/>
      <c r="AQ66" s="340"/>
      <c r="AR66" s="457"/>
      <c r="AS66" s="213"/>
      <c r="AT66" s="213"/>
      <c r="AU66" s="502"/>
      <c r="AV66" s="502"/>
      <c r="AW66" s="460"/>
      <c r="AX66" s="460"/>
      <c r="AY66" s="460"/>
      <c r="AZ66" s="460"/>
      <c r="BA66" s="460"/>
      <c r="BB66" s="460"/>
      <c r="BC66" s="460"/>
      <c r="BD66" s="460"/>
      <c r="BE66" s="460"/>
      <c r="BF66" s="460"/>
      <c r="BG66" s="460"/>
      <c r="BH66" s="460"/>
      <c r="BI66" s="460"/>
      <c r="BJ66" s="460"/>
      <c r="BK66" s="460"/>
      <c r="BL66" s="460"/>
      <c r="BM66" s="460"/>
      <c r="BN66" s="460"/>
      <c r="BO66" s="460"/>
      <c r="BP66" s="460"/>
      <c r="BQ66" s="460"/>
      <c r="BR66" s="460"/>
      <c r="BS66" s="460"/>
      <c r="BT66" s="460"/>
      <c r="BU66" s="460"/>
      <c r="BV66" s="460"/>
      <c r="BW66" s="460"/>
      <c r="BX66" s="460"/>
      <c r="BY66" s="460"/>
      <c r="BZ66" s="460"/>
      <c r="CA66" s="460"/>
      <c r="CB66" s="460"/>
      <c r="CC66" s="460"/>
      <c r="CD66" s="460"/>
      <c r="CE66" s="460"/>
      <c r="CF66" s="460"/>
      <c r="CG66" s="460"/>
      <c r="CH66" s="460"/>
      <c r="CI66" s="460"/>
      <c r="CJ66" s="460"/>
      <c r="CK66" s="460"/>
      <c r="CL66" s="460"/>
      <c r="CM66" s="460"/>
      <c r="CN66" s="460"/>
      <c r="CO66" s="460"/>
      <c r="CP66" s="460"/>
      <c r="CQ66" s="460"/>
      <c r="CR66" s="460"/>
      <c r="CS66" s="460"/>
      <c r="CT66" s="460"/>
      <c r="CU66" s="460"/>
      <c r="CV66" s="460"/>
      <c r="CW66" s="460"/>
      <c r="CX66" s="460"/>
      <c r="CY66" s="460"/>
      <c r="CZ66" s="460"/>
      <c r="DA66" s="460"/>
      <c r="DB66" s="460"/>
      <c r="DC66" s="460"/>
      <c r="DD66" s="460"/>
      <c r="DE66" s="460"/>
      <c r="DF66" s="460"/>
    </row>
    <row r="67" spans="2:110">
      <c r="B67" s="19" t="s">
        <v>776</v>
      </c>
      <c r="D67" s="340"/>
      <c r="E67" s="340"/>
      <c r="F67" s="340"/>
      <c r="G67" s="340"/>
      <c r="H67" s="340"/>
      <c r="I67" s="340"/>
      <c r="J67" s="340"/>
      <c r="K67" s="340"/>
      <c r="L67" s="340"/>
      <c r="M67" s="340"/>
      <c r="N67" s="340"/>
      <c r="O67" s="340"/>
      <c r="P67" s="340"/>
      <c r="Q67" s="340"/>
      <c r="R67" s="340"/>
      <c r="S67" s="340"/>
      <c r="T67" s="340"/>
      <c r="U67" s="340"/>
      <c r="V67" s="340"/>
      <c r="W67" s="340"/>
      <c r="X67" s="340"/>
      <c r="Y67" s="340"/>
      <c r="Z67" s="340"/>
      <c r="AA67" s="340"/>
      <c r="AB67" s="340"/>
      <c r="AC67" s="340"/>
      <c r="AD67" s="340"/>
      <c r="AE67" s="340"/>
      <c r="AF67" s="340"/>
      <c r="AG67" s="340"/>
      <c r="AH67" s="340"/>
      <c r="AI67" s="340"/>
      <c r="AJ67" s="340"/>
      <c r="AK67" s="340"/>
      <c r="AL67" s="340"/>
      <c r="AM67" s="340"/>
      <c r="AN67" s="340"/>
      <c r="AO67" s="340"/>
      <c r="AP67" s="340"/>
      <c r="AQ67" s="340"/>
      <c r="AR67" s="457"/>
      <c r="AS67" s="213"/>
      <c r="AT67" s="213"/>
      <c r="AU67" s="503"/>
      <c r="AV67" s="503"/>
      <c r="AW67" s="462"/>
      <c r="AX67" s="462"/>
      <c r="AY67" s="462"/>
      <c r="AZ67" s="462"/>
      <c r="BA67" s="462"/>
      <c r="BB67" s="462"/>
      <c r="BC67" s="462"/>
      <c r="BD67" s="462"/>
      <c r="BE67" s="462"/>
      <c r="BF67" s="462"/>
      <c r="BG67" s="462"/>
      <c r="BH67" s="462"/>
      <c r="BI67" s="462"/>
      <c r="BJ67" s="462"/>
      <c r="BK67" s="462"/>
      <c r="BL67" s="462"/>
      <c r="BM67" s="462"/>
      <c r="BN67" s="462"/>
      <c r="BO67" s="462"/>
      <c r="BP67" s="462"/>
      <c r="BQ67" s="462"/>
      <c r="BR67" s="462"/>
      <c r="BS67" s="462"/>
      <c r="BT67" s="462"/>
      <c r="BU67" s="462"/>
      <c r="BV67" s="462"/>
      <c r="BW67" s="462"/>
      <c r="BX67" s="462"/>
      <c r="BY67" s="462"/>
      <c r="BZ67" s="462"/>
      <c r="CA67" s="462"/>
      <c r="CB67" s="462"/>
      <c r="CC67" s="462"/>
      <c r="CD67" s="462"/>
      <c r="CE67" s="462"/>
      <c r="CF67" s="462"/>
      <c r="CG67" s="462"/>
      <c r="CH67" s="462"/>
      <c r="CI67" s="462"/>
      <c r="CJ67" s="462"/>
      <c r="CK67" s="462"/>
      <c r="CL67" s="462"/>
      <c r="CM67" s="462"/>
      <c r="CN67" s="462"/>
      <c r="CO67" s="462"/>
      <c r="CP67" s="462"/>
      <c r="CQ67" s="462"/>
      <c r="CR67" s="462"/>
      <c r="CS67" s="462"/>
      <c r="CT67" s="462"/>
      <c r="CU67" s="462"/>
      <c r="CV67" s="462"/>
      <c r="CW67" s="462"/>
      <c r="CX67" s="462"/>
      <c r="CY67" s="462"/>
      <c r="CZ67" s="462"/>
      <c r="DA67" s="462"/>
      <c r="DB67" s="462"/>
      <c r="DC67" s="462"/>
      <c r="DD67" s="462"/>
      <c r="DE67" s="462"/>
      <c r="DF67" s="462"/>
    </row>
    <row r="68" spans="2:110">
      <c r="B68" s="19" t="s">
        <v>975</v>
      </c>
      <c r="D68" s="340"/>
      <c r="E68" s="340"/>
      <c r="F68" s="340"/>
      <c r="G68" s="340"/>
      <c r="H68" s="340"/>
      <c r="I68" s="340"/>
      <c r="J68" s="340"/>
      <c r="K68" s="340"/>
      <c r="L68" s="340"/>
      <c r="M68" s="340"/>
      <c r="N68" s="340"/>
      <c r="O68" s="340"/>
      <c r="P68" s="340"/>
      <c r="Q68" s="340"/>
      <c r="R68" s="340"/>
      <c r="S68" s="340"/>
      <c r="T68" s="340"/>
      <c r="U68" s="340"/>
      <c r="V68" s="340"/>
      <c r="W68" s="340"/>
      <c r="X68" s="340"/>
      <c r="Y68" s="340"/>
      <c r="Z68" s="340"/>
      <c r="AA68" s="340"/>
      <c r="AB68" s="340"/>
      <c r="AC68" s="340"/>
      <c r="AD68" s="340"/>
      <c r="AE68" s="340"/>
      <c r="AF68" s="340"/>
      <c r="AG68" s="340"/>
      <c r="AH68" s="340"/>
      <c r="AI68" s="340"/>
      <c r="AJ68" s="340"/>
      <c r="AK68" s="340"/>
      <c r="AL68" s="340"/>
      <c r="AM68" s="340"/>
      <c r="AN68" s="340"/>
      <c r="AO68" s="340"/>
      <c r="AP68" s="340"/>
      <c r="AQ68" s="340"/>
      <c r="AR68" s="457"/>
      <c r="AS68" s="213"/>
      <c r="AT68" s="213"/>
      <c r="AU68" s="502"/>
      <c r="AV68" s="502"/>
      <c r="AW68" s="460"/>
      <c r="AX68" s="460"/>
      <c r="AY68" s="460"/>
      <c r="AZ68" s="460"/>
      <c r="BA68" s="460"/>
      <c r="BB68" s="460"/>
      <c r="BC68" s="460"/>
      <c r="BD68" s="460"/>
      <c r="BE68" s="460"/>
      <c r="BF68" s="460"/>
      <c r="BG68" s="460"/>
      <c r="BH68" s="460"/>
      <c r="BI68" s="460"/>
      <c r="BJ68" s="460"/>
      <c r="BK68" s="460"/>
      <c r="BL68" s="460"/>
      <c r="BM68" s="460"/>
      <c r="BN68" s="460"/>
      <c r="BO68" s="460"/>
      <c r="BP68" s="460"/>
      <c r="BQ68" s="460"/>
      <c r="BR68" s="460"/>
      <c r="BS68" s="460"/>
      <c r="BT68" s="460"/>
      <c r="BU68" s="460"/>
      <c r="BV68" s="460"/>
      <c r="BW68" s="460"/>
      <c r="BX68" s="460"/>
      <c r="BY68" s="460"/>
      <c r="BZ68" s="460"/>
      <c r="CA68" s="460"/>
      <c r="CB68" s="460"/>
      <c r="CC68" s="460"/>
      <c r="CD68" s="460"/>
      <c r="CE68" s="460"/>
      <c r="CF68" s="460"/>
      <c r="CG68" s="460"/>
      <c r="CH68" s="460"/>
      <c r="CI68" s="460"/>
      <c r="CJ68" s="460"/>
      <c r="CK68" s="460"/>
      <c r="CL68" s="460"/>
      <c r="CM68" s="460"/>
      <c r="CN68" s="460"/>
      <c r="CO68" s="460"/>
      <c r="CP68" s="460"/>
      <c r="CQ68" s="460"/>
      <c r="CR68" s="460"/>
      <c r="CS68" s="460"/>
      <c r="CT68" s="460"/>
      <c r="CU68" s="460"/>
      <c r="CV68" s="460"/>
      <c r="CW68" s="460"/>
      <c r="CX68" s="460"/>
      <c r="CY68" s="460"/>
      <c r="CZ68" s="460"/>
      <c r="DA68" s="460"/>
      <c r="DB68" s="460"/>
      <c r="DC68" s="460"/>
      <c r="DD68" s="460"/>
      <c r="DE68" s="460"/>
      <c r="DF68" s="460"/>
    </row>
    <row r="69" spans="2:110">
      <c r="B69" s="19" t="s">
        <v>743</v>
      </c>
      <c r="D69" s="340"/>
      <c r="E69" s="340"/>
      <c r="F69" s="340"/>
      <c r="G69" s="340"/>
      <c r="H69" s="340"/>
      <c r="I69" s="340"/>
      <c r="J69" s="340"/>
      <c r="K69" s="340"/>
      <c r="L69" s="340"/>
      <c r="M69" s="340"/>
      <c r="N69" s="340"/>
      <c r="O69" s="340"/>
      <c r="P69" s="340"/>
      <c r="Q69" s="340"/>
      <c r="R69" s="340"/>
      <c r="S69" s="340"/>
      <c r="T69" s="340"/>
      <c r="U69" s="340"/>
      <c r="V69" s="340"/>
      <c r="W69" s="340"/>
      <c r="X69" s="340"/>
      <c r="Y69" s="340"/>
      <c r="Z69" s="340"/>
      <c r="AA69" s="340"/>
      <c r="AB69" s="340"/>
      <c r="AC69" s="340"/>
      <c r="AD69" s="340"/>
      <c r="AE69" s="340"/>
      <c r="AF69" s="340"/>
      <c r="AG69" s="340"/>
      <c r="AH69" s="340"/>
      <c r="AI69" s="340"/>
      <c r="AJ69" s="340"/>
      <c r="AK69" s="340"/>
      <c r="AL69" s="340"/>
      <c r="AM69" s="340"/>
      <c r="AN69" s="340"/>
      <c r="AO69" s="340"/>
      <c r="AP69" s="340"/>
      <c r="AQ69" s="340"/>
      <c r="AR69" s="457"/>
      <c r="AS69" s="213"/>
      <c r="AT69" s="213"/>
      <c r="AU69" s="502"/>
      <c r="AV69" s="502"/>
      <c r="AW69" s="460"/>
      <c r="AX69" s="460"/>
      <c r="AY69" s="460"/>
      <c r="AZ69" s="460"/>
      <c r="BA69" s="460"/>
      <c r="BB69" s="460"/>
      <c r="BC69" s="460"/>
      <c r="BD69" s="460"/>
      <c r="BE69" s="460"/>
      <c r="BF69" s="460"/>
      <c r="BG69" s="460"/>
      <c r="BH69" s="460"/>
      <c r="BI69" s="460"/>
      <c r="BJ69" s="460"/>
      <c r="BK69" s="460"/>
      <c r="BL69" s="460"/>
      <c r="BM69" s="460"/>
      <c r="BN69" s="460"/>
      <c r="BO69" s="460"/>
      <c r="BP69" s="460"/>
      <c r="BQ69" s="460"/>
      <c r="BR69" s="460"/>
      <c r="BS69" s="460"/>
      <c r="BT69" s="460"/>
      <c r="BU69" s="460"/>
      <c r="BV69" s="460"/>
      <c r="BW69" s="460"/>
      <c r="BX69" s="460"/>
      <c r="BY69" s="460"/>
      <c r="BZ69" s="460"/>
      <c r="CA69" s="460"/>
      <c r="CB69" s="460"/>
      <c r="CC69" s="460"/>
      <c r="CD69" s="460"/>
      <c r="CE69" s="460"/>
      <c r="CF69" s="460"/>
      <c r="CG69" s="460"/>
      <c r="CH69" s="460"/>
      <c r="CI69" s="460"/>
      <c r="CJ69" s="460"/>
      <c r="CK69" s="460"/>
      <c r="CL69" s="460"/>
      <c r="CM69" s="460"/>
      <c r="CN69" s="460"/>
      <c r="CO69" s="460"/>
      <c r="CP69" s="460"/>
      <c r="CQ69" s="460"/>
      <c r="CR69" s="460"/>
      <c r="CS69" s="460"/>
      <c r="CT69" s="460"/>
      <c r="CU69" s="460"/>
      <c r="CV69" s="460"/>
      <c r="CW69" s="460"/>
      <c r="CX69" s="460"/>
      <c r="CY69" s="460"/>
      <c r="CZ69" s="460"/>
      <c r="DA69" s="460"/>
      <c r="DB69" s="460"/>
      <c r="DC69" s="460"/>
      <c r="DD69" s="460"/>
      <c r="DE69" s="460"/>
      <c r="DF69" s="460"/>
    </row>
    <row r="70" spans="2:110">
      <c r="B70" s="214" t="s">
        <v>1008</v>
      </c>
      <c r="D70" s="341"/>
      <c r="E70" s="341"/>
      <c r="F70" s="341">
        <f t="shared" ref="F70:AI70" si="41">F44/D44-1</f>
        <v>0.22924187725631762</v>
      </c>
      <c r="G70" s="341">
        <f t="shared" si="41"/>
        <v>0.2015748031496063</v>
      </c>
      <c r="H70" s="341">
        <f t="shared" si="41"/>
        <v>0.24375917767988242</v>
      </c>
      <c r="I70" s="341">
        <f t="shared" si="41"/>
        <v>0.22280471821756231</v>
      </c>
      <c r="J70" s="341">
        <f t="shared" si="41"/>
        <v>0.12868949232585591</v>
      </c>
      <c r="K70" s="341">
        <f t="shared" si="41"/>
        <v>0.21436227224008575</v>
      </c>
      <c r="L70" s="341">
        <f t="shared" si="41"/>
        <v>0.22489539748953979</v>
      </c>
      <c r="M70" s="341">
        <f t="shared" si="41"/>
        <v>0.11297440423654015</v>
      </c>
      <c r="N70" s="341">
        <f t="shared" si="41"/>
        <v>0.11784799316823236</v>
      </c>
      <c r="O70" s="341">
        <f t="shared" si="41"/>
        <v>-0.13164155432196667</v>
      </c>
      <c r="P70" s="341">
        <f t="shared" si="41"/>
        <v>-6.9518716577540052E-2</v>
      </c>
      <c r="Q70" s="341">
        <f t="shared" si="41"/>
        <v>-0.11050228310502286</v>
      </c>
      <c r="R70" s="341">
        <f t="shared" si="41"/>
        <v>0.13793103448275867</v>
      </c>
      <c r="S70" s="341">
        <f t="shared" si="41"/>
        <v>0.6806981519507187</v>
      </c>
      <c r="T70" s="341">
        <f t="shared" si="41"/>
        <v>0.35858585858585856</v>
      </c>
      <c r="U70" s="341">
        <f t="shared" si="41"/>
        <v>0.18326206475259621</v>
      </c>
      <c r="V70" s="341">
        <f t="shared" si="41"/>
        <v>-0.49707912904938922</v>
      </c>
      <c r="W70" s="341">
        <f t="shared" si="41"/>
        <v>-0.61848218895198759</v>
      </c>
      <c r="X70" s="341">
        <f t="shared" si="41"/>
        <v>-0.3041182682154171</v>
      </c>
      <c r="Y70" s="341">
        <f t="shared" si="41"/>
        <v>0.55074424898511509</v>
      </c>
      <c r="Z70" s="341">
        <f t="shared" si="41"/>
        <v>0.58877086494688924</v>
      </c>
      <c r="AA70" s="341">
        <f t="shared" si="41"/>
        <v>0.18760907504363011</v>
      </c>
      <c r="AB70" s="341">
        <f t="shared" si="41"/>
        <v>0.33428844317096473</v>
      </c>
      <c r="AC70" s="341">
        <f t="shared" si="41"/>
        <v>0.29977957384276266</v>
      </c>
      <c r="AD70" s="341">
        <f t="shared" si="41"/>
        <v>0.41302791696492491</v>
      </c>
      <c r="AE70" s="341">
        <f t="shared" si="41"/>
        <v>0.21254946297343125</v>
      </c>
      <c r="AF70" s="341" t="e">
        <f t="shared" si="41"/>
        <v>#REF!</v>
      </c>
      <c r="AG70" s="341" t="e">
        <f t="shared" si="41"/>
        <v>#REF!</v>
      </c>
      <c r="AH70" s="341" t="e">
        <f t="shared" si="41"/>
        <v>#REF!</v>
      </c>
      <c r="AI70" s="341" t="e">
        <f t="shared" si="41"/>
        <v>#REF!</v>
      </c>
      <c r="AJ70" s="341"/>
      <c r="AK70" s="341"/>
      <c r="AL70" s="341"/>
      <c r="AM70" s="341"/>
      <c r="AN70" s="341"/>
      <c r="AO70" s="341"/>
      <c r="AP70" s="341"/>
      <c r="AQ70" s="341"/>
      <c r="AR70" s="475"/>
      <c r="AS70" s="213"/>
      <c r="AT70" s="213"/>
      <c r="AU70" s="463"/>
      <c r="AV70" s="463"/>
      <c r="AW70" s="463"/>
      <c r="AX70" s="463"/>
      <c r="AY70" s="463"/>
      <c r="AZ70" s="463"/>
      <c r="BA70" s="463"/>
      <c r="BB70" s="463"/>
      <c r="BC70" s="463"/>
      <c r="BD70" s="463"/>
      <c r="BE70" s="463"/>
      <c r="BF70" s="463"/>
      <c r="BG70" s="463"/>
      <c r="BH70" s="463"/>
      <c r="BI70" s="463"/>
      <c r="BJ70" s="463"/>
      <c r="BK70" s="463"/>
      <c r="BL70" s="463"/>
      <c r="BM70" s="463"/>
      <c r="BN70" s="463"/>
      <c r="BO70" s="463"/>
      <c r="BP70" s="463"/>
      <c r="BQ70" s="463"/>
      <c r="BR70" s="463"/>
      <c r="BS70" s="463"/>
      <c r="BT70" s="463"/>
      <c r="BU70" s="463"/>
      <c r="BV70" s="463"/>
      <c r="BW70" s="463"/>
      <c r="BX70" s="463"/>
      <c r="BY70" s="463"/>
      <c r="BZ70" s="463"/>
      <c r="CA70" s="463"/>
      <c r="CB70" s="463"/>
      <c r="CC70" s="463"/>
      <c r="CD70" s="463"/>
      <c r="CE70" s="463"/>
      <c r="CF70" s="463"/>
      <c r="CG70" s="463"/>
      <c r="CH70" s="463"/>
      <c r="CI70" s="463"/>
      <c r="CJ70" s="463"/>
      <c r="CK70" s="463"/>
      <c r="CL70" s="463"/>
      <c r="CM70" s="463"/>
      <c r="CN70" s="463"/>
      <c r="CO70" s="463"/>
      <c r="CP70" s="463"/>
      <c r="CQ70" s="463"/>
      <c r="CR70" s="463"/>
      <c r="CS70" s="463"/>
      <c r="CT70" s="463"/>
      <c r="CU70" s="463"/>
      <c r="CV70" s="463"/>
      <c r="CW70" s="463"/>
      <c r="CX70" s="463"/>
      <c r="CY70" s="463"/>
      <c r="CZ70" s="463"/>
      <c r="DA70" s="463"/>
      <c r="DB70" s="463"/>
      <c r="DC70" s="463"/>
      <c r="DD70" s="463"/>
      <c r="DE70" s="463"/>
      <c r="DF70" s="463"/>
    </row>
    <row r="71" spans="2:110">
      <c r="B71" s="19"/>
      <c r="D71" s="213"/>
      <c r="E71" s="213"/>
      <c r="F71" s="213"/>
      <c r="G71" s="213"/>
      <c r="H71" s="213"/>
      <c r="I71" s="213"/>
      <c r="J71" s="213"/>
      <c r="K71" s="213"/>
      <c r="L71" s="213"/>
      <c r="M71" s="213"/>
      <c r="N71" s="213"/>
      <c r="O71" s="213"/>
      <c r="P71" s="213"/>
      <c r="Q71" s="213"/>
      <c r="R71" s="213"/>
      <c r="S71" s="213"/>
      <c r="T71" s="213"/>
      <c r="U71" s="213"/>
      <c r="V71" s="213"/>
      <c r="W71" s="213"/>
      <c r="X71" s="213"/>
      <c r="Y71" s="213"/>
      <c r="Z71" s="213"/>
      <c r="AA71" s="213"/>
      <c r="AB71" s="213"/>
      <c r="AC71" s="213"/>
      <c r="AD71" s="213"/>
      <c r="AE71" s="213"/>
      <c r="AF71" s="213"/>
      <c r="AG71" s="213"/>
      <c r="AH71" s="213"/>
      <c r="AI71" s="213"/>
      <c r="AJ71" s="213"/>
      <c r="AK71" s="213"/>
      <c r="AL71" s="213"/>
      <c r="AM71" s="213"/>
      <c r="AN71" s="213"/>
      <c r="AO71" s="213"/>
      <c r="AP71" s="213"/>
      <c r="AQ71" s="213"/>
      <c r="AR71" s="213"/>
      <c r="AS71" s="213"/>
      <c r="AT71" s="213"/>
      <c r="AU71" s="213"/>
      <c r="AV71" s="213"/>
      <c r="AW71" s="213"/>
      <c r="AX71" s="213"/>
      <c r="AY71" s="213"/>
      <c r="AZ71" s="213"/>
      <c r="BA71" s="213"/>
      <c r="BB71" s="213"/>
      <c r="BC71" s="213"/>
      <c r="BD71" s="213"/>
      <c r="BE71" s="213"/>
      <c r="BF71" s="213"/>
      <c r="BG71" s="213"/>
      <c r="BH71" s="213"/>
      <c r="BI71" s="213"/>
      <c r="BJ71" s="213"/>
      <c r="BK71" s="213"/>
      <c r="BL71" s="213"/>
      <c r="BM71" s="213"/>
      <c r="BN71" s="213"/>
      <c r="BO71" s="213"/>
      <c r="BP71" s="213"/>
      <c r="BQ71" s="213"/>
      <c r="BR71" s="213"/>
      <c r="BS71" s="213"/>
      <c r="BT71" s="213"/>
      <c r="BU71" s="213"/>
      <c r="BV71" s="213"/>
      <c r="BW71" s="213"/>
      <c r="BX71" s="213"/>
      <c r="BY71" s="213"/>
      <c r="BZ71" s="213"/>
      <c r="CA71" s="213"/>
      <c r="CB71" s="213"/>
      <c r="CC71" s="213"/>
      <c r="CD71" s="213"/>
      <c r="CE71" s="213"/>
      <c r="CF71" s="213"/>
      <c r="CG71" s="213"/>
      <c r="CH71" s="213"/>
      <c r="CI71" s="213"/>
      <c r="CJ71" s="213"/>
      <c r="CK71" s="213"/>
      <c r="CL71" s="213"/>
      <c r="CM71" s="213"/>
      <c r="CN71" s="213"/>
      <c r="CO71" s="213"/>
      <c r="CP71" s="213"/>
      <c r="CQ71" s="213"/>
      <c r="CR71" s="213"/>
      <c r="CS71" s="213"/>
      <c r="CT71" s="213"/>
      <c r="CU71" s="213"/>
      <c r="CV71" s="213"/>
      <c r="CW71" s="213"/>
      <c r="CX71" s="213"/>
      <c r="CY71" s="213"/>
      <c r="CZ71" s="213"/>
      <c r="DA71" s="213"/>
      <c r="DB71" s="213"/>
      <c r="DC71" s="213"/>
      <c r="DD71" s="213"/>
      <c r="DE71" s="213"/>
      <c r="DF71" s="213"/>
    </row>
    <row r="72" spans="2:110">
      <c r="B72" s="306" t="s">
        <v>1045</v>
      </c>
      <c r="D72" s="347"/>
      <c r="E72" s="347"/>
      <c r="F72" s="347"/>
      <c r="G72" s="347"/>
      <c r="H72" s="347"/>
      <c r="I72" s="347"/>
      <c r="J72" s="347"/>
      <c r="K72" s="347"/>
      <c r="L72" s="347"/>
      <c r="M72" s="347"/>
      <c r="N72" s="347"/>
      <c r="O72" s="347"/>
      <c r="P72" s="347"/>
      <c r="Q72" s="347"/>
      <c r="R72" s="347"/>
      <c r="S72" s="347"/>
      <c r="T72" s="347"/>
      <c r="U72" s="347"/>
      <c r="V72" s="347"/>
      <c r="W72" s="347"/>
      <c r="X72" s="347"/>
      <c r="Y72" s="347"/>
      <c r="Z72" s="347"/>
      <c r="AA72" s="347"/>
      <c r="AB72" s="347"/>
      <c r="AC72" s="347"/>
      <c r="AD72" s="347"/>
      <c r="AE72" s="347"/>
      <c r="AF72" s="347"/>
      <c r="AG72" s="347"/>
      <c r="AH72" s="347"/>
      <c r="AI72" s="347"/>
      <c r="AJ72" s="347"/>
      <c r="AK72" s="347"/>
      <c r="AL72" s="347"/>
      <c r="AM72" s="347"/>
      <c r="AN72" s="347"/>
      <c r="AO72" s="347"/>
      <c r="AP72" s="347"/>
      <c r="AQ72" s="347"/>
      <c r="AR72" s="477"/>
      <c r="AS72" s="213"/>
      <c r="AT72" s="213"/>
      <c r="AU72" s="347"/>
      <c r="AV72" s="347"/>
      <c r="AW72" s="347"/>
      <c r="AX72" s="347"/>
      <c r="AY72" s="347"/>
      <c r="AZ72" s="347"/>
      <c r="BA72" s="347"/>
      <c r="BB72" s="347"/>
      <c r="BC72" s="347"/>
      <c r="BD72" s="347"/>
      <c r="BE72" s="347"/>
      <c r="BF72" s="347"/>
      <c r="BG72" s="347"/>
      <c r="BH72" s="347"/>
      <c r="BI72" s="347"/>
      <c r="BJ72" s="347"/>
      <c r="BK72" s="347"/>
      <c r="BL72" s="347"/>
      <c r="BM72" s="347"/>
      <c r="BN72" s="347"/>
      <c r="BO72" s="347"/>
      <c r="BP72" s="347"/>
      <c r="BQ72" s="347"/>
      <c r="BR72" s="347"/>
      <c r="BS72" s="347"/>
      <c r="BT72" s="347"/>
      <c r="BU72" s="347"/>
      <c r="BV72" s="347"/>
      <c r="BW72" s="347"/>
      <c r="BX72" s="347"/>
      <c r="BY72" s="347"/>
      <c r="BZ72" s="347"/>
      <c r="CA72" s="347"/>
      <c r="CB72" s="347"/>
      <c r="CC72" s="347"/>
      <c r="CD72" s="347"/>
      <c r="CE72" s="347"/>
      <c r="CF72" s="347"/>
      <c r="CG72" s="347"/>
      <c r="CH72" s="347"/>
      <c r="CI72" s="347"/>
      <c r="CJ72" s="347"/>
      <c r="CK72" s="347"/>
      <c r="CL72" s="347"/>
      <c r="CM72" s="347"/>
      <c r="CN72" s="347"/>
      <c r="CO72" s="347"/>
      <c r="CP72" s="347"/>
      <c r="CQ72" s="347"/>
      <c r="CR72" s="347"/>
      <c r="CS72" s="347"/>
      <c r="CT72" s="347"/>
      <c r="CU72" s="347"/>
      <c r="CV72" s="347"/>
      <c r="CW72" s="347"/>
      <c r="CX72" s="347"/>
      <c r="CY72" s="347"/>
      <c r="CZ72" s="347"/>
      <c r="DA72" s="347"/>
      <c r="DB72" s="347"/>
      <c r="DC72" s="347"/>
      <c r="DD72" s="347"/>
      <c r="DE72" s="347"/>
      <c r="DF72" s="347"/>
    </row>
    <row r="73" spans="2:110">
      <c r="B73" s="214" t="s">
        <v>1008</v>
      </c>
      <c r="D73" s="348">
        <f>OpMod!BA268</f>
        <v>0.8248664180545866</v>
      </c>
      <c r="E73" s="348" t="e">
        <f>OpMod!BB268</f>
        <v>#REF!</v>
      </c>
      <c r="F73" s="348">
        <f>OpMod!BC268</f>
        <v>1.0369978401264288</v>
      </c>
      <c r="G73" s="348" t="e">
        <f>OpMod!BD268</f>
        <v>#REF!</v>
      </c>
      <c r="H73" s="348">
        <f>OpMod!BE268</f>
        <v>1.321633350620778</v>
      </c>
      <c r="I73" s="348">
        <f>OpMod!BF268</f>
        <v>-3.1304566494255885</v>
      </c>
      <c r="J73" s="348">
        <f>OpMod!BG268</f>
        <v>1.5632471048471515</v>
      </c>
      <c r="K73" s="348">
        <f>OpMod!BH268</f>
        <v>-4.0031303508624418</v>
      </c>
      <c r="L73" s="348">
        <f>OpMod!BI268</f>
        <v>1.7986096401687386</v>
      </c>
      <c r="M73" s="348">
        <f>OpMod!BJ268</f>
        <v>-4.2820313573314754</v>
      </c>
      <c r="N73" s="348">
        <f>OpMod!BK268</f>
        <v>2.1014009132083165</v>
      </c>
      <c r="O73" s="348">
        <f>OpMod!BL268</f>
        <v>-3.8788579245818169</v>
      </c>
      <c r="P73" s="348">
        <f>OpMod!BM268</f>
        <v>6.1720125857539676</v>
      </c>
      <c r="Q73" s="348">
        <f>OpMod!BN268</f>
        <v>-2.4619986172101131</v>
      </c>
      <c r="R73" s="348">
        <f>OpMod!BO268</f>
        <v>2.2231927224273571</v>
      </c>
      <c r="S73" s="348">
        <f>OpMod!BP268</f>
        <v>2.3740356524459143</v>
      </c>
      <c r="T73" s="348">
        <f>OpMod!BQ268</f>
        <v>3.0740706372377624</v>
      </c>
      <c r="U73" s="348">
        <f>OpMod!BR268</f>
        <v>3.1275934416711233</v>
      </c>
      <c r="V73" s="348">
        <f>OpMod!BS268</f>
        <v>1.178393762274935</v>
      </c>
      <c r="W73" s="348">
        <f>OpMod!BT268</f>
        <v>0.80266072824371459</v>
      </c>
      <c r="X73" s="348">
        <f>OpMod!BU268</f>
        <v>0.63053395065873064</v>
      </c>
      <c r="Y73" s="348">
        <f>OpMod!BV268</f>
        <v>1.1507838577086231</v>
      </c>
      <c r="Z73" s="348">
        <f>OpMod!BW268</f>
        <v>1.2557616764697648</v>
      </c>
      <c r="AA73" s="348">
        <f>OpMod!BX268</f>
        <v>1.5050852957893972</v>
      </c>
      <c r="AB73" s="348">
        <f>OpMod!BY268</f>
        <v>2.4806880634296955</v>
      </c>
      <c r="AC73" s="348">
        <f>OpMod!BZ268</f>
        <v>2.373361438856461</v>
      </c>
      <c r="AD73" s="348">
        <f>OpMod!CA268</f>
        <v>3.3700938479118019</v>
      </c>
      <c r="AE73" s="348">
        <f>OpMod!CB268</f>
        <v>4.002256182136291</v>
      </c>
      <c r="AF73" s="1290" t="e">
        <f>OpMod!CC268</f>
        <v>#REF!</v>
      </c>
      <c r="AG73" s="1290" t="e">
        <f>OpMod!CD268</f>
        <v>#REF!</v>
      </c>
      <c r="AH73" s="1290" t="e">
        <f>OpMod!CE268</f>
        <v>#REF!</v>
      </c>
      <c r="AI73" s="1290" t="e">
        <f>OpMod!CF268</f>
        <v>#REF!</v>
      </c>
      <c r="AJ73" s="348"/>
      <c r="AK73" s="348"/>
      <c r="AL73" s="348"/>
      <c r="AM73" s="348"/>
      <c r="AN73" s="348"/>
      <c r="AO73" s="348"/>
      <c r="AP73" s="348"/>
      <c r="AQ73" s="348"/>
      <c r="AR73" s="348"/>
      <c r="AS73" s="213"/>
      <c r="AT73" s="213"/>
      <c r="AU73" s="504"/>
      <c r="AV73" s="504"/>
      <c r="AW73" s="504"/>
      <c r="AX73" s="504"/>
      <c r="AY73" s="504"/>
      <c r="AZ73" s="504"/>
      <c r="BA73" s="504"/>
      <c r="BB73" s="504"/>
      <c r="BC73" s="504"/>
      <c r="BD73" s="504"/>
      <c r="BE73" s="504"/>
      <c r="BF73" s="504"/>
      <c r="BG73" s="504"/>
      <c r="BH73" s="504"/>
      <c r="BI73" s="504"/>
      <c r="BJ73" s="504"/>
      <c r="BK73" s="504"/>
      <c r="BL73" s="504"/>
      <c r="BM73" s="504"/>
      <c r="BN73" s="504"/>
      <c r="BO73" s="504"/>
      <c r="BP73" s="504"/>
      <c r="BQ73" s="504"/>
      <c r="BR73" s="504"/>
      <c r="BS73" s="504"/>
      <c r="BT73" s="504"/>
      <c r="BU73" s="504"/>
      <c r="BV73" s="504"/>
      <c r="BW73" s="504"/>
      <c r="BX73" s="504"/>
      <c r="BY73" s="504"/>
      <c r="BZ73" s="504"/>
      <c r="CA73" s="504"/>
      <c r="CB73" s="504"/>
      <c r="CC73" s="504"/>
      <c r="CD73" s="504"/>
      <c r="CE73" s="504"/>
      <c r="CF73" s="504"/>
      <c r="CG73" s="504"/>
      <c r="CH73" s="504"/>
      <c r="CI73" s="504"/>
      <c r="CJ73" s="504"/>
      <c r="CK73" s="504"/>
      <c r="CL73" s="504"/>
      <c r="CM73" s="504"/>
      <c r="CN73" s="504"/>
      <c r="CO73" s="504"/>
      <c r="CP73" s="504"/>
      <c r="CQ73" s="504"/>
      <c r="CR73" s="504"/>
      <c r="CS73" s="504"/>
      <c r="CT73" s="504"/>
      <c r="CU73" s="504"/>
      <c r="CV73" s="504"/>
      <c r="CW73" s="504"/>
      <c r="CX73" s="504"/>
      <c r="CY73" s="504"/>
      <c r="CZ73" s="504"/>
      <c r="DA73" s="504"/>
      <c r="DB73" s="504"/>
      <c r="DC73" s="504"/>
      <c r="DD73" s="504"/>
      <c r="DE73" s="504"/>
      <c r="DF73" s="504"/>
    </row>
    <row r="74" spans="2:110">
      <c r="B74" s="349" t="s">
        <v>1489</v>
      </c>
      <c r="D74" s="340"/>
      <c r="E74" s="340"/>
      <c r="F74" s="340"/>
      <c r="G74" s="340"/>
      <c r="H74" s="340"/>
      <c r="I74" s="340"/>
      <c r="J74" s="340"/>
      <c r="K74" s="340"/>
      <c r="L74" s="340"/>
      <c r="M74" s="340"/>
      <c r="N74" s="340"/>
      <c r="O74" s="340"/>
      <c r="P74" s="340"/>
      <c r="Q74" s="340"/>
      <c r="R74" s="340"/>
      <c r="S74" s="340"/>
      <c r="T74" s="340"/>
      <c r="U74" s="340"/>
      <c r="V74" s="340"/>
      <c r="W74" s="340"/>
      <c r="X74" s="340"/>
      <c r="Y74" s="340"/>
      <c r="Z74" s="340"/>
      <c r="AA74" s="340"/>
      <c r="AB74" s="340"/>
      <c r="AC74" s="340"/>
      <c r="AD74" s="340"/>
      <c r="AE74" s="340"/>
      <c r="AF74" s="340"/>
      <c r="AG74" s="340"/>
      <c r="AH74" s="340"/>
      <c r="AI74" s="340"/>
      <c r="AJ74" s="340"/>
      <c r="AK74" s="340"/>
      <c r="AL74" s="340"/>
      <c r="AM74" s="340"/>
      <c r="AN74" s="340"/>
      <c r="AO74" s="340"/>
      <c r="AP74" s="340"/>
      <c r="AQ74" s="340"/>
      <c r="AR74" s="457"/>
      <c r="AS74" s="213"/>
      <c r="AT74" s="213"/>
      <c r="AU74" s="340"/>
      <c r="AV74" s="340"/>
      <c r="AW74" s="340"/>
      <c r="AX74" s="340"/>
      <c r="AY74" s="340"/>
      <c r="AZ74" s="340"/>
      <c r="BA74" s="340"/>
      <c r="BB74" s="340"/>
      <c r="BC74" s="340"/>
      <c r="BD74" s="340"/>
      <c r="BE74" s="340"/>
      <c r="BF74" s="340"/>
      <c r="BG74" s="340"/>
      <c r="BH74" s="340"/>
      <c r="BI74" s="340"/>
      <c r="BJ74" s="340"/>
      <c r="BK74" s="340"/>
      <c r="BL74" s="340"/>
      <c r="BM74" s="340"/>
      <c r="BN74" s="340"/>
      <c r="BO74" s="340"/>
      <c r="BP74" s="340"/>
      <c r="BQ74" s="340"/>
      <c r="BR74" s="340"/>
      <c r="BS74" s="340"/>
      <c r="BT74" s="340"/>
      <c r="BU74" s="340"/>
      <c r="BV74" s="340"/>
      <c r="BW74" s="340"/>
      <c r="BX74" s="340"/>
      <c r="BY74" s="340"/>
      <c r="BZ74" s="340"/>
      <c r="CA74" s="340"/>
      <c r="CB74" s="340"/>
      <c r="CC74" s="340"/>
      <c r="CD74" s="340"/>
      <c r="CE74" s="340"/>
      <c r="CF74" s="340"/>
      <c r="CG74" s="340"/>
      <c r="CH74" s="340"/>
      <c r="CI74" s="340"/>
      <c r="CJ74" s="340"/>
      <c r="CK74" s="340"/>
      <c r="CL74" s="340"/>
      <c r="CM74" s="340"/>
      <c r="CN74" s="340"/>
      <c r="CO74" s="340"/>
      <c r="CP74" s="340"/>
      <c r="CQ74" s="340"/>
      <c r="CR74" s="340"/>
      <c r="CS74" s="340"/>
      <c r="CT74" s="340"/>
      <c r="CU74" s="340"/>
      <c r="CV74" s="340"/>
      <c r="CW74" s="340"/>
      <c r="CX74" s="340"/>
      <c r="CY74" s="340"/>
      <c r="CZ74" s="340"/>
      <c r="DA74" s="340"/>
      <c r="DB74" s="340"/>
      <c r="DC74" s="340"/>
      <c r="DD74" s="340"/>
      <c r="DE74" s="340"/>
      <c r="DF74" s="340"/>
    </row>
  </sheetData>
  <pageMargins left="0.7" right="0.7" top="0.75" bottom="0.75" header="0.3" footer="0.3"/>
  <pageSetup paperSize="9" orientation="portrait" r:id="rId1"/>
  <customProperties>
    <customPr name="Qube.Worksheet.Visibility" r:id="rId2"/>
  </customProperties>
  <legacyDrawing r:id="rId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22">
    <pageSetUpPr fitToPage="1"/>
  </sheetPr>
  <dimension ref="B1:BE53"/>
  <sheetViews>
    <sheetView showGridLines="0" zoomScale="120" zoomScaleNormal="120" workbookViewId="0">
      <selection activeCell="W54" sqref="W54"/>
    </sheetView>
  </sheetViews>
  <sheetFormatPr defaultColWidth="9" defaultRowHeight="14.25"/>
  <cols>
    <col min="1" max="1" width="9" style="720"/>
    <col min="2" max="2" width="0.625" style="719" customWidth="1"/>
    <col min="3" max="3" width="34.125" style="720" customWidth="1"/>
    <col min="4" max="4" width="0.625" style="719" customWidth="1"/>
    <col min="5" max="7" width="6.875" style="721" customWidth="1"/>
    <col min="8" max="8" width="0.625" style="719" hidden="1" customWidth="1"/>
    <col min="9" max="11" width="6.875" style="721" hidden="1" customWidth="1"/>
    <col min="12" max="12" width="0.75" style="721" hidden="1" customWidth="1"/>
    <col min="13" max="15" width="6.875" style="721" hidden="1" customWidth="1"/>
    <col min="16" max="16" width="0.625" style="719" customWidth="1"/>
    <col min="17" max="17" width="14.125" style="720" customWidth="1"/>
    <col min="18" max="18" width="0.625" style="719" customWidth="1"/>
    <col min="19" max="20" width="6.875" style="721" hidden="1" customWidth="1"/>
    <col min="21" max="25" width="6.875" style="721" customWidth="1"/>
    <col min="26" max="26" width="0.625" style="719" customWidth="1"/>
    <col min="27" max="28" width="6.875" style="721" hidden="1" customWidth="1"/>
    <col min="29" max="33" width="6.875" style="721" customWidth="1"/>
    <col min="34" max="34" width="0.625" style="719" customWidth="1"/>
    <col min="35" max="36" width="6.875" style="721" hidden="1" customWidth="1"/>
    <col min="37" max="41" width="6.875" style="721" customWidth="1"/>
    <col min="42" max="42" width="2.375" style="719" customWidth="1"/>
    <col min="43" max="43" width="5.875" style="720" customWidth="1"/>
    <col min="44" max="45" width="9" style="720"/>
    <col min="46" max="46" width="30.5" style="720" customWidth="1"/>
    <col min="47" max="47" width="17.875" style="720" customWidth="1"/>
    <col min="48" max="51" width="9.125" style="720" hidden="1" customWidth="1"/>
    <col min="52" max="52" width="9.625" style="720" hidden="1" customWidth="1"/>
    <col min="53" max="54" width="9.625" style="720" bestFit="1" customWidth="1"/>
    <col min="55" max="55" width="17.125" style="720" bestFit="1" customWidth="1"/>
    <col min="56" max="57" width="9.625" style="720" bestFit="1" customWidth="1"/>
    <col min="58" max="61" width="9" style="720"/>
    <col min="62" max="62" width="9" style="720" customWidth="1"/>
    <col min="63" max="16384" width="9" style="720"/>
  </cols>
  <sheetData>
    <row r="1" spans="2:57">
      <c r="Q1" s="722"/>
    </row>
    <row r="2" spans="2:57" s="138" customFormat="1" ht="12.75">
      <c r="E2" s="139" t="s">
        <v>1660</v>
      </c>
      <c r="F2" s="139"/>
      <c r="G2" s="654"/>
      <c r="I2" s="139" t="s">
        <v>1660</v>
      </c>
      <c r="J2" s="139"/>
      <c r="K2" s="654"/>
      <c r="L2" s="721"/>
      <c r="M2" s="139" t="s">
        <v>1660</v>
      </c>
      <c r="N2" s="139"/>
      <c r="O2" s="139"/>
      <c r="Q2" s="655" t="s">
        <v>1397</v>
      </c>
      <c r="S2" s="139"/>
      <c r="T2" s="654"/>
      <c r="U2" s="139" t="s">
        <v>990</v>
      </c>
      <c r="V2" s="140"/>
      <c r="W2" s="140"/>
      <c r="X2" s="140"/>
      <c r="Y2" s="140"/>
      <c r="AA2" s="139"/>
      <c r="AB2" s="654"/>
      <c r="AC2" s="139" t="s">
        <v>991</v>
      </c>
      <c r="AD2" s="140"/>
      <c r="AE2" s="140"/>
      <c r="AF2" s="140"/>
      <c r="AG2" s="140"/>
      <c r="AI2" s="139"/>
      <c r="AJ2" s="654"/>
      <c r="AK2" s="139" t="s">
        <v>1384</v>
      </c>
      <c r="AL2" s="140"/>
      <c r="AM2" s="140"/>
      <c r="AN2" s="141"/>
      <c r="AO2" s="141"/>
      <c r="AV2" s="531" t="s">
        <v>1596</v>
      </c>
      <c r="AW2" s="531" t="s">
        <v>1595</v>
      </c>
      <c r="AX2" s="531" t="s">
        <v>1594</v>
      </c>
      <c r="AY2" s="531" t="s">
        <v>1593</v>
      </c>
      <c r="AZ2" s="531" t="s">
        <v>1392</v>
      </c>
      <c r="BA2" s="531" t="s">
        <v>1393</v>
      </c>
      <c r="BB2" s="531" t="s">
        <v>1419</v>
      </c>
      <c r="BC2" s="531" t="s">
        <v>1420</v>
      </c>
      <c r="BD2" s="531" t="s">
        <v>1429</v>
      </c>
      <c r="BE2" s="531" t="s">
        <v>1663</v>
      </c>
    </row>
    <row r="3" spans="2:57" s="719" customFormat="1" ht="2.25" customHeight="1">
      <c r="L3" s="721"/>
      <c r="Q3" s="723"/>
    </row>
    <row r="4" spans="2:57" ht="12.75">
      <c r="B4" s="138"/>
      <c r="C4" s="142" t="s">
        <v>1301</v>
      </c>
      <c r="D4" s="138"/>
      <c r="E4" s="664" t="s">
        <v>1751</v>
      </c>
      <c r="F4" s="1008" t="s">
        <v>1743</v>
      </c>
      <c r="G4" s="83" t="s">
        <v>1434</v>
      </c>
      <c r="H4" s="138"/>
      <c r="I4" s="664" t="s">
        <v>1740</v>
      </c>
      <c r="J4" s="1008" t="s">
        <v>1721</v>
      </c>
      <c r="K4" s="83" t="s">
        <v>1434</v>
      </c>
      <c r="M4" s="664" t="s">
        <v>1717</v>
      </c>
      <c r="N4" s="83" t="s">
        <v>956</v>
      </c>
      <c r="O4" s="83" t="s">
        <v>1434</v>
      </c>
      <c r="P4" s="138"/>
      <c r="Q4" s="656" t="s">
        <v>1635</v>
      </c>
      <c r="R4" s="138"/>
      <c r="S4" s="906" t="s">
        <v>1743</v>
      </c>
      <c r="T4" s="1008" t="s">
        <v>1737</v>
      </c>
      <c r="U4" s="83" t="s">
        <v>955</v>
      </c>
      <c r="V4" s="83" t="s">
        <v>954</v>
      </c>
      <c r="W4" s="83" t="s">
        <v>1430</v>
      </c>
      <c r="X4" s="83" t="s">
        <v>1450</v>
      </c>
      <c r="Y4" s="83" t="s">
        <v>1451</v>
      </c>
      <c r="Z4" s="138"/>
      <c r="AA4" s="906" t="s">
        <v>1743</v>
      </c>
      <c r="AB4" s="1008" t="s">
        <v>1737</v>
      </c>
      <c r="AC4" s="83" t="s">
        <v>955</v>
      </c>
      <c r="AD4" s="83" t="s">
        <v>954</v>
      </c>
      <c r="AE4" s="83" t="s">
        <v>1430</v>
      </c>
      <c r="AF4" s="83" t="s">
        <v>1450</v>
      </c>
      <c r="AG4" s="83" t="s">
        <v>1451</v>
      </c>
      <c r="AH4" s="138"/>
      <c r="AI4" s="906" t="s">
        <v>1743</v>
      </c>
      <c r="AJ4" s="1008" t="s">
        <v>1737</v>
      </c>
      <c r="AK4" s="83" t="s">
        <v>955</v>
      </c>
      <c r="AL4" s="83" t="s">
        <v>954</v>
      </c>
      <c r="AM4" s="83" t="s">
        <v>1430</v>
      </c>
      <c r="AN4" s="83" t="s">
        <v>1450</v>
      </c>
      <c r="AO4" s="83" t="s">
        <v>1451</v>
      </c>
      <c r="AP4" s="138"/>
      <c r="AT4" s="724" t="s">
        <v>1597</v>
      </c>
      <c r="AU4" s="142" t="s">
        <v>1301</v>
      </c>
      <c r="AV4" s="83">
        <v>2018</v>
      </c>
      <c r="AW4" s="83">
        <v>2019</v>
      </c>
      <c r="AX4" s="83">
        <v>2020</v>
      </c>
      <c r="AY4" s="83">
        <v>2021</v>
      </c>
      <c r="AZ4" s="83">
        <v>2022</v>
      </c>
      <c r="BA4" s="83" t="s">
        <v>956</v>
      </c>
      <c r="BB4" s="83" t="s">
        <v>955</v>
      </c>
      <c r="BC4" s="83" t="s">
        <v>954</v>
      </c>
      <c r="BD4" s="83" t="s">
        <v>1430</v>
      </c>
      <c r="BE4" s="83" t="s">
        <v>1450</v>
      </c>
    </row>
    <row r="5" spans="2:57" ht="5.25" customHeight="1">
      <c r="B5" s="146"/>
      <c r="C5" s="146"/>
      <c r="D5" s="146"/>
      <c r="E5" s="156"/>
      <c r="F5" s="156"/>
      <c r="G5" s="156"/>
      <c r="H5" s="146"/>
      <c r="I5" s="156"/>
      <c r="J5" s="156"/>
      <c r="K5" s="156"/>
      <c r="M5" s="641"/>
      <c r="N5" s="156"/>
      <c r="O5" s="665"/>
      <c r="P5" s="146"/>
      <c r="Q5" s="659"/>
      <c r="R5" s="146"/>
      <c r="S5" s="156"/>
      <c r="T5" s="156"/>
      <c r="U5" s="156"/>
      <c r="V5" s="161"/>
      <c r="W5" s="156"/>
      <c r="X5" s="156"/>
      <c r="Y5" s="156"/>
      <c r="Z5" s="146"/>
      <c r="AA5" s="156"/>
      <c r="AB5" s="156"/>
      <c r="AC5" s="156"/>
      <c r="AD5" s="161"/>
      <c r="AE5" s="156"/>
      <c r="AF5" s="156"/>
      <c r="AG5" s="156"/>
      <c r="AH5" s="146"/>
      <c r="AI5" s="132"/>
      <c r="AJ5" s="132"/>
      <c r="AK5" s="132"/>
      <c r="AL5" s="132"/>
      <c r="AM5" s="132"/>
      <c r="AN5" s="154"/>
      <c r="AO5" s="154"/>
      <c r="AP5" s="146"/>
    </row>
    <row r="6" spans="2:57" ht="12.75" customHeight="1">
      <c r="B6" s="138"/>
      <c r="C6" s="532" t="s">
        <v>791</v>
      </c>
      <c r="D6" s="138"/>
      <c r="E6" s="143"/>
      <c r="F6" s="1007"/>
      <c r="G6" s="144"/>
      <c r="H6" s="138"/>
      <c r="I6" s="143"/>
      <c r="J6" s="1007"/>
      <c r="K6" s="144"/>
      <c r="M6" s="143"/>
      <c r="N6" s="143"/>
      <c r="O6" s="144"/>
      <c r="P6" s="138"/>
      <c r="Q6" s="729"/>
      <c r="R6" s="138"/>
      <c r="S6" s="143"/>
      <c r="T6" s="143"/>
      <c r="U6" s="143"/>
      <c r="V6" s="143"/>
      <c r="W6" s="143"/>
      <c r="X6" s="143"/>
      <c r="Y6" s="143"/>
      <c r="Z6" s="138"/>
      <c r="AA6" s="592"/>
      <c r="AB6" s="592"/>
      <c r="AC6" s="592"/>
      <c r="AD6" s="143"/>
      <c r="AE6" s="592"/>
      <c r="AF6" s="143"/>
      <c r="AG6" s="143"/>
      <c r="AH6" s="138"/>
      <c r="AI6" s="154"/>
      <c r="AJ6" s="154"/>
      <c r="AK6" s="154"/>
      <c r="AL6" s="143"/>
      <c r="AM6" s="143"/>
      <c r="AN6" s="143"/>
      <c r="AO6" s="154"/>
      <c r="AP6" s="138"/>
    </row>
    <row r="7" spans="2:57" ht="15" customHeight="1">
      <c r="B7" s="138"/>
      <c r="C7" s="138" t="s">
        <v>978</v>
      </c>
      <c r="D7" s="138"/>
      <c r="E7" s="143">
        <f>Interim!CW6</f>
        <v>3339</v>
      </c>
      <c r="F7" s="143">
        <v>3339</v>
      </c>
      <c r="G7" s="159">
        <f>E7/F7-1</f>
        <v>0</v>
      </c>
      <c r="H7" s="138"/>
      <c r="I7" s="143">
        <f>Interim!AD6</f>
        <v>6461</v>
      </c>
      <c r="J7" s="143">
        <v>6461</v>
      </c>
      <c r="K7" s="159">
        <f>I7/J7-1</f>
        <v>0</v>
      </c>
      <c r="M7" s="143">
        <f>'Income Statement'!Y5</f>
        <v>11876</v>
      </c>
      <c r="N7" s="143">
        <v>11876</v>
      </c>
      <c r="O7" s="144">
        <f>M7/N7-1</f>
        <v>0</v>
      </c>
      <c r="P7" s="138"/>
      <c r="Q7" s="657"/>
      <c r="R7" s="138"/>
      <c r="S7" s="143">
        <f>Interim!$CW$6</f>
        <v>3339</v>
      </c>
      <c r="T7" s="143">
        <f>Interim!AE6</f>
        <v>7191</v>
      </c>
      <c r="U7" s="143">
        <f>'Income Statement'!$Z$5</f>
        <v>13652</v>
      </c>
      <c r="V7" s="143">
        <f>'Income Statement'!$AA$5</f>
        <v>15370.630147753953</v>
      </c>
      <c r="W7" s="143">
        <f>'Income Statement'!$AB$5</f>
        <v>17237.134137577486</v>
      </c>
      <c r="X7" s="143">
        <f>'Income Statement'!$AC$5</f>
        <v>19144.030748250396</v>
      </c>
      <c r="Y7" s="143">
        <f>'Income Statement'!$AD$5</f>
        <v>20696.68079515608</v>
      </c>
      <c r="Z7" s="138"/>
      <c r="AA7" s="143">
        <v>3339</v>
      </c>
      <c r="AB7" s="143">
        <v>6723.9375707251493</v>
      </c>
      <c r="AC7" s="143">
        <v>13184.937570725149</v>
      </c>
      <c r="AD7" s="143">
        <v>15542.793436296139</v>
      </c>
      <c r="AE7" s="143">
        <v>17212.464155191235</v>
      </c>
      <c r="AF7" s="143">
        <v>18966.007557129757</v>
      </c>
      <c r="AG7" s="143">
        <v>20271.687536290341</v>
      </c>
      <c r="AH7" s="138"/>
      <c r="AI7" s="144">
        <f t="shared" ref="AI7:AO10" si="0">S7/AA7-1</f>
        <v>0</v>
      </c>
      <c r="AJ7" s="144">
        <f t="shared" si="0"/>
        <v>6.9462636195249505E-2</v>
      </c>
      <c r="AK7" s="144">
        <f t="shared" si="0"/>
        <v>3.5423939383063985E-2</v>
      </c>
      <c r="AL7" s="144">
        <f t="shared" si="0"/>
        <v>-1.1076727568169575E-2</v>
      </c>
      <c r="AM7" s="144">
        <f t="shared" si="0"/>
        <v>1.4332626731314857E-3</v>
      </c>
      <c r="AN7" s="144">
        <f t="shared" si="0"/>
        <v>9.3864346823859801E-3</v>
      </c>
      <c r="AO7" s="144">
        <f t="shared" si="0"/>
        <v>2.0964868272802528E-2</v>
      </c>
      <c r="AP7" s="138"/>
      <c r="AT7" s="533" t="s">
        <v>1380</v>
      </c>
      <c r="AU7" s="725" t="s">
        <v>1267</v>
      </c>
      <c r="AV7" s="719"/>
      <c r="AW7" s="719"/>
      <c r="AX7" s="719"/>
      <c r="AY7" s="719"/>
      <c r="AZ7" s="719"/>
      <c r="BA7" s="719"/>
      <c r="BB7" s="721"/>
      <c r="BC7" s="721"/>
      <c r="BD7" s="721"/>
      <c r="BE7" s="721"/>
    </row>
    <row r="8" spans="2:57" ht="15" customHeight="1">
      <c r="B8" s="138"/>
      <c r="C8" s="138" t="s">
        <v>1303</v>
      </c>
      <c r="D8" s="138"/>
      <c r="E8" s="143">
        <f>Interim!CW10</f>
        <v>2527</v>
      </c>
      <c r="F8" s="143">
        <v>2527</v>
      </c>
      <c r="G8" s="159">
        <f>E8/F8-1</f>
        <v>0</v>
      </c>
      <c r="H8" s="138"/>
      <c r="I8" s="143">
        <f>Interim!AD10</f>
        <v>5170</v>
      </c>
      <c r="J8" s="143">
        <v>5170</v>
      </c>
      <c r="K8" s="159">
        <f>I8/J8-1</f>
        <v>0</v>
      </c>
      <c r="M8" s="143">
        <f>'Income Statement'!Y6</f>
        <v>8835</v>
      </c>
      <c r="N8" s="143">
        <v>8835</v>
      </c>
      <c r="O8" s="144">
        <f>M8/N8-1</f>
        <v>0</v>
      </c>
      <c r="P8" s="138"/>
      <c r="Q8" s="657"/>
      <c r="R8" s="138"/>
      <c r="S8" s="143">
        <f>Interim!$CW$10</f>
        <v>2527</v>
      </c>
      <c r="T8" s="143">
        <f>Interim!AE10</f>
        <v>5448</v>
      </c>
      <c r="U8" s="143">
        <f>'Income Statement'!$Z$6</f>
        <v>10618</v>
      </c>
      <c r="V8" s="143">
        <f>'Income Statement'!$AA$6</f>
        <v>12191.476774649433</v>
      </c>
      <c r="W8" s="143">
        <f>'Income Statement'!$AB$6</f>
        <v>13490.447545949384</v>
      </c>
      <c r="X8" s="143">
        <f>'Income Statement'!$AC$6</f>
        <v>14881.971979736896</v>
      </c>
      <c r="Y8" s="143">
        <f>'Income Statement'!$AD$6</f>
        <v>16221.876397768472</v>
      </c>
      <c r="Z8" s="138"/>
      <c r="AA8" s="143">
        <v>2527</v>
      </c>
      <c r="AB8" s="143">
        <v>5537.090649076501</v>
      </c>
      <c r="AC8" s="143">
        <v>10707.090649076501</v>
      </c>
      <c r="AD8" s="143">
        <v>11919.971635478207</v>
      </c>
      <c r="AE8" s="143">
        <v>13287.479767656714</v>
      </c>
      <c r="AF8" s="143">
        <v>14714.70229758311</v>
      </c>
      <c r="AG8" s="143">
        <v>16303.17882307575</v>
      </c>
      <c r="AH8" s="138"/>
      <c r="AI8" s="144">
        <f t="shared" si="0"/>
        <v>0</v>
      </c>
      <c r="AJ8" s="144">
        <f t="shared" si="0"/>
        <v>-1.6089794211940456E-2</v>
      </c>
      <c r="AK8" s="144">
        <f t="shared" si="0"/>
        <v>-8.3207149352176879E-3</v>
      </c>
      <c r="AL8" s="144">
        <f t="shared" si="0"/>
        <v>2.2777330976453625E-2</v>
      </c>
      <c r="AM8" s="144">
        <f t="shared" si="0"/>
        <v>1.5275114757782537E-2</v>
      </c>
      <c r="AN8" s="144">
        <f t="shared" si="0"/>
        <v>1.1367520645066742E-2</v>
      </c>
      <c r="AO8" s="144">
        <f t="shared" si="0"/>
        <v>-4.986906307633765E-3</v>
      </c>
      <c r="AP8" s="138"/>
      <c r="AT8" s="533" t="s">
        <v>1407</v>
      </c>
      <c r="AU8" s="530" t="s">
        <v>1589</v>
      </c>
      <c r="AV8" s="143" t="e">
        <f t="shared" ref="AV8:BD8" si="1">INDEX($E$7:$W$10,MATCH($AT$7,$C$7:$C$10,0),MATCH(AV$4,$E$4:$W$4,0))</f>
        <v>#N/A</v>
      </c>
      <c r="AW8" s="143" t="e">
        <f t="shared" si="1"/>
        <v>#N/A</v>
      </c>
      <c r="AX8" s="143" t="e">
        <f t="shared" si="1"/>
        <v>#N/A</v>
      </c>
      <c r="AY8" s="143" t="e">
        <f t="shared" si="1"/>
        <v>#N/A</v>
      </c>
      <c r="AZ8" s="143" t="e">
        <f t="shared" si="1"/>
        <v>#N/A</v>
      </c>
      <c r="BA8" s="143">
        <f t="shared" si="1"/>
        <v>23199</v>
      </c>
      <c r="BB8" s="143">
        <f t="shared" si="1"/>
        <v>27317</v>
      </c>
      <c r="BC8" s="143">
        <f t="shared" si="1"/>
        <v>30995.966922403386</v>
      </c>
      <c r="BD8" s="143">
        <f t="shared" si="1"/>
        <v>34520.706683526871</v>
      </c>
      <c r="BE8" s="143">
        <f>INDEX($E$7:$X$10,MATCH($AT$7,$C$7:$C$10,0),MATCH(BE$4,$E$4:$X$4,0))</f>
        <v>38170.59080998729</v>
      </c>
    </row>
    <row r="9" spans="2:57" ht="15" customHeight="1">
      <c r="B9" s="138"/>
      <c r="C9" s="138" t="s">
        <v>1293</v>
      </c>
      <c r="D9" s="138"/>
      <c r="E9" s="143">
        <f>Interim!CW11</f>
        <v>771</v>
      </c>
      <c r="F9" s="143">
        <v>771</v>
      </c>
      <c r="G9" s="159">
        <f>E9/F9-1</f>
        <v>0</v>
      </c>
      <c r="H9" s="138"/>
      <c r="I9" s="143">
        <f>Interim!AD11</f>
        <v>1411</v>
      </c>
      <c r="J9" s="143">
        <v>1411</v>
      </c>
      <c r="K9" s="159">
        <f>I9/J9-1</f>
        <v>0</v>
      </c>
      <c r="M9" s="143">
        <f>'Income Statement'!Y7</f>
        <v>2477</v>
      </c>
      <c r="N9" s="143">
        <v>2477</v>
      </c>
      <c r="O9" s="144">
        <f>M9/N9-1</f>
        <v>0</v>
      </c>
      <c r="P9" s="138"/>
      <c r="Q9" s="657"/>
      <c r="R9" s="138"/>
      <c r="S9" s="143">
        <f>Interim!$CW$11</f>
        <v>771</v>
      </c>
      <c r="T9" s="143">
        <f>Interim!AE11</f>
        <v>1626</v>
      </c>
      <c r="U9" s="143">
        <f>'Income Statement'!$Z$7</f>
        <v>3037</v>
      </c>
      <c r="V9" s="143">
        <f>'Income Statement'!$AA$7</f>
        <v>3423.86</v>
      </c>
      <c r="W9" s="143">
        <f>'Income Statement'!$AB$7</f>
        <v>3783.125</v>
      </c>
      <c r="X9" s="143">
        <f>'Income Statement'!$AC$7</f>
        <v>4134.5880820000002</v>
      </c>
      <c r="Y9" s="143">
        <f>'Income Statement'!$AD$7</f>
        <v>4471.8616129800002</v>
      </c>
      <c r="Z9" s="138"/>
      <c r="AA9" s="143">
        <v>771</v>
      </c>
      <c r="AB9" s="143">
        <v>1631.0762942980091</v>
      </c>
      <c r="AC9" s="143">
        <v>3042.0762942980091</v>
      </c>
      <c r="AD9" s="143">
        <v>3460.4098491359587</v>
      </c>
      <c r="AE9" s="143">
        <v>3759.8327263028177</v>
      </c>
      <c r="AF9" s="143">
        <v>4093.187105034528</v>
      </c>
      <c r="AG9" s="143">
        <v>4465.0136140653085</v>
      </c>
      <c r="AH9" s="138"/>
      <c r="AI9" s="144">
        <f t="shared" si="0"/>
        <v>0</v>
      </c>
      <c r="AJ9" s="144">
        <f t="shared" si="0"/>
        <v>-3.1122359608529715E-3</v>
      </c>
      <c r="AK9" s="144">
        <f t="shared" si="0"/>
        <v>-1.6686939468033568E-3</v>
      </c>
      <c r="AL9" s="144">
        <f t="shared" si="0"/>
        <v>-1.0562289072516884E-2</v>
      </c>
      <c r="AM9" s="144">
        <f t="shared" si="0"/>
        <v>6.1950292453798461E-3</v>
      </c>
      <c r="AN9" s="144">
        <f t="shared" si="0"/>
        <v>1.0114606516411051E-2</v>
      </c>
      <c r="AO9" s="144">
        <f t="shared" si="0"/>
        <v>1.5337016875200948E-3</v>
      </c>
      <c r="AP9" s="138"/>
      <c r="AU9" s="530" t="s">
        <v>1590</v>
      </c>
      <c r="AV9" s="143" t="e">
        <f>AV8</f>
        <v>#N/A</v>
      </c>
      <c r="AW9" s="143" t="e">
        <f>AW8</f>
        <v>#N/A</v>
      </c>
      <c r="AX9" s="143" t="e">
        <f t="shared" ref="AX9" si="2">AX8</f>
        <v>#N/A</v>
      </c>
      <c r="AY9" s="143" t="e">
        <f t="shared" ref="AY9" si="3">AY8</f>
        <v>#N/A</v>
      </c>
      <c r="AZ9" s="143" t="e">
        <f t="shared" ref="AZ9:BE9" si="4">INDEX($E$7:$AE$10,MATCH($AT$7,$C$7:$C$10,0),MATCH(AZ$4,$E$4:$AE$4,0))</f>
        <v>#N/A</v>
      </c>
      <c r="BA9" s="143">
        <f t="shared" si="4"/>
        <v>23199</v>
      </c>
      <c r="BB9" s="143">
        <f t="shared" si="4"/>
        <v>27317</v>
      </c>
      <c r="BC9" s="143">
        <f t="shared" si="4"/>
        <v>30995.966922403386</v>
      </c>
      <c r="BD9" s="143">
        <f t="shared" si="4"/>
        <v>34520.706683526871</v>
      </c>
      <c r="BE9" s="143">
        <f t="shared" si="4"/>
        <v>38170.59080998729</v>
      </c>
    </row>
    <row r="10" spans="2:57" ht="13.7" customHeight="1">
      <c r="B10" s="146"/>
      <c r="C10" s="145" t="s">
        <v>1380</v>
      </c>
      <c r="D10" s="146"/>
      <c r="E10" s="147">
        <f>Interim!CW16</f>
        <v>6639</v>
      </c>
      <c r="F10" s="147">
        <v>6639</v>
      </c>
      <c r="G10" s="160">
        <f>E10/F10-1</f>
        <v>0</v>
      </c>
      <c r="H10" s="146"/>
      <c r="I10" s="147">
        <f>Interim!AD16</f>
        <v>13047</v>
      </c>
      <c r="J10" s="147">
        <v>13047</v>
      </c>
      <c r="K10" s="160">
        <f>I10/J10-1</f>
        <v>0</v>
      </c>
      <c r="M10" s="147">
        <f>'Income Statement'!Y9</f>
        <v>23199</v>
      </c>
      <c r="N10" s="147">
        <v>23199</v>
      </c>
      <c r="O10" s="131">
        <f>M10/N10-1</f>
        <v>0</v>
      </c>
      <c r="P10" s="146"/>
      <c r="Q10" s="658" t="s">
        <v>1756</v>
      </c>
      <c r="R10" s="146"/>
      <c r="S10" s="147">
        <f>Interim!$CW$16</f>
        <v>6639</v>
      </c>
      <c r="T10" s="147">
        <f>Interim!AE16</f>
        <v>14270</v>
      </c>
      <c r="U10" s="147">
        <f>'Income Statement'!$Z$9</f>
        <v>27317</v>
      </c>
      <c r="V10" s="147">
        <f>'Income Statement'!$AA$9</f>
        <v>30995.966922403386</v>
      </c>
      <c r="W10" s="147">
        <f>'Income Statement'!$AB$9</f>
        <v>34520.706683526871</v>
      </c>
      <c r="X10" s="147">
        <f>'Income Statement'!$AC$9</f>
        <v>38170.59080998729</v>
      </c>
      <c r="Y10" s="147">
        <f>'Income Statement'!$AD$9</f>
        <v>41400.418805904548</v>
      </c>
      <c r="Z10" s="146"/>
      <c r="AA10" s="147">
        <v>6639</v>
      </c>
      <c r="AB10" s="147">
        <v>13898.104514099659</v>
      </c>
      <c r="AC10" s="147">
        <v>26945.104514099658</v>
      </c>
      <c r="AD10" s="147">
        <v>30934.174920910304</v>
      </c>
      <c r="AE10" s="147">
        <v>34270.776649150765</v>
      </c>
      <c r="AF10" s="147">
        <v>37784.896959747399</v>
      </c>
      <c r="AG10" s="147">
        <v>41050.879973431394</v>
      </c>
      <c r="AH10" s="146"/>
      <c r="AI10" s="131">
        <f t="shared" si="0"/>
        <v>0</v>
      </c>
      <c r="AJ10" s="131">
        <f t="shared" si="0"/>
        <v>2.6758719904793615E-2</v>
      </c>
      <c r="AK10" s="131">
        <f t="shared" si="0"/>
        <v>1.380196858044247E-2</v>
      </c>
      <c r="AL10" s="131">
        <f t="shared" si="0"/>
        <v>1.997531909322614E-3</v>
      </c>
      <c r="AM10" s="131">
        <f t="shared" si="0"/>
        <v>7.2928033389725311E-3</v>
      </c>
      <c r="AN10" s="131">
        <f t="shared" si="0"/>
        <v>1.0207619479570829E-2</v>
      </c>
      <c r="AO10" s="131">
        <f t="shared" si="0"/>
        <v>8.5147707600756739E-3</v>
      </c>
      <c r="AP10" s="146"/>
      <c r="AU10" s="530" t="s">
        <v>1591</v>
      </c>
      <c r="AV10" s="143" t="e">
        <f ca="1">_xll.VisibleAlpha.UDF.VAData("SAF_FR",AV$2,$AT8,"Consensus","CD","IMPL",TODAY())</f>
        <v>#NAME?</v>
      </c>
      <c r="AW10" s="143" t="e">
        <f ca="1">_xll.VisibleAlpha.UDF.VAData("SAF_FR",AW$2,$AT8,"Consensus","CD","IMPL",TODAY())</f>
        <v>#NAME?</v>
      </c>
      <c r="AX10" s="143" t="e">
        <f ca="1">_xll.VisibleAlpha.UDF.VAData("SAF_FR",AX$2,$AT8,"Consensus","CD","IMPL",TODAY())</f>
        <v>#NAME?</v>
      </c>
      <c r="AY10" s="143" t="e">
        <f ca="1">_xll.VisibleAlpha.UDF.VAData("SAF_FR",AY$2,$AT8,"Consensus","CD","IMPL",TODAY())</f>
        <v>#NAME?</v>
      </c>
      <c r="AZ10" s="143" t="e">
        <f ca="1">_xll.VisibleAlpha.UDF.VAData("SAF_FR",AZ$2,$AT8,"Consensus","CD","IMPL",TODAY())</f>
        <v>#NAME?</v>
      </c>
      <c r="BA10" s="143" t="e">
        <f ca="1">_xll.VisibleAlpha.UDF.VAData("SAF_FR",BA$2,$AT8,"Consensus","CD","IMPL",TODAY())</f>
        <v>#NAME?</v>
      </c>
      <c r="BB10" s="143" t="e">
        <f ca="1">_xll.VisibleAlpha.UDF.VAData("SAF_FR",BB$2,$AT8,"Consensus","CD","IMPL",TODAY())</f>
        <v>#NAME?</v>
      </c>
      <c r="BC10" s="143" t="e">
        <f ca="1">_xll.VisibleAlpha.UDF.VAData("SAF_FR",BC$2,$AT8,"Consensus","CD","IMPL",TODAY())</f>
        <v>#NAME?</v>
      </c>
      <c r="BD10" s="143" t="e">
        <f ca="1">_xll.VisibleAlpha.UDF.VAData("SAF_FR",BD$2,$AT8,"Consensus","CD","IMPL",TODAY())</f>
        <v>#NAME?</v>
      </c>
      <c r="BE10" s="143" t="e">
        <f ca="1">_xll.VisibleAlpha.UDF.VAData("SAF_FR",BE$2,$AT8,"Consensus","CD","IMPL",TODAY())</f>
        <v>#NAME?</v>
      </c>
    </row>
    <row r="11" spans="2:57" ht="5.25" customHeight="1">
      <c r="B11" s="146"/>
      <c r="C11" s="146"/>
      <c r="D11" s="146"/>
      <c r="E11" s="156"/>
      <c r="F11" s="156"/>
      <c r="G11" s="156"/>
      <c r="H11" s="146"/>
      <c r="I11" s="156"/>
      <c r="J11" s="156"/>
      <c r="K11" s="156"/>
      <c r="M11" s="156"/>
      <c r="N11" s="156"/>
      <c r="O11" s="665"/>
      <c r="P11" s="146"/>
      <c r="Q11" s="659"/>
      <c r="R11" s="146"/>
      <c r="S11" s="156"/>
      <c r="T11" s="156"/>
      <c r="U11" s="156"/>
      <c r="V11" s="161"/>
      <c r="W11" s="156"/>
      <c r="X11" s="156"/>
      <c r="Y11" s="156"/>
      <c r="Z11" s="146"/>
      <c r="AA11" s="156"/>
      <c r="AB11" s="156"/>
      <c r="AC11" s="156"/>
      <c r="AD11" s="161"/>
      <c r="AE11" s="156"/>
      <c r="AF11" s="156"/>
      <c r="AG11" s="156"/>
      <c r="AH11" s="146"/>
      <c r="AI11" s="132"/>
      <c r="AJ11" s="132"/>
      <c r="AK11" s="132"/>
      <c r="AL11" s="132"/>
      <c r="AM11" s="132"/>
      <c r="AN11" s="154"/>
      <c r="AO11" s="154"/>
      <c r="AP11" s="146"/>
    </row>
    <row r="12" spans="2:57" ht="13.7" customHeight="1">
      <c r="B12" s="146"/>
      <c r="C12" s="146" t="s">
        <v>746</v>
      </c>
      <c r="D12" s="146"/>
      <c r="E12" s="156"/>
      <c r="F12" s="156"/>
      <c r="G12" s="156"/>
      <c r="H12" s="146"/>
      <c r="I12" s="156"/>
      <c r="J12" s="156"/>
      <c r="K12" s="156"/>
      <c r="M12" s="156"/>
      <c r="N12" s="156"/>
      <c r="O12" s="665"/>
      <c r="P12" s="146"/>
      <c r="Q12" s="659"/>
      <c r="R12" s="146"/>
      <c r="S12" s="156"/>
      <c r="T12" s="156"/>
      <c r="U12" s="156"/>
      <c r="V12" s="161"/>
      <c r="W12" s="156"/>
      <c r="X12" s="156"/>
      <c r="Y12" s="156"/>
      <c r="Z12" s="146"/>
      <c r="AA12" s="156"/>
      <c r="AB12" s="156"/>
      <c r="AC12" s="156"/>
      <c r="AD12" s="161"/>
      <c r="AE12" s="156"/>
      <c r="AF12" s="156"/>
      <c r="AG12" s="156"/>
      <c r="AH12" s="146"/>
      <c r="AI12" s="132"/>
      <c r="AJ12" s="132"/>
      <c r="AK12" s="132"/>
      <c r="AL12" s="132"/>
      <c r="AM12" s="132"/>
      <c r="AN12" s="154"/>
      <c r="AO12" s="154"/>
      <c r="AP12" s="146"/>
    </row>
    <row r="13" spans="2:57" ht="15" customHeight="1">
      <c r="B13" s="138"/>
      <c r="C13" s="138" t="s">
        <v>978</v>
      </c>
      <c r="D13" s="138"/>
      <c r="E13" s="148">
        <f>Interim!CW19</f>
        <v>8.3036003892312582E-2</v>
      </c>
      <c r="F13" s="148">
        <v>8.3036003892312582E-2</v>
      </c>
      <c r="G13" s="150">
        <f>(E13-F13)*100</f>
        <v>0</v>
      </c>
      <c r="H13" s="149"/>
      <c r="I13" s="148">
        <f>Interim!AD19</f>
        <v>0.13810110974106049</v>
      </c>
      <c r="J13" s="148">
        <v>0.13810110974106049</v>
      </c>
      <c r="K13" s="150">
        <f>(I13-J13)*100</f>
        <v>0</v>
      </c>
      <c r="M13" s="148">
        <f>'Income Statement'!Y12</f>
        <v>0.24931622133389442</v>
      </c>
      <c r="N13" s="148">
        <v>0.24931622133389442</v>
      </c>
      <c r="O13" s="150">
        <f>(M13-N13)*100</f>
        <v>0</v>
      </c>
      <c r="P13" s="149"/>
      <c r="Q13" s="661"/>
      <c r="R13" s="149"/>
      <c r="S13" s="148">
        <f>Interim!$CW$19</f>
        <v>8.3036003892312582E-2</v>
      </c>
      <c r="T13" s="148">
        <f>Interim!AE19</f>
        <v>0.16002581061461529</v>
      </c>
      <c r="U13" s="148">
        <f>'Income Statement'!$Z$12</f>
        <v>0.14954530144829903</v>
      </c>
      <c r="V13" s="148">
        <f>'Income Statement'!$AA$12</f>
        <v>0.12588852532624917</v>
      </c>
      <c r="W13" s="148">
        <f>'Income Statement'!$AB$12</f>
        <v>0.12143314697454222</v>
      </c>
      <c r="X13" s="148">
        <f>'Income Statement'!$AC$12</f>
        <v>0.11062724206083741</v>
      </c>
      <c r="Y13" s="148">
        <f>'Income Statement'!$AD$12</f>
        <v>8.1103612260316815E-2</v>
      </c>
      <c r="Z13" s="149"/>
      <c r="AA13" s="148">
        <v>8.3036003892312582E-2</v>
      </c>
      <c r="AB13" s="148">
        <v>8.4681008344111852E-2</v>
      </c>
      <c r="AC13" s="148">
        <v>0.11021704031030222</v>
      </c>
      <c r="AD13" s="148">
        <v>0.17882950548102672</v>
      </c>
      <c r="AE13" s="148">
        <v>0.10742410788243606</v>
      </c>
      <c r="AF13" s="148">
        <v>0.10187637203646149</v>
      </c>
      <c r="AG13" s="148">
        <v>6.8843164552560232E-2</v>
      </c>
      <c r="AH13" s="138"/>
      <c r="AI13" s="150">
        <f t="shared" ref="AI13:AO16" si="5">(S13-AA13)*100</f>
        <v>0</v>
      </c>
      <c r="AJ13" s="150">
        <f t="shared" si="5"/>
        <v>7.5344802270503441</v>
      </c>
      <c r="AK13" s="150">
        <f t="shared" si="5"/>
        <v>3.9328261137996812</v>
      </c>
      <c r="AL13" s="150">
        <f t="shared" si="5"/>
        <v>-5.294098015477755</v>
      </c>
      <c r="AM13" s="150">
        <f t="shared" si="5"/>
        <v>1.4009039092106157</v>
      </c>
      <c r="AN13" s="150">
        <f t="shared" si="5"/>
        <v>0.87508700243759119</v>
      </c>
      <c r="AO13" s="150">
        <f t="shared" si="5"/>
        <v>1.2260447707756583</v>
      </c>
      <c r="AP13" s="138"/>
      <c r="AU13" s="532" t="s">
        <v>746</v>
      </c>
    </row>
    <row r="14" spans="2:57" ht="15" customHeight="1">
      <c r="B14" s="138"/>
      <c r="C14" s="138" t="s">
        <v>1930</v>
      </c>
      <c r="D14" s="138"/>
      <c r="E14" s="148">
        <f>Interim!CW23</f>
        <v>0.18416119962511712</v>
      </c>
      <c r="F14" s="148">
        <v>0.18416119962511712</v>
      </c>
      <c r="G14" s="150">
        <f>(E14-F14)*100</f>
        <v>0</v>
      </c>
      <c r="H14" s="149"/>
      <c r="I14" s="148">
        <f>Interim!AD23</f>
        <v>0.26097560975609757</v>
      </c>
      <c r="J14" s="148">
        <v>0.26097560975609757</v>
      </c>
      <c r="K14" s="150">
        <f>(I14-J14)*100</f>
        <v>0</v>
      </c>
      <c r="M14" s="148">
        <f>'Income Statement'!Y13</f>
        <v>0.17252820172528205</v>
      </c>
      <c r="N14" s="148">
        <v>0.17252820172528205</v>
      </c>
      <c r="O14" s="150">
        <f>(M14-N14)*100</f>
        <v>0</v>
      </c>
      <c r="P14" s="149"/>
      <c r="Q14" s="661"/>
      <c r="R14" s="149"/>
      <c r="S14" s="148">
        <f>Interim!$CW$23</f>
        <v>0.18416119962511712</v>
      </c>
      <c r="T14" s="148">
        <f>Interim!AE23</f>
        <v>0.15058078141499465</v>
      </c>
      <c r="U14" s="148">
        <f>'Income Statement'!$Z$13</f>
        <v>0.20181097906055467</v>
      </c>
      <c r="V14" s="148">
        <f>'Income Statement'!$AA$13</f>
        <v>0.14818956250230109</v>
      </c>
      <c r="W14" s="148">
        <f>'Income Statement'!$AB$13</f>
        <v>0.10654745075682626</v>
      </c>
      <c r="X14" s="148">
        <f>'Income Statement'!$AC$13</f>
        <v>0.10314887101023773</v>
      </c>
      <c r="Y14" s="148">
        <f>'Income Statement'!$AD$13</f>
        <v>9.003540793222653E-2</v>
      </c>
      <c r="Z14" s="149"/>
      <c r="AA14" s="148">
        <v>0.18416119962511712</v>
      </c>
      <c r="AB14" s="148">
        <v>0.16939612440897589</v>
      </c>
      <c r="AC14" s="148">
        <v>0.21189481030860224</v>
      </c>
      <c r="AD14" s="148">
        <v>0.11327829623879371</v>
      </c>
      <c r="AE14" s="148">
        <v>0.11472410958666224</v>
      </c>
      <c r="AF14" s="148">
        <v>0.10741107831452146</v>
      </c>
      <c r="AG14" s="148">
        <v>0.10795165905283377</v>
      </c>
      <c r="AH14" s="138"/>
      <c r="AI14" s="150">
        <f t="shared" si="5"/>
        <v>0</v>
      </c>
      <c r="AJ14" s="150">
        <f t="shared" si="5"/>
        <v>-1.8815342993981243</v>
      </c>
      <c r="AK14" s="150">
        <f t="shared" si="5"/>
        <v>-1.008383124804757</v>
      </c>
      <c r="AL14" s="150">
        <f t="shared" si="5"/>
        <v>3.4911266263507379</v>
      </c>
      <c r="AM14" s="150">
        <f t="shared" si="5"/>
        <v>-0.8176658829835981</v>
      </c>
      <c r="AN14" s="150">
        <f t="shared" si="5"/>
        <v>-0.42622073042837272</v>
      </c>
      <c r="AO14" s="150">
        <f t="shared" si="5"/>
        <v>-1.7916251120607241</v>
      </c>
      <c r="AP14" s="138"/>
      <c r="AU14" s="530" t="s">
        <v>1589</v>
      </c>
      <c r="AV14" s="144"/>
      <c r="AW14" s="144" t="e">
        <f t="shared" ref="AW14:BE14" si="6">AW8/AV8-1</f>
        <v>#N/A</v>
      </c>
      <c r="AX14" s="144" t="e">
        <f t="shared" si="6"/>
        <v>#N/A</v>
      </c>
      <c r="AY14" s="144" t="e">
        <f t="shared" si="6"/>
        <v>#N/A</v>
      </c>
      <c r="AZ14" s="144" t="e">
        <f t="shared" si="6"/>
        <v>#N/A</v>
      </c>
      <c r="BA14" s="144" t="e">
        <f t="shared" si="6"/>
        <v>#N/A</v>
      </c>
      <c r="BB14" s="144">
        <f t="shared" si="6"/>
        <v>0.17750765119186163</v>
      </c>
      <c r="BC14" s="144">
        <f t="shared" si="6"/>
        <v>0.13467682843662865</v>
      </c>
      <c r="BD14" s="144">
        <f t="shared" si="6"/>
        <v>0.11371607699632236</v>
      </c>
      <c r="BE14" s="144">
        <f t="shared" si="6"/>
        <v>0.10573028414282515</v>
      </c>
    </row>
    <row r="15" spans="2:57" ht="15" customHeight="1">
      <c r="B15" s="138"/>
      <c r="C15" s="138" t="s">
        <v>1293</v>
      </c>
      <c r="D15" s="138"/>
      <c r="E15" s="148">
        <f>Interim!CW24</f>
        <v>0.27438016528925613</v>
      </c>
      <c r="F15" s="148">
        <v>0.27438016528925613</v>
      </c>
      <c r="G15" s="150">
        <f>(E15-F15)*100</f>
        <v>0</v>
      </c>
      <c r="H15" s="149"/>
      <c r="I15" s="148">
        <f>Interim!AD24</f>
        <v>0.21324161650902829</v>
      </c>
      <c r="J15" s="148">
        <v>0.21324161650902829</v>
      </c>
      <c r="K15" s="150">
        <f>(I15-J15)*100</f>
        <v>0</v>
      </c>
      <c r="M15" s="148">
        <f>'Income Statement'!Y14</f>
        <v>0.25227502527805856</v>
      </c>
      <c r="N15" s="148">
        <v>0.25227502527805856</v>
      </c>
      <c r="O15" s="150">
        <f>(M15-N15)*100</f>
        <v>0</v>
      </c>
      <c r="P15" s="149"/>
      <c r="Q15" s="661"/>
      <c r="R15" s="149"/>
      <c r="S15" s="148">
        <f>Interim!$CW$24</f>
        <v>0.27438016528925613</v>
      </c>
      <c r="T15" s="148">
        <f>Interim!AE24</f>
        <v>0.23744292237442921</v>
      </c>
      <c r="U15" s="148">
        <f>'Income Statement'!$Z$14</f>
        <v>0.22607993540573279</v>
      </c>
      <c r="V15" s="148">
        <f>'Income Statement'!$AA$14</f>
        <v>0.12738228514981897</v>
      </c>
      <c r="W15" s="148">
        <f>'Income Statement'!$AB$14</f>
        <v>0.10492981605556295</v>
      </c>
      <c r="X15" s="148">
        <f>'Income Statement'!$AC$14</f>
        <v>9.2902846720634535E-2</v>
      </c>
      <c r="Y15" s="148">
        <f>'Income Statement'!$AD$14</f>
        <v>8.1573671739713527E-2</v>
      </c>
      <c r="Z15" s="149"/>
      <c r="AA15" s="148">
        <v>0.27438016528925613</v>
      </c>
      <c r="AB15" s="148">
        <v>0.24130616004414684</v>
      </c>
      <c r="AC15" s="148">
        <v>0.22812930734679404</v>
      </c>
      <c r="AD15" s="148">
        <v>0.13751579985750628</v>
      </c>
      <c r="AE15" s="148">
        <v>8.6528154242082822E-2</v>
      </c>
      <c r="AF15" s="148">
        <v>8.8662023818147251E-2</v>
      </c>
      <c r="AG15" s="148">
        <v>9.0840340177325896E-2</v>
      </c>
      <c r="AH15" s="138"/>
      <c r="AI15" s="150">
        <f t="shared" si="5"/>
        <v>0</v>
      </c>
      <c r="AJ15" s="150">
        <f t="shared" si="5"/>
        <v>-0.3863237669717634</v>
      </c>
      <c r="AK15" s="150">
        <f t="shared" si="5"/>
        <v>-0.2049371941061251</v>
      </c>
      <c r="AL15" s="150">
        <f t="shared" si="5"/>
        <v>-1.0133514707687308</v>
      </c>
      <c r="AM15" s="150">
        <f t="shared" si="5"/>
        <v>1.840166181348013</v>
      </c>
      <c r="AN15" s="150">
        <f t="shared" si="5"/>
        <v>0.42408229024872846</v>
      </c>
      <c r="AO15" s="150">
        <f t="shared" si="5"/>
        <v>-0.92666684376123687</v>
      </c>
      <c r="AP15" s="138"/>
      <c r="AU15" s="530" t="s">
        <v>1590</v>
      </c>
      <c r="AV15" s="144"/>
      <c r="AW15" s="144" t="e">
        <f t="shared" ref="AW15:BE15" si="7">AW9/AV9-1</f>
        <v>#N/A</v>
      </c>
      <c r="AX15" s="144" t="e">
        <f t="shared" si="7"/>
        <v>#N/A</v>
      </c>
      <c r="AY15" s="144" t="e">
        <f t="shared" si="7"/>
        <v>#N/A</v>
      </c>
      <c r="AZ15" s="144" t="e">
        <f t="shared" si="7"/>
        <v>#N/A</v>
      </c>
      <c r="BA15" s="144" t="e">
        <f t="shared" si="7"/>
        <v>#N/A</v>
      </c>
      <c r="BB15" s="144">
        <f t="shared" si="7"/>
        <v>0.17750765119186163</v>
      </c>
      <c r="BC15" s="144">
        <f t="shared" si="7"/>
        <v>0.13467682843662865</v>
      </c>
      <c r="BD15" s="144">
        <f t="shared" si="7"/>
        <v>0.11371607699632236</v>
      </c>
      <c r="BE15" s="144">
        <f t="shared" si="7"/>
        <v>0.10573028414282515</v>
      </c>
    </row>
    <row r="16" spans="2:57" ht="12.6" customHeight="1">
      <c r="B16" s="138"/>
      <c r="C16" s="145" t="s">
        <v>1008</v>
      </c>
      <c r="D16" s="138"/>
      <c r="E16" s="131">
        <f>Interim!CW29</f>
        <v>0.13974248927038624</v>
      </c>
      <c r="F16" s="131">
        <v>0.13974248927038624</v>
      </c>
      <c r="G16" s="151">
        <f>(E16-F16)*100</f>
        <v>0</v>
      </c>
      <c r="H16" s="149"/>
      <c r="I16" s="131">
        <f>Interim!AD29</f>
        <v>0.19205116491548657</v>
      </c>
      <c r="J16" s="131">
        <v>0.19205116491548657</v>
      </c>
      <c r="K16" s="151">
        <f>(I16-J16)*100</f>
        <v>0</v>
      </c>
      <c r="M16" s="131">
        <f>'Income Statement'!Y16</f>
        <v>0.21875492513790395</v>
      </c>
      <c r="N16" s="131">
        <v>0.21875492513790395</v>
      </c>
      <c r="O16" s="151">
        <f>(M16-N16)*100</f>
        <v>0</v>
      </c>
      <c r="P16" s="149"/>
      <c r="Q16" s="662"/>
      <c r="R16" s="149"/>
      <c r="S16" s="131">
        <f>Interim!$CW$29</f>
        <v>0.13974248927038624</v>
      </c>
      <c r="T16" s="131">
        <f>Interim!AE29</f>
        <v>0.16451770850334579</v>
      </c>
      <c r="U16" s="131">
        <f>'Income Statement'!$Z$16</f>
        <v>0.17750765119186163</v>
      </c>
      <c r="V16" s="131">
        <f>'Income Statement'!$AA$16</f>
        <v>0.13467682843662865</v>
      </c>
      <c r="W16" s="131">
        <f>'Income Statement'!$AB$16</f>
        <v>0.11371607699632236</v>
      </c>
      <c r="X16" s="131">
        <f>'Income Statement'!$AC$16</f>
        <v>0.10573028414282515</v>
      </c>
      <c r="Y16" s="131">
        <f>'Income Statement'!$AD$16</f>
        <v>8.461561446599819E-2</v>
      </c>
      <c r="Z16" s="149"/>
      <c r="AA16" s="131">
        <v>0.13974248927038624</v>
      </c>
      <c r="AB16" s="131">
        <v>0.13416880317444591</v>
      </c>
      <c r="AC16" s="131">
        <v>0.16147698237422548</v>
      </c>
      <c r="AD16" s="131">
        <v>0.148044347154908</v>
      </c>
      <c r="AE16" s="131">
        <v>0.10786134547862303</v>
      </c>
      <c r="AF16" s="131">
        <v>0.10253985039710845</v>
      </c>
      <c r="AG16" s="131">
        <v>8.6436202728388478E-2</v>
      </c>
      <c r="AH16" s="138"/>
      <c r="AI16" s="151">
        <f t="shared" si="5"/>
        <v>0</v>
      </c>
      <c r="AJ16" s="151">
        <f t="shared" si="5"/>
        <v>3.0348905328899889</v>
      </c>
      <c r="AK16" s="151">
        <f t="shared" si="5"/>
        <v>1.6030668817636151</v>
      </c>
      <c r="AL16" s="151">
        <f t="shared" si="5"/>
        <v>-1.3367518718279348</v>
      </c>
      <c r="AM16" s="151">
        <f t="shared" si="5"/>
        <v>0.58547315176993298</v>
      </c>
      <c r="AN16" s="151">
        <f t="shared" si="5"/>
        <v>0.31904337457167031</v>
      </c>
      <c r="AO16" s="151">
        <f t="shared" si="5"/>
        <v>-0.1820588262390288</v>
      </c>
      <c r="AP16" s="138"/>
      <c r="AU16" s="530" t="s">
        <v>1591</v>
      </c>
      <c r="AV16" s="144"/>
      <c r="AW16" s="144" t="e">
        <f t="shared" ref="AW16:BE16" ca="1" si="8">AW10/AV10-1</f>
        <v>#NAME?</v>
      </c>
      <c r="AX16" s="144" t="e">
        <f t="shared" ca="1" si="8"/>
        <v>#NAME?</v>
      </c>
      <c r="AY16" s="144" t="e">
        <f t="shared" ca="1" si="8"/>
        <v>#NAME?</v>
      </c>
      <c r="AZ16" s="144" t="e">
        <f t="shared" ca="1" si="8"/>
        <v>#NAME?</v>
      </c>
      <c r="BA16" s="144" t="e">
        <f t="shared" ca="1" si="8"/>
        <v>#NAME?</v>
      </c>
      <c r="BB16" s="144" t="e">
        <f t="shared" ca="1" si="8"/>
        <v>#NAME?</v>
      </c>
      <c r="BC16" s="144" t="e">
        <f t="shared" ca="1" si="8"/>
        <v>#NAME?</v>
      </c>
      <c r="BD16" s="144" t="e">
        <f t="shared" ca="1" si="8"/>
        <v>#NAME?</v>
      </c>
      <c r="BE16" s="144" t="e">
        <f t="shared" ca="1" si="8"/>
        <v>#NAME?</v>
      </c>
    </row>
    <row r="17" spans="2:57" ht="5.0999999999999996" customHeight="1">
      <c r="B17" s="138"/>
      <c r="C17" s="138"/>
      <c r="D17" s="138"/>
      <c r="E17" s="143"/>
      <c r="F17" s="143"/>
      <c r="G17" s="143"/>
      <c r="H17" s="138"/>
      <c r="I17" s="143"/>
      <c r="J17" s="143"/>
      <c r="K17" s="143"/>
      <c r="M17" s="143"/>
      <c r="N17" s="143"/>
      <c r="O17" s="143"/>
      <c r="P17" s="138"/>
      <c r="Q17" s="660"/>
      <c r="R17" s="138"/>
      <c r="S17" s="143"/>
      <c r="T17" s="143"/>
      <c r="U17" s="143"/>
      <c r="V17" s="143"/>
      <c r="W17" s="143"/>
      <c r="X17" s="143"/>
      <c r="Y17" s="143"/>
      <c r="Z17" s="138"/>
      <c r="AA17" s="143"/>
      <c r="AB17" s="143"/>
      <c r="AC17" s="143"/>
      <c r="AD17" s="143"/>
      <c r="AE17" s="143"/>
      <c r="AF17" s="143"/>
      <c r="AG17" s="143"/>
      <c r="AH17" s="138"/>
      <c r="AI17" s="143"/>
      <c r="AJ17" s="143"/>
      <c r="AK17" s="143"/>
      <c r="AL17" s="143"/>
      <c r="AM17" s="143"/>
      <c r="AN17" s="143"/>
      <c r="AO17" s="143"/>
      <c r="AP17" s="138"/>
    </row>
    <row r="18" spans="2:57" ht="12.6" customHeight="1">
      <c r="B18" s="138"/>
      <c r="C18" s="145" t="s">
        <v>1141</v>
      </c>
      <c r="D18" s="138"/>
      <c r="E18" s="131" t="s">
        <v>1517</v>
      </c>
      <c r="F18" s="131" t="s">
        <v>1517</v>
      </c>
      <c r="G18" s="151" t="s">
        <v>1517</v>
      </c>
      <c r="H18" s="149"/>
      <c r="I18" s="131" t="s">
        <v>1517</v>
      </c>
      <c r="J18" s="131" t="s">
        <v>1517</v>
      </c>
      <c r="K18" s="151" t="s">
        <v>1517</v>
      </c>
      <c r="M18" s="131" t="e">
        <f>'Income Statement'!#REF!</f>
        <v>#REF!</v>
      </c>
      <c r="N18" s="131">
        <v>0.23599999999999999</v>
      </c>
      <c r="O18" s="151" t="e">
        <f>(M18-N18)*100</f>
        <v>#REF!</v>
      </c>
      <c r="P18" s="149"/>
      <c r="Q18" s="662"/>
      <c r="R18" s="149"/>
      <c r="S18" s="131" t="s">
        <v>1517</v>
      </c>
      <c r="T18" s="131" t="s">
        <v>1517</v>
      </c>
      <c r="U18" s="529" t="e">
        <f>'Income Statement'!#REF!</f>
        <v>#REF!</v>
      </c>
      <c r="V18" s="529" t="e">
        <f>'Income Statement'!#REF!</f>
        <v>#REF!</v>
      </c>
      <c r="W18" s="529" t="e">
        <f>'Income Statement'!#REF!</f>
        <v>#REF!</v>
      </c>
      <c r="X18" s="529" t="e">
        <f>'Income Statement'!#REF!</f>
        <v>#REF!</v>
      </c>
      <c r="Y18" s="529" t="e">
        <f>'Income Statement'!#REF!</f>
        <v>#REF!</v>
      </c>
      <c r="Z18" s="149"/>
      <c r="AA18" s="131" t="s">
        <v>1517</v>
      </c>
      <c r="AB18" s="131" t="s">
        <v>1517</v>
      </c>
      <c r="AC18" s="529">
        <v>0.16234281885152302</v>
      </c>
      <c r="AD18" s="529">
        <v>0.15534232404950266</v>
      </c>
      <c r="AE18" s="529">
        <v>0.10817831878256556</v>
      </c>
      <c r="AF18" s="529">
        <v>0.10406151713125045</v>
      </c>
      <c r="AG18" s="529">
        <v>8.7952932252275406E-2</v>
      </c>
      <c r="AH18" s="138"/>
      <c r="AI18" s="131" t="s">
        <v>1517</v>
      </c>
      <c r="AJ18" s="151" t="s">
        <v>1517</v>
      </c>
      <c r="AK18" s="151" t="e">
        <f>(U18-AC18)*100</f>
        <v>#REF!</v>
      </c>
      <c r="AL18" s="151" t="e">
        <f>(V18-AD18)*100</f>
        <v>#REF!</v>
      </c>
      <c r="AM18" s="151" t="e">
        <f>(W18-AE18)*100</f>
        <v>#REF!</v>
      </c>
      <c r="AN18" s="151" t="e">
        <f>(X18-AF18)*100</f>
        <v>#REF!</v>
      </c>
      <c r="AO18" s="151" t="e">
        <f>(Y18-AG18)*100</f>
        <v>#REF!</v>
      </c>
      <c r="AP18" s="138"/>
    </row>
    <row r="19" spans="2:57" ht="5.25" customHeight="1">
      <c r="B19" s="146"/>
      <c r="C19" s="146"/>
      <c r="D19" s="146"/>
      <c r="E19" s="156"/>
      <c r="F19" s="156"/>
      <c r="G19" s="156"/>
      <c r="H19" s="146"/>
      <c r="I19" s="156"/>
      <c r="J19" s="156"/>
      <c r="K19" s="156"/>
      <c r="M19" s="156"/>
      <c r="N19" s="156"/>
      <c r="O19" s="665"/>
      <c r="P19" s="146"/>
      <c r="Q19" s="659"/>
      <c r="R19" s="146"/>
      <c r="S19" s="156"/>
      <c r="T19" s="156"/>
      <c r="U19" s="156"/>
      <c r="V19" s="161"/>
      <c r="W19" s="156"/>
      <c r="X19" s="156"/>
      <c r="Y19" s="156"/>
      <c r="Z19" s="146"/>
      <c r="AA19" s="156"/>
      <c r="AB19" s="156"/>
      <c r="AC19" s="156"/>
      <c r="AD19" s="161"/>
      <c r="AE19" s="156"/>
      <c r="AF19" s="156"/>
      <c r="AG19" s="156"/>
      <c r="AH19" s="146"/>
      <c r="AI19" s="132"/>
      <c r="AJ19" s="132"/>
      <c r="AK19" s="132"/>
      <c r="AL19" s="132"/>
      <c r="AM19" s="132"/>
      <c r="AN19" s="154"/>
      <c r="AO19" s="154"/>
      <c r="AP19" s="146"/>
    </row>
    <row r="20" spans="2:57" ht="15" customHeight="1">
      <c r="B20" s="138"/>
      <c r="C20" s="532" t="s">
        <v>1741</v>
      </c>
      <c r="D20" s="138"/>
      <c r="E20" s="143"/>
      <c r="F20" s="143"/>
      <c r="G20" s="159"/>
      <c r="H20" s="138"/>
      <c r="I20" s="143"/>
      <c r="J20" s="143"/>
      <c r="K20" s="159"/>
      <c r="M20" s="143"/>
      <c r="N20" s="143"/>
      <c r="O20" s="144"/>
      <c r="P20" s="138"/>
      <c r="Q20" s="657"/>
      <c r="R20" s="138"/>
      <c r="S20" s="143"/>
      <c r="T20" s="143"/>
      <c r="U20" s="143"/>
      <c r="V20" s="143"/>
      <c r="W20" s="143"/>
      <c r="X20" s="143"/>
      <c r="Y20" s="143"/>
      <c r="Z20" s="138"/>
      <c r="AA20" s="143"/>
      <c r="AB20" s="143"/>
      <c r="AC20" s="143"/>
      <c r="AD20" s="143"/>
      <c r="AE20" s="143"/>
      <c r="AF20" s="143"/>
      <c r="AG20" s="143"/>
      <c r="AH20" s="138"/>
      <c r="AI20" s="143"/>
      <c r="AJ20" s="144"/>
      <c r="AK20" s="144"/>
      <c r="AL20" s="144"/>
      <c r="AM20" s="144"/>
      <c r="AN20" s="144"/>
      <c r="AO20" s="154" t="s">
        <v>1822</v>
      </c>
      <c r="AP20" s="138"/>
      <c r="AT20" s="533"/>
      <c r="AU20" s="725"/>
      <c r="AV20" s="719"/>
      <c r="AW20" s="719"/>
      <c r="AX20" s="719"/>
      <c r="AY20" s="719"/>
      <c r="AZ20" s="719"/>
      <c r="BA20" s="719"/>
      <c r="BB20" s="721"/>
      <c r="BC20" s="721"/>
      <c r="BD20" s="721"/>
      <c r="BE20" s="721"/>
    </row>
    <row r="21" spans="2:57" ht="15" customHeight="1">
      <c r="B21" s="138"/>
      <c r="C21" s="138" t="s">
        <v>978</v>
      </c>
      <c r="D21" s="138"/>
      <c r="E21" s="143" t="s">
        <v>1517</v>
      </c>
      <c r="F21" s="143" t="s">
        <v>1517</v>
      </c>
      <c r="G21" s="159" t="s">
        <v>1517</v>
      </c>
      <c r="H21" s="138"/>
      <c r="I21" s="143">
        <f>Interim!AD34</f>
        <v>1285</v>
      </c>
      <c r="J21" s="143">
        <v>1285</v>
      </c>
      <c r="K21" s="159">
        <f t="shared" ref="K21:K22" si="9">I21/J21-1</f>
        <v>0</v>
      </c>
      <c r="M21" s="143">
        <f>'Income Statement'!Y19</f>
        <v>2390</v>
      </c>
      <c r="N21" s="143">
        <v>2390</v>
      </c>
      <c r="O21" s="144">
        <f>M21/N21-1</f>
        <v>0</v>
      </c>
      <c r="P21" s="138"/>
      <c r="Q21" s="657"/>
      <c r="R21" s="138"/>
      <c r="S21" s="143" t="s">
        <v>1517</v>
      </c>
      <c r="T21" s="143">
        <f>Interim!AE34</f>
        <v>1534</v>
      </c>
      <c r="U21" s="143">
        <f>'Income Statement'!$Z$19</f>
        <v>2819</v>
      </c>
      <c r="V21" s="143">
        <f>'Income Statement'!$AA$19</f>
        <v>3498.7921191512232</v>
      </c>
      <c r="W21" s="143">
        <f>'Income Statement'!$AB$19</f>
        <v>3987.5038763717052</v>
      </c>
      <c r="X21" s="143">
        <f>'Income Statement'!$AC$19</f>
        <v>4435.8248269170235</v>
      </c>
      <c r="Y21" s="143">
        <f>'Income Statement'!$AD$19</f>
        <v>4851.267807475032</v>
      </c>
      <c r="Z21" s="138"/>
      <c r="AA21" s="143" t="s">
        <v>1517</v>
      </c>
      <c r="AB21" s="143">
        <v>1625.4903311897051</v>
      </c>
      <c r="AC21" s="143">
        <v>2910.4903311897051</v>
      </c>
      <c r="AD21" s="143">
        <v>3432.4267157502773</v>
      </c>
      <c r="AE21" s="143">
        <v>3932.9885028832864</v>
      </c>
      <c r="AF21" s="143">
        <v>4312.728957407865</v>
      </c>
      <c r="AG21" s="143">
        <v>4773.5546846168745</v>
      </c>
      <c r="AH21" s="138"/>
      <c r="AI21" s="143" t="s">
        <v>1517</v>
      </c>
      <c r="AJ21" s="144">
        <f t="shared" ref="AJ21:AO24" si="10">T21/AB21-1</f>
        <v>-5.6284758779674093E-2</v>
      </c>
      <c r="AK21" s="144">
        <f t="shared" si="10"/>
        <v>-3.1434679651489161E-2</v>
      </c>
      <c r="AL21" s="144">
        <f t="shared" si="10"/>
        <v>1.9334834767605447E-2</v>
      </c>
      <c r="AM21" s="144">
        <f t="shared" si="10"/>
        <v>1.3861055898956698E-2</v>
      </c>
      <c r="AN21" s="144">
        <f t="shared" si="10"/>
        <v>2.8542454377458615E-2</v>
      </c>
      <c r="AO21" s="144">
        <f t="shared" si="10"/>
        <v>1.6279927222493829E-2</v>
      </c>
      <c r="AP21" s="138"/>
      <c r="AT21" s="533" t="s">
        <v>1293</v>
      </c>
      <c r="AU21" s="725" t="s">
        <v>287</v>
      </c>
      <c r="AV21" s="719"/>
      <c r="AW21" s="719"/>
      <c r="AX21" s="719"/>
      <c r="AY21" s="719"/>
      <c r="AZ21" s="719"/>
      <c r="BA21" s="719"/>
      <c r="BB21" s="721"/>
      <c r="BC21" s="721"/>
      <c r="BD21" s="721"/>
      <c r="BE21" s="721"/>
    </row>
    <row r="22" spans="2:57" ht="15" customHeight="1">
      <c r="B22" s="138"/>
      <c r="C22" s="138" t="s">
        <v>1303</v>
      </c>
      <c r="D22" s="138"/>
      <c r="E22" s="143" t="s">
        <v>1517</v>
      </c>
      <c r="F22" s="143" t="s">
        <v>1517</v>
      </c>
      <c r="G22" s="159" t="s">
        <v>1517</v>
      </c>
      <c r="H22" s="138"/>
      <c r="I22" s="143">
        <f>Interim!AD38</f>
        <v>657</v>
      </c>
      <c r="J22" s="143">
        <v>657</v>
      </c>
      <c r="K22" s="159">
        <f t="shared" si="9"/>
        <v>0</v>
      </c>
      <c r="M22" s="143">
        <f>'Income Statement'!Y20</f>
        <v>992</v>
      </c>
      <c r="N22" s="143">
        <v>992</v>
      </c>
      <c r="O22" s="144">
        <f>M22/N22-1</f>
        <v>0</v>
      </c>
      <c r="P22" s="138"/>
      <c r="Q22" s="657"/>
      <c r="R22" s="138"/>
      <c r="S22" s="143" t="s">
        <v>1517</v>
      </c>
      <c r="T22" s="143">
        <f>Interim!AE38</f>
        <v>641</v>
      </c>
      <c r="U22" s="143">
        <f>'Income Statement'!$Z$20</f>
        <v>1298</v>
      </c>
      <c r="V22" s="143">
        <f>'Income Statement'!$AA$20</f>
        <v>1601.943770022559</v>
      </c>
      <c r="W22" s="143">
        <f>'Income Statement'!$AB$20</f>
        <v>1858.4702757019843</v>
      </c>
      <c r="X22" s="143">
        <f>'Income Statement'!$AC$20</f>
        <v>2134.7102122690167</v>
      </c>
      <c r="Y22" s="143">
        <f>'Income Statement'!$AD$20</f>
        <v>2389.6484999709569</v>
      </c>
      <c r="Z22" s="138"/>
      <c r="AA22" s="143" t="s">
        <v>1517</v>
      </c>
      <c r="AB22" s="143">
        <v>696.42639722127637</v>
      </c>
      <c r="AC22" s="143">
        <v>1353.4263972212764</v>
      </c>
      <c r="AD22" s="143">
        <v>1618.956264963902</v>
      </c>
      <c r="AE22" s="143">
        <v>1845.9256923422713</v>
      </c>
      <c r="AF22" s="143">
        <v>2072.8825752962139</v>
      </c>
      <c r="AG22" s="143">
        <v>2318.5043830278505</v>
      </c>
      <c r="AH22" s="138"/>
      <c r="AI22" s="143" t="s">
        <v>1517</v>
      </c>
      <c r="AJ22" s="144">
        <f t="shared" si="10"/>
        <v>-7.9586870116391761E-2</v>
      </c>
      <c r="AK22" s="144">
        <f t="shared" si="10"/>
        <v>-4.0952649759951831E-2</v>
      </c>
      <c r="AL22" s="144">
        <f t="shared" si="10"/>
        <v>-1.0508310390782705E-2</v>
      </c>
      <c r="AM22" s="144">
        <f t="shared" si="10"/>
        <v>6.7958225034483455E-3</v>
      </c>
      <c r="AN22" s="144">
        <f t="shared" si="10"/>
        <v>2.9826888271260454E-2</v>
      </c>
      <c r="AO22" s="144">
        <f t="shared" si="10"/>
        <v>3.0685349341542212E-2</v>
      </c>
      <c r="AP22" s="138"/>
      <c r="AT22" s="533" t="s">
        <v>1411</v>
      </c>
      <c r="AU22" s="530" t="s">
        <v>1589</v>
      </c>
      <c r="AV22" s="143" t="e">
        <f t="shared" ref="AV22:BD22" si="11">INDEX($E$21:$W$24,MATCH($AT$21,$C$21:$C$24,0),MATCH(AV$4,$E$4:$W$4,0))</f>
        <v>#N/A</v>
      </c>
      <c r="AW22" s="143" t="e">
        <f t="shared" si="11"/>
        <v>#N/A</v>
      </c>
      <c r="AX22" s="143" t="e">
        <f t="shared" si="11"/>
        <v>#N/A</v>
      </c>
      <c r="AY22" s="143" t="e">
        <f t="shared" si="11"/>
        <v>#N/A</v>
      </c>
      <c r="AZ22" s="143" t="e">
        <f t="shared" si="11"/>
        <v>#N/A</v>
      </c>
      <c r="BA22" s="143">
        <f t="shared" si="11"/>
        <v>-116</v>
      </c>
      <c r="BB22" s="143">
        <f t="shared" si="11"/>
        <v>27</v>
      </c>
      <c r="BC22" s="143">
        <f t="shared" si="11"/>
        <v>106.69281550872572</v>
      </c>
      <c r="BD22" s="143">
        <f t="shared" si="11"/>
        <v>200.53140626440566</v>
      </c>
      <c r="BE22" s="143">
        <f>INDEX($E$21:$X$24,MATCH($AT$21,$C$21:$C$24,0),MATCH(BE$4,$E$4:$X$4,0))</f>
        <v>309.38033969793548</v>
      </c>
    </row>
    <row r="23" spans="2:57" ht="15" customHeight="1">
      <c r="B23" s="138"/>
      <c r="C23" s="138" t="s">
        <v>1293</v>
      </c>
      <c r="D23" s="138"/>
      <c r="E23" s="143" t="s">
        <v>1517</v>
      </c>
      <c r="F23" s="143" t="s">
        <v>1517</v>
      </c>
      <c r="G23" s="159" t="s">
        <v>1517</v>
      </c>
      <c r="H23" s="138"/>
      <c r="I23" s="143">
        <f>Interim!AD39</f>
        <v>10</v>
      </c>
      <c r="J23" s="143">
        <v>10</v>
      </c>
      <c r="K23" s="159">
        <f>-(I23/J23-1)</f>
        <v>0</v>
      </c>
      <c r="M23" s="143">
        <f>'Income Statement'!Y21</f>
        <v>-116</v>
      </c>
      <c r="N23" s="143">
        <v>-116</v>
      </c>
      <c r="O23" s="144" t="s">
        <v>1517</v>
      </c>
      <c r="P23" s="138"/>
      <c r="Q23" s="657"/>
      <c r="R23" s="138"/>
      <c r="S23" s="143" t="s">
        <v>1517</v>
      </c>
      <c r="T23" s="143">
        <f>Interim!AE39</f>
        <v>17</v>
      </c>
      <c r="U23" s="143">
        <f>'Income Statement'!$Z$21</f>
        <v>27</v>
      </c>
      <c r="V23" s="143">
        <f>'Income Statement'!$AA$21</f>
        <v>106.69281550872572</v>
      </c>
      <c r="W23" s="143">
        <f>'Income Statement'!$AB$21</f>
        <v>200.53140626440566</v>
      </c>
      <c r="X23" s="143">
        <f>'Income Statement'!$AC$21</f>
        <v>309.38033969793548</v>
      </c>
      <c r="Y23" s="143">
        <f>'Income Statement'!$AD$21</f>
        <v>401.1613011765312</v>
      </c>
      <c r="Z23" s="138"/>
      <c r="AA23" s="143" t="s">
        <v>1517</v>
      </c>
      <c r="AB23" s="143">
        <v>36.476243132030305</v>
      </c>
      <c r="AC23" s="143">
        <v>46.476243132030305</v>
      </c>
      <c r="AD23" s="143">
        <v>192.77504964939797</v>
      </c>
      <c r="AE23" s="143">
        <v>310.58217539402233</v>
      </c>
      <c r="AF23" s="143">
        <v>428.60804761655959</v>
      </c>
      <c r="AG23" s="143">
        <v>558.08786216950784</v>
      </c>
      <c r="AH23" s="138"/>
      <c r="AI23" s="143" t="s">
        <v>1517</v>
      </c>
      <c r="AJ23" s="144">
        <f t="shared" si="10"/>
        <v>-0.53394323153109868</v>
      </c>
      <c r="AK23" s="144">
        <f t="shared" si="10"/>
        <v>-0.41905803523537699</v>
      </c>
      <c r="AL23" s="144">
        <f t="shared" si="10"/>
        <v>-0.44654240420236402</v>
      </c>
      <c r="AM23" s="144">
        <f t="shared" si="10"/>
        <v>-0.35433704136433442</v>
      </c>
      <c r="AN23" s="144">
        <f t="shared" si="10"/>
        <v>-0.27817421670366616</v>
      </c>
      <c r="AO23" s="144">
        <f t="shared" si="10"/>
        <v>-0.28118612073543614</v>
      </c>
      <c r="AP23" s="138"/>
      <c r="AU23" s="530" t="s">
        <v>1590</v>
      </c>
      <c r="AV23" s="143" t="e">
        <f>AV22</f>
        <v>#N/A</v>
      </c>
      <c r="AW23" s="143" t="e">
        <f>AW22</f>
        <v>#N/A</v>
      </c>
      <c r="AX23" s="143" t="e">
        <f t="shared" ref="AX23" si="12">AX22</f>
        <v>#N/A</v>
      </c>
      <c r="AY23" s="143" t="e">
        <f t="shared" ref="AY23" si="13">AY22</f>
        <v>#N/A</v>
      </c>
      <c r="AZ23" s="143" t="e">
        <f t="shared" ref="AZ23:BE23" si="14">INDEX($E$21:$AE$24,MATCH($AT$21,$C$21:$C$24,0),MATCH(AZ$4,$E$4:$AE$4,0))</f>
        <v>#N/A</v>
      </c>
      <c r="BA23" s="143">
        <f t="shared" si="14"/>
        <v>-116</v>
      </c>
      <c r="BB23" s="143">
        <f t="shared" si="14"/>
        <v>27</v>
      </c>
      <c r="BC23" s="143">
        <f t="shared" si="14"/>
        <v>106.69281550872572</v>
      </c>
      <c r="BD23" s="143">
        <f t="shared" si="14"/>
        <v>200.53140626440566</v>
      </c>
      <c r="BE23" s="143">
        <f t="shared" si="14"/>
        <v>309.38033969793548</v>
      </c>
    </row>
    <row r="24" spans="2:57" ht="13.7" customHeight="1">
      <c r="B24" s="146"/>
      <c r="C24" s="145" t="s">
        <v>1381</v>
      </c>
      <c r="D24" s="146"/>
      <c r="E24" s="147" t="s">
        <v>1517</v>
      </c>
      <c r="F24" s="147" t="s">
        <v>1517</v>
      </c>
      <c r="G24" s="160" t="s">
        <v>1517</v>
      </c>
      <c r="H24" s="146"/>
      <c r="I24" s="147">
        <f>Interim!AD44</f>
        <v>1974</v>
      </c>
      <c r="J24" s="147">
        <v>1974</v>
      </c>
      <c r="K24" s="160">
        <f>I24/J24-1</f>
        <v>0</v>
      </c>
      <c r="M24" s="147">
        <f>'Income Statement'!Y23</f>
        <v>3166</v>
      </c>
      <c r="N24" s="147">
        <v>3166</v>
      </c>
      <c r="O24" s="131">
        <f>M24/N24-1</f>
        <v>0</v>
      </c>
      <c r="P24" s="146"/>
      <c r="Q24" s="658" t="s">
        <v>1757</v>
      </c>
      <c r="R24" s="146"/>
      <c r="S24" s="147" t="s">
        <v>1517</v>
      </c>
      <c r="T24" s="147">
        <f>Interim!AE44</f>
        <v>2145</v>
      </c>
      <c r="U24" s="147">
        <f>'Income Statement'!$Z$23</f>
        <v>4119</v>
      </c>
      <c r="V24" s="147">
        <f>'Income Statement'!$AA$23</f>
        <v>5179.0617839715915</v>
      </c>
      <c r="W24" s="147">
        <f>'Income Statement'!$AB$23</f>
        <v>6014.912862687469</v>
      </c>
      <c r="X24" s="147">
        <f>'Income Statement'!$AC$23</f>
        <v>6844.98237854537</v>
      </c>
      <c r="Y24" s="147">
        <f>'Income Statement'!$AD$23</f>
        <v>7604.1887309951226</v>
      </c>
      <c r="Z24" s="146"/>
      <c r="AA24" s="147" t="s">
        <v>1517</v>
      </c>
      <c r="AB24" s="147">
        <v>2231.3929715430118</v>
      </c>
      <c r="AC24" s="147">
        <v>4205.3929715430122</v>
      </c>
      <c r="AD24" s="147">
        <v>5134.1580303635774</v>
      </c>
      <c r="AE24" s="147">
        <v>5974.4963706195804</v>
      </c>
      <c r="AF24" s="147">
        <v>6694.2195803206387</v>
      </c>
      <c r="AG24" s="147">
        <v>7525.1469298142329</v>
      </c>
      <c r="AH24" s="146"/>
      <c r="AI24" s="147" t="s">
        <v>1517</v>
      </c>
      <c r="AJ24" s="131">
        <f t="shared" si="10"/>
        <v>-3.8717058198525556E-2</v>
      </c>
      <c r="AK24" s="131">
        <f t="shared" si="10"/>
        <v>-2.0543376594676088E-2</v>
      </c>
      <c r="AL24" s="131">
        <f t="shared" si="10"/>
        <v>8.7460793653899582E-3</v>
      </c>
      <c r="AM24" s="131">
        <f t="shared" si="10"/>
        <v>6.7648366591437359E-3</v>
      </c>
      <c r="AN24" s="131">
        <f t="shared" si="10"/>
        <v>2.2521340451385319E-2</v>
      </c>
      <c r="AO24" s="131">
        <f t="shared" si="10"/>
        <v>1.0503688754265994E-2</v>
      </c>
      <c r="AP24" s="146"/>
      <c r="AU24" s="530" t="s">
        <v>1591</v>
      </c>
      <c r="AV24" s="143" t="e">
        <f ca="1">_xll.VisibleAlpha.UDF.VAData("SAF_FR",AV$2,$AT22,"Consensus","CD","IMPL",TODAY())</f>
        <v>#NAME?</v>
      </c>
      <c r="AW24" s="143" t="e">
        <f ca="1">_xll.VisibleAlpha.UDF.VAData("SAF_FR",AW$2,$AT22,"Consensus","CD","IMPL",TODAY())</f>
        <v>#NAME?</v>
      </c>
      <c r="AX24" s="143" t="e">
        <f ca="1">_xll.VisibleAlpha.UDF.VAData("SAF_FR",AX$2,$AT22,"Consensus","CD","IMPL",TODAY())</f>
        <v>#NAME?</v>
      </c>
      <c r="AY24" s="143" t="e">
        <f ca="1">_xll.VisibleAlpha.UDF.VAData("SAF_FR",AY$2,$AT22,"Consensus","CD","IMPL",TODAY())</f>
        <v>#NAME?</v>
      </c>
      <c r="AZ24" s="143" t="e">
        <f ca="1">_xll.VisibleAlpha.UDF.VAData("SAF_FR",AZ$2,$AT22,"Consensus","CD","IMPL",TODAY())</f>
        <v>#NAME?</v>
      </c>
      <c r="BA24" s="143" t="e">
        <f ca="1">_xll.VisibleAlpha.UDF.VAData("SAF_FR",BA$2,$AT22,"Consensus","CD","IMPL",TODAY())</f>
        <v>#NAME?</v>
      </c>
      <c r="BB24" s="143" t="e">
        <f ca="1">_xll.VisibleAlpha.UDF.VAData("SAF_FR",BB$2,$AT22,"Consensus","CD","IMPL",TODAY())</f>
        <v>#NAME?</v>
      </c>
      <c r="BC24" s="143" t="e">
        <f ca="1">_xll.VisibleAlpha.UDF.VAData("SAF_FR",BC$2,$AT22,"Consensus","CD","IMPL",TODAY())</f>
        <v>#NAME?</v>
      </c>
      <c r="BD24" s="143" t="e">
        <f ca="1">_xll.VisibleAlpha.UDF.VAData("SAF_FR",BD$2,$AT22,"Consensus","CD","IMPL",TODAY())</f>
        <v>#NAME?</v>
      </c>
      <c r="BE24" s="143" t="e">
        <f ca="1">_xll.VisibleAlpha.UDF.VAData("SAF_FR",BE$2,$AT22,"Consensus","CD","IMPL",TODAY())</f>
        <v>#NAME?</v>
      </c>
    </row>
    <row r="25" spans="2:57" ht="5.25" customHeight="1">
      <c r="B25" s="146"/>
      <c r="C25" s="146"/>
      <c r="D25" s="146"/>
      <c r="E25" s="156"/>
      <c r="F25" s="156"/>
      <c r="G25" s="156"/>
      <c r="H25" s="146"/>
      <c r="I25" s="156"/>
      <c r="J25" s="156"/>
      <c r="K25" s="156"/>
      <c r="M25" s="156"/>
      <c r="N25" s="156"/>
      <c r="O25" s="665"/>
      <c r="P25" s="146"/>
      <c r="Q25" s="659"/>
      <c r="R25" s="146"/>
      <c r="S25" s="156"/>
      <c r="T25" s="156"/>
      <c r="U25" s="156"/>
      <c r="V25" s="161"/>
      <c r="W25" s="156"/>
      <c r="X25" s="156"/>
      <c r="Y25" s="156"/>
      <c r="Z25" s="146"/>
      <c r="AA25" s="156"/>
      <c r="AB25" s="156"/>
      <c r="AC25" s="156"/>
      <c r="AD25" s="161"/>
      <c r="AE25" s="156"/>
      <c r="AF25" s="156"/>
      <c r="AG25" s="156"/>
      <c r="AH25" s="146"/>
      <c r="AI25" s="132"/>
      <c r="AJ25" s="132"/>
      <c r="AK25" s="132"/>
      <c r="AL25" s="132"/>
      <c r="AM25" s="132"/>
      <c r="AN25" s="154"/>
      <c r="AO25" s="154"/>
      <c r="AP25" s="146"/>
    </row>
    <row r="26" spans="2:57" ht="13.7" customHeight="1">
      <c r="B26" s="138"/>
      <c r="C26" s="146" t="s">
        <v>1742</v>
      </c>
      <c r="D26" s="146"/>
      <c r="E26" s="156"/>
      <c r="F26" s="156"/>
      <c r="G26" s="156"/>
      <c r="H26" s="146"/>
      <c r="I26" s="156"/>
      <c r="J26" s="156"/>
      <c r="K26" s="156"/>
      <c r="M26" s="156"/>
      <c r="N26" s="156"/>
      <c r="O26" s="641"/>
      <c r="P26" s="146"/>
      <c r="Q26" s="663"/>
      <c r="R26" s="146"/>
      <c r="S26" s="156"/>
      <c r="T26" s="156"/>
      <c r="U26" s="571"/>
      <c r="V26" s="571"/>
      <c r="W26" s="571"/>
      <c r="X26" s="592"/>
      <c r="Y26" s="592"/>
      <c r="Z26" s="146"/>
      <c r="AA26" s="156"/>
      <c r="AB26" s="156"/>
      <c r="AC26" s="571"/>
      <c r="AD26" s="571"/>
      <c r="AE26" s="571"/>
      <c r="AF26" s="592"/>
      <c r="AG26" s="592"/>
      <c r="AH26" s="146"/>
      <c r="AI26" s="156"/>
      <c r="AJ26" s="132"/>
      <c r="AK26" s="132"/>
      <c r="AL26" s="132"/>
      <c r="AM26" s="132"/>
      <c r="AN26" s="132"/>
      <c r="AO26" s="132"/>
      <c r="AP26" s="138"/>
      <c r="AU26" s="530" t="s">
        <v>1591</v>
      </c>
      <c r="AV26" s="143" t="e">
        <f>#REF!</f>
        <v>#REF!</v>
      </c>
      <c r="AW26" s="143" t="e">
        <f>#REF!</f>
        <v>#REF!</v>
      </c>
      <c r="AX26" s="143" t="e">
        <f>#REF!</f>
        <v>#REF!</v>
      </c>
      <c r="AY26" s="143" t="e">
        <f>#REF!</f>
        <v>#REF!</v>
      </c>
      <c r="AZ26" s="143" t="e">
        <f ca="1">_xll.VisibleAlpha.UDF.VAData("SAF_FR",AZ$2,"Free cash flow (FCF)","Consensus","CD","IMPL",TODAY())</f>
        <v>#NAME?</v>
      </c>
      <c r="BA26" s="143" t="e">
        <f ca="1">_xll.VisibleAlpha.UDF.VAData("SAF_FR",BA$2,"Free cash flow (FCF)","Consensus","CD","IMPL",TODAY())</f>
        <v>#NAME?</v>
      </c>
      <c r="BB26" s="143" t="e">
        <f ca="1">_xll.VisibleAlpha.UDF.VAData("SAF_FR",BB$2,"Free cash flow (FCF)","Consensus","CD","IMPL",TODAY())</f>
        <v>#NAME?</v>
      </c>
      <c r="BC26" s="143" t="e">
        <f ca="1">_xll.VisibleAlpha.UDF.VAData("SAF_FR",BC$2,"Free cash flow (FCF)","Consensus","CD","IMPL",TODAY())</f>
        <v>#NAME?</v>
      </c>
      <c r="BD26" s="143" t="e">
        <f ca="1">_xll.VisibleAlpha.UDF.VAData("SAF_FR",BD$2,"Free cash flow (FCF)","Consensus","CD","IMPL",TODAY())</f>
        <v>#NAME?</v>
      </c>
      <c r="BE26" s="143" t="e">
        <f ca="1">_xll.VisibleAlpha.UDF.VAData("SAF_FR",BE$2,"Free cash flow (FCF)","Consensus","CD","IMPL",TODAY())</f>
        <v>#NAME?</v>
      </c>
    </row>
    <row r="27" spans="2:57" ht="15" customHeight="1">
      <c r="B27" s="138"/>
      <c r="C27" s="138" t="s">
        <v>978</v>
      </c>
      <c r="D27" s="138"/>
      <c r="E27" s="144" t="s">
        <v>1517</v>
      </c>
      <c r="F27" s="144" t="s">
        <v>1517</v>
      </c>
      <c r="G27" s="150" t="s">
        <v>1517</v>
      </c>
      <c r="H27" s="138"/>
      <c r="I27" s="144">
        <f t="shared" ref="I27:J27" si="15">I21/I7</f>
        <v>0.19888562142083269</v>
      </c>
      <c r="J27" s="144">
        <f t="shared" si="15"/>
        <v>0.19888562142083269</v>
      </c>
      <c r="K27" s="150">
        <f t="shared" ref="K27:K29" si="16">(I27-J27)*100</f>
        <v>0</v>
      </c>
      <c r="M27" s="144">
        <f t="shared" ref="M27:N27" si="17">M21/M7</f>
        <v>0.20124621084540248</v>
      </c>
      <c r="N27" s="144">
        <f t="shared" si="17"/>
        <v>0.20124621084540248</v>
      </c>
      <c r="O27" s="150">
        <f>(M27-N27)*100</f>
        <v>0</v>
      </c>
      <c r="P27" s="138"/>
      <c r="Q27" s="661"/>
      <c r="R27" s="138"/>
      <c r="S27" s="143" t="s">
        <v>1517</v>
      </c>
      <c r="T27" s="144">
        <f t="shared" ref="T27" si="18">T21/T7</f>
        <v>0.2133222083159505</v>
      </c>
      <c r="U27" s="144">
        <f t="shared" ref="U27:Y30" si="19">U21/U7</f>
        <v>0.20648989159097569</v>
      </c>
      <c r="V27" s="144">
        <f t="shared" si="19"/>
        <v>0.227628411165855</v>
      </c>
      <c r="W27" s="144">
        <f t="shared" si="19"/>
        <v>0.23133218344451026</v>
      </c>
      <c r="X27" s="144">
        <f t="shared" si="19"/>
        <v>0.23170798695684403</v>
      </c>
      <c r="Y27" s="144">
        <f t="shared" si="19"/>
        <v>0.23439834896668255</v>
      </c>
      <c r="Z27" s="138"/>
      <c r="AA27" s="143" t="s">
        <v>1517</v>
      </c>
      <c r="AB27" s="144">
        <f t="shared" ref="AB27" si="20">AB21/AB7</f>
        <v>0.24174679108664041</v>
      </c>
      <c r="AC27" s="144">
        <f t="shared" ref="AC27:AG30" si="21">AC21/AC7</f>
        <v>0.22074358073958125</v>
      </c>
      <c r="AD27" s="144">
        <f t="shared" si="21"/>
        <v>0.22083718282807133</v>
      </c>
      <c r="AE27" s="144">
        <f t="shared" si="21"/>
        <v>0.22849653991564636</v>
      </c>
      <c r="AF27" s="144">
        <f t="shared" si="21"/>
        <v>0.22739255715347489</v>
      </c>
      <c r="AG27" s="144">
        <f t="shared" si="21"/>
        <v>0.23547890011974904</v>
      </c>
      <c r="AH27" s="138"/>
      <c r="AI27" s="143" t="s">
        <v>1517</v>
      </c>
      <c r="AJ27" s="150">
        <f t="shared" ref="AJ27:AO30" si="22">(T27-AB27)*100</f>
        <v>-2.8424582770689906</v>
      </c>
      <c r="AK27" s="150">
        <f t="shared" si="22"/>
        <v>-1.4253689148605559</v>
      </c>
      <c r="AL27" s="150">
        <f t="shared" si="22"/>
        <v>0.67912283377836724</v>
      </c>
      <c r="AM27" s="150">
        <f t="shared" si="22"/>
        <v>0.28356435288638959</v>
      </c>
      <c r="AN27" s="150">
        <f t="shared" si="22"/>
        <v>0.43154298033691307</v>
      </c>
      <c r="AO27" s="150">
        <f t="shared" si="22"/>
        <v>-0.10805511530664891</v>
      </c>
      <c r="AP27" s="138"/>
      <c r="AU27" s="532" t="s">
        <v>1592</v>
      </c>
    </row>
    <row r="28" spans="2:57" ht="15" customHeight="1">
      <c r="B28" s="138"/>
      <c r="C28" s="138" t="s">
        <v>1303</v>
      </c>
      <c r="D28" s="138"/>
      <c r="E28" s="144" t="s">
        <v>1517</v>
      </c>
      <c r="F28" s="144" t="s">
        <v>1517</v>
      </c>
      <c r="G28" s="150" t="s">
        <v>1517</v>
      </c>
      <c r="H28" s="138"/>
      <c r="I28" s="144">
        <f t="shared" ref="I28:J28" si="23">I22/I8</f>
        <v>0.12707930367504836</v>
      </c>
      <c r="J28" s="144">
        <f t="shared" si="23"/>
        <v>0.12707930367504836</v>
      </c>
      <c r="K28" s="150">
        <f t="shared" si="16"/>
        <v>0</v>
      </c>
      <c r="M28" s="144">
        <f t="shared" ref="M28:N28" si="24">M22/M8</f>
        <v>0.11228070175438597</v>
      </c>
      <c r="N28" s="144">
        <f t="shared" si="24"/>
        <v>0.11228070175438597</v>
      </c>
      <c r="O28" s="150">
        <f>(M28-N28)*100</f>
        <v>0</v>
      </c>
      <c r="P28" s="138"/>
      <c r="Q28" s="661"/>
      <c r="R28" s="138"/>
      <c r="S28" s="143" t="s">
        <v>1517</v>
      </c>
      <c r="T28" s="144">
        <f t="shared" ref="T28" si="25">T22/T8</f>
        <v>0.11765785609397944</v>
      </c>
      <c r="U28" s="144">
        <f t="shared" si="19"/>
        <v>0.12224524392540968</v>
      </c>
      <c r="V28" s="144">
        <f t="shared" si="19"/>
        <v>0.13139866479125725</v>
      </c>
      <c r="W28" s="144">
        <f t="shared" si="19"/>
        <v>0.13776194372884279</v>
      </c>
      <c r="X28" s="144">
        <f t="shared" si="19"/>
        <v>0.14344269799564272</v>
      </c>
      <c r="Y28" s="144">
        <f t="shared" si="19"/>
        <v>0.14731023966498005</v>
      </c>
      <c r="Z28" s="138"/>
      <c r="AA28" s="143" t="s">
        <v>1517</v>
      </c>
      <c r="AB28" s="144">
        <f t="shared" ref="AB28" si="26">AB22/AB8</f>
        <v>0.12577478704225825</v>
      </c>
      <c r="AC28" s="144">
        <f t="shared" si="21"/>
        <v>0.12640468280129963</v>
      </c>
      <c r="AD28" s="144">
        <f t="shared" si="21"/>
        <v>0.13581880179524039</v>
      </c>
      <c r="AE28" s="144">
        <f t="shared" si="21"/>
        <v>0.13892218273291157</v>
      </c>
      <c r="AF28" s="144">
        <f t="shared" si="21"/>
        <v>0.14087152654367224</v>
      </c>
      <c r="AG28" s="144">
        <f t="shared" si="21"/>
        <v>0.14221179858164879</v>
      </c>
      <c r="AH28" s="138"/>
      <c r="AI28" s="143" t="s">
        <v>1517</v>
      </c>
      <c r="AJ28" s="150">
        <f t="shared" si="22"/>
        <v>-0.8116930948278811</v>
      </c>
      <c r="AK28" s="150">
        <f t="shared" si="22"/>
        <v>-0.41594388758899453</v>
      </c>
      <c r="AL28" s="150">
        <f t="shared" si="22"/>
        <v>-0.44201370039831378</v>
      </c>
      <c r="AM28" s="150">
        <f t="shared" si="22"/>
        <v>-0.11602390040687804</v>
      </c>
      <c r="AN28" s="150">
        <f t="shared" si="22"/>
        <v>0.2571171451970472</v>
      </c>
      <c r="AO28" s="150">
        <f t="shared" si="22"/>
        <v>0.50984410833312677</v>
      </c>
      <c r="AP28" s="138"/>
      <c r="AU28" s="530" t="s">
        <v>1589</v>
      </c>
      <c r="AV28" s="144" t="e">
        <f t="shared" ref="AV28:BE28" si="27">AV22/AV8</f>
        <v>#N/A</v>
      </c>
      <c r="AW28" s="144" t="e">
        <f t="shared" si="27"/>
        <v>#N/A</v>
      </c>
      <c r="AX28" s="144" t="e">
        <f t="shared" si="27"/>
        <v>#N/A</v>
      </c>
      <c r="AY28" s="144" t="e">
        <f t="shared" si="27"/>
        <v>#N/A</v>
      </c>
      <c r="AZ28" s="144" t="e">
        <f t="shared" si="27"/>
        <v>#N/A</v>
      </c>
      <c r="BA28" s="144">
        <f t="shared" si="27"/>
        <v>-5.0002155265313156E-3</v>
      </c>
      <c r="BB28" s="144">
        <f t="shared" si="27"/>
        <v>9.8839550463081607E-4</v>
      </c>
      <c r="BC28" s="144">
        <f t="shared" si="27"/>
        <v>3.4421515475166501E-3</v>
      </c>
      <c r="BD28" s="144">
        <f t="shared" si="27"/>
        <v>5.8090179932526803E-3</v>
      </c>
      <c r="BE28" s="144">
        <f t="shared" si="27"/>
        <v>8.1052017569763803E-3</v>
      </c>
    </row>
    <row r="29" spans="2:57" ht="15" customHeight="1">
      <c r="B29" s="138"/>
      <c r="C29" s="138" t="s">
        <v>1293</v>
      </c>
      <c r="D29" s="138"/>
      <c r="E29" s="144" t="s">
        <v>1517</v>
      </c>
      <c r="F29" s="144" t="s">
        <v>1517</v>
      </c>
      <c r="G29" s="150" t="s">
        <v>1517</v>
      </c>
      <c r="H29" s="138"/>
      <c r="I29" s="144">
        <f t="shared" ref="I29:J29" si="28">I23/I9</f>
        <v>7.0871722182849041E-3</v>
      </c>
      <c r="J29" s="144">
        <f t="shared" si="28"/>
        <v>7.0871722182849041E-3</v>
      </c>
      <c r="K29" s="150">
        <f t="shared" si="16"/>
        <v>0</v>
      </c>
      <c r="M29" s="144">
        <f t="shared" ref="M29:N29" si="29">M23/M9</f>
        <v>-4.6830843762616065E-2</v>
      </c>
      <c r="N29" s="144">
        <f t="shared" si="29"/>
        <v>-4.6830843762616065E-2</v>
      </c>
      <c r="O29" s="150">
        <f>(M29-N29)*100</f>
        <v>0</v>
      </c>
      <c r="P29" s="138"/>
      <c r="Q29" s="661"/>
      <c r="R29" s="138"/>
      <c r="S29" s="143" t="s">
        <v>1517</v>
      </c>
      <c r="T29" s="144">
        <f t="shared" ref="T29" si="30">T23/T9</f>
        <v>1.0455104551045511E-2</v>
      </c>
      <c r="U29" s="144">
        <f t="shared" si="19"/>
        <v>8.8903523213697735E-3</v>
      </c>
      <c r="V29" s="144">
        <f t="shared" si="19"/>
        <v>3.1161559032415378E-2</v>
      </c>
      <c r="W29" s="144">
        <f t="shared" si="19"/>
        <v>5.3006814806385111E-2</v>
      </c>
      <c r="X29" s="144">
        <f t="shared" si="19"/>
        <v>7.4827366973950343E-2</v>
      </c>
      <c r="Y29" s="144">
        <f t="shared" si="19"/>
        <v>8.9707897044962806E-2</v>
      </c>
      <c r="Z29" s="138"/>
      <c r="AA29" s="143" t="s">
        <v>1517</v>
      </c>
      <c r="AB29" s="144">
        <f t="shared" ref="AB29" si="31">AB23/AB9</f>
        <v>2.2363296713676498E-2</v>
      </c>
      <c r="AC29" s="144">
        <f t="shared" si="21"/>
        <v>1.527780326191825E-2</v>
      </c>
      <c r="AD29" s="144">
        <f t="shared" si="21"/>
        <v>5.5708733373745489E-2</v>
      </c>
      <c r="AE29" s="144">
        <f t="shared" si="21"/>
        <v>8.260531731139785E-2</v>
      </c>
      <c r="AF29" s="144">
        <f t="shared" si="21"/>
        <v>0.10471254712235885</v>
      </c>
      <c r="AG29" s="144">
        <f t="shared" si="21"/>
        <v>0.12499130135045201</v>
      </c>
      <c r="AH29" s="138"/>
      <c r="AI29" s="143" t="s">
        <v>1517</v>
      </c>
      <c r="AJ29" s="150">
        <f t="shared" si="22"/>
        <v>-1.1908192162630986</v>
      </c>
      <c r="AK29" s="150">
        <f t="shared" si="22"/>
        <v>-0.6387450940548477</v>
      </c>
      <c r="AL29" s="150">
        <f t="shared" si="22"/>
        <v>-2.4547174341330114</v>
      </c>
      <c r="AM29" s="150">
        <f t="shared" si="22"/>
        <v>-2.9598502505012738</v>
      </c>
      <c r="AN29" s="150">
        <f t="shared" si="22"/>
        <v>-2.9885180148408503</v>
      </c>
      <c r="AO29" s="150">
        <f t="shared" si="22"/>
        <v>-3.528340430548921</v>
      </c>
      <c r="AP29" s="138"/>
      <c r="AU29" s="530" t="s">
        <v>1590</v>
      </c>
      <c r="AV29" s="144" t="e">
        <f t="shared" ref="AV29:BE29" si="32">AV23/AV9</f>
        <v>#N/A</v>
      </c>
      <c r="AW29" s="144" t="e">
        <f t="shared" si="32"/>
        <v>#N/A</v>
      </c>
      <c r="AX29" s="144" t="e">
        <f t="shared" si="32"/>
        <v>#N/A</v>
      </c>
      <c r="AY29" s="144" t="e">
        <f t="shared" si="32"/>
        <v>#N/A</v>
      </c>
      <c r="AZ29" s="144" t="e">
        <f t="shared" si="32"/>
        <v>#N/A</v>
      </c>
      <c r="BA29" s="144">
        <f t="shared" si="32"/>
        <v>-5.0002155265313156E-3</v>
      </c>
      <c r="BB29" s="144">
        <f t="shared" si="32"/>
        <v>9.8839550463081607E-4</v>
      </c>
      <c r="BC29" s="144">
        <f t="shared" si="32"/>
        <v>3.4421515475166501E-3</v>
      </c>
      <c r="BD29" s="144">
        <f t="shared" si="32"/>
        <v>5.8090179932526803E-3</v>
      </c>
      <c r="BE29" s="144">
        <f t="shared" si="32"/>
        <v>8.1052017569763803E-3</v>
      </c>
    </row>
    <row r="30" spans="2:57" ht="13.7" customHeight="1">
      <c r="B30" s="146"/>
      <c r="C30" s="145" t="s">
        <v>1382</v>
      </c>
      <c r="D30" s="146"/>
      <c r="E30" s="131" t="s">
        <v>1517</v>
      </c>
      <c r="F30" s="131" t="s">
        <v>1517</v>
      </c>
      <c r="G30" s="151" t="s">
        <v>1517</v>
      </c>
      <c r="H30" s="146"/>
      <c r="I30" s="131">
        <f t="shared" ref="I30:J30" si="33">I24/I10</f>
        <v>0.15129914922970797</v>
      </c>
      <c r="J30" s="131">
        <f t="shared" si="33"/>
        <v>0.15129914922970797</v>
      </c>
      <c r="K30" s="151">
        <f>(I30-J30)*100</f>
        <v>0</v>
      </c>
      <c r="M30" s="131">
        <f t="shared" ref="M30:N30" si="34">M24/M10</f>
        <v>0.13647139962929436</v>
      </c>
      <c r="N30" s="131">
        <f t="shared" si="34"/>
        <v>0.13647139962929436</v>
      </c>
      <c r="O30" s="151">
        <f>(M30-N30)*100</f>
        <v>0</v>
      </c>
      <c r="P30" s="146"/>
      <c r="Q30" s="662" t="s">
        <v>1758</v>
      </c>
      <c r="R30" s="146"/>
      <c r="S30" s="147" t="s">
        <v>1517</v>
      </c>
      <c r="T30" s="131">
        <f t="shared" ref="T30" si="35">T24/T10</f>
        <v>0.15031534688156972</v>
      </c>
      <c r="U30" s="131">
        <f t="shared" si="19"/>
        <v>0.15078522531756783</v>
      </c>
      <c r="V30" s="131">
        <f t="shared" si="19"/>
        <v>0.16708824722058432</v>
      </c>
      <c r="W30" s="131">
        <f t="shared" si="19"/>
        <v>0.1742407221795885</v>
      </c>
      <c r="X30" s="131">
        <f t="shared" si="19"/>
        <v>0.1793260788815034</v>
      </c>
      <c r="Y30" s="131">
        <f t="shared" si="19"/>
        <v>0.18367419824049241</v>
      </c>
      <c r="Z30" s="146"/>
      <c r="AA30" s="147" t="s">
        <v>1517</v>
      </c>
      <c r="AB30" s="131">
        <f t="shared" ref="AB30" si="36">AB24/AB10</f>
        <v>0.16055376251338868</v>
      </c>
      <c r="AC30" s="131">
        <f t="shared" si="21"/>
        <v>0.15607261680289425</v>
      </c>
      <c r="AD30" s="131">
        <f t="shared" si="21"/>
        <v>0.16597042085299277</v>
      </c>
      <c r="AE30" s="131">
        <f t="shared" si="21"/>
        <v>0.17433209733715296</v>
      </c>
      <c r="AF30" s="131">
        <f t="shared" si="21"/>
        <v>0.17716654322101374</v>
      </c>
      <c r="AG30" s="131">
        <f t="shared" si="21"/>
        <v>0.18331268257061956</v>
      </c>
      <c r="AH30" s="146"/>
      <c r="AI30" s="147" t="s">
        <v>1517</v>
      </c>
      <c r="AJ30" s="151">
        <f t="shared" si="22"/>
        <v>-1.0238415631818958</v>
      </c>
      <c r="AK30" s="151">
        <f t="shared" si="22"/>
        <v>-0.52873914853264203</v>
      </c>
      <c r="AL30" s="151">
        <f t="shared" si="22"/>
        <v>0.11178263675915567</v>
      </c>
      <c r="AM30" s="151">
        <f t="shared" si="22"/>
        <v>-9.1375157564466125E-3</v>
      </c>
      <c r="AN30" s="151">
        <f t="shared" si="22"/>
        <v>0.21595356604896532</v>
      </c>
      <c r="AO30" s="151">
        <f t="shared" si="22"/>
        <v>3.6151566987285833E-2</v>
      </c>
      <c r="AP30" s="146"/>
      <c r="AU30" s="530" t="s">
        <v>1591</v>
      </c>
      <c r="AV30" s="144" t="e">
        <f t="shared" ref="AV30:BE30" ca="1" si="37">AV24/AV10</f>
        <v>#NAME?</v>
      </c>
      <c r="AW30" s="144" t="e">
        <f t="shared" ca="1" si="37"/>
        <v>#NAME?</v>
      </c>
      <c r="AX30" s="144" t="e">
        <f t="shared" ca="1" si="37"/>
        <v>#NAME?</v>
      </c>
      <c r="AY30" s="144" t="e">
        <f t="shared" ca="1" si="37"/>
        <v>#NAME?</v>
      </c>
      <c r="AZ30" s="144" t="e">
        <f t="shared" ca="1" si="37"/>
        <v>#NAME?</v>
      </c>
      <c r="BA30" s="144" t="e">
        <f t="shared" ca="1" si="37"/>
        <v>#NAME?</v>
      </c>
      <c r="BB30" s="144" t="e">
        <f t="shared" ca="1" si="37"/>
        <v>#NAME?</v>
      </c>
      <c r="BC30" s="144" t="e">
        <f t="shared" ca="1" si="37"/>
        <v>#NAME?</v>
      </c>
      <c r="BD30" s="144" t="e">
        <f t="shared" ca="1" si="37"/>
        <v>#NAME?</v>
      </c>
      <c r="BE30" s="144" t="e">
        <f t="shared" ca="1" si="37"/>
        <v>#NAME?</v>
      </c>
    </row>
    <row r="31" spans="2:57" ht="13.7" customHeight="1">
      <c r="B31" s="146"/>
      <c r="C31" s="146"/>
      <c r="D31" s="146"/>
      <c r="E31" s="156"/>
      <c r="F31" s="156"/>
      <c r="G31" s="156"/>
      <c r="H31" s="146"/>
      <c r="I31" s="156"/>
      <c r="J31" s="156"/>
      <c r="K31" s="156"/>
      <c r="M31" s="156"/>
      <c r="N31" s="156"/>
      <c r="O31" s="665"/>
      <c r="P31" s="146"/>
      <c r="Q31" s="1002"/>
      <c r="R31" s="146"/>
      <c r="S31" s="156"/>
      <c r="T31" s="156"/>
      <c r="U31" s="161"/>
      <c r="V31" s="156"/>
      <c r="W31" s="156"/>
      <c r="X31" s="156"/>
      <c r="Y31" s="156"/>
      <c r="Z31" s="592"/>
      <c r="AA31" s="156"/>
      <c r="AB31" s="156"/>
      <c r="AC31" s="161"/>
      <c r="AD31" s="156"/>
      <c r="AE31" s="156"/>
      <c r="AF31" s="156"/>
      <c r="AG31" s="156"/>
      <c r="AH31" s="720"/>
      <c r="AI31" s="156"/>
      <c r="AJ31" s="132"/>
      <c r="AK31" s="132"/>
      <c r="AL31" s="132"/>
      <c r="AM31" s="132"/>
      <c r="AN31" s="155"/>
      <c r="AO31" s="155"/>
      <c r="AP31" s="146"/>
      <c r="AU31" s="530"/>
      <c r="AV31" s="143"/>
      <c r="AW31" s="143"/>
      <c r="AX31" s="143"/>
      <c r="AY31" s="143"/>
      <c r="AZ31" s="143"/>
      <c r="BA31" s="143"/>
      <c r="BB31" s="143"/>
      <c r="BC31" s="143"/>
      <c r="BD31" s="143"/>
      <c r="BE31" s="143"/>
    </row>
    <row r="32" spans="2:57" ht="13.7" customHeight="1">
      <c r="B32" s="146"/>
      <c r="C32" s="145" t="s">
        <v>1383</v>
      </c>
      <c r="D32" s="146"/>
      <c r="E32" s="147" t="s">
        <v>1517</v>
      </c>
      <c r="F32" s="147" t="s">
        <v>1517</v>
      </c>
      <c r="G32" s="160" t="s">
        <v>1517</v>
      </c>
      <c r="H32" s="146"/>
      <c r="I32" s="147">
        <f>OpMod!CA271</f>
        <v>1463</v>
      </c>
      <c r="J32" s="147">
        <v>1463</v>
      </c>
      <c r="K32" s="160">
        <f>I32/J32-1</f>
        <v>0</v>
      </c>
      <c r="M32" s="147">
        <f>OpMod!AA271</f>
        <v>2945</v>
      </c>
      <c r="N32" s="147">
        <v>2945</v>
      </c>
      <c r="O32" s="131">
        <f>M32/N32-1</f>
        <v>0</v>
      </c>
      <c r="P32" s="146"/>
      <c r="Q32" s="658" t="s">
        <v>1711</v>
      </c>
      <c r="R32" s="146"/>
      <c r="S32" s="147" t="s">
        <v>1517</v>
      </c>
      <c r="T32" s="147">
        <f>OpMod!CB271</f>
        <v>1726</v>
      </c>
      <c r="U32" s="147">
        <f>'Cashflow Statement'!$Z$57</f>
        <v>3189</v>
      </c>
      <c r="V32" s="147">
        <f>'Cashflow Statement'!$AA$57</f>
        <v>3518.6013391781835</v>
      </c>
      <c r="W32" s="147">
        <f>'Cashflow Statement'!$AB$57</f>
        <v>4206.2766698938904</v>
      </c>
      <c r="X32" s="147">
        <f>'Cashflow Statement'!$AC$57</f>
        <v>4875.4879954339885</v>
      </c>
      <c r="Y32" s="147">
        <f>'Cashflow Statement'!$AD$57</f>
        <v>5449.6205658951149</v>
      </c>
      <c r="Z32" s="146"/>
      <c r="AA32" s="147" t="s">
        <v>1517</v>
      </c>
      <c r="AB32" s="147">
        <v>1432.2698027181477</v>
      </c>
      <c r="AC32" s="147">
        <v>2895.2698027181477</v>
      </c>
      <c r="AD32" s="147">
        <v>3448.8574610911833</v>
      </c>
      <c r="AE32" s="147">
        <v>4083.3503854640439</v>
      </c>
      <c r="AF32" s="147">
        <v>4790.1554987944664</v>
      </c>
      <c r="AG32" s="147">
        <v>5344.3669785054653</v>
      </c>
      <c r="AH32" s="146"/>
      <c r="AI32" s="147" t="s">
        <v>1517</v>
      </c>
      <c r="AJ32" s="131">
        <f t="shared" ref="AJ32:AO32" si="38">T32/AB32-1</f>
        <v>0.20508021374493413</v>
      </c>
      <c r="AK32" s="131">
        <f t="shared" si="38"/>
        <v>0.1014517531340573</v>
      </c>
      <c r="AL32" s="131">
        <f t="shared" si="38"/>
        <v>2.0222313874616926E-2</v>
      </c>
      <c r="AM32" s="131">
        <f t="shared" si="38"/>
        <v>3.0104270470504124E-2</v>
      </c>
      <c r="AN32" s="131">
        <f t="shared" si="38"/>
        <v>1.7814139157068531E-2</v>
      </c>
      <c r="AO32" s="131">
        <f t="shared" si="38"/>
        <v>1.9694303892859422E-2</v>
      </c>
      <c r="AP32" s="146"/>
      <c r="AU32" s="532" t="s">
        <v>1383</v>
      </c>
    </row>
    <row r="33" spans="2:57" ht="13.7" customHeight="1">
      <c r="B33" s="1005"/>
      <c r="C33" s="1005" t="s">
        <v>1610</v>
      </c>
      <c r="D33" s="1005"/>
      <c r="E33" s="575" t="s">
        <v>1517</v>
      </c>
      <c r="F33" s="575" t="s">
        <v>1517</v>
      </c>
      <c r="G33" s="150" t="s">
        <v>1517</v>
      </c>
      <c r="H33" s="1005"/>
      <c r="I33" s="575">
        <f>I32/I24</f>
        <v>0.74113475177304966</v>
      </c>
      <c r="J33" s="575">
        <f>J32/J24</f>
        <v>0.74113475177304966</v>
      </c>
      <c r="K33" s="150">
        <f t="shared" ref="K33" si="39">(I33-J33)*100</f>
        <v>0</v>
      </c>
      <c r="M33" s="575">
        <f>M32/M24</f>
        <v>0.93019583070120027</v>
      </c>
      <c r="N33" s="575">
        <f>N32/N24</f>
        <v>0.93019583070120027</v>
      </c>
      <c r="O33" s="150">
        <f>(M33-N33)*100</f>
        <v>0</v>
      </c>
      <c r="P33" s="1005"/>
      <c r="Q33" s="661"/>
      <c r="R33" s="1005"/>
      <c r="S33" s="1006" t="s">
        <v>1517</v>
      </c>
      <c r="T33" s="575">
        <f t="shared" ref="T33:Y33" si="40">T32/T24</f>
        <v>0.80466200466200466</v>
      </c>
      <c r="U33" s="575">
        <f t="shared" si="40"/>
        <v>0.77421704297159499</v>
      </c>
      <c r="V33" s="575">
        <f t="shared" si="40"/>
        <v>0.67938972075361592</v>
      </c>
      <c r="W33" s="575">
        <f t="shared" si="40"/>
        <v>0.69930799762484375</v>
      </c>
      <c r="X33" s="575">
        <f t="shared" si="40"/>
        <v>0.71227181105907833</v>
      </c>
      <c r="Y33" s="575">
        <f t="shared" si="40"/>
        <v>0.71666035111439819</v>
      </c>
      <c r="Z33" s="1005"/>
      <c r="AA33" s="1006" t="s">
        <v>1517</v>
      </c>
      <c r="AB33" s="575">
        <f t="shared" ref="AB33:AG33" si="41">AB32/AB24</f>
        <v>0.64187250788359829</v>
      </c>
      <c r="AC33" s="575">
        <f t="shared" si="41"/>
        <v>0.68846593464863204</v>
      </c>
      <c r="AD33" s="575">
        <f t="shared" si="41"/>
        <v>0.67174742980144519</v>
      </c>
      <c r="AE33" s="575">
        <f t="shared" si="41"/>
        <v>0.68346353100898838</v>
      </c>
      <c r="AF33" s="575">
        <f t="shared" si="41"/>
        <v>0.7155659358525297</v>
      </c>
      <c r="AG33" s="575">
        <f t="shared" si="41"/>
        <v>0.7102010137943443</v>
      </c>
      <c r="AH33" s="1005"/>
      <c r="AI33" s="1006" t="s">
        <v>1517</v>
      </c>
      <c r="AJ33" s="150">
        <f t="shared" ref="AJ33:AO33" si="42">(T33-AB33)*100</f>
        <v>16.278949677840636</v>
      </c>
      <c r="AK33" s="150">
        <f t="shared" si="42"/>
        <v>8.5751108322962963</v>
      </c>
      <c r="AL33" s="150">
        <f t="shared" si="42"/>
        <v>0.76422909521707272</v>
      </c>
      <c r="AM33" s="150">
        <f t="shared" si="42"/>
        <v>1.5844466615855368</v>
      </c>
      <c r="AN33" s="150">
        <f t="shared" si="42"/>
        <v>-0.32941247934513695</v>
      </c>
      <c r="AO33" s="150">
        <f t="shared" si="42"/>
        <v>0.64593373200538817</v>
      </c>
      <c r="AP33" s="1005"/>
      <c r="AU33" s="530" t="s">
        <v>1589</v>
      </c>
      <c r="AV33" s="143" t="e">
        <f t="shared" ref="AV33:BD33" si="43">INDEX($E$32:$W$32,MATCH($AU$32,$C$32,0),MATCH(AV$4,$E$4:$W$4,0))</f>
        <v>#N/A</v>
      </c>
      <c r="AW33" s="143" t="e">
        <f t="shared" si="43"/>
        <v>#N/A</v>
      </c>
      <c r="AX33" s="143" t="e">
        <f t="shared" si="43"/>
        <v>#N/A</v>
      </c>
      <c r="AY33" s="143" t="e">
        <f t="shared" si="43"/>
        <v>#N/A</v>
      </c>
      <c r="AZ33" s="143" t="e">
        <f t="shared" si="43"/>
        <v>#N/A</v>
      </c>
      <c r="BA33" s="143">
        <f t="shared" si="43"/>
        <v>2945</v>
      </c>
      <c r="BB33" s="143">
        <f t="shared" si="43"/>
        <v>3189</v>
      </c>
      <c r="BC33" s="143">
        <f t="shared" si="43"/>
        <v>3518.6013391781835</v>
      </c>
      <c r="BD33" s="143">
        <f t="shared" si="43"/>
        <v>4206.2766698938904</v>
      </c>
      <c r="BE33" s="143">
        <f>INDEX($E$32:$Y$32,MATCH($AU$32,$C$32,0),MATCH(BE$4,$E$4:$Y$4,0))</f>
        <v>4875.4879954339885</v>
      </c>
    </row>
    <row r="34" spans="2:57" ht="13.7" customHeight="1">
      <c r="B34" s="146"/>
      <c r="C34" s="146"/>
      <c r="D34" s="146"/>
      <c r="E34" s="156"/>
      <c r="F34" s="156"/>
      <c r="G34" s="156"/>
      <c r="H34" s="146"/>
      <c r="I34" s="156"/>
      <c r="J34" s="156"/>
      <c r="K34" s="156"/>
      <c r="M34" s="156"/>
      <c r="N34" s="156"/>
      <c r="O34" s="132"/>
      <c r="P34" s="146"/>
      <c r="Q34" s="659"/>
      <c r="R34" s="146"/>
      <c r="S34" s="156"/>
      <c r="T34" s="156"/>
      <c r="U34" s="161"/>
      <c r="V34" s="156"/>
      <c r="W34" s="156"/>
      <c r="X34" s="156"/>
      <c r="Y34" s="156"/>
      <c r="Z34" s="146"/>
      <c r="AA34" s="156"/>
      <c r="AB34" s="156"/>
      <c r="AC34" s="161"/>
      <c r="AD34" s="156"/>
      <c r="AE34" s="156"/>
      <c r="AF34" s="156"/>
      <c r="AG34" s="156"/>
      <c r="AH34" s="146"/>
      <c r="AI34" s="132"/>
      <c r="AJ34" s="132"/>
      <c r="AK34" s="132"/>
      <c r="AL34" s="132"/>
      <c r="AM34" s="132"/>
      <c r="AN34" s="132"/>
      <c r="AO34" s="154" t="s">
        <v>1823</v>
      </c>
      <c r="AP34" s="146"/>
      <c r="AU34" s="530" t="s">
        <v>1590</v>
      </c>
      <c r="AV34" s="143" t="e">
        <f t="shared" ref="AV34:AY35" si="44">AV33</f>
        <v>#N/A</v>
      </c>
      <c r="AW34" s="143" t="e">
        <f t="shared" si="44"/>
        <v>#N/A</v>
      </c>
      <c r="AX34" s="143" t="e">
        <f t="shared" si="44"/>
        <v>#N/A</v>
      </c>
      <c r="AY34" s="143" t="e">
        <f t="shared" si="44"/>
        <v>#N/A</v>
      </c>
      <c r="AZ34" s="143" t="e">
        <f t="shared" ref="AZ34:BE34" si="45">INDEX($E$32:$AE$32,MATCH($AU$32,$C$32,0),MATCH(AZ$4,$E$4:$AE$4,0))</f>
        <v>#N/A</v>
      </c>
      <c r="BA34" s="143">
        <f t="shared" si="45"/>
        <v>2945</v>
      </c>
      <c r="BB34" s="143">
        <f t="shared" si="45"/>
        <v>3189</v>
      </c>
      <c r="BC34" s="143">
        <f t="shared" si="45"/>
        <v>3518.6013391781835</v>
      </c>
      <c r="BD34" s="143">
        <f t="shared" si="45"/>
        <v>4206.2766698938904</v>
      </c>
      <c r="BE34" s="143">
        <f t="shared" si="45"/>
        <v>4875.4879954339885</v>
      </c>
    </row>
    <row r="35" spans="2:57" ht="13.7" customHeight="1">
      <c r="B35" s="146"/>
      <c r="C35" s="145" t="s">
        <v>1424</v>
      </c>
      <c r="D35" s="146"/>
      <c r="E35" s="131" t="e">
        <f>OpMod!ET62</f>
        <v>#REF!</v>
      </c>
      <c r="F35" s="131">
        <v>0.20499999999999999</v>
      </c>
      <c r="G35" s="151" t="e">
        <f>(E35-F35)*100</f>
        <v>#REF!</v>
      </c>
      <c r="H35" s="146"/>
      <c r="I35" s="131" t="e">
        <f>OpMod!CA62</f>
        <v>#REF!</v>
      </c>
      <c r="J35" s="131">
        <v>0.29846971329484839</v>
      </c>
      <c r="K35" s="151" t="e">
        <f>(I35-J35)*100</f>
        <v>#REF!</v>
      </c>
      <c r="M35" s="131">
        <f>OpMod!AA62</f>
        <v>0.33014474873070321</v>
      </c>
      <c r="N35" s="131">
        <v>0.32899999999999996</v>
      </c>
      <c r="O35" s="151">
        <f>(M35-N35)*100</f>
        <v>0.11447487307032489</v>
      </c>
      <c r="P35" s="146"/>
      <c r="Q35" s="730" t="s">
        <v>1789</v>
      </c>
      <c r="R35" s="146"/>
      <c r="S35" s="131" t="e">
        <f>OpMod!$ET$62</f>
        <v>#REF!</v>
      </c>
      <c r="T35" s="131" t="e">
        <f>OpMod!CB62</f>
        <v>#REF!</v>
      </c>
      <c r="U35" s="131">
        <f>'Aerospace Propulsion Division'!$Z$104</f>
        <v>0.249</v>
      </c>
      <c r="V35" s="131">
        <f>'Aerospace Propulsion Division'!$AA$105</f>
        <v>0.1832842541739117</v>
      </c>
      <c r="W35" s="131">
        <f>'Aerospace Propulsion Division'!$AB$104</f>
        <v>0.17526346312665564</v>
      </c>
      <c r="X35" s="131">
        <f>'Aerospace Propulsion Division'!$AC$104</f>
        <v>0.11739398677555801</v>
      </c>
      <c r="Y35" s="131">
        <f>'Aerospace Propulsion Division'!$AD$104</f>
        <v>9.0926018381547902E-2</v>
      </c>
      <c r="Z35" s="146"/>
      <c r="AA35" s="131">
        <v>0.20499999999999999</v>
      </c>
      <c r="AB35" s="131">
        <v>0.20911653469786251</v>
      </c>
      <c r="AC35" s="131">
        <v>0.24930568037275824</v>
      </c>
      <c r="AD35" s="131">
        <v>0.18988968070685597</v>
      </c>
      <c r="AE35" s="131">
        <v>0.14641984584711087</v>
      </c>
      <c r="AF35" s="131">
        <v>0.12053110044984483</v>
      </c>
      <c r="AG35" s="131">
        <v>6.685050946024429E-2</v>
      </c>
      <c r="AH35" s="146"/>
      <c r="AI35" s="151" t="e">
        <f t="shared" ref="AI35:AO35" si="46">(S35-AA35)*100</f>
        <v>#REF!</v>
      </c>
      <c r="AJ35" s="151" t="e">
        <f t="shared" si="46"/>
        <v>#REF!</v>
      </c>
      <c r="AK35" s="151">
        <f t="shared" si="46"/>
        <v>-3.0568037275824356E-2</v>
      </c>
      <c r="AL35" s="151">
        <f t="shared" si="46"/>
        <v>-0.66054265329442696</v>
      </c>
      <c r="AM35" s="151">
        <f t="shared" si="46"/>
        <v>2.8843617279544764</v>
      </c>
      <c r="AN35" s="151">
        <f t="shared" si="46"/>
        <v>-0.31371136742868178</v>
      </c>
      <c r="AO35" s="151">
        <f t="shared" si="46"/>
        <v>2.4075508921303612</v>
      </c>
      <c r="AP35" s="146"/>
      <c r="AU35" s="530" t="s">
        <v>1591</v>
      </c>
      <c r="AV35" s="143" t="e">
        <f t="shared" si="44"/>
        <v>#N/A</v>
      </c>
      <c r="AW35" s="143" t="e">
        <f t="shared" si="44"/>
        <v>#N/A</v>
      </c>
      <c r="AX35" s="143" t="e">
        <f t="shared" si="44"/>
        <v>#N/A</v>
      </c>
      <c r="AY35" s="143" t="e">
        <f t="shared" si="44"/>
        <v>#N/A</v>
      </c>
      <c r="AZ35" s="143" t="e">
        <f ca="1">_xll.VisibleAlpha.UDF.VAData("SAF_FR",AZ$2,"Free cash flow (FCF)","Consensus","CD","IMPL",TODAY())</f>
        <v>#NAME?</v>
      </c>
      <c r="BA35" s="143" t="e">
        <f ca="1">_xll.VisibleAlpha.UDF.VAData("SAF_FR",BA$2,"Free cash flow (FCF)","Consensus","CD","IMPL",TODAY())</f>
        <v>#NAME?</v>
      </c>
      <c r="BB35" s="143" t="e">
        <f ca="1">_xll.VisibleAlpha.UDF.VAData("SAF_FR",BB$2,"Free cash flow (FCF)","Consensus","CD","IMPL",TODAY())</f>
        <v>#NAME?</v>
      </c>
      <c r="BC35" s="143" t="e">
        <f ca="1">_xll.VisibleAlpha.UDF.VAData("SAF_FR",BC$2,"Free cash flow (FCF)","Consensus","CD","IMPL",TODAY())</f>
        <v>#NAME?</v>
      </c>
      <c r="BD35" s="143" t="e">
        <f ca="1">_xll.VisibleAlpha.UDF.VAData("SAF_FR",BD$2,"Free cash flow (FCF)","Consensus","CD","IMPL",TODAY())</f>
        <v>#NAME?</v>
      </c>
      <c r="BE35" s="143" t="e">
        <f ca="1">_xll.VisibleAlpha.UDF.VAData("SAF_FR",BE$2,"Free cash flow (FCF)","Consensus","CD","IMPL",TODAY())</f>
        <v>#NAME?</v>
      </c>
    </row>
    <row r="36" spans="2:57" ht="13.7" customHeight="1">
      <c r="B36" s="146"/>
      <c r="C36" s="1203" t="s">
        <v>1824</v>
      </c>
      <c r="D36" s="146"/>
      <c r="E36" s="131"/>
      <c r="F36" s="131"/>
      <c r="G36" s="151"/>
      <c r="H36" s="146"/>
      <c r="I36" s="131"/>
      <c r="J36" s="131"/>
      <c r="K36" s="151"/>
      <c r="M36" s="131"/>
      <c r="N36" s="131"/>
      <c r="O36" s="151"/>
      <c r="P36" s="146"/>
      <c r="Q36" s="730" t="s">
        <v>1828</v>
      </c>
      <c r="R36" s="146"/>
      <c r="S36" s="131"/>
      <c r="T36" s="131"/>
      <c r="U36" s="131">
        <f>'Aerospace Propulsion Division'!$Z$105</f>
        <v>0.16500000000000001</v>
      </c>
      <c r="V36" s="131" t="e">
        <f>'Aerospace Propulsion Division'!#REF!</f>
        <v>#REF!</v>
      </c>
      <c r="W36" s="131">
        <f>'Aerospace Propulsion Division'!$AB$105</f>
        <v>0.13487136769692554</v>
      </c>
      <c r="X36" s="1204">
        <f>'Aerospace Propulsion Division'!$AC$105</f>
        <v>3.6090627047374868E-2</v>
      </c>
      <c r="Y36" s="1205">
        <f>'Aerospace Propulsion Division'!$AD$105</f>
        <v>3.4411472713746782E-3</v>
      </c>
      <c r="Z36" s="146"/>
      <c r="AA36" s="131"/>
      <c r="AB36" s="131"/>
      <c r="AC36" s="131"/>
      <c r="AD36" s="131"/>
      <c r="AE36" s="131"/>
      <c r="AF36" s="131"/>
      <c r="AG36" s="131"/>
      <c r="AH36" s="146"/>
      <c r="AI36" s="151"/>
      <c r="AJ36" s="151"/>
      <c r="AK36" s="151"/>
      <c r="AL36" s="151"/>
      <c r="AM36" s="151"/>
      <c r="AN36" s="151"/>
      <c r="AO36" s="151"/>
      <c r="AP36" s="146"/>
      <c r="AU36" s="530"/>
      <c r="AV36" s="143"/>
      <c r="AW36" s="143"/>
      <c r="AX36" s="143"/>
      <c r="AY36" s="143"/>
      <c r="AZ36" s="143"/>
      <c r="BA36" s="143"/>
      <c r="BB36" s="143"/>
      <c r="BC36" s="143"/>
      <c r="BD36" s="143"/>
      <c r="BE36" s="143"/>
    </row>
    <row r="37" spans="2:57" ht="13.7" customHeight="1">
      <c r="B37" s="146"/>
      <c r="C37" s="1203" t="s">
        <v>1825</v>
      </c>
      <c r="D37" s="146"/>
      <c r="E37" s="131">
        <f>OpMod!ET63</f>
        <v>0</v>
      </c>
      <c r="F37" s="131">
        <v>0</v>
      </c>
      <c r="G37" s="151">
        <f>(E37-F37)*100</f>
        <v>0</v>
      </c>
      <c r="H37" s="146"/>
      <c r="I37" s="131">
        <f>OpMod!CA63</f>
        <v>0</v>
      </c>
      <c r="J37" s="131">
        <v>0</v>
      </c>
      <c r="K37" s="151">
        <f>(I37-J37)*100</f>
        <v>0</v>
      </c>
      <c r="M37" s="131" t="e">
        <f>OpMod!AA63</f>
        <v>#REF!</v>
      </c>
      <c r="N37" s="131">
        <v>0.33513214451768292</v>
      </c>
      <c r="O37" s="151" t="e">
        <f>(M37-N37)*100</f>
        <v>#REF!</v>
      </c>
      <c r="P37" s="146"/>
      <c r="Q37" s="730" t="s">
        <v>1827</v>
      </c>
      <c r="R37" s="146"/>
      <c r="S37" s="131" t="e">
        <f>OpMod!$ET$62</f>
        <v>#REF!</v>
      </c>
      <c r="T37" s="131">
        <f>OpMod!CB63</f>
        <v>0</v>
      </c>
      <c r="U37" s="131">
        <f>'Aerospace Propulsion Division'!$Z$106</f>
        <v>0.38</v>
      </c>
      <c r="V37" s="131">
        <f>'Aerospace Propulsion Division'!$AA$106</f>
        <v>0.17576707594402041</v>
      </c>
      <c r="W37" s="131">
        <f>'Aerospace Propulsion Division'!$AA$104</f>
        <v>0.18030168340551977</v>
      </c>
      <c r="X37" s="131">
        <f>'Aerospace Propulsion Division'!$AC$106</f>
        <v>0.2315184248728559</v>
      </c>
      <c r="Y37" s="131">
        <f>'Aerospace Propulsion Division'!$AD$106</f>
        <v>0.1942402017546454</v>
      </c>
      <c r="Z37" s="146"/>
      <c r="AA37" s="131">
        <v>0.20499999999999999</v>
      </c>
      <c r="AB37" s="131">
        <v>0</v>
      </c>
      <c r="AC37" s="131"/>
      <c r="AD37" s="131"/>
      <c r="AE37" s="131"/>
      <c r="AF37" s="131"/>
      <c r="AG37" s="131"/>
      <c r="AH37" s="146"/>
      <c r="AI37" s="151"/>
      <c r="AJ37" s="151"/>
      <c r="AK37" s="151"/>
      <c r="AL37" s="151"/>
      <c r="AM37" s="151"/>
      <c r="AN37" s="151"/>
      <c r="AO37" s="151"/>
      <c r="AP37" s="146"/>
      <c r="AU37" s="530" t="s">
        <v>1591</v>
      </c>
      <c r="AV37" s="143" t="e">
        <f>AV35</f>
        <v>#N/A</v>
      </c>
      <c r="AW37" s="143" t="e">
        <f>AW35</f>
        <v>#N/A</v>
      </c>
      <c r="AX37" s="143" t="e">
        <f>AX35</f>
        <v>#N/A</v>
      </c>
      <c r="AY37" s="143" t="e">
        <f>AY35</f>
        <v>#N/A</v>
      </c>
      <c r="AZ37" s="143" t="e">
        <f ca="1">_xll.VisibleAlpha.UDF.VAData("SAF_FR",AZ$2,"Free cash flow (FCF)","Consensus","CD","IMPL",TODAY())</f>
        <v>#NAME?</v>
      </c>
      <c r="BA37" s="143" t="e">
        <f ca="1">_xll.VisibleAlpha.UDF.VAData("SAF_FR",BA$2,"Free cash flow (FCF)","Consensus","CD","IMPL",TODAY())</f>
        <v>#NAME?</v>
      </c>
      <c r="BB37" s="143" t="e">
        <f ca="1">_xll.VisibleAlpha.UDF.VAData("SAF_FR",BB$2,"Free cash flow (FCF)","Consensus","CD","IMPL",TODAY())</f>
        <v>#NAME?</v>
      </c>
      <c r="BC37" s="143" t="e">
        <f ca="1">_xll.VisibleAlpha.UDF.VAData("SAF_FR",BC$2,"Free cash flow (FCF)","Consensus","CD","IMPL",TODAY())</f>
        <v>#NAME?</v>
      </c>
      <c r="BD37" s="143" t="e">
        <f ca="1">_xll.VisibleAlpha.UDF.VAData("SAF_FR",BD$2,"Free cash flow (FCF)","Consensus","CD","IMPL",TODAY())</f>
        <v>#NAME?</v>
      </c>
      <c r="BE37" s="143" t="e">
        <f ca="1">_xll.VisibleAlpha.UDF.VAData("SAF_FR",BE$2,"Free cash flow (FCF)","Consensus","CD","IMPL",TODAY())</f>
        <v>#NAME?</v>
      </c>
    </row>
    <row r="38" spans="2:57" ht="13.7" customHeight="1">
      <c r="B38" s="146"/>
      <c r="C38" s="146"/>
      <c r="D38" s="146"/>
      <c r="E38" s="132"/>
      <c r="F38" s="132"/>
      <c r="G38" s="718"/>
      <c r="H38" s="146"/>
      <c r="I38" s="132"/>
      <c r="J38" s="132"/>
      <c r="K38" s="718"/>
      <c r="M38" s="132"/>
      <c r="N38" s="132"/>
      <c r="O38" s="718"/>
      <c r="P38" s="146"/>
      <c r="Q38" s="731"/>
      <c r="R38" s="146"/>
      <c r="S38" s="132"/>
      <c r="T38" s="132"/>
      <c r="U38" s="132"/>
      <c r="V38" s="132"/>
      <c r="W38" s="132"/>
      <c r="X38" s="665" t="s">
        <v>1826</v>
      </c>
      <c r="Y38" s="132"/>
      <c r="Z38" s="146"/>
      <c r="AA38" s="132"/>
      <c r="AB38" s="132"/>
      <c r="AC38" s="132"/>
      <c r="AD38" s="132"/>
      <c r="AE38" s="132"/>
      <c r="AF38" s="132"/>
      <c r="AG38" s="132"/>
      <c r="AH38" s="146"/>
      <c r="AI38" s="718"/>
      <c r="AJ38" s="718"/>
      <c r="AK38" s="718"/>
      <c r="AL38" s="718"/>
      <c r="AM38" s="718"/>
      <c r="AN38" s="718"/>
      <c r="AO38" s="718"/>
      <c r="AP38" s="146"/>
    </row>
    <row r="39" spans="2:57" ht="13.5" customHeight="1">
      <c r="B39" s="138"/>
      <c r="C39" s="145" t="s">
        <v>1425</v>
      </c>
      <c r="D39" s="146"/>
      <c r="E39" s="147" t="s">
        <v>1517</v>
      </c>
      <c r="F39" s="147" t="s">
        <v>1517</v>
      </c>
      <c r="G39" s="147" t="s">
        <v>1517</v>
      </c>
      <c r="H39" s="146"/>
      <c r="I39" s="147" t="s">
        <v>1517</v>
      </c>
      <c r="J39" s="147" t="s">
        <v>1517</v>
      </c>
      <c r="K39" s="147" t="s">
        <v>1517</v>
      </c>
      <c r="M39" s="152">
        <f>'Income Statement'!Y149</f>
        <v>1.0813423257273662</v>
      </c>
      <c r="N39" s="152">
        <v>1.0813423257273662</v>
      </c>
      <c r="O39" s="151">
        <f>(M39-N39)*100</f>
        <v>0</v>
      </c>
      <c r="P39" s="146"/>
      <c r="Q39" s="732"/>
      <c r="R39" s="146"/>
      <c r="S39" s="147" t="s">
        <v>1517</v>
      </c>
      <c r="T39" s="147" t="s">
        <v>1517</v>
      </c>
      <c r="U39" s="152">
        <f>'Income Statement'!$Z$149</f>
        <v>1.0866374605926854</v>
      </c>
      <c r="V39" s="152">
        <f>'Income Statement'!$AA$149</f>
        <v>1.1220845624527969</v>
      </c>
      <c r="W39" s="152">
        <f>'Income Statement'!$AB$149</f>
        <v>1.18469</v>
      </c>
      <c r="X39" s="152">
        <f>'Income Statement'!$AC$149</f>
        <v>1.18469</v>
      </c>
      <c r="Y39" s="152">
        <f>'Income Statement'!$AD$149</f>
        <v>1.18469</v>
      </c>
      <c r="Z39" s="146"/>
      <c r="AA39" s="147" t="s">
        <v>1517</v>
      </c>
      <c r="AB39" s="147" t="s">
        <v>1517</v>
      </c>
      <c r="AC39" s="152">
        <v>1.0860512651179655</v>
      </c>
      <c r="AD39" s="152">
        <v>1.0804499999999999</v>
      </c>
      <c r="AE39" s="152">
        <v>1.0804499999999999</v>
      </c>
      <c r="AF39" s="152">
        <v>1.0804499999999999</v>
      </c>
      <c r="AG39" s="152">
        <v>1.0804499999999999</v>
      </c>
      <c r="AH39" s="146"/>
      <c r="AI39" s="147" t="s">
        <v>1517</v>
      </c>
      <c r="AJ39" s="147" t="s">
        <v>1517</v>
      </c>
      <c r="AK39" s="151">
        <f t="shared" ref="AK39:AO40" si="47">(U39-AC39)*100</f>
        <v>5.861954747199416E-2</v>
      </c>
      <c r="AL39" s="151">
        <f t="shared" si="47"/>
        <v>4.1634562452796953</v>
      </c>
      <c r="AM39" s="151">
        <f t="shared" si="47"/>
        <v>10.42400000000001</v>
      </c>
      <c r="AN39" s="151">
        <f t="shared" si="47"/>
        <v>10.42400000000001</v>
      </c>
      <c r="AO39" s="151">
        <f t="shared" si="47"/>
        <v>10.42400000000001</v>
      </c>
      <c r="AP39" s="138"/>
      <c r="AT39" s="533" t="s">
        <v>1424</v>
      </c>
      <c r="AU39" s="725" t="s">
        <v>1601</v>
      </c>
      <c r="AV39" s="719"/>
      <c r="AW39" s="719"/>
      <c r="AX39" s="719"/>
      <c r="AY39" s="719"/>
      <c r="AZ39" s="719"/>
      <c r="BA39" s="719"/>
      <c r="BB39" s="721"/>
      <c r="BC39" s="721"/>
      <c r="BD39" s="721"/>
      <c r="BE39" s="721"/>
    </row>
    <row r="40" spans="2:57" ht="13.7" customHeight="1">
      <c r="B40" s="146"/>
      <c r="C40" s="145" t="s">
        <v>1426</v>
      </c>
      <c r="D40" s="146"/>
      <c r="E40" s="147" t="s">
        <v>1517</v>
      </c>
      <c r="F40" s="147" t="s">
        <v>1517</v>
      </c>
      <c r="G40" s="147" t="s">
        <v>1517</v>
      </c>
      <c r="H40" s="146"/>
      <c r="I40" s="147" t="s">
        <v>1517</v>
      </c>
      <c r="J40" s="147" t="s">
        <v>1517</v>
      </c>
      <c r="K40" s="147" t="s">
        <v>1517</v>
      </c>
      <c r="M40" s="152">
        <f>'Income Statement'!Y152</f>
        <v>1.1299999999999999</v>
      </c>
      <c r="N40" s="152">
        <v>1.1299999999999999</v>
      </c>
      <c r="O40" s="151">
        <f>(M40-N40)*100</f>
        <v>0</v>
      </c>
      <c r="P40" s="146"/>
      <c r="Q40" s="732"/>
      <c r="R40" s="146"/>
      <c r="S40" s="147" t="s">
        <v>1517</v>
      </c>
      <c r="T40" s="147" t="s">
        <v>1517</v>
      </c>
      <c r="U40" s="152">
        <f>'Income Statement'!$Z$152</f>
        <v>1.1200000000000001</v>
      </c>
      <c r="V40" s="152">
        <f>'Income Statement'!$AA$152</f>
        <v>1.1200000000000001</v>
      </c>
      <c r="W40" s="152">
        <f>'Income Statement'!$AB$152</f>
        <v>1.1200000000000001</v>
      </c>
      <c r="X40" s="152">
        <f>'Income Statement'!$AC$152</f>
        <v>1.1200000000000001</v>
      </c>
      <c r="Y40" s="152">
        <f>'Income Statement'!$AD$152</f>
        <v>1.1200000000000001</v>
      </c>
      <c r="Z40" s="146"/>
      <c r="AA40" s="147" t="s">
        <v>1517</v>
      </c>
      <c r="AB40" s="147" t="s">
        <v>1517</v>
      </c>
      <c r="AC40" s="152">
        <v>1.1200000000000001</v>
      </c>
      <c r="AD40" s="152">
        <v>1.1299999999999999</v>
      </c>
      <c r="AE40" s="152">
        <v>1.1299999999999999</v>
      </c>
      <c r="AF40" s="152">
        <v>1.1299999999999999</v>
      </c>
      <c r="AG40" s="152">
        <v>1.1299999999999999</v>
      </c>
      <c r="AH40" s="146"/>
      <c r="AI40" s="147" t="s">
        <v>1517</v>
      </c>
      <c r="AJ40" s="147" t="s">
        <v>1517</v>
      </c>
      <c r="AK40" s="151">
        <f t="shared" si="47"/>
        <v>0</v>
      </c>
      <c r="AL40" s="151">
        <f t="shared" si="47"/>
        <v>-0.99999999999997868</v>
      </c>
      <c r="AM40" s="151">
        <f t="shared" si="47"/>
        <v>-0.99999999999997868</v>
      </c>
      <c r="AN40" s="151">
        <f t="shared" si="47"/>
        <v>-0.99999999999997868</v>
      </c>
      <c r="AO40" s="151">
        <f t="shared" si="47"/>
        <v>-0.99999999999997868</v>
      </c>
      <c r="AP40" s="146"/>
      <c r="AT40" s="533" t="s">
        <v>1417</v>
      </c>
      <c r="AU40" s="530" t="s">
        <v>1589</v>
      </c>
      <c r="AV40" s="144" t="e">
        <f t="shared" ref="AV40:BD40" si="48">INDEX($E$35:$W$35,MATCH($AT$39,$C$35,0),MATCH(AV$4,$E$4:$W$4,0))</f>
        <v>#N/A</v>
      </c>
      <c r="AW40" s="144" t="e">
        <f t="shared" si="48"/>
        <v>#N/A</v>
      </c>
      <c r="AX40" s="144" t="e">
        <f t="shared" si="48"/>
        <v>#N/A</v>
      </c>
      <c r="AY40" s="144" t="e">
        <f t="shared" si="48"/>
        <v>#N/A</v>
      </c>
      <c r="AZ40" s="144" t="e">
        <f t="shared" si="48"/>
        <v>#N/A</v>
      </c>
      <c r="BA40" s="144">
        <f t="shared" si="48"/>
        <v>0.32899999999999996</v>
      </c>
      <c r="BB40" s="144">
        <f t="shared" si="48"/>
        <v>0.249</v>
      </c>
      <c r="BC40" s="144">
        <f t="shared" si="48"/>
        <v>0.1832842541739117</v>
      </c>
      <c r="BD40" s="144">
        <f t="shared" si="48"/>
        <v>0.17526346312665564</v>
      </c>
      <c r="BE40" s="144">
        <f>INDEX($E$35:$X$35,MATCH($AT$39,$C$35,0),MATCH(BE$4,$E$4:$X$4,0))</f>
        <v>0.11739398677555801</v>
      </c>
    </row>
    <row r="41" spans="2:57">
      <c r="B41" s="146"/>
      <c r="E41" s="733"/>
      <c r="F41" s="733"/>
      <c r="G41" s="733"/>
      <c r="I41" s="733"/>
      <c r="J41" s="733"/>
      <c r="K41" s="733"/>
      <c r="Q41" s="738"/>
      <c r="S41" s="733"/>
      <c r="T41" s="733"/>
      <c r="AA41" s="733"/>
      <c r="AB41" s="733"/>
      <c r="AI41" s="733"/>
      <c r="AJ41" s="733"/>
      <c r="AK41" s="786"/>
      <c r="AP41" s="146"/>
      <c r="AU41" s="530" t="s">
        <v>1590</v>
      </c>
      <c r="AV41" s="144" t="e">
        <f>AV40</f>
        <v>#N/A</v>
      </c>
      <c r="AW41" s="144" t="e">
        <f>AW40</f>
        <v>#N/A</v>
      </c>
      <c r="AX41" s="144" t="e">
        <f t="shared" ref="AX41" si="49">AX40</f>
        <v>#N/A</v>
      </c>
      <c r="AY41" s="144" t="e">
        <f t="shared" ref="AY41" si="50">AY40</f>
        <v>#N/A</v>
      </c>
      <c r="AZ41" s="144" t="e">
        <f t="shared" ref="AZ41:BE41" si="51">INDEX($E$35:$AE$35,MATCH($AT$39,$C$35,0),MATCH(AZ$4,$E$4:$AE$4,0))</f>
        <v>#N/A</v>
      </c>
      <c r="BA41" s="144">
        <f t="shared" si="51"/>
        <v>0.32899999999999996</v>
      </c>
      <c r="BB41" s="144">
        <f t="shared" si="51"/>
        <v>0.249</v>
      </c>
      <c r="BC41" s="144">
        <f t="shared" si="51"/>
        <v>0.1832842541739117</v>
      </c>
      <c r="BD41" s="144">
        <f t="shared" si="51"/>
        <v>0.17526346312665564</v>
      </c>
      <c r="BE41" s="144">
        <f t="shared" si="51"/>
        <v>0.11739398677555801</v>
      </c>
    </row>
    <row r="42" spans="2:57">
      <c r="C42" s="145" t="s">
        <v>272</v>
      </c>
      <c r="D42" s="146"/>
      <c r="E42" s="147" t="s">
        <v>1517</v>
      </c>
      <c r="F42" s="147" t="s">
        <v>1517</v>
      </c>
      <c r="G42" s="147" t="s">
        <v>1517</v>
      </c>
      <c r="H42" s="146"/>
      <c r="I42" s="147" t="s">
        <v>1517</v>
      </c>
      <c r="J42" s="147" t="s">
        <v>1517</v>
      </c>
      <c r="K42" s="147" t="s">
        <v>1517</v>
      </c>
      <c r="M42" s="152" t="e">
        <f>'Income Statement'!#REF!</f>
        <v>#REF!</v>
      </c>
      <c r="N42" s="152">
        <v>4.8540495022861565</v>
      </c>
      <c r="O42" s="131" t="e">
        <f>M42/N42-1</f>
        <v>#REF!</v>
      </c>
      <c r="P42" s="146"/>
      <c r="Q42" s="732"/>
      <c r="R42" s="146"/>
      <c r="S42" s="147" t="s">
        <v>1517</v>
      </c>
      <c r="T42" s="147" t="s">
        <v>1517</v>
      </c>
      <c r="U42" s="152" t="e">
        <f>'Income Statement'!#REF!</f>
        <v>#REF!</v>
      </c>
      <c r="V42" s="152" t="e">
        <f>'Income Statement'!#REF!</f>
        <v>#REF!</v>
      </c>
      <c r="W42" s="152" t="e">
        <f>'Income Statement'!#REF!</f>
        <v>#REF!</v>
      </c>
      <c r="X42" s="152" t="e">
        <f>'Income Statement'!#REF!</f>
        <v>#REF!</v>
      </c>
      <c r="Y42" s="152" t="e">
        <f>'Income Statement'!#REF!</f>
        <v>#REF!</v>
      </c>
      <c r="Z42" s="146"/>
      <c r="AA42" s="147" t="s">
        <v>1517</v>
      </c>
      <c r="AB42" s="147" t="s">
        <v>1517</v>
      </c>
      <c r="AC42" s="152">
        <v>6.6572799297352088</v>
      </c>
      <c r="AD42" s="152">
        <v>8.7547004550189751</v>
      </c>
      <c r="AE42" s="152">
        <v>10.836490950842954</v>
      </c>
      <c r="AF42" s="152">
        <v>12.191876741225784</v>
      </c>
      <c r="AG42" s="152">
        <v>13.681390011548704</v>
      </c>
      <c r="AH42" s="146"/>
      <c r="AI42" s="147" t="s">
        <v>1517</v>
      </c>
      <c r="AJ42" s="147" t="s">
        <v>1517</v>
      </c>
      <c r="AK42" s="131" t="e">
        <f>U42/AC42-1</f>
        <v>#REF!</v>
      </c>
      <c r="AL42" s="131" t="e">
        <f>V42/AD42-1</f>
        <v>#REF!</v>
      </c>
      <c r="AM42" s="131" t="e">
        <f>W42/AE42-1</f>
        <v>#REF!</v>
      </c>
      <c r="AN42" s="131" t="e">
        <f>X42/AF42-1</f>
        <v>#REF!</v>
      </c>
      <c r="AO42" s="131" t="e">
        <f>Y42/AG42-1</f>
        <v>#REF!</v>
      </c>
      <c r="AU42" s="530" t="s">
        <v>1591</v>
      </c>
      <c r="AV42" s="144" t="e">
        <f>AV40</f>
        <v>#N/A</v>
      </c>
      <c r="AW42" s="144" t="e">
        <f t="shared" ref="AW42:AY42" si="52">AW40</f>
        <v>#N/A</v>
      </c>
      <c r="AX42" s="144" t="e">
        <f t="shared" si="52"/>
        <v>#N/A</v>
      </c>
      <c r="AY42" s="144" t="e">
        <f t="shared" si="52"/>
        <v>#N/A</v>
      </c>
      <c r="AZ42" s="144" t="e">
        <f ca="1">_xll.VisibleAlpha.UDF.VAData("SAF_FR",AZ$2,$AT40,"Consensus","CD","IMPL",TODAY())/100</f>
        <v>#NAME?</v>
      </c>
      <c r="BA42" s="144" t="e">
        <f ca="1">_xll.VisibleAlpha.UDF.VAData("SAF_FR",BA$2,$AT40,"Consensus","CD","IMPL",TODAY())/100</f>
        <v>#NAME?</v>
      </c>
      <c r="BB42" s="144" t="e">
        <f ca="1">_xll.VisibleAlpha.UDF.VAData("SAF_FR",BB$2,$AT40,"Consensus","CD","IMPL",TODAY())/100</f>
        <v>#NAME?</v>
      </c>
      <c r="BC42" s="144" t="e">
        <f ca="1">_xll.VisibleAlpha.UDF.VAData("SAF_FR",BC$2,$AT40,"Consensus","CD","IMPL",TODAY())/100</f>
        <v>#NAME?</v>
      </c>
      <c r="BD42" s="144" t="e">
        <f ca="1">_xll.VisibleAlpha.UDF.VAData("SAF_FR",BD$2,$AT40,"Consensus","CD","IMPL",TODAY())/100</f>
        <v>#NAME?</v>
      </c>
      <c r="BE42" s="144" t="e">
        <f ca="1">_xll.VisibleAlpha.UDF.VAData("SAF_FR",BE$2,$AT40,"Consensus","CD","IMPL",TODAY())/100</f>
        <v>#NAME?</v>
      </c>
    </row>
    <row r="43" spans="2:57" ht="6" customHeight="1">
      <c r="C43" s="153"/>
      <c r="M43" s="726"/>
      <c r="O43" s="720"/>
      <c r="Q43" s="739"/>
      <c r="S43" s="726"/>
      <c r="T43" s="726"/>
      <c r="U43" s="726"/>
      <c r="V43" s="726"/>
      <c r="W43" s="726"/>
      <c r="X43" s="726"/>
      <c r="Y43" s="726"/>
      <c r="BC43" s="727" t="e">
        <f ca="1">((1+AZ42)*(1+BA42)*(1+BB42)*(1+BC42))^0.25-1</f>
        <v>#NAME?</v>
      </c>
    </row>
    <row r="44" spans="2:57">
      <c r="O44" s="720"/>
      <c r="AW44" s="728">
        <v>1</v>
      </c>
      <c r="AX44" s="728" t="e">
        <f>AW44*(1+AX40)</f>
        <v>#N/A</v>
      </c>
      <c r="AY44" s="728" t="e">
        <f t="shared" ref="AY44:BE44" si="53">AX44*(1+AY40)</f>
        <v>#N/A</v>
      </c>
      <c r="AZ44" s="728" t="e">
        <f t="shared" si="53"/>
        <v>#N/A</v>
      </c>
      <c r="BA44" s="728" t="e">
        <f t="shared" si="53"/>
        <v>#N/A</v>
      </c>
      <c r="BB44" s="728" t="e">
        <f t="shared" si="53"/>
        <v>#N/A</v>
      </c>
      <c r="BC44" s="728" t="e">
        <f t="shared" si="53"/>
        <v>#N/A</v>
      </c>
      <c r="BD44" s="728" t="e">
        <f t="shared" si="53"/>
        <v>#N/A</v>
      </c>
      <c r="BE44" s="728" t="e">
        <f t="shared" si="53"/>
        <v>#N/A</v>
      </c>
    </row>
    <row r="45" spans="2:57">
      <c r="C45" s="719"/>
      <c r="M45" s="719"/>
      <c r="O45" s="720"/>
      <c r="V45" s="721">
        <f>2900+330</f>
        <v>3230</v>
      </c>
      <c r="AN45" s="154"/>
      <c r="AO45" s="154"/>
      <c r="AW45" s="728">
        <f>1</f>
        <v>1</v>
      </c>
      <c r="AX45" s="728" t="e">
        <f>AW45*(1+AX42)</f>
        <v>#N/A</v>
      </c>
      <c r="AY45" s="728" t="e">
        <f t="shared" ref="AY45:BE45" si="54">AX45*(1+AY42)</f>
        <v>#N/A</v>
      </c>
      <c r="AZ45" s="728" t="e">
        <f t="shared" ca="1" si="54"/>
        <v>#N/A</v>
      </c>
      <c r="BA45" s="728" t="e">
        <f t="shared" ca="1" si="54"/>
        <v>#N/A</v>
      </c>
      <c r="BB45" s="728" t="e">
        <f t="shared" ca="1" si="54"/>
        <v>#N/A</v>
      </c>
      <c r="BC45" s="728" t="e">
        <f t="shared" ca="1" si="54"/>
        <v>#N/A</v>
      </c>
      <c r="BD45" s="728" t="e">
        <f t="shared" ca="1" si="54"/>
        <v>#N/A</v>
      </c>
      <c r="BE45" s="728" t="e">
        <f t="shared" ca="1" si="54"/>
        <v>#N/A</v>
      </c>
    </row>
    <row r="46" spans="2:57" ht="6" customHeight="1">
      <c r="C46" s="719"/>
      <c r="M46" s="719"/>
    </row>
    <row r="47" spans="2:57">
      <c r="C47" s="719"/>
      <c r="M47" s="719"/>
    </row>
    <row r="48" spans="2:57" ht="5.45" customHeight="1">
      <c r="C48" s="719"/>
      <c r="M48" s="719"/>
    </row>
    <row r="49" spans="2:42">
      <c r="C49" s="719"/>
      <c r="M49" s="719"/>
    </row>
    <row r="50" spans="2:42" s="721" customFormat="1">
      <c r="B50" s="719"/>
      <c r="P50" s="719"/>
      <c r="Q50" s="720"/>
      <c r="R50" s="719"/>
      <c r="Z50" s="719"/>
      <c r="AH50" s="719"/>
      <c r="AP50" s="719"/>
    </row>
    <row r="51" spans="2:42" s="721" customFormat="1">
      <c r="B51" s="719"/>
      <c r="P51" s="719"/>
      <c r="Q51" s="720"/>
      <c r="R51" s="719"/>
      <c r="Z51" s="719"/>
      <c r="AH51" s="719"/>
      <c r="AP51" s="719"/>
    </row>
    <row r="52" spans="2:42" s="721" customFormat="1">
      <c r="B52" s="719"/>
      <c r="P52" s="719"/>
      <c r="Q52" s="720"/>
      <c r="R52" s="719"/>
      <c r="Z52" s="719"/>
      <c r="AH52" s="719"/>
      <c r="AP52" s="719"/>
    </row>
    <row r="53" spans="2:42" s="721" customFormat="1">
      <c r="B53" s="719"/>
      <c r="P53" s="719"/>
      <c r="Q53" s="720"/>
      <c r="R53" s="719"/>
      <c r="Z53" s="719"/>
      <c r="AH53" s="719"/>
      <c r="AP53" s="719"/>
    </row>
  </sheetData>
  <dataValidations disablePrompts="1" count="2">
    <dataValidation type="list" allowBlank="1" showInputMessage="1" showErrorMessage="1" sqref="AT7" xr:uid="{00000000-0002-0000-0C00-000000000000}">
      <formula1>$C$7:$C$10</formula1>
    </dataValidation>
    <dataValidation type="list" allowBlank="1" showInputMessage="1" showErrorMessage="1" sqref="AT21" xr:uid="{00000000-0002-0000-0C00-000001000000}">
      <formula1>$C$21:$C$24</formula1>
    </dataValidation>
  </dataValidations>
  <printOptions horizontalCentered="1" verticalCentered="1"/>
  <pageMargins left="0.7" right="0.7" top="0.75" bottom="0.75" header="0.3" footer="0.3"/>
  <pageSetup scale="12" orientation="portrait" r:id="rId1"/>
  <customProperties>
    <customPr name="Qube.Worksheet.Visibility" r:id="rId2"/>
    <customPr name="QXL_SHEET_ID" r:id="rId3"/>
  </customProperties>
  <drawing r:id="rId4"/>
  <extLst>
    <ext xmlns:x14="http://schemas.microsoft.com/office/spreadsheetml/2009/9/main" uri="{CCE6A557-97BC-4b89-ADB6-D9C93CAAB3DF}">
      <x14:dataValidations xmlns:xm="http://schemas.microsoft.com/office/excel/2006/main" disablePrompts="1" count="2">
        <x14:dataValidation type="list" allowBlank="1" showInputMessage="1" showErrorMessage="1" xr:uid="{00000000-0002-0000-0C00-000002000000}">
          <x14:formula1>
            <xm:f>'GSe vs Consensus'!$E$13:$E$17</xm:f>
          </x14:formula1>
          <xm:sqref>AT8</xm:sqref>
        </x14:dataValidation>
        <x14:dataValidation type="list" allowBlank="1" showInputMessage="1" showErrorMessage="1" xr:uid="{00000000-0002-0000-0C00-000003000000}">
          <x14:formula1>
            <xm:f>'GSe vs Consensus'!$E$21:$E$28</xm:f>
          </x14:formula1>
          <xm:sqref>AT22</xm:sqref>
        </x14:dataValidation>
      </x14:dataValidations>
    </ext>
  </extLs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FE175-A23F-4421-8BA2-18484A75E36C}">
  <sheetPr codeName="Sheet23">
    <pageSetUpPr autoPageBreaks="0" fitToPage="1"/>
  </sheetPr>
  <dimension ref="A1:AX74"/>
  <sheetViews>
    <sheetView showGridLines="0" topLeftCell="E1" zoomScale="120" zoomScaleNormal="120" workbookViewId="0">
      <selection activeCell="W54" sqref="W54"/>
    </sheetView>
  </sheetViews>
  <sheetFormatPr defaultColWidth="8" defaultRowHeight="14.25" outlineLevelCol="1"/>
  <cols>
    <col min="1" max="1" width="11.375" style="552" customWidth="1"/>
    <col min="2" max="2" width="14.125" style="619" bestFit="1" customWidth="1"/>
    <col min="3" max="3" width="9.25" style="552" bestFit="1" customWidth="1"/>
    <col min="4" max="4" width="11.375" style="552" customWidth="1"/>
    <col min="5" max="5" width="47" style="938" bestFit="1" customWidth="1"/>
    <col min="6" max="6" width="1.625" style="939" customWidth="1"/>
    <col min="7" max="7" width="25.625" style="552" hidden="1" customWidth="1"/>
    <col min="8" max="8" width="1.25" style="552" hidden="1" customWidth="1"/>
    <col min="9" max="9" width="9.375" style="552" hidden="1" customWidth="1"/>
    <col min="10" max="10" width="1.25" style="552" hidden="1" customWidth="1"/>
    <col min="11" max="13" width="8.375" style="552" hidden="1" customWidth="1"/>
    <col min="14" max="14" width="22.25" style="552" hidden="1" customWidth="1"/>
    <col min="15" max="15" width="1.25" style="552" customWidth="1"/>
    <col min="16" max="18" width="8.375" style="552" customWidth="1"/>
    <col min="19" max="19" width="22.25" style="552" customWidth="1"/>
    <col min="20" max="20" width="1.25" style="552" customWidth="1"/>
    <col min="21" max="23" width="8.375" style="552" hidden="1" customWidth="1"/>
    <col min="24" max="24" width="1.25" style="552" hidden="1" customWidth="1"/>
    <col min="25" max="27" width="8.375" style="552" hidden="1" customWidth="1"/>
    <col min="28" max="28" width="1.25" style="552" hidden="1" customWidth="1"/>
    <col min="29" max="31" width="8.375" style="552" customWidth="1"/>
    <col min="32" max="32" width="1.25" style="552" customWidth="1"/>
    <col min="33" max="33" width="28" style="552" bestFit="1" customWidth="1"/>
    <col min="34" max="34" width="1.25" style="552" customWidth="1"/>
    <col min="35" max="36" width="8.125" style="552" customWidth="1"/>
    <col min="37" max="37" width="1.25" style="552" customWidth="1"/>
    <col min="38" max="39" width="8.125" style="552" customWidth="1"/>
    <col min="40" max="40" width="4.375" style="552" customWidth="1"/>
    <col min="41" max="41" width="8.125" style="552" customWidth="1"/>
    <col min="42" max="42" width="9.25" style="552" customWidth="1" outlineLevel="1"/>
    <col min="43" max="43" width="9.25" style="552" customWidth="1"/>
    <col min="44" max="44" width="9.25" style="552" customWidth="1" outlineLevel="1"/>
    <col min="45" max="46" width="8" style="552"/>
    <col min="47" max="47" width="5.5" style="552" customWidth="1"/>
    <col min="48" max="16384" width="8" style="552"/>
  </cols>
  <sheetData>
    <row r="1" spans="1:50" ht="16.5" customHeight="1">
      <c r="A1" s="939"/>
      <c r="B1" s="939"/>
      <c r="C1" s="939"/>
      <c r="D1" s="939"/>
      <c r="E1" s="126" t="s">
        <v>1418</v>
      </c>
      <c r="F1" s="552"/>
    </row>
    <row r="2" spans="1:50">
      <c r="A2" s="939"/>
      <c r="B2" s="1096" t="s">
        <v>736</v>
      </c>
      <c r="C2" s="1097" t="s">
        <v>1385</v>
      </c>
      <c r="D2" s="939"/>
      <c r="E2" s="1098"/>
    </row>
    <row r="3" spans="1:50">
      <c r="A3" s="939"/>
      <c r="B3" s="1096" t="s">
        <v>1386</v>
      </c>
      <c r="C3" s="1099" t="str">
        <f>_xll.VisibleAlpha.UDF.VADetail("Name",C2)</f>
        <v>Safran</v>
      </c>
      <c r="D3" s="939"/>
      <c r="E3" s="1098"/>
    </row>
    <row r="4" spans="1:50">
      <c r="A4" s="939"/>
      <c r="B4" s="1096" t="s">
        <v>1387</v>
      </c>
      <c r="C4" s="1097" t="s">
        <v>1388</v>
      </c>
      <c r="D4" s="939"/>
      <c r="E4" s="1098"/>
    </row>
    <row r="5" spans="1:50">
      <c r="A5" s="939"/>
      <c r="B5" s="1096" t="s">
        <v>1389</v>
      </c>
      <c r="C5" s="1097" t="s">
        <v>1390</v>
      </c>
      <c r="D5" s="939"/>
      <c r="E5" s="1098"/>
    </row>
    <row r="6" spans="1:50" ht="15" thickBot="1">
      <c r="A6" s="939"/>
      <c r="B6" s="1100" t="s">
        <v>1391</v>
      </c>
      <c r="C6" s="1101">
        <f ca="1">TODAY()-1</f>
        <v>45921</v>
      </c>
      <c r="D6" s="939"/>
      <c r="E6" s="1098"/>
      <c r="F6" s="552"/>
      <c r="K6" s="127" t="s">
        <v>1419</v>
      </c>
      <c r="P6" s="127" t="s">
        <v>1420</v>
      </c>
      <c r="U6" s="127" t="s">
        <v>1429</v>
      </c>
      <c r="Y6" s="127" t="s">
        <v>1663</v>
      </c>
      <c r="AC6" s="127" t="s">
        <v>1714</v>
      </c>
      <c r="AI6" s="1088">
        <v>2024</v>
      </c>
      <c r="AJ6" s="1088">
        <v>2028</v>
      </c>
      <c r="AQ6" s="1145" t="s">
        <v>1777</v>
      </c>
    </row>
    <row r="7" spans="1:50" ht="11.25" customHeight="1">
      <c r="A7" s="939"/>
      <c r="B7" s="939"/>
      <c r="C7" s="939"/>
      <c r="D7" s="939"/>
      <c r="E7" s="1098"/>
      <c r="U7" s="1102"/>
      <c r="Y7" s="1102"/>
      <c r="AC7" s="1102"/>
    </row>
    <row r="8" spans="1:50" ht="14.25" customHeight="1">
      <c r="A8" s="939"/>
      <c r="B8" s="939"/>
      <c r="C8" s="939"/>
      <c r="D8" s="939"/>
      <c r="E8" s="1098"/>
      <c r="G8" s="1103"/>
      <c r="P8" s="1104"/>
      <c r="Q8" s="1105"/>
      <c r="R8" s="1105"/>
      <c r="U8" s="1104"/>
      <c r="V8" s="1105"/>
      <c r="W8" s="1105"/>
      <c r="Y8" s="1104"/>
      <c r="Z8" s="1105"/>
      <c r="AA8" s="1105"/>
      <c r="AC8" s="1104"/>
      <c r="AD8" s="1105"/>
      <c r="AE8" s="1105"/>
    </row>
    <row r="9" spans="1:50" ht="3" customHeight="1">
      <c r="A9" s="1106"/>
      <c r="B9" s="1107"/>
      <c r="C9" s="1107"/>
      <c r="D9" s="1107"/>
      <c r="E9" s="1108"/>
      <c r="M9" s="1110"/>
      <c r="N9" s="1109"/>
      <c r="R9" s="1110"/>
      <c r="S9" s="1111"/>
      <c r="W9" s="1110"/>
      <c r="AA9" s="1110"/>
      <c r="AE9" s="1110"/>
      <c r="AG9" s="1111"/>
      <c r="AO9" s="1168"/>
      <c r="AP9" s="1176"/>
      <c r="AQ9" s="1147"/>
      <c r="AR9" s="1164"/>
      <c r="AS9" s="1146"/>
      <c r="AT9" s="1147"/>
      <c r="AV9" s="1160"/>
      <c r="AW9" s="1146"/>
      <c r="AX9" s="1147"/>
    </row>
    <row r="10" spans="1:50">
      <c r="A10" s="1106"/>
      <c r="B10" s="1107"/>
      <c r="C10" s="1107"/>
      <c r="D10" s="1107"/>
      <c r="G10" s="595" t="s">
        <v>732</v>
      </c>
      <c r="I10" s="1112" t="s">
        <v>740</v>
      </c>
      <c r="K10" s="1114" t="s">
        <v>1703</v>
      </c>
      <c r="L10" s="1114" t="s">
        <v>1659</v>
      </c>
      <c r="M10" s="1115" t="s">
        <v>1659</v>
      </c>
      <c r="N10" s="1113" t="s">
        <v>1779</v>
      </c>
      <c r="P10" s="1114" t="s">
        <v>1703</v>
      </c>
      <c r="Q10" s="1114" t="s">
        <v>1659</v>
      </c>
      <c r="R10" s="1115" t="s">
        <v>1659</v>
      </c>
      <c r="S10" s="1116" t="s">
        <v>1761</v>
      </c>
      <c r="U10" s="1114" t="s">
        <v>1703</v>
      </c>
      <c r="V10" s="1114" t="s">
        <v>1659</v>
      </c>
      <c r="W10" s="1115" t="s">
        <v>1659</v>
      </c>
      <c r="Y10" s="1114" t="s">
        <v>1703</v>
      </c>
      <c r="Z10" s="1114" t="s">
        <v>1659</v>
      </c>
      <c r="AA10" s="1115" t="s">
        <v>1659</v>
      </c>
      <c r="AC10" s="1114" t="s">
        <v>1703</v>
      </c>
      <c r="AD10" s="1114" t="s">
        <v>1659</v>
      </c>
      <c r="AE10" s="1115" t="s">
        <v>1659</v>
      </c>
      <c r="AG10" s="1116" t="s">
        <v>1761</v>
      </c>
      <c r="AI10" s="1686" t="s">
        <v>1763</v>
      </c>
      <c r="AJ10" s="1686"/>
      <c r="AL10" s="1686" t="s">
        <v>1765</v>
      </c>
      <c r="AM10" s="1686"/>
      <c r="AO10" s="1168"/>
      <c r="AP10" s="1177" t="s">
        <v>1397</v>
      </c>
      <c r="AQ10" s="1149" t="s">
        <v>1397</v>
      </c>
      <c r="AR10" s="1165" t="s">
        <v>1397</v>
      </c>
      <c r="AS10" s="1148" t="s">
        <v>1772</v>
      </c>
      <c r="AT10" s="1149" t="s">
        <v>1772</v>
      </c>
      <c r="AV10" s="1161" t="s">
        <v>1774</v>
      </c>
      <c r="AW10" s="1148" t="s">
        <v>1776</v>
      </c>
      <c r="AX10" s="1149" t="s">
        <v>1776</v>
      </c>
    </row>
    <row r="11" spans="1:50">
      <c r="A11" s="1117"/>
      <c r="B11" s="1107"/>
      <c r="C11" s="1107"/>
      <c r="D11" s="1107"/>
      <c r="E11" s="938" t="s">
        <v>1390</v>
      </c>
      <c r="G11" s="142" t="s">
        <v>1394</v>
      </c>
      <c r="I11" s="1112" t="s">
        <v>1634</v>
      </c>
      <c r="K11" s="1114" t="s">
        <v>1421</v>
      </c>
      <c r="L11" s="1114" t="s">
        <v>1421</v>
      </c>
      <c r="M11" s="1115" t="s">
        <v>1399</v>
      </c>
      <c r="N11" s="1113" t="s">
        <v>1635</v>
      </c>
      <c r="P11" s="1114" t="s">
        <v>1422</v>
      </c>
      <c r="Q11" s="1114" t="s">
        <v>1422</v>
      </c>
      <c r="R11" s="1115" t="s">
        <v>1399</v>
      </c>
      <c r="S11" s="1116" t="s">
        <v>1785</v>
      </c>
      <c r="U11" s="1114" t="s">
        <v>1433</v>
      </c>
      <c r="V11" s="1114" t="s">
        <v>1433</v>
      </c>
      <c r="W11" s="1115" t="s">
        <v>1399</v>
      </c>
      <c r="Y11" s="1114" t="s">
        <v>1664</v>
      </c>
      <c r="Z11" s="1114" t="s">
        <v>1664</v>
      </c>
      <c r="AA11" s="1115" t="s">
        <v>1399</v>
      </c>
      <c r="AC11" s="1114" t="s">
        <v>1715</v>
      </c>
      <c r="AD11" s="1114" t="s">
        <v>1715</v>
      </c>
      <c r="AE11" s="1115" t="s">
        <v>1399</v>
      </c>
      <c r="AG11" s="1116" t="s">
        <v>1762</v>
      </c>
      <c r="AI11" s="1089" t="s">
        <v>1661</v>
      </c>
      <c r="AJ11" s="1089" t="s">
        <v>1659</v>
      </c>
      <c r="AL11" s="1089" t="s">
        <v>1661</v>
      </c>
      <c r="AM11" s="1089" t="s">
        <v>1659</v>
      </c>
      <c r="AO11" s="1168"/>
      <c r="AP11" s="1177">
        <v>2024</v>
      </c>
      <c r="AQ11" s="1149">
        <v>2028</v>
      </c>
      <c r="AR11" s="1165" t="s">
        <v>1770</v>
      </c>
      <c r="AS11" s="1148" t="s">
        <v>1773</v>
      </c>
      <c r="AT11" s="1149" t="s">
        <v>1750</v>
      </c>
      <c r="AV11" s="1161" t="s">
        <v>1775</v>
      </c>
      <c r="AW11" s="1148" t="s">
        <v>1773</v>
      </c>
      <c r="AX11" s="1149" t="s">
        <v>1750</v>
      </c>
    </row>
    <row r="12" spans="1:50">
      <c r="A12" s="1117"/>
      <c r="B12" s="1107"/>
      <c r="C12" s="1107"/>
      <c r="D12" s="1107"/>
      <c r="G12" s="596" t="s">
        <v>1267</v>
      </c>
      <c r="I12" s="553"/>
      <c r="K12" s="553"/>
      <c r="L12" s="553"/>
      <c r="M12" s="1119"/>
      <c r="N12" s="1118"/>
      <c r="P12" s="553"/>
      <c r="Q12" s="553"/>
      <c r="R12" s="1119"/>
      <c r="S12" s="1120"/>
      <c r="U12" s="553"/>
      <c r="V12" s="553"/>
      <c r="W12" s="1119"/>
      <c r="Y12" s="553"/>
      <c r="Z12" s="553"/>
      <c r="AA12" s="1119"/>
      <c r="AC12" s="553"/>
      <c r="AD12" s="553"/>
      <c r="AE12" s="1119"/>
      <c r="AG12" s="1120"/>
      <c r="AO12" s="1168"/>
      <c r="AP12" s="1178"/>
      <c r="AQ12" s="1151"/>
      <c r="AR12" s="1166"/>
      <c r="AS12" s="1150"/>
      <c r="AT12" s="1151"/>
      <c r="AV12" s="1162"/>
      <c r="AW12" s="1150"/>
      <c r="AX12" s="1151"/>
    </row>
    <row r="13" spans="1:50">
      <c r="A13" s="559"/>
      <c r="B13" s="1121"/>
      <c r="C13" s="1121"/>
      <c r="D13" s="1121"/>
      <c r="E13" s="938" t="s">
        <v>1401</v>
      </c>
      <c r="G13" s="559" t="s">
        <v>1402</v>
      </c>
      <c r="I13" s="560">
        <v>11876</v>
      </c>
      <c r="K13" s="560" t="e">
        <f ca="1">_xll.VisibleAlpha.UDF.VAData($C$2,K$6,$E13,$E$11,"CD","IMPL",$C$6)</f>
        <v>#NAME?</v>
      </c>
      <c r="L13" s="560">
        <v>13184.937570725149</v>
      </c>
      <c r="M13" s="1122" t="e">
        <f ca="1">L13/K13-1</f>
        <v>#NAME?</v>
      </c>
      <c r="N13" s="1118"/>
      <c r="P13" s="560" t="e">
        <f ca="1">_xll.VisibleAlpha.UDF.VAData($C$2,P$6,$E13,$E$11,"CD","IMPL",$C$6)</f>
        <v>#NAME?</v>
      </c>
      <c r="Q13" s="560">
        <v>15542.793436296139</v>
      </c>
      <c r="R13" s="1122" t="e">
        <f ca="1">Q13/P13-1</f>
        <v>#NAME?</v>
      </c>
      <c r="S13" s="1120"/>
      <c r="U13" s="560" t="e">
        <f ca="1">_xll.VisibleAlpha.UDF.VAData($C$2,U$6,$E13,$E$11,"CD","IMPL",$C$6)</f>
        <v>#NAME?</v>
      </c>
      <c r="V13" s="560">
        <v>17212.464155191235</v>
      </c>
      <c r="W13" s="1122" t="e">
        <f ca="1">V13/U13-1</f>
        <v>#NAME?</v>
      </c>
      <c r="Y13" s="560" t="e">
        <f ca="1">_xll.VisibleAlpha.UDF.VAData($C$2,Y$6,$E13,$E$11,"CD","IMPL",$C$6)</f>
        <v>#NAME?</v>
      </c>
      <c r="Z13" s="560">
        <v>18966.007557129757</v>
      </c>
      <c r="AA13" s="1122" t="e">
        <f ca="1">Z13/Y13-1</f>
        <v>#NAME?</v>
      </c>
      <c r="AC13" s="560" t="e">
        <f ca="1">_xll.VisibleAlpha.UDF.VAData($C$2,AC$6,$E13,$E$11,"CD","IMPL",$C$6)</f>
        <v>#NAME?</v>
      </c>
      <c r="AD13" s="560">
        <v>20271.687536290341</v>
      </c>
      <c r="AE13" s="1122" t="e">
        <f ca="1">AD13/AC13-1</f>
        <v>#NAME?</v>
      </c>
      <c r="AG13" s="1120"/>
      <c r="AI13" s="1090" t="e">
        <f t="shared" ref="AI13:AJ15" ca="1" si="0">(AC13/K13)^(1/($AJ$6-$AI$6))-1</f>
        <v>#NAME?</v>
      </c>
      <c r="AJ13" s="1090">
        <f t="shared" si="0"/>
        <v>0.11353265222794806</v>
      </c>
      <c r="AL13" s="1123" t="e">
        <f t="shared" ref="AL13:AM17" ca="1" si="1">(K13+P13+U13+Y13+AC13)/1000</f>
        <v>#NAME?</v>
      </c>
      <c r="AM13" s="1123">
        <f t="shared" si="1"/>
        <v>85.177890255632619</v>
      </c>
      <c r="AO13" s="1168"/>
      <c r="AP13" s="1178"/>
      <c r="AQ13" s="1151"/>
      <c r="AR13" s="1166"/>
      <c r="AS13" s="1150"/>
      <c r="AT13" s="1151"/>
      <c r="AV13" s="1162"/>
      <c r="AW13" s="1150"/>
      <c r="AX13" s="1151"/>
    </row>
    <row r="14" spans="1:50" ht="12" customHeight="1">
      <c r="A14" s="559"/>
      <c r="B14" s="1121"/>
      <c r="C14" s="1121"/>
      <c r="D14" s="1121"/>
      <c r="E14" s="938" t="s">
        <v>1403</v>
      </c>
      <c r="G14" s="559" t="s">
        <v>1404</v>
      </c>
      <c r="I14" s="560">
        <v>8835</v>
      </c>
      <c r="K14" s="560" t="e">
        <f ca="1">_xll.VisibleAlpha.UDF.VAData($C$2,K$6,$E14,$E$11,"CD","IMPL",$C$6)</f>
        <v>#NAME?</v>
      </c>
      <c r="L14" s="560">
        <v>10707.090649076501</v>
      </c>
      <c r="M14" s="1122" t="e">
        <f t="shared" ref="M14:M16" ca="1" si="2">L14/K14-1</f>
        <v>#NAME?</v>
      </c>
      <c r="N14" s="1118"/>
      <c r="P14" s="560" t="e">
        <f ca="1">_xll.VisibleAlpha.UDF.VAData($C$2,P$6,$E14,$E$11,"CD","IMPL",$C$6)</f>
        <v>#NAME?</v>
      </c>
      <c r="Q14" s="560">
        <v>11919.971635478207</v>
      </c>
      <c r="R14" s="1122" t="e">
        <f t="shared" ref="R14:R16" ca="1" si="3">Q14/P14-1</f>
        <v>#NAME?</v>
      </c>
      <c r="S14" s="1120"/>
      <c r="U14" s="560" t="e">
        <f ca="1">_xll.VisibleAlpha.UDF.VAData($C$2,U$6,$E14,$E$11,"CD","IMPL",$C$6)</f>
        <v>#NAME?</v>
      </c>
      <c r="V14" s="560">
        <v>13287.479767656714</v>
      </c>
      <c r="W14" s="1122" t="e">
        <f t="shared" ref="W14:W16" ca="1" si="4">V14/U14-1</f>
        <v>#NAME?</v>
      </c>
      <c r="Y14" s="560" t="e">
        <f ca="1">_xll.VisibleAlpha.UDF.VAData($C$2,Y$6,$E14,$E$11,"CD","IMPL",$C$6)</f>
        <v>#NAME?</v>
      </c>
      <c r="Z14" s="560">
        <v>14714.70229758311</v>
      </c>
      <c r="AA14" s="1122" t="e">
        <f t="shared" ref="AA14:AA16" ca="1" si="5">Z14/Y14-1</f>
        <v>#NAME?</v>
      </c>
      <c r="AC14" s="560" t="e">
        <f ca="1">_xll.VisibleAlpha.UDF.VAData($C$2,AC$6,$E14,$E$11,"CD","IMPL",$C$6)</f>
        <v>#NAME?</v>
      </c>
      <c r="AD14" s="560">
        <v>16303.17882307575</v>
      </c>
      <c r="AE14" s="1122" t="e">
        <f t="shared" ref="AE14:AE16" ca="1" si="6">AD14/AC14-1</f>
        <v>#NAME?</v>
      </c>
      <c r="AG14" s="1120"/>
      <c r="AI14" s="1090" t="e">
        <f t="shared" ca="1" si="0"/>
        <v>#NAME?</v>
      </c>
      <c r="AJ14" s="1090">
        <f t="shared" si="0"/>
        <v>0.11083665793225128</v>
      </c>
      <c r="AL14" s="1123" t="e">
        <f t="shared" ca="1" si="1"/>
        <v>#NAME?</v>
      </c>
      <c r="AM14" s="1123">
        <f t="shared" si="1"/>
        <v>66.932423172870287</v>
      </c>
      <c r="AO14" s="1168"/>
      <c r="AP14" s="1178"/>
      <c r="AQ14" s="1151"/>
      <c r="AR14" s="1166"/>
      <c r="AS14" s="1150"/>
      <c r="AT14" s="1151"/>
      <c r="AV14" s="1162"/>
      <c r="AW14" s="1150"/>
      <c r="AX14" s="1151"/>
    </row>
    <row r="15" spans="1:50">
      <c r="A15" s="559"/>
      <c r="B15" s="1121"/>
      <c r="C15" s="1121"/>
      <c r="D15" s="1121"/>
      <c r="E15" s="938" t="s">
        <v>1405</v>
      </c>
      <c r="G15" s="559" t="s">
        <v>1293</v>
      </c>
      <c r="I15" s="560">
        <v>2477</v>
      </c>
      <c r="K15" s="560" t="e">
        <f ca="1">_xll.VisibleAlpha.UDF.VAData($C$2,K$6,$E15,$E$11,"CD","IMPL",$C$6)</f>
        <v>#NAME?</v>
      </c>
      <c r="L15" s="560">
        <v>3042.0762942980091</v>
      </c>
      <c r="M15" s="1122" t="e">
        <f t="shared" ca="1" si="2"/>
        <v>#NAME?</v>
      </c>
      <c r="N15" s="1118"/>
      <c r="P15" s="560" t="e">
        <f ca="1">_xll.VisibleAlpha.UDF.VAData($C$2,P$6,$E15,$E$11,"CD","IMPL",$C$6)</f>
        <v>#NAME?</v>
      </c>
      <c r="Q15" s="560">
        <v>3460.4098491359587</v>
      </c>
      <c r="R15" s="1122" t="e">
        <f t="shared" ca="1" si="3"/>
        <v>#NAME?</v>
      </c>
      <c r="S15" s="1120"/>
      <c r="U15" s="560" t="e">
        <f ca="1">_xll.VisibleAlpha.UDF.VAData($C$2,U$6,$E15,$E$11,"CD","IMPL",$C$6)</f>
        <v>#NAME?</v>
      </c>
      <c r="V15" s="560">
        <v>3759.8327263028177</v>
      </c>
      <c r="W15" s="1122" t="e">
        <f t="shared" ca="1" si="4"/>
        <v>#NAME?</v>
      </c>
      <c r="Y15" s="560" t="e">
        <f ca="1">_xll.VisibleAlpha.UDF.VAData($C$2,Y$6,$E15,$E$11,"CD","IMPL",$C$6)</f>
        <v>#NAME?</v>
      </c>
      <c r="Z15" s="560">
        <v>4093.187105034528</v>
      </c>
      <c r="AA15" s="1122" t="e">
        <f t="shared" ca="1" si="5"/>
        <v>#NAME?</v>
      </c>
      <c r="AC15" s="560" t="e">
        <f ca="1">_xll.VisibleAlpha.UDF.VAData($C$2,AC$6,$E15,$E$11,"CD","IMPL",$C$6)</f>
        <v>#NAME?</v>
      </c>
      <c r="AD15" s="560">
        <v>4465.0136140653085</v>
      </c>
      <c r="AE15" s="1122" t="e">
        <f t="shared" ca="1" si="6"/>
        <v>#NAME?</v>
      </c>
      <c r="AG15" s="1120"/>
      <c r="AI15" s="1090" t="e">
        <f t="shared" ca="1" si="0"/>
        <v>#NAME?</v>
      </c>
      <c r="AJ15" s="1090">
        <f t="shared" si="0"/>
        <v>0.10068531273330272</v>
      </c>
      <c r="AL15" s="1123" t="e">
        <f t="shared" ca="1" si="1"/>
        <v>#NAME?</v>
      </c>
      <c r="AM15" s="1123">
        <f t="shared" si="1"/>
        <v>18.820519588836621</v>
      </c>
      <c r="AO15" s="1168"/>
      <c r="AP15" s="1178"/>
      <c r="AQ15" s="1151"/>
      <c r="AR15" s="1166"/>
      <c r="AS15" s="1150"/>
      <c r="AT15" s="1151"/>
      <c r="AV15" s="1162"/>
      <c r="AW15" s="1150"/>
      <c r="AX15" s="1151"/>
    </row>
    <row r="16" spans="1:50" hidden="1">
      <c r="A16" s="559"/>
      <c r="B16" s="1121"/>
      <c r="C16" s="1121"/>
      <c r="D16" s="1121"/>
      <c r="E16" s="938" t="s">
        <v>1406</v>
      </c>
      <c r="G16" s="559" t="s">
        <v>776</v>
      </c>
      <c r="I16" s="560">
        <v>11</v>
      </c>
      <c r="K16" s="560" t="e">
        <f ca="1">_xll.VisibleAlpha.UDF.VAData($C$2,K$6,$E16,$E$11,"CD","IMPL",$C$6)</f>
        <v>#NAME?</v>
      </c>
      <c r="L16" s="560">
        <v>11</v>
      </c>
      <c r="M16" s="1122" t="e">
        <f t="shared" ca="1" si="2"/>
        <v>#NAME?</v>
      </c>
      <c r="N16" s="1118"/>
      <c r="P16" s="560" t="e">
        <f ca="1">_xll.VisibleAlpha.UDF.VAData($C$2,P$6,$E16,$E$11,"CD","IMPL",$C$6)</f>
        <v>#NAME?</v>
      </c>
      <c r="Q16" s="560">
        <v>11</v>
      </c>
      <c r="R16" s="1122" t="e">
        <f t="shared" ca="1" si="3"/>
        <v>#NAME?</v>
      </c>
      <c r="S16" s="1120"/>
      <c r="U16" s="560" t="e">
        <f ca="1">_xll.VisibleAlpha.UDF.VAData($C$2,U$6,$E16,$E$11,"CD","IMPL",$C$6)</f>
        <v>#NAME?</v>
      </c>
      <c r="V16" s="560">
        <v>11</v>
      </c>
      <c r="W16" s="1122" t="e">
        <f t="shared" ca="1" si="4"/>
        <v>#NAME?</v>
      </c>
      <c r="Y16" s="560" t="e">
        <f ca="1">_xll.VisibleAlpha.UDF.VAData($C$2,Y$6,$E16,$E$11,"CD","IMPL",$C$6)</f>
        <v>#NAME?</v>
      </c>
      <c r="Z16" s="560">
        <v>11</v>
      </c>
      <c r="AA16" s="1122" t="e">
        <f t="shared" ca="1" si="5"/>
        <v>#NAME?</v>
      </c>
      <c r="AC16" s="560" t="e">
        <f ca="1">_xll.VisibleAlpha.UDF.VAData($C$2,AC$6,$E16,$E$11,"CD","IMPL",$C$6)</f>
        <v>#NAME?</v>
      </c>
      <c r="AD16" s="560">
        <v>11</v>
      </c>
      <c r="AE16" s="1122" t="e">
        <f t="shared" ca="1" si="6"/>
        <v>#NAME?</v>
      </c>
      <c r="AG16" s="1120"/>
      <c r="AI16" s="1124" t="e">
        <f ca="1">(AC16/K16)^(1/($AJ$6-$AI$6))-1</f>
        <v>#NAME?</v>
      </c>
      <c r="AJ16" s="1124"/>
      <c r="AL16" s="1123" t="e">
        <f t="shared" ca="1" si="1"/>
        <v>#NAME?</v>
      </c>
      <c r="AM16" s="1123">
        <f t="shared" si="1"/>
        <v>5.5E-2</v>
      </c>
      <c r="AO16" s="1168"/>
      <c r="AP16" s="1162"/>
      <c r="AQ16" s="1151"/>
      <c r="AR16" s="1151"/>
      <c r="AS16" s="1150"/>
      <c r="AT16" s="1151"/>
      <c r="AV16" s="1162"/>
      <c r="AW16" s="1150"/>
      <c r="AX16" s="1151"/>
    </row>
    <row r="17" spans="1:50" collapsed="1">
      <c r="A17" s="568"/>
      <c r="B17" s="1125"/>
      <c r="C17" s="1125"/>
      <c r="D17" s="1125"/>
      <c r="E17" s="938" t="s">
        <v>1407</v>
      </c>
      <c r="G17" s="940" t="s">
        <v>1408</v>
      </c>
      <c r="I17" s="564">
        <v>23199</v>
      </c>
      <c r="K17" s="564" t="e">
        <f ca="1">_xll.VisibleAlpha.UDF.VAData($C$2,K$6,$E17,$E$11,"CD","IMPL",$C$6)</f>
        <v>#NAME?</v>
      </c>
      <c r="L17" s="564">
        <v>26945.104514099658</v>
      </c>
      <c r="M17" s="942" t="e">
        <f ca="1">L17/K17-1</f>
        <v>#NAME?</v>
      </c>
      <c r="N17" s="1092" t="s">
        <v>1756</v>
      </c>
      <c r="P17" s="564" t="e">
        <f ca="1">_xll.VisibleAlpha.UDF.VAData($C$2,P$6,$E17,$E$11,"CD","IMPL",$C$6)</f>
        <v>#NAME?</v>
      </c>
      <c r="Q17" s="564">
        <v>30934.174920910304</v>
      </c>
      <c r="R17" s="942" t="e">
        <f ca="1">Q17/P17-1</f>
        <v>#NAME?</v>
      </c>
      <c r="S17" s="1094" t="s">
        <v>1786</v>
      </c>
      <c r="U17" s="564" t="e">
        <f ca="1">_xll.VisibleAlpha.UDF.VAData($C$2,U$6,$E17,$E$11,"CD","IMPL",$C$6)</f>
        <v>#NAME?</v>
      </c>
      <c r="V17" s="564">
        <v>34270.776649150765</v>
      </c>
      <c r="W17" s="942" t="e">
        <f ca="1">V17/U17-1</f>
        <v>#NAME?</v>
      </c>
      <c r="Y17" s="564" t="e">
        <f ca="1">_xll.VisibleAlpha.UDF.VAData($C$2,Y$6,$E17,$E$11,"CD","IMPL",$C$6)</f>
        <v>#NAME?</v>
      </c>
      <c r="Z17" s="564">
        <v>37784.896959747399</v>
      </c>
      <c r="AA17" s="942" t="e">
        <f ca="1">Z17/Y17-1</f>
        <v>#NAME?</v>
      </c>
      <c r="AC17" s="564" t="e">
        <f ca="1">_xll.VisibleAlpha.UDF.VAData($C$2,AC$6,$E17,$E$11,"CD","IMPL",$C$6)</f>
        <v>#NAME?</v>
      </c>
      <c r="AD17" s="564">
        <v>41050.879973431394</v>
      </c>
      <c r="AE17" s="942" t="e">
        <f ca="1">AD17/AC17-1</f>
        <v>#NAME?</v>
      </c>
      <c r="AG17" s="1094" t="s">
        <v>1778</v>
      </c>
      <c r="AI17" s="1091" t="e">
        <f ca="1">(AC17/K17)^(1/($AJ$6-$AI$6))-1</f>
        <v>#NAME?</v>
      </c>
      <c r="AJ17" s="1091">
        <f>(AD17/L17)^(1/($AJ$6-$AI$6))-1</f>
        <v>0.11099127854295054</v>
      </c>
      <c r="AL17" s="1126" t="e">
        <f t="shared" ca="1" si="1"/>
        <v>#NAME?</v>
      </c>
      <c r="AM17" s="1126">
        <f t="shared" si="1"/>
        <v>170.98583301733953</v>
      </c>
      <c r="AO17" s="1168">
        <f>AP17*(1+0.1)</f>
        <v>29810.000000000004</v>
      </c>
      <c r="AP17" s="1174">
        <v>27100</v>
      </c>
      <c r="AQ17" s="1154">
        <f>((1+AR17)^4)*AP17</f>
        <v>36869.250816000007</v>
      </c>
      <c r="AR17" s="1182">
        <v>0.08</v>
      </c>
      <c r="AS17" s="1156" t="e">
        <f ca="1">$AQ17/AC17-1</f>
        <v>#NAME?</v>
      </c>
      <c r="AT17" s="1157">
        <f>$AQ17/AD17-1</f>
        <v>-0.10186454371106746</v>
      </c>
      <c r="AV17" s="1162"/>
      <c r="AW17" s="1150"/>
      <c r="AX17" s="1151"/>
    </row>
    <row r="18" spans="1:50" ht="6.75" customHeight="1">
      <c r="A18" s="1127"/>
      <c r="B18" s="1128"/>
      <c r="C18" s="559"/>
      <c r="D18" s="559"/>
      <c r="G18" s="559"/>
      <c r="I18" s="555"/>
      <c r="K18" s="1129"/>
      <c r="L18" s="555"/>
      <c r="M18" s="1130"/>
      <c r="N18" s="1118"/>
      <c r="P18" s="1129"/>
      <c r="Q18" s="555"/>
      <c r="R18" s="1130"/>
      <c r="S18" s="1120"/>
      <c r="U18" s="1129"/>
      <c r="V18" s="555"/>
      <c r="W18" s="1130"/>
      <c r="Y18" s="1129"/>
      <c r="Z18" s="555"/>
      <c r="AA18" s="1130"/>
      <c r="AC18" s="1129"/>
      <c r="AD18" s="555"/>
      <c r="AE18" s="1130"/>
      <c r="AG18" s="1120"/>
      <c r="AL18" s="1129"/>
      <c r="AM18" s="1129"/>
      <c r="AO18" s="1168"/>
      <c r="AP18" s="1178"/>
      <c r="AQ18" s="1151"/>
      <c r="AR18" s="1166"/>
      <c r="AS18" s="1150"/>
      <c r="AT18" s="1151"/>
      <c r="AV18" s="1162"/>
      <c r="AW18" s="1150"/>
      <c r="AX18" s="1151"/>
    </row>
    <row r="19" spans="1:50">
      <c r="A19" s="1127"/>
      <c r="B19" s="1128"/>
      <c r="C19" s="559"/>
      <c r="D19" s="559"/>
      <c r="G19" s="596" t="s">
        <v>287</v>
      </c>
      <c r="I19" s="1131"/>
      <c r="K19" s="1132"/>
      <c r="L19" s="1131"/>
      <c r="M19" s="1133"/>
      <c r="N19" s="1118"/>
      <c r="P19" s="1131"/>
      <c r="Q19" s="1131"/>
      <c r="R19" s="1133"/>
      <c r="S19" s="1185"/>
      <c r="U19" s="1131"/>
      <c r="V19" s="1131"/>
      <c r="W19" s="1133"/>
      <c r="Y19" s="1131"/>
      <c r="Z19" s="1131"/>
      <c r="AA19" s="1133"/>
      <c r="AC19" s="1132"/>
      <c r="AD19" s="1131"/>
      <c r="AE19" s="1133"/>
      <c r="AG19" s="1185"/>
      <c r="AL19" s="1132"/>
      <c r="AM19" s="1132"/>
      <c r="AO19" s="1168"/>
      <c r="AP19" s="1178"/>
      <c r="AQ19" s="1151"/>
      <c r="AR19" s="1166"/>
      <c r="AS19" s="1150"/>
      <c r="AT19" s="1151"/>
      <c r="AV19" s="1162"/>
      <c r="AW19" s="1150"/>
      <c r="AX19" s="1151"/>
    </row>
    <row r="20" spans="1:50" ht="13.5" customHeight="1">
      <c r="A20" s="1134"/>
      <c r="B20" s="1128"/>
      <c r="C20" s="559"/>
      <c r="D20" s="559"/>
      <c r="E20" s="938" t="s">
        <v>1409</v>
      </c>
      <c r="G20" s="559" t="s">
        <v>978</v>
      </c>
      <c r="I20" s="622">
        <v>2390</v>
      </c>
      <c r="K20" s="622" t="e">
        <f ca="1">_xll.VisibleAlpha.UDF.VAData($C$2,K$6,$E20,$E$11,"CD","IMPL",$C$6)</f>
        <v>#NAME?</v>
      </c>
      <c r="L20" s="622">
        <v>2910.4903311897051</v>
      </c>
      <c r="M20" s="1122" t="e">
        <f ca="1">L20/K20-1</f>
        <v>#NAME?</v>
      </c>
      <c r="N20" s="1118"/>
      <c r="P20" s="622" t="e">
        <f ca="1">_xll.VisibleAlpha.UDF.VAData($C$2,P$6,$E20,$E$11,"CD","IMPL",$C$6)</f>
        <v>#NAME?</v>
      </c>
      <c r="Q20" s="622">
        <v>3432.4267157502773</v>
      </c>
      <c r="R20" s="1122" t="e">
        <f ca="1">Q20/P20-1</f>
        <v>#NAME?</v>
      </c>
      <c r="S20" s="1185"/>
      <c r="U20" s="622" t="e">
        <f ca="1">_xll.VisibleAlpha.UDF.VAData($C$2,U$6,$E20,$E$11,"CD","IMPL",$C$6)</f>
        <v>#NAME?</v>
      </c>
      <c r="V20" s="622">
        <v>3932.9885028832864</v>
      </c>
      <c r="W20" s="1122" t="e">
        <f ca="1">V20/U20-1</f>
        <v>#NAME?</v>
      </c>
      <c r="Y20" s="622" t="e">
        <f ca="1">_xll.VisibleAlpha.UDF.VAData($C$2,Y$6,$E20,$E$11,"CD","IMPL",$C$6)</f>
        <v>#NAME?</v>
      </c>
      <c r="Z20" s="622">
        <v>4312.728957407865</v>
      </c>
      <c r="AA20" s="1122" t="e">
        <f ca="1">Z20/Y20-1</f>
        <v>#NAME?</v>
      </c>
      <c r="AC20" s="622" t="e">
        <f ca="1">_xll.VisibleAlpha.UDF.VAData($C$2,AC$6,$E20,$E$11,"CD","IMPL",$C$6)</f>
        <v>#NAME?</v>
      </c>
      <c r="AD20" s="622">
        <v>4773.5546846168745</v>
      </c>
      <c r="AE20" s="1122" t="e">
        <f ca="1">AD20/AC20-1</f>
        <v>#NAME?</v>
      </c>
      <c r="AG20" s="1185"/>
      <c r="AI20" s="1090" t="e">
        <f ca="1">(AC20/K20)^(1/($AJ$6-$AI$6))-1</f>
        <v>#NAME?</v>
      </c>
      <c r="AJ20" s="1090">
        <f>(AD20/L20)^(1/($AJ$6-$AI$6))-1</f>
        <v>0.13166773869922643</v>
      </c>
      <c r="AL20" s="1123" t="e">
        <f ca="1">(K20+P20+U20+Y20+AC20)/1000</f>
        <v>#NAME?</v>
      </c>
      <c r="AM20" s="1123">
        <f>(L20+Q20+V20+Z20+AD20)/1000</f>
        <v>19.36218919184801</v>
      </c>
      <c r="AO20" s="1168"/>
      <c r="AP20" s="1178"/>
      <c r="AQ20" s="1151"/>
      <c r="AR20" s="1166"/>
      <c r="AS20" s="1150"/>
      <c r="AT20" s="1151"/>
      <c r="AV20" s="1162"/>
      <c r="AW20" s="1150"/>
      <c r="AX20" s="1151"/>
    </row>
    <row r="21" spans="1:50" ht="13.5" customHeight="1">
      <c r="G21" s="1135" t="s">
        <v>985</v>
      </c>
      <c r="I21" s="1132">
        <f>I20/I13</f>
        <v>0.20124621084540248</v>
      </c>
      <c r="K21" s="1132" t="e">
        <f ca="1">K20/K13</f>
        <v>#NAME?</v>
      </c>
      <c r="L21" s="1132">
        <f>L20/L13</f>
        <v>0.22074358073958125</v>
      </c>
      <c r="M21" s="1136" t="e">
        <f ca="1">(L21-K21)*100</f>
        <v>#NAME?</v>
      </c>
      <c r="N21" s="1118"/>
      <c r="P21" s="1132" t="e">
        <f ca="1">P20/P13</f>
        <v>#NAME?</v>
      </c>
      <c r="Q21" s="1132">
        <f>Q20/Q13</f>
        <v>0.22083718282807133</v>
      </c>
      <c r="R21" s="1136" t="e">
        <f ca="1">(Q21-P21)*100</f>
        <v>#NAME?</v>
      </c>
      <c r="S21" s="1185"/>
      <c r="U21" s="1132" t="e">
        <f ca="1">U20/U13</f>
        <v>#NAME?</v>
      </c>
      <c r="V21" s="1132">
        <f>V20/V13</f>
        <v>0.22849653991564636</v>
      </c>
      <c r="W21" s="1136" t="e">
        <f ca="1">(V21-U21)*100</f>
        <v>#NAME?</v>
      </c>
      <c r="Y21" s="1132" t="e">
        <f ca="1">Y20/Y13</f>
        <v>#NAME?</v>
      </c>
      <c r="Z21" s="1132">
        <f>Z20/Z13</f>
        <v>0.22739255715347489</v>
      </c>
      <c r="AA21" s="1136" t="e">
        <f ca="1">(Z21-Y21)*100</f>
        <v>#NAME?</v>
      </c>
      <c r="AC21" s="1132" t="e">
        <f ca="1">AC20/AC13</f>
        <v>#NAME?</v>
      </c>
      <c r="AD21" s="1132">
        <f>AD20/AD13</f>
        <v>0.23547890011974904</v>
      </c>
      <c r="AE21" s="1136" t="e">
        <f ca="1">(AD21-AC21)*100</f>
        <v>#NAME?</v>
      </c>
      <c r="AG21" s="1185" t="s">
        <v>1784</v>
      </c>
      <c r="AL21" s="1132"/>
      <c r="AM21" s="1132"/>
      <c r="AO21" s="1168"/>
      <c r="AP21" s="1178"/>
      <c r="AQ21" s="1182">
        <v>0.22</v>
      </c>
      <c r="AR21" s="1166"/>
      <c r="AS21" s="1158" t="e">
        <f ca="1">($AQ21-AC21)*100</f>
        <v>#NAME?</v>
      </c>
      <c r="AT21" s="1159">
        <f>($AQ21-AD21)*100</f>
        <v>-1.5478900119749035</v>
      </c>
      <c r="AV21" s="1162"/>
      <c r="AW21" s="1158"/>
      <c r="AX21" s="1159"/>
    </row>
    <row r="22" spans="1:50" ht="13.5" customHeight="1">
      <c r="E22" s="938" t="s">
        <v>1410</v>
      </c>
      <c r="G22" s="559" t="s">
        <v>1404</v>
      </c>
      <c r="I22" s="622">
        <v>992</v>
      </c>
      <c r="K22" s="622" t="e">
        <f ca="1">_xll.VisibleAlpha.UDF.VAData($C$2,K$6,$E22,$E$11,"CD","IMPL",$C$6)</f>
        <v>#NAME?</v>
      </c>
      <c r="L22" s="622">
        <v>1353.4263972212764</v>
      </c>
      <c r="M22" s="1122" t="e">
        <f t="shared" ref="M22" ca="1" si="7">L22/K22-1</f>
        <v>#NAME?</v>
      </c>
      <c r="N22" s="1118"/>
      <c r="P22" s="622" t="e">
        <f ca="1">_xll.VisibleAlpha.UDF.VAData($C$2,P$6,$E22,$E$11,"CD","IMPL",$C$6)</f>
        <v>#NAME?</v>
      </c>
      <c r="Q22" s="622">
        <v>1618.956264963902</v>
      </c>
      <c r="R22" s="1122" t="e">
        <f t="shared" ref="R22" ca="1" si="8">Q22/P22-1</f>
        <v>#NAME?</v>
      </c>
      <c r="S22" s="1185"/>
      <c r="U22" s="622" t="e">
        <f ca="1">_xll.VisibleAlpha.UDF.VAData($C$2,U$6,$E22,$E$11,"CD","IMPL",$C$6)</f>
        <v>#NAME?</v>
      </c>
      <c r="V22" s="622">
        <v>1845.9256923422713</v>
      </c>
      <c r="W22" s="1122" t="e">
        <f t="shared" ref="W22" ca="1" si="9">V22/U22-1</f>
        <v>#NAME?</v>
      </c>
      <c r="Y22" s="622" t="e">
        <f ca="1">_xll.VisibleAlpha.UDF.VAData($C$2,Y$6,$E22,$E$11,"CD","IMPL",$C$6)</f>
        <v>#NAME?</v>
      </c>
      <c r="Z22" s="622">
        <v>2072.8825752962139</v>
      </c>
      <c r="AA22" s="1122" t="e">
        <f t="shared" ref="AA22" ca="1" si="10">Z22/Y22-1</f>
        <v>#NAME?</v>
      </c>
      <c r="AC22" s="622" t="e">
        <f ca="1">_xll.VisibleAlpha.UDF.VAData($C$2,AC$6,$E22,$E$11,"CD","IMPL",$C$6)</f>
        <v>#NAME?</v>
      </c>
      <c r="AD22" s="622">
        <v>2318.5043830278505</v>
      </c>
      <c r="AE22" s="1122" t="e">
        <f t="shared" ref="AE22" ca="1" si="11">AD22/AC22-1</f>
        <v>#NAME?</v>
      </c>
      <c r="AG22" s="1185"/>
      <c r="AI22" s="1090" t="e">
        <f ca="1">(AC22/K22)^(1/($AJ$6-$AI$6))-1</f>
        <v>#NAME?</v>
      </c>
      <c r="AJ22" s="1090">
        <f>(AD22/L22)^(1/($AJ$6-$AI$6))-1</f>
        <v>0.14404555912692185</v>
      </c>
      <c r="AL22" s="1123" t="e">
        <f ca="1">(K22+P22+U22+Y22+AC22)/1000</f>
        <v>#NAME?</v>
      </c>
      <c r="AM22" s="1123">
        <f>(L22+Q22+V22+Z22+AD22)/1000</f>
        <v>9.2096953128515135</v>
      </c>
      <c r="AO22" s="1168"/>
      <c r="AP22" s="1178"/>
      <c r="AQ22" s="1151"/>
      <c r="AR22" s="1166"/>
      <c r="AS22" s="1150"/>
      <c r="AT22" s="1151"/>
      <c r="AV22" s="1162"/>
      <c r="AW22" s="1150"/>
      <c r="AX22" s="1151"/>
    </row>
    <row r="23" spans="1:50" ht="13.5" customHeight="1">
      <c r="G23" s="1135" t="s">
        <v>985</v>
      </c>
      <c r="I23" s="1132">
        <f>I22/I14</f>
        <v>0.11228070175438597</v>
      </c>
      <c r="K23" s="1132" t="e">
        <f ca="1">K22/K14</f>
        <v>#NAME?</v>
      </c>
      <c r="L23" s="1132">
        <f>L22/L14</f>
        <v>0.12640468280129963</v>
      </c>
      <c r="M23" s="1136" t="e">
        <f ca="1">(L23-K23)*100</f>
        <v>#NAME?</v>
      </c>
      <c r="N23" s="1118"/>
      <c r="P23" s="1132" t="e">
        <f ca="1">P22/P14</f>
        <v>#NAME?</v>
      </c>
      <c r="Q23" s="1132">
        <f>Q22/Q14</f>
        <v>0.13581880179524039</v>
      </c>
      <c r="R23" s="1136" t="e">
        <f ca="1">(Q23-P23)*100</f>
        <v>#NAME?</v>
      </c>
      <c r="S23" s="1185"/>
      <c r="U23" s="1132" t="e">
        <f ca="1">U22/U14</f>
        <v>#NAME?</v>
      </c>
      <c r="V23" s="1132">
        <f>V22/V14</f>
        <v>0.13892218273291157</v>
      </c>
      <c r="W23" s="1136" t="e">
        <f ca="1">(V23-U23)*100</f>
        <v>#NAME?</v>
      </c>
      <c r="Y23" s="1132" t="e">
        <f ca="1">Y22/Y14</f>
        <v>#NAME?</v>
      </c>
      <c r="Z23" s="1132">
        <f>Z22/Z14</f>
        <v>0.14087152654367224</v>
      </c>
      <c r="AA23" s="1136" t="e">
        <f ca="1">(Z23-Y23)*100</f>
        <v>#NAME?</v>
      </c>
      <c r="AC23" s="1132" t="e">
        <f ca="1">AC22/AC14</f>
        <v>#NAME?</v>
      </c>
      <c r="AD23" s="1132">
        <f>AD22/AD14</f>
        <v>0.14221179858164879</v>
      </c>
      <c r="AE23" s="1136" t="e">
        <f ca="1">(AD23-AC23)*100</f>
        <v>#NAME?</v>
      </c>
      <c r="AG23" s="1185" t="s">
        <v>1781</v>
      </c>
      <c r="AL23" s="1132"/>
      <c r="AM23" s="1132"/>
      <c r="AO23" s="1168"/>
      <c r="AP23" s="1178"/>
      <c r="AQ23" s="1182">
        <v>0.15</v>
      </c>
      <c r="AR23" s="1166"/>
      <c r="AS23" s="1158" t="e">
        <f ca="1">($AQ23-AC23)*100</f>
        <v>#NAME?</v>
      </c>
      <c r="AT23" s="1159">
        <f>($AQ23-AD23)*100</f>
        <v>0.77882014183512094</v>
      </c>
      <c r="AV23" s="1162"/>
      <c r="AW23" s="1158"/>
      <c r="AX23" s="1159"/>
    </row>
    <row r="24" spans="1:50" ht="13.5" customHeight="1">
      <c r="E24" s="938" t="s">
        <v>1411</v>
      </c>
      <c r="G24" s="559" t="s">
        <v>1293</v>
      </c>
      <c r="I24" s="622">
        <v>-116</v>
      </c>
      <c r="K24" s="622" t="e">
        <f ca="1">_xll.VisibleAlpha.UDF.VAData($C$2,K$6,$E24,$E$11,"CD","IMPL",$C$6)</f>
        <v>#NAME?</v>
      </c>
      <c r="L24" s="622">
        <v>46.476243132030305</v>
      </c>
      <c r="M24" s="1122" t="e">
        <f t="shared" ref="M24" ca="1" si="12">L24/K24-1</f>
        <v>#NAME?</v>
      </c>
      <c r="N24" s="1118"/>
      <c r="P24" s="622" t="e">
        <f ca="1">_xll.VisibleAlpha.UDF.VAData($C$2,P$6,$E24,$E$11,"CD","IMPL",$C$6)</f>
        <v>#NAME?</v>
      </c>
      <c r="Q24" s="622">
        <v>192.77504964939797</v>
      </c>
      <c r="R24" s="1122" t="e">
        <f t="shared" ref="R24" ca="1" si="13">Q24/P24-1</f>
        <v>#NAME?</v>
      </c>
      <c r="S24" s="1185"/>
      <c r="U24" s="622" t="e">
        <f ca="1">_xll.VisibleAlpha.UDF.VAData($C$2,U$6,$E24,$E$11,"CD","IMPL",$C$6)</f>
        <v>#NAME?</v>
      </c>
      <c r="V24" s="622">
        <v>310.58217539402233</v>
      </c>
      <c r="W24" s="1122" t="e">
        <f t="shared" ref="W24" ca="1" si="14">V24/U24-1</f>
        <v>#NAME?</v>
      </c>
      <c r="Y24" s="622" t="e">
        <f ca="1">_xll.VisibleAlpha.UDF.VAData($C$2,Y$6,$E24,$E$11,"CD","IMPL",$C$6)</f>
        <v>#NAME?</v>
      </c>
      <c r="Z24" s="622">
        <v>428.60804761655959</v>
      </c>
      <c r="AA24" s="1122" t="e">
        <f t="shared" ref="AA24" ca="1" si="15">Z24/Y24-1</f>
        <v>#NAME?</v>
      </c>
      <c r="AC24" s="622" t="e">
        <f ca="1">_xll.VisibleAlpha.UDF.VAData($C$2,AC$6,$E24,$E$11,"CD","IMPL",$C$6)</f>
        <v>#NAME?</v>
      </c>
      <c r="AD24" s="622">
        <v>558.08786216950784</v>
      </c>
      <c r="AE24" s="1122" t="e">
        <f t="shared" ref="AE24" ca="1" si="16">AD24/AC24-1</f>
        <v>#NAME?</v>
      </c>
      <c r="AG24" s="1185"/>
      <c r="AI24" s="1090" t="e">
        <f ca="1">(AC24/K24)^(1/($AJ$6-$AI$6))-1</f>
        <v>#NAME?</v>
      </c>
      <c r="AJ24" s="1090">
        <f>(AD24/L24)^(1/($AJ$6-$AI$6))-1</f>
        <v>0.8615207884618814</v>
      </c>
      <c r="AL24" s="1123" t="e">
        <f ca="1">(K24+P24+U24+Y24+AC24)/1000</f>
        <v>#NAME?</v>
      </c>
      <c r="AM24" s="1123">
        <f>(L24+Q24+V24+Z24+AD24)/1000</f>
        <v>1.5365293779615181</v>
      </c>
      <c r="AO24" s="1168"/>
      <c r="AP24" s="1178"/>
      <c r="AQ24" s="1151"/>
      <c r="AR24" s="1166"/>
      <c r="AS24" s="1150"/>
      <c r="AT24" s="1151"/>
      <c r="AV24" s="1162"/>
      <c r="AW24" s="1150"/>
      <c r="AX24" s="1151"/>
    </row>
    <row r="25" spans="1:50" ht="13.5" customHeight="1">
      <c r="G25" s="1135" t="s">
        <v>985</v>
      </c>
      <c r="I25" s="1132">
        <f>I24/I15</f>
        <v>-4.6830843762616065E-2</v>
      </c>
      <c r="K25" s="1132" t="e">
        <f ca="1">K24/K15</f>
        <v>#NAME?</v>
      </c>
      <c r="L25" s="1132">
        <f>L24/L15</f>
        <v>1.527780326191825E-2</v>
      </c>
      <c r="M25" s="1136" t="e">
        <f ca="1">(L25-K25)*100</f>
        <v>#NAME?</v>
      </c>
      <c r="N25" s="1118"/>
      <c r="P25" s="1132" t="e">
        <f ca="1">P24/P15</f>
        <v>#NAME?</v>
      </c>
      <c r="Q25" s="1132">
        <f>Q24/Q15</f>
        <v>5.5708733373745489E-2</v>
      </c>
      <c r="R25" s="1136" t="e">
        <f ca="1">(Q25-P25)*100</f>
        <v>#NAME?</v>
      </c>
      <c r="S25" s="1185"/>
      <c r="U25" s="1132" t="e">
        <f ca="1">U24/U15</f>
        <v>#NAME?</v>
      </c>
      <c r="V25" s="1132">
        <f>V24/V15</f>
        <v>8.260531731139785E-2</v>
      </c>
      <c r="W25" s="1136" t="e">
        <f ca="1">(V25-U25)*100</f>
        <v>#NAME?</v>
      </c>
      <c r="Y25" s="1132" t="e">
        <f ca="1">Y24/Y15</f>
        <v>#NAME?</v>
      </c>
      <c r="Z25" s="1132">
        <f>Z24/Z15</f>
        <v>0.10471254712235885</v>
      </c>
      <c r="AA25" s="1136" t="e">
        <f ca="1">(Z25-Y25)*100</f>
        <v>#NAME?</v>
      </c>
      <c r="AC25" s="1132" t="e">
        <f ca="1">AC24/AC15</f>
        <v>#NAME?</v>
      </c>
      <c r="AD25" s="1132">
        <f>AD24/AD15</f>
        <v>0.12499130135045201</v>
      </c>
      <c r="AE25" s="1136" t="e">
        <f ca="1">(AD25-AC25)*100</f>
        <v>#NAME?</v>
      </c>
      <c r="AG25" s="1185" t="s">
        <v>1782</v>
      </c>
      <c r="AL25" s="1132"/>
      <c r="AM25" s="1132"/>
      <c r="AO25" s="1168"/>
      <c r="AP25" s="1178"/>
      <c r="AQ25" s="1182">
        <v>0.1</v>
      </c>
      <c r="AR25" s="1166"/>
      <c r="AS25" s="1158" t="e">
        <f ca="1">($AQ25-AC25)*100</f>
        <v>#NAME?</v>
      </c>
      <c r="AT25" s="1159">
        <f>($AQ25-AD25)*100</f>
        <v>-2.4991301350452009</v>
      </c>
      <c r="AV25" s="1162"/>
      <c r="AW25" s="1158"/>
      <c r="AX25" s="1159"/>
    </row>
    <row r="26" spans="1:50" ht="13.5" customHeight="1">
      <c r="E26" s="938" t="s">
        <v>1412</v>
      </c>
      <c r="G26" s="559" t="s">
        <v>1413</v>
      </c>
      <c r="I26" s="622">
        <v>-100</v>
      </c>
      <c r="K26" s="622" t="e">
        <f ca="1">_xll.VisibleAlpha.UDF.VAData($C$2,K$6,$E26,$E$11,"CD","IMPL",$C$6)</f>
        <v>#NAME?</v>
      </c>
      <c r="L26" s="622">
        <v>-105</v>
      </c>
      <c r="M26" s="1122" t="e">
        <f ca="1">L26/K26-1</f>
        <v>#NAME?</v>
      </c>
      <c r="N26" s="1118"/>
      <c r="P26" s="622" t="e">
        <f ca="1">_xll.VisibleAlpha.UDF.VAData($C$2,P$6,$E26,$E$11,"CD","IMPL",$C$6)</f>
        <v>#NAME?</v>
      </c>
      <c r="Q26" s="622">
        <v>-110</v>
      </c>
      <c r="R26" s="1122" t="e">
        <f ca="1">Q26/P26-1</f>
        <v>#NAME?</v>
      </c>
      <c r="S26" s="1185"/>
      <c r="U26" s="622" t="e">
        <f ca="1">_xll.VisibleAlpha.UDF.VAData($C$2,U$6,$E26,$E$11,"CD","IMPL",$C$6)</f>
        <v>#NAME?</v>
      </c>
      <c r="V26" s="622">
        <v>-115</v>
      </c>
      <c r="W26" s="1122" t="e">
        <f ca="1">V26/U26-1</f>
        <v>#NAME?</v>
      </c>
      <c r="Y26" s="622" t="e">
        <f ca="1">_xll.VisibleAlpha.UDF.VAData($C$2,Y$6,$E26,$E$11,"CD","IMPL",$C$6)</f>
        <v>#NAME?</v>
      </c>
      <c r="Z26" s="622">
        <v>-120</v>
      </c>
      <c r="AA26" s="1122" t="e">
        <f ca="1">Z26/Y26-1</f>
        <v>#NAME?</v>
      </c>
      <c r="AC26" s="622" t="e">
        <f ca="1">_xll.VisibleAlpha.UDF.VAData($C$2,AC$6,$E26,$E$11,"CD","IMPL",$C$6)</f>
        <v>#NAME?</v>
      </c>
      <c r="AD26" s="622">
        <v>-125</v>
      </c>
      <c r="AE26" s="1122" t="e">
        <f ca="1">AD26/AC26-1</f>
        <v>#NAME?</v>
      </c>
      <c r="AG26" s="1185"/>
      <c r="AI26" s="1090" t="e">
        <f ca="1">-((AC26/K26)^(1/($AJ$6-$AI$6))-1)</f>
        <v>#NAME?</v>
      </c>
      <c r="AJ26" s="1090">
        <f>-((AD26/L26)^(1/($AJ$6-$AI$6))-1)</f>
        <v>-4.455227307203824E-2</v>
      </c>
      <c r="AL26" s="1123" t="e">
        <f ca="1">(K26+P26+U26+Y26+AC26)/1000</f>
        <v>#NAME?</v>
      </c>
      <c r="AM26" s="1123">
        <f>(L26+Q26+V26+Z26+AD26)/1000</f>
        <v>-0.57499999999999996</v>
      </c>
      <c r="AO26" s="1168"/>
      <c r="AP26" s="1178"/>
      <c r="AQ26" s="1151"/>
      <c r="AR26" s="1166"/>
      <c r="AS26" s="1150"/>
      <c r="AT26" s="1151"/>
      <c r="AV26" s="1162"/>
      <c r="AW26" s="1150"/>
      <c r="AX26" s="1151"/>
    </row>
    <row r="27" spans="1:50" ht="13.5" customHeight="1">
      <c r="E27" s="938" t="s">
        <v>1414</v>
      </c>
      <c r="G27" s="940" t="s">
        <v>1415</v>
      </c>
      <c r="I27" s="941">
        <v>3166</v>
      </c>
      <c r="K27" s="941" t="e">
        <f ca="1">_xll.VisibleAlpha.UDF.VAData($C$2,K$6,$E27,$E$11,"CD","IMPL",$C$6)</f>
        <v>#NAME?</v>
      </c>
      <c r="L27" s="941">
        <v>4205.3929715430122</v>
      </c>
      <c r="M27" s="942" t="e">
        <f ca="1">L27/K27-1</f>
        <v>#NAME?</v>
      </c>
      <c r="N27" s="1092" t="s">
        <v>1757</v>
      </c>
      <c r="P27" s="941" t="e">
        <f ca="1">_xll.VisibleAlpha.UDF.VAData($C$2,P$6,$E27,$E$11,"CD","IMPL",$C$6)</f>
        <v>#NAME?</v>
      </c>
      <c r="Q27" s="941">
        <v>5134.1580303635774</v>
      </c>
      <c r="R27" s="942" t="e">
        <f ca="1">Q27/P27-1</f>
        <v>#NAME?</v>
      </c>
      <c r="S27" s="1094" t="s">
        <v>1787</v>
      </c>
      <c r="U27" s="941" t="e">
        <f ca="1">_xll.VisibleAlpha.UDF.VAData($C$2,U$6,$E27,$E$11,"CD","IMPL",$C$6)</f>
        <v>#NAME?</v>
      </c>
      <c r="V27" s="941">
        <v>5974.4963706195804</v>
      </c>
      <c r="W27" s="942" t="e">
        <f ca="1">V27/U27-1</f>
        <v>#NAME?</v>
      </c>
      <c r="Y27" s="941" t="e">
        <f ca="1">_xll.VisibleAlpha.UDF.VAData($C$2,Y$6,$E27,$E$11,"CD","IMPL",$C$6)</f>
        <v>#NAME?</v>
      </c>
      <c r="Z27" s="941">
        <v>6694.2195803206387</v>
      </c>
      <c r="AA27" s="942" t="e">
        <f ca="1">Z27/Y27-1</f>
        <v>#NAME?</v>
      </c>
      <c r="AC27" s="941" t="e">
        <f ca="1">_xll.VisibleAlpha.UDF.VAData($C$2,AC$6,$E27,$E$11,"CD","IMPL",$C$6)</f>
        <v>#NAME?</v>
      </c>
      <c r="AD27" s="941">
        <v>7525.1469298142329</v>
      </c>
      <c r="AE27" s="942" t="e">
        <f ca="1">AD27/AC27-1</f>
        <v>#NAME?</v>
      </c>
      <c r="AG27" s="1094" t="s">
        <v>1780</v>
      </c>
      <c r="AI27" s="1091" t="e">
        <f ca="1">(AC27/K27)^(1/($AJ$6-$AI$6))-1</f>
        <v>#NAME?</v>
      </c>
      <c r="AJ27" s="1091">
        <f>(AD27/L27)^(1/($AJ$6-$AI$6))-1</f>
        <v>0.15658378648298932</v>
      </c>
      <c r="AL27" s="1126" t="e">
        <f ca="1">(K27+P27+U27+Y27+AC27)/1000</f>
        <v>#NAME?</v>
      </c>
      <c r="AM27" s="1126">
        <f>(L27+Q27+V27+Z27+AD27)/1000</f>
        <v>29.533413882661041</v>
      </c>
      <c r="AO27" s="1168">
        <f>(4700+4800)/2</f>
        <v>4750</v>
      </c>
      <c r="AP27" s="1174">
        <v>4100</v>
      </c>
      <c r="AQ27" s="1184">
        <f>(6000+6500)/2</f>
        <v>6250</v>
      </c>
      <c r="AR27" s="1166"/>
      <c r="AS27" s="1156" t="e">
        <f ca="1">$AQ27/AC27-1</f>
        <v>#NAME?</v>
      </c>
      <c r="AT27" s="1157">
        <f>$AQ27/AD27-1</f>
        <v>-0.16945143286999065</v>
      </c>
      <c r="AV27" s="1162"/>
      <c r="AW27" s="1150"/>
      <c r="AX27" s="1151"/>
    </row>
    <row r="28" spans="1:50" ht="13.5" customHeight="1">
      <c r="G28" s="1135" t="s">
        <v>985</v>
      </c>
      <c r="I28" s="1132">
        <f>I27/I17</f>
        <v>0.13647139962929436</v>
      </c>
      <c r="K28" s="1132" t="e">
        <f ca="1">K27/K17</f>
        <v>#NAME?</v>
      </c>
      <c r="L28" s="1132">
        <f>L27/L17</f>
        <v>0.15607261680289425</v>
      </c>
      <c r="M28" s="1138" t="e">
        <f ca="1">(L28-K28)*100</f>
        <v>#NAME?</v>
      </c>
      <c r="N28" s="1137"/>
      <c r="P28" s="1132" t="e">
        <f ca="1">P27/P17</f>
        <v>#NAME?</v>
      </c>
      <c r="Q28" s="1132">
        <f>Q27/Q17</f>
        <v>0.16597042085299277</v>
      </c>
      <c r="R28" s="1138" t="e">
        <f ca="1">(Q28-P28)*100</f>
        <v>#NAME?</v>
      </c>
      <c r="S28" s="1139"/>
      <c r="U28" s="1132" t="e">
        <f ca="1">U27/U17</f>
        <v>#NAME?</v>
      </c>
      <c r="V28" s="1132">
        <f>V27/V17</f>
        <v>0.17433209733715296</v>
      </c>
      <c r="W28" s="1138" t="e">
        <f ca="1">(V28-U28)*100</f>
        <v>#NAME?</v>
      </c>
      <c r="Y28" s="1132" t="e">
        <f ca="1">Y27/Y17</f>
        <v>#NAME?</v>
      </c>
      <c r="Z28" s="1132">
        <f>Z27/Z17</f>
        <v>0.17716654322101374</v>
      </c>
      <c r="AA28" s="1138" t="e">
        <f ca="1">(Z28-Y28)*100</f>
        <v>#NAME?</v>
      </c>
      <c r="AC28" s="1132" t="e">
        <f ca="1">AC27/AC17</f>
        <v>#NAME?</v>
      </c>
      <c r="AD28" s="1132">
        <f>AD27/AD17</f>
        <v>0.18331268257061956</v>
      </c>
      <c r="AE28" s="1138" t="e">
        <f ca="1">(AD28-AC28)*100</f>
        <v>#NAME?</v>
      </c>
      <c r="AG28" s="1139"/>
      <c r="AL28" s="1132" t="e">
        <f ca="1">AL27/AL17</f>
        <v>#NAME?</v>
      </c>
      <c r="AM28" s="1132">
        <f>AM27/AM17</f>
        <v>0.1727243325455278</v>
      </c>
      <c r="AO28" s="1188">
        <f>AO27/AO17</f>
        <v>0.15934250251593424</v>
      </c>
      <c r="AP28" s="1179">
        <f>AP27/AP17</f>
        <v>0.15129151291512916</v>
      </c>
      <c r="AQ28" s="1155">
        <f>AQ27/AQ17</f>
        <v>0.16951795498073186</v>
      </c>
      <c r="AR28" s="1166"/>
      <c r="AS28" s="1158" t="e">
        <f ca="1">($AQ28-AC28)*100</f>
        <v>#NAME?</v>
      </c>
      <c r="AT28" s="1159">
        <f>($AQ28-AD28)*100</f>
        <v>-1.3794727589887701</v>
      </c>
      <c r="AV28" s="1162"/>
      <c r="AW28" s="1150"/>
      <c r="AX28" s="1151"/>
    </row>
    <row r="29" spans="1:50" ht="4.5" customHeight="1">
      <c r="G29" s="581"/>
      <c r="K29" s="557"/>
      <c r="M29" s="1133"/>
      <c r="N29" s="1118"/>
      <c r="P29" s="557"/>
      <c r="R29" s="1133"/>
      <c r="S29" s="1120"/>
      <c r="U29" s="557"/>
      <c r="W29" s="1133"/>
      <c r="Y29" s="557"/>
      <c r="AA29" s="1133"/>
      <c r="AC29" s="557"/>
      <c r="AE29" s="1133"/>
      <c r="AG29" s="1120"/>
      <c r="AL29" s="557"/>
      <c r="AM29" s="557"/>
      <c r="AO29" s="1168"/>
      <c r="AP29" s="1178"/>
      <c r="AQ29" s="1151"/>
      <c r="AR29" s="1166"/>
      <c r="AS29" s="1150"/>
      <c r="AT29" s="1151"/>
      <c r="AV29" s="1162"/>
      <c r="AW29" s="1150"/>
      <c r="AX29" s="1151"/>
    </row>
    <row r="30" spans="1:50" ht="13.5" customHeight="1">
      <c r="E30" s="938" t="s">
        <v>1416</v>
      </c>
      <c r="G30" s="940" t="s">
        <v>979</v>
      </c>
      <c r="H30" s="570"/>
      <c r="I30" s="941">
        <v>2945</v>
      </c>
      <c r="J30" s="570"/>
      <c r="K30" s="941" t="e">
        <f ca="1">_xll.VisibleAlpha.UDF.VAData($C$2,K$6,$E30,$E$11,"CD","IMPL",$C$6)</f>
        <v>#NAME?</v>
      </c>
      <c r="L30" s="941">
        <v>2895.2698027181477</v>
      </c>
      <c r="M30" s="942" t="e">
        <f ca="1">L30/K30-1</f>
        <v>#NAME?</v>
      </c>
      <c r="N30" s="1092" t="s">
        <v>1711</v>
      </c>
      <c r="O30" s="570"/>
      <c r="P30" s="941" t="e">
        <f ca="1">_xll.VisibleAlpha.UDF.VAData($C$2,P$6,$E30,$E$11,"CD","IMPL",$C$6)</f>
        <v>#NAME?</v>
      </c>
      <c r="Q30" s="941">
        <v>3448.8574610911833</v>
      </c>
      <c r="R30" s="942" t="e">
        <f ca="1">Q30/P30-1</f>
        <v>#NAME?</v>
      </c>
      <c r="S30" s="1094" t="s">
        <v>1794</v>
      </c>
      <c r="T30" s="570"/>
      <c r="U30" s="941" t="e">
        <f ca="1">_xll.VisibleAlpha.UDF.VAData($C$2,U$6,$E30,$E$11,"CD","IMPL",$C$6)</f>
        <v>#NAME?</v>
      </c>
      <c r="V30" s="941">
        <v>4083.3503854640439</v>
      </c>
      <c r="W30" s="942" t="e">
        <f ca="1">V30/U30-1</f>
        <v>#NAME?</v>
      </c>
      <c r="X30" s="570"/>
      <c r="Y30" s="941" t="e">
        <f ca="1">_xll.VisibleAlpha.UDF.VAData($C$2,Y$6,$E30,$E$11,"CD","IMPL",$C$6)</f>
        <v>#NAME?</v>
      </c>
      <c r="Z30" s="941">
        <v>4790.1554987944664</v>
      </c>
      <c r="AA30" s="942" t="e">
        <f ca="1">Z30/Y30-1</f>
        <v>#NAME?</v>
      </c>
      <c r="AB30" s="570"/>
      <c r="AC30" s="941" t="e">
        <f ca="1">_xll.VisibleAlpha.UDF.VAData($C$2,AC$6,$E30,$E$11,"CD","IMPL",$C$6)</f>
        <v>#NAME?</v>
      </c>
      <c r="AD30" s="941">
        <v>5344.3669785054653</v>
      </c>
      <c r="AE30" s="942" t="e">
        <f ca="1">AD30/AC30-1</f>
        <v>#NAME?</v>
      </c>
      <c r="AF30" s="570"/>
      <c r="AG30" s="1094" t="s">
        <v>1783</v>
      </c>
      <c r="AH30" s="570"/>
      <c r="AI30" s="1091" t="e">
        <f ca="1">(AC30/K30)^(1/($AJ$6-$AI$6))-1</f>
        <v>#NAME?</v>
      </c>
      <c r="AJ30" s="1091">
        <f>(AD30/L30)^(1/($AJ$6-$AI$6))-1</f>
        <v>0.16560608987471492</v>
      </c>
      <c r="AK30" s="570"/>
      <c r="AL30" s="1126" t="e">
        <f ca="1">(K30+P30+U30+Y30+AC30)/1000</f>
        <v>#NAME?</v>
      </c>
      <c r="AM30" s="1126">
        <f>(L30+Q30+V30+Z30+AD30)/1000</f>
        <v>20.562000126573309</v>
      </c>
      <c r="AO30" s="1168">
        <f>(2800+3000)/2</f>
        <v>2900</v>
      </c>
      <c r="AP30" s="1174">
        <v>3000</v>
      </c>
      <c r="AQ30" s="1151"/>
      <c r="AR30" s="1166"/>
      <c r="AS30" s="1150"/>
      <c r="AT30" s="1151"/>
      <c r="AV30" s="1183">
        <f>(15+17)/2</f>
        <v>16</v>
      </c>
      <c r="AW30" s="1156" t="e">
        <f ca="1">$AV30/AL30-1</f>
        <v>#NAME?</v>
      </c>
      <c r="AX30" s="1157">
        <f>$AV30/AM30-1</f>
        <v>-0.22186558206842955</v>
      </c>
    </row>
    <row r="31" spans="1:50" ht="13.5" customHeight="1">
      <c r="G31" s="1135" t="s">
        <v>1720</v>
      </c>
      <c r="I31" s="1132">
        <f>I30/I27</f>
        <v>0.93019583070120027</v>
      </c>
      <c r="K31" s="1132" t="e">
        <f ca="1">K30/K27</f>
        <v>#NAME?</v>
      </c>
      <c r="L31" s="1132">
        <f>L30/L27</f>
        <v>0.68846593464863204</v>
      </c>
      <c r="M31" s="1138" t="e">
        <f ca="1">(L31-K31)*100</f>
        <v>#NAME?</v>
      </c>
      <c r="N31" s="1137" t="s">
        <v>1769</v>
      </c>
      <c r="P31" s="1132" t="e">
        <f ca="1">P30/P27</f>
        <v>#NAME?</v>
      </c>
      <c r="Q31" s="1132">
        <f>Q30/Q27</f>
        <v>0.67174742980144519</v>
      </c>
      <c r="R31" s="1138" t="e">
        <f ca="1">(Q31-P31)*100</f>
        <v>#NAME?</v>
      </c>
      <c r="S31" s="1139" t="s">
        <v>1795</v>
      </c>
      <c r="U31" s="1132" t="e">
        <f ca="1">U30/U27</f>
        <v>#NAME?</v>
      </c>
      <c r="V31" s="1132">
        <f>V30/V27</f>
        <v>0.68346353100898838</v>
      </c>
      <c r="W31" s="1138" t="e">
        <f ca="1">(V31-U31)*100</f>
        <v>#NAME?</v>
      </c>
      <c r="Y31" s="1132" t="e">
        <f ca="1">Y30/Y27</f>
        <v>#NAME?</v>
      </c>
      <c r="Z31" s="1132">
        <f>Z30/Z27</f>
        <v>0.7155659358525297</v>
      </c>
      <c r="AA31" s="1138" t="e">
        <f ca="1">(Z31-Y31)*100</f>
        <v>#NAME?</v>
      </c>
      <c r="AC31" s="1132" t="e">
        <f ca="1">AC30/AC27</f>
        <v>#NAME?</v>
      </c>
      <c r="AD31" s="1132">
        <f>AD30/AD27</f>
        <v>0.7102010137943443</v>
      </c>
      <c r="AE31" s="1138" t="e">
        <f ca="1">(AD31-AC31)*100</f>
        <v>#NAME?</v>
      </c>
      <c r="AG31" s="1185" t="s">
        <v>1791</v>
      </c>
      <c r="AL31" s="1132" t="e">
        <f ca="1">AL30/AL27</f>
        <v>#NAME?</v>
      </c>
      <c r="AM31" s="1132">
        <f>AM30/AM27</f>
        <v>0.69622835369686753</v>
      </c>
      <c r="AO31" s="1188">
        <f>AO30/AO27</f>
        <v>0.61052631578947369</v>
      </c>
      <c r="AP31" s="1179">
        <f>AP30/AP27</f>
        <v>0.73170731707317072</v>
      </c>
      <c r="AQ31" s="1151"/>
      <c r="AR31" s="1166"/>
      <c r="AS31" s="1150"/>
      <c r="AT31" s="1151"/>
      <c r="AV31" s="1162"/>
      <c r="AW31" s="1150"/>
      <c r="AX31" s="1151"/>
    </row>
    <row r="32" spans="1:50" ht="4.5" customHeight="1">
      <c r="G32" s="581"/>
      <c r="K32" s="557"/>
      <c r="M32" s="1133"/>
      <c r="N32" s="1118"/>
      <c r="P32" s="557"/>
      <c r="R32" s="1133"/>
      <c r="S32" s="1120"/>
      <c r="U32" s="557"/>
      <c r="W32" s="1133"/>
      <c r="Y32" s="557"/>
      <c r="AA32" s="1133"/>
      <c r="AC32" s="557"/>
      <c r="AE32" s="1133"/>
      <c r="AG32" s="1120"/>
      <c r="AL32" s="557"/>
      <c r="AM32" s="557"/>
      <c r="AO32" s="1168"/>
      <c r="AP32" s="1178"/>
      <c r="AQ32" s="1151"/>
      <c r="AR32" s="1166"/>
      <c r="AS32" s="1150"/>
      <c r="AT32" s="1151"/>
      <c r="AV32" s="1162"/>
      <c r="AW32" s="1150"/>
      <c r="AX32" s="1151"/>
    </row>
    <row r="33" spans="5:50" ht="13.5" customHeight="1">
      <c r="E33" s="938" t="s">
        <v>1768</v>
      </c>
      <c r="G33" s="940" t="s">
        <v>1766</v>
      </c>
      <c r="H33" s="570"/>
      <c r="I33" s="1140">
        <v>4.8540495022861565</v>
      </c>
      <c r="J33" s="570"/>
      <c r="K33" s="1140" cm="1">
        <f t="array" ref="K33">_xll.VAData($C$2, K$6, "EPS Basic", $C$5, "SD", "","","")</f>
        <v>7.3621032702707181</v>
      </c>
      <c r="L33" s="1140">
        <v>6.6572799297352088</v>
      </c>
      <c r="M33" s="942">
        <f>L33/K33-1</f>
        <v>-9.573668212203601E-2</v>
      </c>
      <c r="N33" s="1092"/>
      <c r="O33" s="570"/>
      <c r="P33" s="1140" cm="1">
        <f t="array" ref="P33">_xll.VAData($C$2, P$6, "EPS Basic", $C$5, "SD", "","","")</f>
        <v>8.1673818952380106</v>
      </c>
      <c r="Q33" s="1140">
        <v>8.7547004550189751</v>
      </c>
      <c r="R33" s="942">
        <f>Q33/P33-1</f>
        <v>7.1910260511192758E-2</v>
      </c>
      <c r="S33" s="1094"/>
      <c r="T33" s="570"/>
      <c r="U33" s="1140" cm="1">
        <f t="array" ref="U33">_xll.VAData($C$2, U$6, "EPS Basic", $C$5, "SD", "","","")</f>
        <v>10.551957192016403</v>
      </c>
      <c r="V33" s="1140">
        <v>10.836490950842954</v>
      </c>
      <c r="W33" s="942">
        <f>V33/U33-1</f>
        <v>2.6965022094842306E-2</v>
      </c>
      <c r="X33" s="570"/>
      <c r="Y33" s="1140" cm="1">
        <f t="array" ref="Y33">_xll.VAData($C$2, Y$6, "EPS Basic", $C$5, "SD", "","","")</f>
        <v>12.072908154314939</v>
      </c>
      <c r="Z33" s="1140">
        <v>12.191876741225784</v>
      </c>
      <c r="AA33" s="942">
        <f>Z33/Y33-1</f>
        <v>9.8541780812209101E-3</v>
      </c>
      <c r="AB33" s="570"/>
      <c r="AC33" s="1140" cm="1">
        <f t="array" ref="AC33">_xll.VAData($C$2, AC$6, "EPS Basic", $C$5, "SD", "","","")</f>
        <v>13.597744505883648</v>
      </c>
      <c r="AD33" s="1140">
        <v>13.681390011548704</v>
      </c>
      <c r="AE33" s="942">
        <f>AD33/AC33-1</f>
        <v>6.1514250123513303E-3</v>
      </c>
      <c r="AF33" s="570"/>
      <c r="AG33" s="1094"/>
      <c r="AH33" s="570"/>
      <c r="AI33" s="1091">
        <f>(AC33/K33)^(1/($AJ$6-$AI$6))-1</f>
        <v>0.16577904055638792</v>
      </c>
      <c r="AJ33" s="1091">
        <f>(AD33/L33)^(1/($AJ$6-$AI$6))-1</f>
        <v>0.19731480079481245</v>
      </c>
      <c r="AK33" s="570"/>
      <c r="AL33" s="1140"/>
      <c r="AM33" s="1140"/>
      <c r="AO33" s="1168"/>
      <c r="AP33" s="1178"/>
      <c r="AQ33" s="1151"/>
      <c r="AR33" s="1166"/>
      <c r="AS33" s="1150"/>
      <c r="AT33" s="1151"/>
      <c r="AV33" s="1162"/>
      <c r="AW33" s="1150"/>
      <c r="AX33" s="1151"/>
    </row>
    <row r="34" spans="5:50" ht="4.5" customHeight="1">
      <c r="G34" s="581"/>
      <c r="K34" s="557"/>
      <c r="M34" s="1133"/>
      <c r="N34" s="1118"/>
      <c r="P34" s="557"/>
      <c r="R34" s="1133"/>
      <c r="S34" s="1120"/>
      <c r="U34" s="557"/>
      <c r="W34" s="1133"/>
      <c r="Y34" s="557"/>
      <c r="AA34" s="1133"/>
      <c r="AC34" s="557"/>
      <c r="AE34" s="1133"/>
      <c r="AG34" s="1120"/>
      <c r="AL34" s="557"/>
      <c r="AM34" s="557"/>
      <c r="AO34" s="1168"/>
      <c r="AP34" s="1178"/>
      <c r="AQ34" s="1151"/>
      <c r="AR34" s="1166"/>
      <c r="AS34" s="1150"/>
      <c r="AT34" s="1151"/>
      <c r="AV34" s="1162"/>
      <c r="AW34" s="1150"/>
      <c r="AX34" s="1151"/>
    </row>
    <row r="35" spans="5:50" ht="13.5" customHeight="1">
      <c r="E35" s="938" t="s">
        <v>1662</v>
      </c>
      <c r="G35" s="940" t="s">
        <v>1767</v>
      </c>
      <c r="H35" s="570"/>
      <c r="I35" s="1140">
        <v>2.2000000000000002</v>
      </c>
      <c r="J35" s="570"/>
      <c r="K35" s="1140" t="e">
        <f ca="1">_xll.VisibleAlpha.UDF.VAData($C$2,K$6,$E35,$E$11,"CD","IMPL",$C$6)</f>
        <v>#NAME?</v>
      </c>
      <c r="L35" s="1140">
        <v>2.6629119718940837</v>
      </c>
      <c r="M35" s="942" t="e">
        <f ca="1">L35/K35-1</f>
        <v>#NAME?</v>
      </c>
      <c r="N35" s="1092"/>
      <c r="O35" s="570"/>
      <c r="P35" s="1140" t="e">
        <f ca="1">_xll.VisibleAlpha.UDF.VAData($C$2,P$6,$E35,$E$11,"CD","IMPL",$C$6)</f>
        <v>#NAME?</v>
      </c>
      <c r="Q35" s="1140">
        <v>3.5018801820075902</v>
      </c>
      <c r="R35" s="942" t="e">
        <f ca="1">Q35/P35-1</f>
        <v>#NAME?</v>
      </c>
      <c r="S35" s="1094"/>
      <c r="T35" s="570"/>
      <c r="U35" s="1140" t="e">
        <f ca="1">_xll.VisibleAlpha.UDF.VAData($C$2,U$6,$E35,$E$11,"CD","IMPL",$C$6)</f>
        <v>#NAME?</v>
      </c>
      <c r="V35" s="1140">
        <v>4.3345963803371816</v>
      </c>
      <c r="W35" s="942" t="e">
        <f ca="1">V35/U35-1</f>
        <v>#NAME?</v>
      </c>
      <c r="X35" s="570"/>
      <c r="Y35" s="1140" t="e">
        <f ca="1">_xll.VisibleAlpha.UDF.VAData($C$2,Y$6,$E35,$E$11,"CD","IMPL",$C$6)</f>
        <v>#NAME?</v>
      </c>
      <c r="Z35" s="1140">
        <v>4.8767506964903138</v>
      </c>
      <c r="AA35" s="942" t="e">
        <f ca="1">Z35/Y35-1</f>
        <v>#NAME?</v>
      </c>
      <c r="AB35" s="570"/>
      <c r="AC35" s="1140" t="e">
        <f ca="1">_xll.VisibleAlpha.UDF.VAData($C$2,AC$6,$E35,$E$11,"CD","IMPL",$C$6)</f>
        <v>#NAME?</v>
      </c>
      <c r="AD35" s="1140">
        <v>5.4725560046194817</v>
      </c>
      <c r="AE35" s="942" t="e">
        <f ca="1">AD35/AC35-1</f>
        <v>#NAME?</v>
      </c>
      <c r="AF35" s="570"/>
      <c r="AG35" s="1094"/>
      <c r="AH35" s="570"/>
      <c r="AI35" s="1091" t="e">
        <f ca="1">(AC35/K35)^(1/($AJ$6-$AI$6))-1</f>
        <v>#NAME?</v>
      </c>
      <c r="AJ35" s="1091">
        <f>(AD35/L35)^(1/($AJ$6-$AI$6))-1</f>
        <v>0.19731480079481223</v>
      </c>
      <c r="AK35" s="570"/>
      <c r="AL35" s="1140"/>
      <c r="AM35" s="1140"/>
      <c r="AO35" s="1168"/>
      <c r="AP35" s="1178"/>
      <c r="AQ35" s="1151"/>
      <c r="AR35" s="1166"/>
      <c r="AS35" s="1150"/>
      <c r="AT35" s="1151"/>
      <c r="AV35" s="1162"/>
      <c r="AW35" s="1150"/>
      <c r="AX35" s="1151"/>
    </row>
    <row r="36" spans="5:50" ht="4.5" customHeight="1">
      <c r="G36" s="581"/>
      <c r="K36" s="557"/>
      <c r="M36" s="1133"/>
      <c r="N36" s="1118"/>
      <c r="P36" s="557"/>
      <c r="R36" s="1133"/>
      <c r="S36" s="1120"/>
      <c r="U36" s="557"/>
      <c r="W36" s="1133"/>
      <c r="Y36" s="557"/>
      <c r="AA36" s="1133"/>
      <c r="AC36" s="557"/>
      <c r="AE36" s="1133"/>
      <c r="AG36" s="1120"/>
      <c r="AL36" s="557"/>
      <c r="AM36" s="557"/>
      <c r="AO36" s="1168"/>
      <c r="AP36" s="1178"/>
      <c r="AQ36" s="1151"/>
      <c r="AR36" s="1166"/>
      <c r="AS36" s="1150"/>
      <c r="AT36" s="1151"/>
      <c r="AV36" s="1162"/>
      <c r="AW36" s="1150"/>
      <c r="AX36" s="1151"/>
    </row>
    <row r="37" spans="5:50" ht="13.5" customHeight="1">
      <c r="G37" s="940" t="s">
        <v>1771</v>
      </c>
      <c r="I37" s="941">
        <v>6056.4454707861096</v>
      </c>
      <c r="K37" s="941" t="e">
        <f ca="1">I37*(1+K38)</f>
        <v>#NAME?</v>
      </c>
      <c r="L37" s="941">
        <v>7566.3517295209504</v>
      </c>
      <c r="M37" s="942" t="e">
        <f ca="1">L37/K37-1</f>
        <v>#NAME?</v>
      </c>
      <c r="N37" s="1092"/>
      <c r="P37" s="941" t="e">
        <f ca="1">K37*(1+P38)</f>
        <v>#NAME?</v>
      </c>
      <c r="Q37" s="941">
        <v>9003.1238435554515</v>
      </c>
      <c r="R37" s="942" t="e">
        <f ca="1">Q37/P37-1</f>
        <v>#NAME?</v>
      </c>
      <c r="S37" s="1094"/>
      <c r="U37" s="941" t="e">
        <f ca="1">P37*(1+U38)</f>
        <v>#NAME?</v>
      </c>
      <c r="V37" s="941">
        <v>10321.359848871289</v>
      </c>
      <c r="W37" s="942" t="e">
        <f ca="1">V37/U37-1</f>
        <v>#NAME?</v>
      </c>
      <c r="Y37" s="941" t="e">
        <f ca="1">U37*(1+Y38)</f>
        <v>#NAME?</v>
      </c>
      <c r="Z37" s="941">
        <v>11565.40470959459</v>
      </c>
      <c r="AA37" s="942" t="e">
        <f ca="1">Z37/Y37-1</f>
        <v>#NAME?</v>
      </c>
      <c r="AC37" s="941" t="e">
        <f ca="1">Y37*(1+AC38)</f>
        <v>#NAME?</v>
      </c>
      <c r="AD37" s="941">
        <v>12338.557906544896</v>
      </c>
      <c r="AE37" s="942" t="e">
        <f ca="1">AD37/AC37-1</f>
        <v>#NAME?</v>
      </c>
      <c r="AG37" s="1094"/>
      <c r="AI37" s="1091" t="e">
        <f ca="1">(AC37/K37)^(1/($AJ$6-$AI$6))-1</f>
        <v>#NAME?</v>
      </c>
      <c r="AJ37" s="1091">
        <f>(AD37/L37)^(1/($AJ$6-$AI$6))-1</f>
        <v>0.13004169893336703</v>
      </c>
      <c r="AL37" s="1126" t="e">
        <f ca="1">(K37+P37+U37+Y37+AC37)/1000</f>
        <v>#NAME?</v>
      </c>
      <c r="AM37" s="1126">
        <f>(L37+Q37+V37+Z37+AD37)/1000</f>
        <v>50.794798038087173</v>
      </c>
      <c r="AO37" s="1168"/>
      <c r="AP37" s="1180">
        <f>I37*(1+AP38)</f>
        <v>7570.5568384826365</v>
      </c>
      <c r="AQ37" s="1151"/>
      <c r="AR37" s="1166"/>
      <c r="AS37" s="1150"/>
      <c r="AT37" s="1151"/>
      <c r="AV37" s="1162"/>
      <c r="AW37" s="1150"/>
      <c r="AX37" s="1151"/>
    </row>
    <row r="38" spans="5:50" ht="24">
      <c r="E38" s="938" t="s">
        <v>1417</v>
      </c>
      <c r="G38" s="570" t="s">
        <v>1612</v>
      </c>
      <c r="H38" s="570"/>
      <c r="I38" s="132">
        <v>0.32900000000000001</v>
      </c>
      <c r="J38" s="570"/>
      <c r="K38" s="132" t="e">
        <f ca="1">_xll.VisibleAlpha.UDF.VAData($C$2,K$6,$E38,$E$11,"CD","IMPL",$C$6)/100</f>
        <v>#NAME?</v>
      </c>
      <c r="L38" s="132">
        <v>0.24930568037275824</v>
      </c>
      <c r="M38" s="1171" t="e">
        <f ca="1">(L38-K38)*100</f>
        <v>#NAME?</v>
      </c>
      <c r="N38" s="1170" t="s">
        <v>1789</v>
      </c>
      <c r="O38" s="570"/>
      <c r="P38" s="132" t="e">
        <f ca="1">_xll.VisibleAlpha.UDF.VAData($C$2,P$6,$E38,$E$11,"CD","IMPL",$C$6)/100</f>
        <v>#NAME?</v>
      </c>
      <c r="Q38" s="132">
        <v>0.18988968070685597</v>
      </c>
      <c r="R38" s="1171" t="e">
        <f ca="1">(Q38-P38)*100</f>
        <v>#NAME?</v>
      </c>
      <c r="S38" s="1187" t="s">
        <v>1790</v>
      </c>
      <c r="T38" s="570"/>
      <c r="U38" s="132" t="e">
        <f ca="1">_xll.VisibleAlpha.UDF.VAData($C$2,U$6,$E38,$E$11,"CD","IMPL",$C$6)/100</f>
        <v>#NAME?</v>
      </c>
      <c r="V38" s="132">
        <v>0.14641984584711087</v>
      </c>
      <c r="W38" s="1171" t="e">
        <f ca="1">(V38-U38)*100</f>
        <v>#NAME?</v>
      </c>
      <c r="X38" s="570"/>
      <c r="Y38" s="132" t="e">
        <f ca="1">_xll.VisibleAlpha.UDF.VAData($C$2,Y$6,$E38,$E$11,"CD","IMPL",$C$6)/100</f>
        <v>#NAME?</v>
      </c>
      <c r="Z38" s="132">
        <v>0.12053110044984483</v>
      </c>
      <c r="AA38" s="1171" t="e">
        <f ca="1">(Z38-Y38)*100</f>
        <v>#NAME?</v>
      </c>
      <c r="AB38" s="570"/>
      <c r="AC38" s="132" t="e">
        <f ca="1">_xll.VisibleAlpha.UDF.VAData($C$2,AC$6,$E38,$E$11,"CD","IMPL",$C$6)/100</f>
        <v>#NAME?</v>
      </c>
      <c r="AD38" s="132">
        <v>6.685050946024429E-2</v>
      </c>
      <c r="AE38" s="1171" t="e">
        <f ca="1">(AD38-AC38)*100</f>
        <v>#NAME?</v>
      </c>
      <c r="AF38" s="570"/>
      <c r="AG38" s="1172"/>
      <c r="AH38" s="570"/>
      <c r="AI38" s="1173" t="e">
        <f ca="1">((1+P38)*(1+U38)*(1+Y38)*(1+AC38))^(1/($AJ$6-$AI$6))-1</f>
        <v>#NAME?</v>
      </c>
      <c r="AJ38" s="1173">
        <f>((1+Q38)*(1+V38)*(1+Z38)*(1+AD38))^(1/($AJ$6-$AI$6))-1</f>
        <v>0.13004169893336703</v>
      </c>
      <c r="AK38" s="570"/>
      <c r="AL38" s="132"/>
      <c r="AM38" s="132"/>
      <c r="AO38" s="1168"/>
      <c r="AP38" s="1175">
        <v>0.25</v>
      </c>
      <c r="AQ38" s="1151"/>
      <c r="AR38" s="1166"/>
      <c r="AS38" s="1150"/>
      <c r="AT38" s="1151"/>
      <c r="AV38" s="1162"/>
      <c r="AW38" s="1150"/>
      <c r="AX38" s="1151"/>
    </row>
    <row r="39" spans="5:50" ht="4.5" customHeight="1">
      <c r="G39" s="581"/>
      <c r="K39" s="557"/>
      <c r="M39" s="1133"/>
      <c r="N39" s="1118"/>
      <c r="P39" s="557"/>
      <c r="R39" s="1133"/>
      <c r="S39" s="1120"/>
      <c r="U39" s="557"/>
      <c r="W39" s="1133"/>
      <c r="Y39" s="557"/>
      <c r="AA39" s="1133"/>
      <c r="AC39" s="557"/>
      <c r="AE39" s="1133"/>
      <c r="AG39" s="1120"/>
      <c r="AL39" s="557"/>
      <c r="AM39" s="557"/>
      <c r="AO39" s="1168"/>
      <c r="AP39" s="1178"/>
      <c r="AQ39" s="1151"/>
      <c r="AR39" s="1166"/>
      <c r="AS39" s="1150"/>
      <c r="AT39" s="1151"/>
      <c r="AV39" s="1162"/>
      <c r="AW39" s="1150"/>
      <c r="AX39" s="1151"/>
    </row>
    <row r="40" spans="5:50" ht="24">
      <c r="E40" s="938" t="s">
        <v>1719</v>
      </c>
      <c r="G40" s="940" t="s">
        <v>1764</v>
      </c>
      <c r="H40" s="570"/>
      <c r="I40" s="941">
        <v>1570</v>
      </c>
      <c r="J40" s="570"/>
      <c r="K40" s="941" t="e">
        <f ca="1">_xll.VisibleAlpha.UDF.VAData($C$2,K$6,$E40,$E$11,"CD","IMPL",$C$6)</f>
        <v>#NAME?</v>
      </c>
      <c r="L40" s="941">
        <v>1413</v>
      </c>
      <c r="M40" s="942" t="e">
        <f ca="1">L40/K40-1</f>
        <v>#NAME?</v>
      </c>
      <c r="N40" s="1093" t="s">
        <v>1792</v>
      </c>
      <c r="O40" s="570"/>
      <c r="P40" s="941" t="e">
        <f ca="1">_xll.VisibleAlpha.UDF.VAData($C$2,P$6,$E40,$E$11,"CD","IMPL",$C$6)</f>
        <v>#NAME?</v>
      </c>
      <c r="Q40" s="941">
        <v>1825</v>
      </c>
      <c r="R40" s="942" t="e">
        <f ca="1">Q40/P40-1</f>
        <v>#NAME?</v>
      </c>
      <c r="S40" s="1093" t="s">
        <v>1793</v>
      </c>
      <c r="T40" s="570"/>
      <c r="U40" s="941" t="e">
        <f ca="1">_xll.VisibleAlpha.UDF.VAData($C$2,U$6,$E40,$E$11,"CD","IMPL",$C$6)</f>
        <v>#NAME?</v>
      </c>
      <c r="V40" s="941">
        <v>1966</v>
      </c>
      <c r="W40" s="942" t="e">
        <f ca="1">V40/U40-1</f>
        <v>#NAME?</v>
      </c>
      <c r="X40" s="570"/>
      <c r="Y40" s="941" t="e">
        <f ca="1">_xll.VisibleAlpha.UDF.VAData($C$2,Y$6,$E40,$E$11,"CD","IMPL",$C$6)</f>
        <v>#NAME?</v>
      </c>
      <c r="Z40" s="941">
        <v>2156</v>
      </c>
      <c r="AA40" s="942" t="e">
        <f ca="1">Z40/Y40-1</f>
        <v>#NAME?</v>
      </c>
      <c r="AB40" s="570"/>
      <c r="AC40" s="941" t="e">
        <f ca="1">_xll.VisibleAlpha.UDF.VAData($C$2,AC$6,$E40,$E$11,"CD","IMPL",$C$6)</f>
        <v>#NAME?</v>
      </c>
      <c r="AD40" s="941">
        <v>2263.8000000000002</v>
      </c>
      <c r="AE40" s="942" t="e">
        <f ca="1">AD40/AC40-1</f>
        <v>#NAME?</v>
      </c>
      <c r="AF40" s="570"/>
      <c r="AG40" s="1095"/>
      <c r="AH40" s="570"/>
      <c r="AI40" s="1091" t="e">
        <f ca="1">(AC40/K40)^(1/($AJ$6-$AI$6))-1</f>
        <v>#NAME?</v>
      </c>
      <c r="AJ40" s="1091">
        <f>(AD40/L40)^(1/($AJ$6-$AI$6))-1</f>
        <v>0.12505556818464347</v>
      </c>
      <c r="AK40" s="570"/>
      <c r="AL40" s="941" t="e">
        <f ca="1">K40+P40+U40+Y40+AC40</f>
        <v>#NAME?</v>
      </c>
      <c r="AM40" s="941">
        <f>L40+Q40+V40+Z40+AD40</f>
        <v>9623.7999999999993</v>
      </c>
      <c r="AO40" s="1169">
        <v>-0.1</v>
      </c>
      <c r="AP40" s="1180">
        <f>I40*(1+AO40)</f>
        <v>1413</v>
      </c>
      <c r="AQ40" s="1151"/>
      <c r="AR40" s="1166"/>
      <c r="AS40" s="1150"/>
      <c r="AT40" s="1151"/>
      <c r="AV40" s="1162"/>
      <c r="AW40" s="1150"/>
      <c r="AX40" s="1151"/>
    </row>
    <row r="41" spans="5:50" ht="4.5" customHeight="1">
      <c r="M41" s="1142"/>
      <c r="N41" s="1141"/>
      <c r="R41" s="1142"/>
      <c r="S41" s="1143"/>
      <c r="W41" s="1142"/>
      <c r="AA41" s="1142"/>
      <c r="AE41" s="1142"/>
      <c r="AG41" s="1143"/>
      <c r="AO41" s="1168"/>
      <c r="AP41" s="1181"/>
      <c r="AQ41" s="1153"/>
      <c r="AR41" s="1167"/>
      <c r="AS41" s="1152"/>
      <c r="AT41" s="1153"/>
      <c r="AV41" s="1163"/>
      <c r="AW41" s="1152"/>
      <c r="AX41" s="1153"/>
    </row>
    <row r="42" spans="5:50" ht="12.75" customHeight="1">
      <c r="Q42" s="158"/>
      <c r="R42" s="155"/>
      <c r="AS42" s="557"/>
      <c r="AT42" s="557"/>
    </row>
    <row r="43" spans="5:50" ht="36">
      <c r="I43" s="1144"/>
      <c r="S43" s="1186" t="s">
        <v>1788</v>
      </c>
    </row>
    <row r="44" spans="5:50">
      <c r="I44" s="1144"/>
    </row>
    <row r="45" spans="5:50">
      <c r="I45" s="1144"/>
    </row>
    <row r="46" spans="5:50">
      <c r="I46" s="675"/>
    </row>
    <row r="47" spans="5:50">
      <c r="I47" s="675"/>
    </row>
    <row r="50" ht="4.5" customHeight="1"/>
    <row r="57" hidden="1"/>
    <row r="66" hidden="1"/>
    <row r="72" ht="3.75" customHeight="1"/>
    <row r="74" ht="3" customHeight="1"/>
  </sheetData>
  <mergeCells count="2">
    <mergeCell ref="AI10:AJ10"/>
    <mergeCell ref="AL10:AM10"/>
  </mergeCells>
  <printOptions horizontalCentered="1" verticalCentered="1"/>
  <pageMargins left="0.70866141732283472" right="0.70866141732283472" top="0.74803149606299213" bottom="0.74803149606299213" header="0.31496062992125984" footer="0.31496062992125984"/>
  <pageSetup paperSize="9" orientation="landscape" r:id="rId1"/>
  <customProperties>
    <customPr name="Qube.Worksheet.Visibility" r:id="rId2"/>
    <customPr name="QXL_SHEET_ID" r:id="rId3"/>
  </customPropertie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9FCCCC-303C-4454-9774-532D6FC71144}">
  <sheetPr codeName="Sheet24"/>
  <dimension ref="B2:M19"/>
  <sheetViews>
    <sheetView workbookViewId="0"/>
  </sheetViews>
  <sheetFormatPr defaultColWidth="9" defaultRowHeight="12.75"/>
  <cols>
    <col min="1" max="16384" width="9" style="703"/>
  </cols>
  <sheetData>
    <row r="2" spans="2:13">
      <c r="C2" s="707" t="s">
        <v>1675</v>
      </c>
      <c r="D2" s="707" t="s">
        <v>1676</v>
      </c>
      <c r="E2" s="707" t="s">
        <v>1667</v>
      </c>
      <c r="F2" s="707" t="s">
        <v>1678</v>
      </c>
      <c r="G2" s="707" t="s">
        <v>1677</v>
      </c>
      <c r="H2" s="707" t="s">
        <v>1643</v>
      </c>
      <c r="I2" s="707" t="s">
        <v>1666</v>
      </c>
      <c r="J2" s="707" t="s">
        <v>1679</v>
      </c>
      <c r="K2" s="706"/>
      <c r="L2" s="707" t="s">
        <v>1265</v>
      </c>
      <c r="M2" s="707" t="s">
        <v>1637</v>
      </c>
    </row>
    <row r="3" spans="2:13" ht="13.5" thickBot="1">
      <c r="B3" s="703" t="s">
        <v>1680</v>
      </c>
      <c r="C3" s="703">
        <v>966.79196114906244</v>
      </c>
      <c r="D3" s="703">
        <v>1026.8674147883812</v>
      </c>
      <c r="E3" s="703">
        <v>1282.506401779511</v>
      </c>
      <c r="F3" s="703">
        <v>1280.9790460498698</v>
      </c>
      <c r="G3" s="705" t="e">
        <f>C3*(1+G4)</f>
        <v>#REF!</v>
      </c>
      <c r="H3" s="705" t="e">
        <f t="shared" ref="H3:I3" si="0">D3*(1+H4)</f>
        <v>#N/A</v>
      </c>
      <c r="I3" s="705">
        <f t="shared" si="0"/>
        <v>1782.6838984735205</v>
      </c>
      <c r="J3" s="708" t="e">
        <f>M3-SUM(G3:I3)</f>
        <v>#REF!</v>
      </c>
      <c r="L3" s="703">
        <f>SUM(C3:F3)</f>
        <v>4557.1448237668246</v>
      </c>
      <c r="M3" s="705">
        <f>L3*(1+M4)</f>
        <v>5869.6025330116699</v>
      </c>
    </row>
    <row r="4" spans="2:13" ht="13.5" thickBot="1">
      <c r="G4" s="704" t="e">
        <f>'Results table'!#REF!</f>
        <v>#REF!</v>
      </c>
      <c r="H4" s="704" t="e">
        <f>'Results table'!K20</f>
        <v>#N/A</v>
      </c>
      <c r="I4" s="713">
        <v>0.39</v>
      </c>
      <c r="J4" s="709" t="e">
        <f>J3/F3-1</f>
        <v>#REF!</v>
      </c>
      <c r="M4" s="704">
        <v>0.28799999999999998</v>
      </c>
    </row>
    <row r="8" spans="2:13">
      <c r="C8" s="703" t="s">
        <v>1681</v>
      </c>
      <c r="D8" s="703" t="s">
        <v>1680</v>
      </c>
    </row>
    <row r="9" spans="2:13">
      <c r="B9" s="707" t="s">
        <v>1677</v>
      </c>
      <c r="C9" s="703">
        <v>0.25</v>
      </c>
      <c r="D9" s="704" t="e">
        <f>G4</f>
        <v>#REF!</v>
      </c>
      <c r="E9" s="703" t="e">
        <f>D9*C9</f>
        <v>#REF!</v>
      </c>
    </row>
    <row r="10" spans="2:13">
      <c r="B10" s="707" t="s">
        <v>1643</v>
      </c>
      <c r="C10" s="703">
        <v>0.25</v>
      </c>
      <c r="D10" s="704" t="e">
        <f>H4</f>
        <v>#N/A</v>
      </c>
      <c r="E10" s="703" t="e">
        <f t="shared" ref="E10:E11" si="1">D10*C10</f>
        <v>#N/A</v>
      </c>
    </row>
    <row r="11" spans="2:13" ht="13.5" thickBot="1">
      <c r="B11" s="707" t="s">
        <v>1666</v>
      </c>
      <c r="C11" s="703">
        <v>0.25</v>
      </c>
      <c r="D11" s="713">
        <f>I4</f>
        <v>0.39</v>
      </c>
      <c r="E11" s="703">
        <f t="shared" si="1"/>
        <v>9.7500000000000003E-2</v>
      </c>
    </row>
    <row r="12" spans="2:13" ht="13.5" thickBot="1">
      <c r="B12" s="707" t="s">
        <v>1679</v>
      </c>
      <c r="C12" s="703">
        <v>0.25</v>
      </c>
      <c r="D12" s="712" t="e">
        <f>(D14-SUM(E9:E11))/C12</f>
        <v>#REF!</v>
      </c>
    </row>
    <row r="14" spans="2:13">
      <c r="B14" s="707" t="s">
        <v>1637</v>
      </c>
      <c r="C14" s="710">
        <v>1</v>
      </c>
      <c r="D14" s="704">
        <f>M4</f>
        <v>0.28799999999999998</v>
      </c>
    </row>
    <row r="19" spans="4:4">
      <c r="D19" s="711" t="e">
        <f>D12=J4</f>
        <v>#REF!</v>
      </c>
    </row>
  </sheetData>
  <pageMargins left="0.7" right="0.7" top="0.75" bottom="0.75" header="0.3" footer="0.3"/>
  <pageSetup paperSize="0" orientation="portrait" r:id="rId1"/>
  <customProperties>
    <customPr name="Qube.Worksheet.Visibility" r:id="rId2"/>
    <customPr name="QXL_SHEET_ID" r:id="rId3"/>
  </customPropertie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73">
    <tabColor theme="0"/>
    <pageSetUpPr autoPageBreaks="0"/>
  </sheetPr>
  <dimension ref="B2:AG61"/>
  <sheetViews>
    <sheetView showGridLines="0" workbookViewId="0">
      <selection activeCell="W54" sqref="W54"/>
    </sheetView>
  </sheetViews>
  <sheetFormatPr defaultColWidth="9" defaultRowHeight="12.75"/>
  <cols>
    <col min="1" max="1" width="9" style="44"/>
    <col min="2" max="2" width="36" style="44" customWidth="1"/>
    <col min="3" max="3" width="19.875" style="44" customWidth="1"/>
    <col min="4" max="4" width="9.125" style="44" customWidth="1"/>
    <col min="5" max="22" width="9" style="44"/>
    <col min="23" max="23" width="16.625" style="44" bestFit="1" customWidth="1"/>
    <col min="24" max="16384" width="9" style="44"/>
  </cols>
  <sheetData>
    <row r="2" spans="2:33">
      <c r="B2" s="76"/>
      <c r="C2" s="77"/>
      <c r="D2" s="77">
        <v>2013</v>
      </c>
      <c r="E2" s="77">
        <v>2014</v>
      </c>
      <c r="F2" s="77">
        <v>2015</v>
      </c>
      <c r="G2" s="77" t="s">
        <v>748</v>
      </c>
      <c r="H2" s="78">
        <v>2017</v>
      </c>
      <c r="I2" s="78">
        <v>2018</v>
      </c>
      <c r="J2" s="78">
        <v>2021</v>
      </c>
      <c r="K2" s="78">
        <f>J2+1</f>
        <v>2022</v>
      </c>
      <c r="L2" s="78">
        <f t="shared" ref="L2:Q2" si="0">K2+1</f>
        <v>2023</v>
      </c>
      <c r="M2" s="78">
        <f t="shared" si="0"/>
        <v>2024</v>
      </c>
      <c r="N2" s="78">
        <f t="shared" si="0"/>
        <v>2025</v>
      </c>
      <c r="O2" s="78">
        <f t="shared" si="0"/>
        <v>2026</v>
      </c>
      <c r="P2" s="78">
        <f t="shared" si="0"/>
        <v>2027</v>
      </c>
      <c r="Q2" s="78">
        <f t="shared" si="0"/>
        <v>2028</v>
      </c>
      <c r="S2" s="54" t="s">
        <v>1134</v>
      </c>
      <c r="W2" s="50"/>
      <c r="X2" s="45" t="s">
        <v>1216</v>
      </c>
    </row>
    <row r="3" spans="2:33">
      <c r="B3" s="46" t="s">
        <v>504</v>
      </c>
      <c r="C3" s="46" t="s">
        <v>169</v>
      </c>
      <c r="D3" s="50">
        <v>1.6650000000000002E-2</v>
      </c>
      <c r="E3" s="50">
        <v>1.6650000000000002E-2</v>
      </c>
      <c r="F3" s="50">
        <f>X$10*0.9*0.05</f>
        <v>1.6650000000000002E-2</v>
      </c>
      <c r="G3" s="50">
        <f>Y$10*0.9*0.05</f>
        <v>1.575E-2</v>
      </c>
      <c r="H3" s="50">
        <f>Z$10*0.9*0.05</f>
        <v>1.5300000000000003E-2</v>
      </c>
      <c r="I3" s="50">
        <f>AA$10*0.9*0.05</f>
        <v>1.4850000000000002E-2</v>
      </c>
      <c r="J3" s="50">
        <f>AC$10*0.9*0.05</f>
        <v>1.4850000000000002E-2</v>
      </c>
      <c r="K3" s="1541">
        <f>AD$10*0.9*0.05</f>
        <v>6.7771084337349408E-3</v>
      </c>
      <c r="L3" s="1541">
        <f>AE$10*0.9*0.05</f>
        <v>7.7642770352369384E-3</v>
      </c>
      <c r="M3" s="1541">
        <f>AF$10*0.9*0.05</f>
        <v>7.3706896551724134E-3</v>
      </c>
      <c r="N3" s="1541">
        <f>M3</f>
        <v>7.3706896551724134E-3</v>
      </c>
      <c r="O3" s="50"/>
      <c r="P3" s="50"/>
      <c r="Q3" s="50"/>
      <c r="R3" s="47"/>
      <c r="S3" s="51"/>
    </row>
    <row r="4" spans="2:33">
      <c r="B4" s="46" t="s">
        <v>505</v>
      </c>
      <c r="C4" s="46" t="s">
        <v>170</v>
      </c>
      <c r="D4" s="50">
        <v>0.31635000000000002</v>
      </c>
      <c r="E4" s="50">
        <v>0.31635000000000002</v>
      </c>
      <c r="F4" s="50">
        <f>X$10*0.9*0.95</f>
        <v>0.31635000000000002</v>
      </c>
      <c r="G4" s="50">
        <f>Y$10*0.9*0.95</f>
        <v>0.29924999999999996</v>
      </c>
      <c r="H4" s="50">
        <f>Z$10*0.9*0.95</f>
        <v>0.29070000000000001</v>
      </c>
      <c r="I4" s="50">
        <f>AA$10*0.9*0.9434</f>
        <v>0.28018980000000004</v>
      </c>
      <c r="J4" s="50">
        <f>AC$10*0.9*0.9434</f>
        <v>0.28018980000000004</v>
      </c>
      <c r="K4" s="1541">
        <f>AD$10*0.9*0.95</f>
        <v>0.12876506024096387</v>
      </c>
      <c r="L4" s="1541">
        <f>AE$10*0.9*0.9434</f>
        <v>0.14649637910085056</v>
      </c>
      <c r="M4" s="1541">
        <f>AF$10*0.9*0.9434</f>
        <v>0.1390701724137931</v>
      </c>
      <c r="N4" s="1541">
        <f t="shared" ref="N4:N50" si="1">M4</f>
        <v>0.1390701724137931</v>
      </c>
      <c r="O4" s="50"/>
      <c r="P4" s="50"/>
      <c r="Q4" s="50"/>
      <c r="R4" s="47"/>
      <c r="S4" s="48"/>
      <c r="W4" s="79" t="s">
        <v>1217</v>
      </c>
      <c r="X4" s="55" t="s">
        <v>1223</v>
      </c>
    </row>
    <row r="5" spans="2:33">
      <c r="B5" s="46" t="s">
        <v>1171</v>
      </c>
      <c r="C5" s="46" t="s">
        <v>1172</v>
      </c>
      <c r="D5" s="49">
        <v>0</v>
      </c>
      <c r="E5" s="49">
        <v>0</v>
      </c>
      <c r="F5" s="49">
        <v>0</v>
      </c>
      <c r="G5" s="49">
        <v>0</v>
      </c>
      <c r="H5" s="49">
        <v>0</v>
      </c>
      <c r="I5" s="49">
        <v>0</v>
      </c>
      <c r="J5" s="49">
        <v>0</v>
      </c>
      <c r="K5" s="1542">
        <v>0</v>
      </c>
      <c r="L5" s="1542">
        <v>0</v>
      </c>
      <c r="M5" s="1542">
        <v>0</v>
      </c>
      <c r="N5" s="1542">
        <f t="shared" si="1"/>
        <v>0</v>
      </c>
      <c r="O5" s="49"/>
      <c r="P5" s="49"/>
      <c r="Q5" s="49"/>
      <c r="R5" s="47"/>
      <c r="S5" s="48"/>
      <c r="X5" s="55" t="s">
        <v>1232</v>
      </c>
    </row>
    <row r="6" spans="2:33">
      <c r="B6" s="46" t="s">
        <v>1173</v>
      </c>
      <c r="C6" s="46" t="s">
        <v>1174</v>
      </c>
      <c r="D6" s="49">
        <v>0</v>
      </c>
      <c r="E6" s="49">
        <v>0</v>
      </c>
      <c r="F6" s="49">
        <v>0</v>
      </c>
      <c r="G6" s="49">
        <v>0</v>
      </c>
      <c r="H6" s="49">
        <v>0</v>
      </c>
      <c r="I6" s="49">
        <v>0</v>
      </c>
      <c r="J6" s="49">
        <v>0</v>
      </c>
      <c r="K6" s="1542">
        <v>0</v>
      </c>
      <c r="L6" s="1542">
        <v>0</v>
      </c>
      <c r="M6" s="1542">
        <v>0</v>
      </c>
      <c r="N6" s="1542">
        <f t="shared" si="1"/>
        <v>0</v>
      </c>
      <c r="O6" s="49"/>
      <c r="P6" s="49"/>
      <c r="Q6" s="49"/>
      <c r="R6" s="47"/>
      <c r="S6" s="48"/>
    </row>
    <row r="7" spans="2:33">
      <c r="B7" s="46" t="s">
        <v>503</v>
      </c>
      <c r="C7" s="46" t="s">
        <v>168</v>
      </c>
      <c r="D7" s="49">
        <v>3.6999999999999998E-2</v>
      </c>
      <c r="E7" s="49">
        <v>3.6999999999999998E-2</v>
      </c>
      <c r="F7" s="49">
        <f>0.37*0.1</f>
        <v>3.6999999999999998E-2</v>
      </c>
      <c r="G7" s="49">
        <f>0.35*0.1</f>
        <v>3.4999999999999996E-2</v>
      </c>
      <c r="H7" s="49">
        <f>0.35*0.1</f>
        <v>3.4999999999999996E-2</v>
      </c>
      <c r="I7" s="49">
        <f>0.35*0.1</f>
        <v>3.4999999999999996E-2</v>
      </c>
      <c r="J7" s="49">
        <f>0.35*0.1</f>
        <v>3.4999999999999996E-2</v>
      </c>
      <c r="K7" s="1542">
        <v>1.5100000000000001E-2</v>
      </c>
      <c r="L7" s="1542">
        <v>1.8300000000000004E-2</v>
      </c>
      <c r="M7" s="1542">
        <v>1.7399999999999999E-2</v>
      </c>
      <c r="N7" s="1542">
        <f t="shared" si="1"/>
        <v>1.7399999999999999E-2</v>
      </c>
      <c r="O7" s="49"/>
      <c r="P7" s="49"/>
      <c r="Q7" s="49"/>
      <c r="R7" s="47"/>
      <c r="S7" s="52" t="s">
        <v>1224</v>
      </c>
      <c r="X7" s="77" t="s">
        <v>1160</v>
      </c>
      <c r="Y7" s="77" t="s">
        <v>1231</v>
      </c>
      <c r="Z7" s="77" t="s">
        <v>1233</v>
      </c>
      <c r="AA7" s="77">
        <v>2017</v>
      </c>
      <c r="AB7" s="77">
        <v>2018</v>
      </c>
      <c r="AC7" s="77">
        <v>2021</v>
      </c>
      <c r="AD7" s="77">
        <v>2022</v>
      </c>
      <c r="AE7" s="77">
        <v>2023</v>
      </c>
      <c r="AF7" s="77">
        <v>2024</v>
      </c>
      <c r="AG7" s="1489"/>
    </row>
    <row r="8" spans="2:33">
      <c r="B8" s="46" t="s">
        <v>1175</v>
      </c>
      <c r="C8" s="46" t="s">
        <v>1176</v>
      </c>
      <c r="D8" s="49">
        <v>0</v>
      </c>
      <c r="E8" s="49">
        <v>0</v>
      </c>
      <c r="F8" s="49">
        <v>0</v>
      </c>
      <c r="G8" s="49">
        <v>0</v>
      </c>
      <c r="H8" s="49">
        <v>0</v>
      </c>
      <c r="I8" s="49">
        <v>0</v>
      </c>
      <c r="J8" s="49">
        <v>0</v>
      </c>
      <c r="K8" s="1542">
        <v>0</v>
      </c>
      <c r="L8" s="1542">
        <v>0</v>
      </c>
      <c r="M8" s="1542">
        <v>0</v>
      </c>
      <c r="N8" s="1542">
        <f t="shared" si="1"/>
        <v>0</v>
      </c>
      <c r="O8" s="49"/>
      <c r="P8" s="49"/>
      <c r="Q8" s="49"/>
      <c r="R8" s="47"/>
      <c r="S8" s="48"/>
      <c r="W8" s="52" t="s">
        <v>1218</v>
      </c>
      <c r="X8" s="53">
        <v>0.21</v>
      </c>
      <c r="Y8" s="53">
        <v>0.22</v>
      </c>
      <c r="Z8" s="56">
        <v>0.21</v>
      </c>
      <c r="AA8" s="56">
        <v>0.17</v>
      </c>
      <c r="AB8" s="56">
        <v>0.16</v>
      </c>
      <c r="AC8" s="56">
        <v>0.22</v>
      </c>
      <c r="AD8" s="56">
        <f>337/498</f>
        <v>0.67670682730923692</v>
      </c>
      <c r="AE8" s="56">
        <f>543/823</f>
        <v>0.65978128797083835</v>
      </c>
      <c r="AF8" s="56">
        <f>648/1044</f>
        <v>0.62068965517241381</v>
      </c>
    </row>
    <row r="9" spans="2:33">
      <c r="B9" s="46" t="s">
        <v>1177</v>
      </c>
      <c r="C9" s="46" t="s">
        <v>1178</v>
      </c>
      <c r="D9" s="49">
        <v>0</v>
      </c>
      <c r="E9" s="49">
        <v>0</v>
      </c>
      <c r="F9" s="49">
        <v>0</v>
      </c>
      <c r="G9" s="49">
        <v>0</v>
      </c>
      <c r="H9" s="49">
        <v>0</v>
      </c>
      <c r="I9" s="49">
        <v>0</v>
      </c>
      <c r="J9" s="49">
        <v>0</v>
      </c>
      <c r="K9" s="1542">
        <v>0</v>
      </c>
      <c r="L9" s="1542">
        <v>0</v>
      </c>
      <c r="M9" s="1542">
        <v>0</v>
      </c>
      <c r="N9" s="1542">
        <f t="shared" si="1"/>
        <v>0</v>
      </c>
      <c r="O9" s="49"/>
      <c r="P9" s="49"/>
      <c r="Q9" s="49"/>
      <c r="R9" s="47"/>
      <c r="S9" s="48"/>
      <c r="W9" s="1490" t="s">
        <v>1219</v>
      </c>
      <c r="X9" s="53">
        <v>0.2</v>
      </c>
      <c r="Y9" s="53">
        <v>0.2</v>
      </c>
      <c r="Z9" s="56">
        <v>0.22</v>
      </c>
      <c r="AA9" s="56">
        <v>0.27</v>
      </c>
      <c r="AB9" s="56">
        <v>0.24</v>
      </c>
      <c r="AC9" s="56">
        <v>0.21</v>
      </c>
      <c r="AD9" s="56">
        <f>34/498</f>
        <v>6.8273092369477914E-2</v>
      </c>
      <c r="AE9" s="56">
        <f>79/823</f>
        <v>9.5990279465370601E-2</v>
      </c>
      <c r="AF9" s="56">
        <f>107/1044</f>
        <v>0.1024904214559387</v>
      </c>
    </row>
    <row r="10" spans="2:33">
      <c r="B10" s="46" t="s">
        <v>1179</v>
      </c>
      <c r="C10" s="46" t="s">
        <v>1180</v>
      </c>
      <c r="D10" s="49">
        <v>0</v>
      </c>
      <c r="E10" s="49">
        <v>0</v>
      </c>
      <c r="F10" s="49">
        <v>0</v>
      </c>
      <c r="G10" s="49">
        <v>0</v>
      </c>
      <c r="H10" s="49">
        <v>0</v>
      </c>
      <c r="I10" s="49">
        <v>0</v>
      </c>
      <c r="J10" s="49">
        <v>0</v>
      </c>
      <c r="K10" s="1542">
        <v>0</v>
      </c>
      <c r="L10" s="1542">
        <v>0</v>
      </c>
      <c r="M10" s="1542">
        <v>0</v>
      </c>
      <c r="N10" s="1542">
        <f t="shared" si="1"/>
        <v>0</v>
      </c>
      <c r="O10" s="49"/>
      <c r="P10" s="49"/>
      <c r="Q10" s="49"/>
      <c r="R10" s="47"/>
      <c r="S10" s="48"/>
      <c r="W10" s="52" t="s">
        <v>1220</v>
      </c>
      <c r="X10" s="53">
        <v>0.37</v>
      </c>
      <c r="Y10" s="53">
        <v>0.35</v>
      </c>
      <c r="Z10" s="56">
        <v>0.34</v>
      </c>
      <c r="AA10" s="56">
        <v>0.33</v>
      </c>
      <c r="AB10" s="56">
        <v>0.37</v>
      </c>
      <c r="AC10" s="56">
        <v>0.33</v>
      </c>
      <c r="AD10" s="56">
        <f>75/498</f>
        <v>0.15060240963855423</v>
      </c>
      <c r="AE10" s="56">
        <f>142/823</f>
        <v>0.17253948967193194</v>
      </c>
      <c r="AF10" s="56">
        <f>171/1044</f>
        <v>0.16379310344827586</v>
      </c>
    </row>
    <row r="11" spans="2:33">
      <c r="B11" s="46" t="s">
        <v>1181</v>
      </c>
      <c r="C11" s="46" t="s">
        <v>1182</v>
      </c>
      <c r="D11" s="49">
        <v>0</v>
      </c>
      <c r="E11" s="49">
        <v>0</v>
      </c>
      <c r="F11" s="49">
        <v>0</v>
      </c>
      <c r="G11" s="49">
        <v>0</v>
      </c>
      <c r="H11" s="49">
        <v>0</v>
      </c>
      <c r="I11" s="49">
        <v>0</v>
      </c>
      <c r="J11" s="49">
        <v>0</v>
      </c>
      <c r="K11" s="1542">
        <v>0</v>
      </c>
      <c r="L11" s="1542">
        <v>0</v>
      </c>
      <c r="M11" s="1542">
        <v>0</v>
      </c>
      <c r="N11" s="1542">
        <f t="shared" si="1"/>
        <v>0</v>
      </c>
      <c r="O11" s="49"/>
      <c r="P11" s="49"/>
      <c r="Q11" s="49"/>
      <c r="R11" s="47"/>
      <c r="S11" s="48"/>
      <c r="W11" s="52" t="s">
        <v>1221</v>
      </c>
      <c r="X11" s="53">
        <v>0.14000000000000001</v>
      </c>
      <c r="Y11" s="53">
        <v>0.14000000000000001</v>
      </c>
      <c r="Z11" s="56">
        <v>0.15</v>
      </c>
      <c r="AA11" s="56">
        <v>0.16</v>
      </c>
      <c r="AB11" s="56">
        <v>0.16</v>
      </c>
      <c r="AC11" s="56">
        <v>0.18</v>
      </c>
      <c r="AD11" s="56">
        <f>34/498</f>
        <v>6.8273092369477914E-2</v>
      </c>
      <c r="AE11" s="56">
        <f>35/823</f>
        <v>4.25273390036452E-2</v>
      </c>
      <c r="AF11" s="56">
        <f>97/1044</f>
        <v>9.2911877394636022E-2</v>
      </c>
    </row>
    <row r="12" spans="2:33">
      <c r="B12" s="46" t="s">
        <v>1183</v>
      </c>
      <c r="C12" s="46" t="s">
        <v>1184</v>
      </c>
      <c r="D12" s="49">
        <v>0</v>
      </c>
      <c r="E12" s="49">
        <v>0</v>
      </c>
      <c r="F12" s="49">
        <v>0</v>
      </c>
      <c r="G12" s="49">
        <v>0</v>
      </c>
      <c r="H12" s="49">
        <v>0</v>
      </c>
      <c r="I12" s="49">
        <v>0</v>
      </c>
      <c r="J12" s="49">
        <v>0</v>
      </c>
      <c r="K12" s="1542">
        <v>0</v>
      </c>
      <c r="L12" s="1542">
        <v>0</v>
      </c>
      <c r="M12" s="1542">
        <v>0</v>
      </c>
      <c r="N12" s="1542">
        <f t="shared" si="1"/>
        <v>0</v>
      </c>
      <c r="O12" s="49"/>
      <c r="P12" s="49"/>
      <c r="Q12" s="49"/>
      <c r="R12" s="47"/>
      <c r="W12" s="52" t="s">
        <v>1222</v>
      </c>
      <c r="X12" s="53">
        <v>0.08</v>
      </c>
      <c r="Y12" s="53">
        <v>0.09</v>
      </c>
      <c r="Z12" s="56">
        <v>0.08</v>
      </c>
      <c r="AA12" s="56">
        <v>7.0000000000000007E-2</v>
      </c>
      <c r="AB12" s="56">
        <v>7.0000000000000007E-2</v>
      </c>
      <c r="AC12" s="56">
        <v>0.06</v>
      </c>
      <c r="AD12" s="56">
        <f>18/498</f>
        <v>3.614457831325301E-2</v>
      </c>
      <c r="AE12" s="56">
        <f>24/823</f>
        <v>2.9161603888213851E-2</v>
      </c>
      <c r="AF12" s="56">
        <f>21/1044</f>
        <v>2.0114942528735632E-2</v>
      </c>
    </row>
    <row r="13" spans="2:33">
      <c r="B13" s="46" t="s">
        <v>423</v>
      </c>
      <c r="C13" s="46" t="s">
        <v>163</v>
      </c>
      <c r="D13" s="49">
        <v>5.7142857142857151E-3</v>
      </c>
      <c r="E13" s="49">
        <v>5.7142857142857151E-3</v>
      </c>
      <c r="F13" s="49">
        <f t="shared" ref="F13:I14" si="2">(X$9-F$16-F$19-F$23-F$26)/14</f>
        <v>5.7142857142857151E-3</v>
      </c>
      <c r="G13" s="49">
        <f t="shared" si="2"/>
        <v>5.7142857142857151E-3</v>
      </c>
      <c r="H13" s="49">
        <f t="shared" si="2"/>
        <v>7.1428571428571435E-3</v>
      </c>
      <c r="I13" s="49">
        <f t="shared" si="2"/>
        <v>1.0714285714285716E-2</v>
      </c>
      <c r="J13" s="49">
        <f t="shared" ref="J13:M14" si="3">(AC$9-J$16-J$19-J$23-J$26)/14</f>
        <v>6.4285714285714285E-3</v>
      </c>
      <c r="K13" s="1542">
        <f t="shared" si="3"/>
        <v>2.0195065978198504E-3</v>
      </c>
      <c r="L13" s="1542">
        <f t="shared" si="3"/>
        <v>1.1421628189550437E-3</v>
      </c>
      <c r="M13" s="1542">
        <f t="shared" si="3"/>
        <v>1.7788724685276501E-4</v>
      </c>
      <c r="N13" s="1542">
        <f t="shared" si="1"/>
        <v>1.7788724685276501E-4</v>
      </c>
      <c r="O13" s="49"/>
      <c r="P13" s="49"/>
      <c r="Q13" s="49"/>
      <c r="R13" s="47"/>
      <c r="W13" s="52"/>
      <c r="X13" s="53">
        <f t="shared" ref="X13:AF13" si="4">SUM(X8:X12)</f>
        <v>1</v>
      </c>
      <c r="Y13" s="53">
        <f t="shared" si="4"/>
        <v>1</v>
      </c>
      <c r="Z13" s="56">
        <f t="shared" si="4"/>
        <v>1</v>
      </c>
      <c r="AA13" s="56">
        <f t="shared" si="4"/>
        <v>1</v>
      </c>
      <c r="AB13" s="56">
        <f t="shared" si="4"/>
        <v>1</v>
      </c>
      <c r="AC13" s="56">
        <f t="shared" si="4"/>
        <v>1</v>
      </c>
      <c r="AD13" s="56">
        <f t="shared" si="4"/>
        <v>0.99999999999999989</v>
      </c>
      <c r="AE13" s="56">
        <f t="shared" si="4"/>
        <v>1</v>
      </c>
      <c r="AF13" s="56">
        <f t="shared" si="4"/>
        <v>0.99999999999999989</v>
      </c>
    </row>
    <row r="14" spans="2:33">
      <c r="B14" s="46" t="s">
        <v>422</v>
      </c>
      <c r="C14" s="46" t="s">
        <v>162</v>
      </c>
      <c r="D14" s="49">
        <v>5.7142857142857151E-3</v>
      </c>
      <c r="E14" s="49">
        <v>5.7142857142857151E-3</v>
      </c>
      <c r="F14" s="49">
        <f t="shared" si="2"/>
        <v>5.7142857142857151E-3</v>
      </c>
      <c r="G14" s="49">
        <f t="shared" si="2"/>
        <v>5.7142857142857151E-3</v>
      </c>
      <c r="H14" s="49">
        <f t="shared" si="2"/>
        <v>7.1428571428571435E-3</v>
      </c>
      <c r="I14" s="49">
        <f t="shared" si="2"/>
        <v>1.0714285714285716E-2</v>
      </c>
      <c r="J14" s="49">
        <f t="shared" si="3"/>
        <v>6.4285714285714285E-3</v>
      </c>
      <c r="K14" s="1542">
        <f t="shared" si="3"/>
        <v>2.0195065978198504E-3</v>
      </c>
      <c r="L14" s="1542">
        <f t="shared" si="3"/>
        <v>1.1421628189550437E-3</v>
      </c>
      <c r="M14" s="1542">
        <f t="shared" si="3"/>
        <v>1.7788724685276501E-4</v>
      </c>
      <c r="N14" s="1542">
        <f t="shared" si="1"/>
        <v>1.7788724685276501E-4</v>
      </c>
      <c r="O14" s="49"/>
      <c r="P14" s="49"/>
      <c r="Q14" s="49"/>
      <c r="R14" s="47"/>
      <c r="W14" s="52"/>
      <c r="X14" s="53"/>
      <c r="Y14" s="53"/>
    </row>
    <row r="15" spans="2:33">
      <c r="B15" s="46" t="s">
        <v>419</v>
      </c>
      <c r="C15" s="46" t="s">
        <v>159</v>
      </c>
      <c r="D15" s="50">
        <v>0.21</v>
      </c>
      <c r="E15" s="50">
        <v>0.21</v>
      </c>
      <c r="F15" s="50">
        <f>X8</f>
        <v>0.21</v>
      </c>
      <c r="G15" s="50">
        <f>Y8</f>
        <v>0.22</v>
      </c>
      <c r="H15" s="50">
        <v>0.20899999999999999</v>
      </c>
      <c r="I15" s="50">
        <f>AA8</f>
        <v>0.17</v>
      </c>
      <c r="J15" s="50">
        <f>AC8</f>
        <v>0.22</v>
      </c>
      <c r="K15" s="1541">
        <f>AD8</f>
        <v>0.67670682730923692</v>
      </c>
      <c r="L15" s="1541">
        <f>AE8</f>
        <v>0.65978128797083835</v>
      </c>
      <c r="M15" s="1541">
        <f>AF8</f>
        <v>0.62068965517241381</v>
      </c>
      <c r="N15" s="1541">
        <f t="shared" si="1"/>
        <v>0.62068965517241381</v>
      </c>
      <c r="O15" s="50"/>
      <c r="P15" s="50"/>
      <c r="Q15" s="50"/>
      <c r="R15" s="47"/>
      <c r="W15" s="52"/>
      <c r="X15" s="53"/>
      <c r="Y15" s="53"/>
    </row>
    <row r="16" spans="2:33">
      <c r="B16" s="46" t="s">
        <v>418</v>
      </c>
      <c r="C16" s="46" t="s">
        <v>158</v>
      </c>
      <c r="D16" s="49">
        <v>0.03</v>
      </c>
      <c r="E16" s="49">
        <v>0.03</v>
      </c>
      <c r="F16" s="49">
        <v>0.03</v>
      </c>
      <c r="G16" s="49">
        <v>0.03</v>
      </c>
      <c r="H16" s="49">
        <v>0.03</v>
      </c>
      <c r="I16" s="49">
        <v>0.03</v>
      </c>
      <c r="J16" s="49">
        <v>0.03</v>
      </c>
      <c r="K16" s="1542">
        <v>0.01</v>
      </c>
      <c r="L16" s="1542">
        <v>0.01</v>
      </c>
      <c r="M16" s="1542">
        <v>0.01</v>
      </c>
      <c r="N16" s="1542">
        <f t="shared" si="1"/>
        <v>0.01</v>
      </c>
      <c r="O16" s="49"/>
      <c r="P16" s="49"/>
      <c r="Q16" s="49"/>
      <c r="R16" s="47"/>
      <c r="S16" s="52" t="s">
        <v>1225</v>
      </c>
      <c r="X16" s="53"/>
      <c r="Y16" s="53"/>
    </row>
    <row r="17" spans="2:19">
      <c r="B17" s="46" t="s">
        <v>417</v>
      </c>
      <c r="C17" s="46" t="s">
        <v>157</v>
      </c>
      <c r="D17" s="49">
        <v>5.7142857142857151E-3</v>
      </c>
      <c r="E17" s="49">
        <v>5.7142857142857151E-3</v>
      </c>
      <c r="F17" s="49">
        <f t="shared" ref="F17:I18" si="5">(X$9-F$16-F$19-F$23-F$26)/14</f>
        <v>5.7142857142857151E-3</v>
      </c>
      <c r="G17" s="49">
        <f t="shared" si="5"/>
        <v>5.7142857142857151E-3</v>
      </c>
      <c r="H17" s="49">
        <f t="shared" si="5"/>
        <v>7.1428571428571435E-3</v>
      </c>
      <c r="I17" s="49">
        <f t="shared" si="5"/>
        <v>1.0714285714285716E-2</v>
      </c>
      <c r="J17" s="49">
        <f t="shared" ref="J17:M18" si="6">(AC$9-J$16-J$19-J$23-J$26)/14</f>
        <v>6.4285714285714285E-3</v>
      </c>
      <c r="K17" s="1542">
        <f t="shared" si="6"/>
        <v>2.0195065978198504E-3</v>
      </c>
      <c r="L17" s="1542">
        <f t="shared" si="6"/>
        <v>1.1421628189550437E-3</v>
      </c>
      <c r="M17" s="1542">
        <f t="shared" si="6"/>
        <v>1.7788724685276501E-4</v>
      </c>
      <c r="N17" s="1542">
        <f t="shared" si="1"/>
        <v>1.7788724685276501E-4</v>
      </c>
      <c r="O17" s="49"/>
      <c r="P17" s="49"/>
      <c r="Q17" s="49"/>
      <c r="R17" s="47"/>
    </row>
    <row r="18" spans="2:19">
      <c r="B18" s="46" t="s">
        <v>415</v>
      </c>
      <c r="C18" s="46" t="s">
        <v>155</v>
      </c>
      <c r="D18" s="49">
        <v>5.7142857142857151E-3</v>
      </c>
      <c r="E18" s="49">
        <v>5.7142857142857151E-3</v>
      </c>
      <c r="F18" s="49">
        <f t="shared" si="5"/>
        <v>5.7142857142857151E-3</v>
      </c>
      <c r="G18" s="49">
        <f t="shared" si="5"/>
        <v>5.7142857142857151E-3</v>
      </c>
      <c r="H18" s="49">
        <f t="shared" si="5"/>
        <v>7.1428571428571435E-3</v>
      </c>
      <c r="I18" s="49">
        <f t="shared" si="5"/>
        <v>1.0714285714285716E-2</v>
      </c>
      <c r="J18" s="49">
        <f t="shared" si="6"/>
        <v>6.4285714285714285E-3</v>
      </c>
      <c r="K18" s="1542">
        <f t="shared" si="6"/>
        <v>2.0195065978198504E-3</v>
      </c>
      <c r="L18" s="1542">
        <f t="shared" si="6"/>
        <v>1.1421628189550437E-3</v>
      </c>
      <c r="M18" s="1542">
        <f t="shared" si="6"/>
        <v>1.7788724685276501E-4</v>
      </c>
      <c r="N18" s="1542">
        <f t="shared" si="1"/>
        <v>1.7788724685276501E-4</v>
      </c>
      <c r="O18" s="49"/>
      <c r="P18" s="49"/>
      <c r="Q18" s="49"/>
      <c r="R18" s="47"/>
    </row>
    <row r="19" spans="2:19">
      <c r="B19" s="46" t="s">
        <v>414</v>
      </c>
      <c r="C19" s="46" t="s">
        <v>154</v>
      </c>
      <c r="D19" s="49">
        <v>0.03</v>
      </c>
      <c r="E19" s="49">
        <v>0.03</v>
      </c>
      <c r="F19" s="49">
        <v>0.03</v>
      </c>
      <c r="G19" s="49">
        <v>0.03</v>
      </c>
      <c r="H19" s="49">
        <v>0.03</v>
      </c>
      <c r="I19" s="49">
        <v>0.03</v>
      </c>
      <c r="J19" s="49">
        <v>0.03</v>
      </c>
      <c r="K19" s="1542">
        <v>0.01</v>
      </c>
      <c r="L19" s="1542">
        <v>0.01</v>
      </c>
      <c r="M19" s="1542">
        <v>0.03</v>
      </c>
      <c r="N19" s="1542">
        <f t="shared" si="1"/>
        <v>0.03</v>
      </c>
      <c r="O19" s="49"/>
      <c r="P19" s="49"/>
      <c r="Q19" s="49"/>
      <c r="R19" s="47"/>
    </row>
    <row r="20" spans="2:19">
      <c r="B20" s="46" t="s">
        <v>413</v>
      </c>
      <c r="C20" s="46" t="s">
        <v>153</v>
      </c>
      <c r="D20" s="49">
        <v>5.7142857142857151E-3</v>
      </c>
      <c r="E20" s="49">
        <v>5.7142857142857151E-3</v>
      </c>
      <c r="F20" s="49">
        <f t="shared" ref="F20:I22" si="7">(X$9-F$16-F$19-F$23-F$26)/14</f>
        <v>5.7142857142857151E-3</v>
      </c>
      <c r="G20" s="49">
        <f t="shared" si="7"/>
        <v>5.7142857142857151E-3</v>
      </c>
      <c r="H20" s="49">
        <f t="shared" si="7"/>
        <v>7.1428571428571435E-3</v>
      </c>
      <c r="I20" s="49">
        <f t="shared" si="7"/>
        <v>1.0714285714285716E-2</v>
      </c>
      <c r="J20" s="49">
        <f t="shared" ref="J20:M22" si="8">(AC$9-J$16-J$19-J$23-J$26)/14</f>
        <v>6.4285714285714285E-3</v>
      </c>
      <c r="K20" s="1542">
        <f t="shared" si="8"/>
        <v>2.0195065978198504E-3</v>
      </c>
      <c r="L20" s="1542">
        <f t="shared" si="8"/>
        <v>1.1421628189550437E-3</v>
      </c>
      <c r="M20" s="1542">
        <f t="shared" si="8"/>
        <v>1.7788724685276501E-4</v>
      </c>
      <c r="N20" s="1542">
        <f t="shared" si="1"/>
        <v>1.7788724685276501E-4</v>
      </c>
      <c r="O20" s="49"/>
      <c r="P20" s="49"/>
      <c r="Q20" s="49"/>
      <c r="R20" s="47"/>
    </row>
    <row r="21" spans="2:19">
      <c r="B21" s="46" t="s">
        <v>412</v>
      </c>
      <c r="C21" s="46" t="s">
        <v>152</v>
      </c>
      <c r="D21" s="49">
        <v>5.7142857142857151E-3</v>
      </c>
      <c r="E21" s="49">
        <v>5.7142857142857151E-3</v>
      </c>
      <c r="F21" s="49">
        <f t="shared" si="7"/>
        <v>5.7142857142857151E-3</v>
      </c>
      <c r="G21" s="49">
        <f t="shared" si="7"/>
        <v>5.7142857142857151E-3</v>
      </c>
      <c r="H21" s="49">
        <f t="shared" si="7"/>
        <v>7.1428571428571435E-3</v>
      </c>
      <c r="I21" s="49">
        <f t="shared" si="7"/>
        <v>1.0714285714285716E-2</v>
      </c>
      <c r="J21" s="49">
        <f t="shared" si="8"/>
        <v>6.4285714285714285E-3</v>
      </c>
      <c r="K21" s="1542">
        <f t="shared" si="8"/>
        <v>2.0195065978198504E-3</v>
      </c>
      <c r="L21" s="1542">
        <f t="shared" si="8"/>
        <v>1.1421628189550437E-3</v>
      </c>
      <c r="M21" s="1542">
        <f t="shared" si="8"/>
        <v>1.7788724685276501E-4</v>
      </c>
      <c r="N21" s="1542">
        <f t="shared" si="1"/>
        <v>1.7788724685276501E-4</v>
      </c>
      <c r="O21" s="49"/>
      <c r="P21" s="49"/>
      <c r="Q21" s="49"/>
      <c r="R21" s="47"/>
    </row>
    <row r="22" spans="2:19">
      <c r="B22" s="46" t="s">
        <v>411</v>
      </c>
      <c r="C22" s="46" t="s">
        <v>151</v>
      </c>
      <c r="D22" s="49">
        <v>5.7142857142857151E-3</v>
      </c>
      <c r="E22" s="49">
        <v>5.7142857142857151E-3</v>
      </c>
      <c r="F22" s="49">
        <f t="shared" si="7"/>
        <v>5.7142857142857151E-3</v>
      </c>
      <c r="G22" s="49">
        <f t="shared" si="7"/>
        <v>5.7142857142857151E-3</v>
      </c>
      <c r="H22" s="49">
        <f t="shared" si="7"/>
        <v>7.1428571428571435E-3</v>
      </c>
      <c r="I22" s="49">
        <f t="shared" si="7"/>
        <v>1.0714285714285716E-2</v>
      </c>
      <c r="J22" s="49">
        <f t="shared" si="8"/>
        <v>6.4285714285714285E-3</v>
      </c>
      <c r="K22" s="1542">
        <f t="shared" si="8"/>
        <v>2.0195065978198504E-3</v>
      </c>
      <c r="L22" s="1542">
        <f t="shared" si="8"/>
        <v>1.1421628189550437E-3</v>
      </c>
      <c r="M22" s="1542">
        <f t="shared" si="8"/>
        <v>1.7788724685276501E-4</v>
      </c>
      <c r="N22" s="1542">
        <f t="shared" si="1"/>
        <v>1.7788724685276501E-4</v>
      </c>
      <c r="O22" s="49"/>
      <c r="P22" s="49"/>
      <c r="Q22" s="49"/>
      <c r="R22" s="47"/>
    </row>
    <row r="23" spans="2:19">
      <c r="B23" s="46" t="s">
        <v>410</v>
      </c>
      <c r="C23" s="46" t="s">
        <v>150</v>
      </c>
      <c r="D23" s="49">
        <v>0.03</v>
      </c>
      <c r="E23" s="49">
        <v>0.03</v>
      </c>
      <c r="F23" s="49">
        <v>0.03</v>
      </c>
      <c r="G23" s="49">
        <v>0.03</v>
      </c>
      <c r="H23" s="49">
        <v>0.03</v>
      </c>
      <c r="I23" s="49">
        <v>0.03</v>
      </c>
      <c r="J23" s="49">
        <v>0.03</v>
      </c>
      <c r="K23" s="1542">
        <v>0.01</v>
      </c>
      <c r="L23" s="1542">
        <v>0.03</v>
      </c>
      <c r="M23" s="1542">
        <v>0.03</v>
      </c>
      <c r="N23" s="1542">
        <f t="shared" si="1"/>
        <v>0.03</v>
      </c>
      <c r="O23" s="49"/>
      <c r="P23" s="49"/>
      <c r="Q23" s="49"/>
      <c r="R23" s="47"/>
    </row>
    <row r="24" spans="2:19">
      <c r="B24" s="46" t="s">
        <v>409</v>
      </c>
      <c r="C24" s="46" t="s">
        <v>149</v>
      </c>
      <c r="D24" s="49">
        <v>5.7142857142857151E-3</v>
      </c>
      <c r="E24" s="49">
        <v>5.7142857142857151E-3</v>
      </c>
      <c r="F24" s="49">
        <f t="shared" ref="F24:I25" si="9">(X$9-F$16-F$19-F$23-F$26)/14</f>
        <v>5.7142857142857151E-3</v>
      </c>
      <c r="G24" s="49">
        <f t="shared" si="9"/>
        <v>5.7142857142857151E-3</v>
      </c>
      <c r="H24" s="49">
        <f t="shared" si="9"/>
        <v>7.1428571428571435E-3</v>
      </c>
      <c r="I24" s="49">
        <f t="shared" si="9"/>
        <v>1.0714285714285716E-2</v>
      </c>
      <c r="J24" s="49">
        <f t="shared" ref="J24:M25" si="10">(AC$9-J$16-J$19-J$23-J$26)/14</f>
        <v>6.4285714285714285E-3</v>
      </c>
      <c r="K24" s="1542">
        <f t="shared" si="10"/>
        <v>2.0195065978198504E-3</v>
      </c>
      <c r="L24" s="1542">
        <f t="shared" si="10"/>
        <v>1.1421628189550437E-3</v>
      </c>
      <c r="M24" s="1542">
        <f t="shared" si="10"/>
        <v>1.7788724685276501E-4</v>
      </c>
      <c r="N24" s="1542">
        <f t="shared" si="1"/>
        <v>1.7788724685276501E-4</v>
      </c>
      <c r="O24" s="49"/>
      <c r="P24" s="49"/>
      <c r="Q24" s="49"/>
      <c r="R24" s="47"/>
    </row>
    <row r="25" spans="2:19">
      <c r="B25" s="46" t="s">
        <v>408</v>
      </c>
      <c r="C25" s="46" t="s">
        <v>148</v>
      </c>
      <c r="D25" s="49">
        <v>5.7142857142857151E-3</v>
      </c>
      <c r="E25" s="49">
        <v>5.7142857142857151E-3</v>
      </c>
      <c r="F25" s="49">
        <f t="shared" si="9"/>
        <v>5.7142857142857151E-3</v>
      </c>
      <c r="G25" s="49">
        <f t="shared" si="9"/>
        <v>5.7142857142857151E-3</v>
      </c>
      <c r="H25" s="49">
        <f t="shared" si="9"/>
        <v>7.1428571428571435E-3</v>
      </c>
      <c r="I25" s="49">
        <f t="shared" si="9"/>
        <v>1.0714285714285716E-2</v>
      </c>
      <c r="J25" s="49">
        <f t="shared" si="10"/>
        <v>6.4285714285714285E-3</v>
      </c>
      <c r="K25" s="1542">
        <f t="shared" si="10"/>
        <v>2.0195065978198504E-3</v>
      </c>
      <c r="L25" s="1542">
        <f t="shared" si="10"/>
        <v>1.1421628189550437E-3</v>
      </c>
      <c r="M25" s="1542">
        <f t="shared" si="10"/>
        <v>1.7788724685276501E-4</v>
      </c>
      <c r="N25" s="1542">
        <f t="shared" si="1"/>
        <v>1.7788724685276501E-4</v>
      </c>
      <c r="O25" s="49"/>
      <c r="P25" s="49"/>
      <c r="Q25" s="49"/>
      <c r="R25" s="47"/>
    </row>
    <row r="26" spans="2:19">
      <c r="B26" s="46" t="s">
        <v>500</v>
      </c>
      <c r="C26" s="46" t="s">
        <v>165</v>
      </c>
      <c r="D26" s="49">
        <v>0.03</v>
      </c>
      <c r="E26" s="49">
        <v>0.03</v>
      </c>
      <c r="F26" s="49">
        <v>0.03</v>
      </c>
      <c r="G26" s="49">
        <v>0.03</v>
      </c>
      <c r="H26" s="49">
        <v>0.03</v>
      </c>
      <c r="I26" s="49">
        <v>0.03</v>
      </c>
      <c r="J26" s="49">
        <v>0.03</v>
      </c>
      <c r="K26" s="1542">
        <v>0.01</v>
      </c>
      <c r="L26" s="1542">
        <v>0.03</v>
      </c>
      <c r="M26" s="1542">
        <v>0.03</v>
      </c>
      <c r="N26" s="1542">
        <f t="shared" si="1"/>
        <v>0.03</v>
      </c>
      <c r="O26" s="49"/>
      <c r="P26" s="49"/>
      <c r="Q26" s="49"/>
      <c r="R26" s="47"/>
    </row>
    <row r="27" spans="2:19">
      <c r="B27" s="46" t="s">
        <v>1185</v>
      </c>
      <c r="C27" s="46" t="s">
        <v>1186</v>
      </c>
      <c r="D27" s="49">
        <v>5.7142857142857151E-3</v>
      </c>
      <c r="E27" s="49">
        <v>5.7142857142857151E-3</v>
      </c>
      <c r="F27" s="49">
        <f t="shared" ref="F27:I31" si="11">(X$9-F$16-F$19-F$23-F$26)/14</f>
        <v>5.7142857142857151E-3</v>
      </c>
      <c r="G27" s="49">
        <f t="shared" si="11"/>
        <v>5.7142857142857151E-3</v>
      </c>
      <c r="H27" s="49">
        <f t="shared" si="11"/>
        <v>7.1428571428571435E-3</v>
      </c>
      <c r="I27" s="49">
        <f t="shared" si="11"/>
        <v>1.0714285714285716E-2</v>
      </c>
      <c r="J27" s="49">
        <f t="shared" ref="J27:M31" si="12">(AC$9-J$16-J$19-J$23-J$26)/14</f>
        <v>6.4285714285714285E-3</v>
      </c>
      <c r="K27" s="1542">
        <f t="shared" si="12"/>
        <v>2.0195065978198504E-3</v>
      </c>
      <c r="L27" s="1542">
        <f t="shared" si="12"/>
        <v>1.1421628189550437E-3</v>
      </c>
      <c r="M27" s="1542">
        <f t="shared" si="12"/>
        <v>1.7788724685276501E-4</v>
      </c>
      <c r="N27" s="1542">
        <f t="shared" si="1"/>
        <v>1.7788724685276501E-4</v>
      </c>
      <c r="O27" s="49"/>
      <c r="P27" s="49"/>
      <c r="Q27" s="49"/>
      <c r="R27" s="47"/>
    </row>
    <row r="28" spans="2:19">
      <c r="B28" s="46" t="s">
        <v>1187</v>
      </c>
      <c r="C28" s="46" t="s">
        <v>1188</v>
      </c>
      <c r="D28" s="49">
        <v>5.7142857142857151E-3</v>
      </c>
      <c r="E28" s="49">
        <v>5.7142857142857151E-3</v>
      </c>
      <c r="F28" s="49">
        <f t="shared" si="11"/>
        <v>5.7142857142857151E-3</v>
      </c>
      <c r="G28" s="49">
        <f t="shared" si="11"/>
        <v>5.7142857142857151E-3</v>
      </c>
      <c r="H28" s="49">
        <f t="shared" si="11"/>
        <v>7.1428571428571435E-3</v>
      </c>
      <c r="I28" s="49">
        <f t="shared" si="11"/>
        <v>1.0714285714285716E-2</v>
      </c>
      <c r="J28" s="49">
        <f t="shared" si="12"/>
        <v>6.4285714285714285E-3</v>
      </c>
      <c r="K28" s="1542">
        <f t="shared" si="12"/>
        <v>2.0195065978198504E-3</v>
      </c>
      <c r="L28" s="1542">
        <f t="shared" si="12"/>
        <v>1.1421628189550437E-3</v>
      </c>
      <c r="M28" s="1542">
        <f t="shared" si="12"/>
        <v>1.7788724685276501E-4</v>
      </c>
      <c r="N28" s="1542">
        <f t="shared" si="1"/>
        <v>1.7788724685276501E-4</v>
      </c>
      <c r="O28" s="49"/>
      <c r="P28" s="49"/>
      <c r="Q28" s="49"/>
      <c r="R28" s="47"/>
    </row>
    <row r="29" spans="2:19">
      <c r="B29" s="46" t="s">
        <v>496</v>
      </c>
      <c r="C29" s="46" t="s">
        <v>145</v>
      </c>
      <c r="D29" s="49">
        <v>5.7142857142857151E-3</v>
      </c>
      <c r="E29" s="49">
        <v>5.7142857142857151E-3</v>
      </c>
      <c r="F29" s="49">
        <f t="shared" si="11"/>
        <v>5.7142857142857151E-3</v>
      </c>
      <c r="G29" s="49">
        <f t="shared" si="11"/>
        <v>5.7142857142857151E-3</v>
      </c>
      <c r="H29" s="49">
        <f t="shared" si="11"/>
        <v>7.1428571428571435E-3</v>
      </c>
      <c r="I29" s="49">
        <f t="shared" si="11"/>
        <v>1.0714285714285716E-2</v>
      </c>
      <c r="J29" s="49">
        <f t="shared" si="12"/>
        <v>6.4285714285714285E-3</v>
      </c>
      <c r="K29" s="1542">
        <f t="shared" si="12"/>
        <v>2.0195065978198504E-3</v>
      </c>
      <c r="L29" s="1542">
        <f t="shared" si="12"/>
        <v>1.1421628189550437E-3</v>
      </c>
      <c r="M29" s="1542">
        <f t="shared" si="12"/>
        <v>1.7788724685276501E-4</v>
      </c>
      <c r="N29" s="1542">
        <f t="shared" si="1"/>
        <v>1.7788724685276501E-4</v>
      </c>
      <c r="O29" s="49"/>
      <c r="P29" s="49"/>
      <c r="Q29" s="49"/>
      <c r="R29" s="47"/>
    </row>
    <row r="30" spans="2:19">
      <c r="B30" s="46" t="s">
        <v>1189</v>
      </c>
      <c r="C30" s="46" t="s">
        <v>1190</v>
      </c>
      <c r="D30" s="49">
        <v>5.7142857142857151E-3</v>
      </c>
      <c r="E30" s="49">
        <v>5.7142857142857151E-3</v>
      </c>
      <c r="F30" s="49">
        <f t="shared" si="11"/>
        <v>5.7142857142857151E-3</v>
      </c>
      <c r="G30" s="49">
        <f t="shared" si="11"/>
        <v>5.7142857142857151E-3</v>
      </c>
      <c r="H30" s="49">
        <f t="shared" si="11"/>
        <v>7.1428571428571435E-3</v>
      </c>
      <c r="I30" s="49">
        <f t="shared" si="11"/>
        <v>1.0714285714285716E-2</v>
      </c>
      <c r="J30" s="49">
        <f t="shared" si="12"/>
        <v>6.4285714285714285E-3</v>
      </c>
      <c r="K30" s="1542">
        <f t="shared" si="12"/>
        <v>2.0195065978198504E-3</v>
      </c>
      <c r="L30" s="1542">
        <f t="shared" si="12"/>
        <v>1.1421628189550437E-3</v>
      </c>
      <c r="M30" s="1542">
        <f t="shared" si="12"/>
        <v>1.7788724685276501E-4</v>
      </c>
      <c r="N30" s="1542">
        <f t="shared" si="1"/>
        <v>1.7788724685276501E-4</v>
      </c>
      <c r="O30" s="49"/>
      <c r="P30" s="49"/>
      <c r="Q30" s="49"/>
      <c r="R30" s="47"/>
    </row>
    <row r="31" spans="2:19">
      <c r="B31" s="46" t="s">
        <v>1191</v>
      </c>
      <c r="C31" s="46" t="s">
        <v>1192</v>
      </c>
      <c r="D31" s="49">
        <v>5.7142857142857151E-3</v>
      </c>
      <c r="E31" s="49">
        <v>5.7142857142857151E-3</v>
      </c>
      <c r="F31" s="49">
        <f t="shared" si="11"/>
        <v>5.7142857142857151E-3</v>
      </c>
      <c r="G31" s="49">
        <f t="shared" si="11"/>
        <v>5.7142857142857151E-3</v>
      </c>
      <c r="H31" s="49">
        <f t="shared" si="11"/>
        <v>7.1428571428571435E-3</v>
      </c>
      <c r="I31" s="49">
        <f t="shared" si="11"/>
        <v>1.0714285714285716E-2</v>
      </c>
      <c r="J31" s="49">
        <f t="shared" si="12"/>
        <v>6.4285714285714285E-3</v>
      </c>
      <c r="K31" s="1542">
        <f t="shared" si="12"/>
        <v>2.0195065978198504E-3</v>
      </c>
      <c r="L31" s="1542">
        <f t="shared" si="12"/>
        <v>1.1421628189550437E-3</v>
      </c>
      <c r="M31" s="1542">
        <f t="shared" si="12"/>
        <v>1.7788724685276501E-4</v>
      </c>
      <c r="N31" s="1542">
        <f t="shared" si="1"/>
        <v>1.7788724685276501E-4</v>
      </c>
      <c r="O31" s="49"/>
      <c r="P31" s="49"/>
      <c r="Q31" s="49"/>
      <c r="R31" s="47"/>
    </row>
    <row r="32" spans="2:19">
      <c r="B32" s="46" t="s">
        <v>1193</v>
      </c>
      <c r="C32" s="46" t="s">
        <v>1194</v>
      </c>
      <c r="D32" s="49">
        <v>0.02</v>
      </c>
      <c r="E32" s="49">
        <v>0.02</v>
      </c>
      <c r="F32" s="49">
        <f t="shared" ref="F32:G34" si="13">X$12*0.25</f>
        <v>0.02</v>
      </c>
      <c r="G32" s="49">
        <f t="shared" si="13"/>
        <v>2.2499999999999999E-2</v>
      </c>
      <c r="H32" s="49">
        <f t="shared" ref="H32:I34" si="14">Z$12*0.25</f>
        <v>0.02</v>
      </c>
      <c r="I32" s="49">
        <f t="shared" si="14"/>
        <v>1.7500000000000002E-2</v>
      </c>
      <c r="J32" s="49">
        <f t="shared" ref="J32:M34" si="15">AC$12*0.25</f>
        <v>1.4999999999999999E-2</v>
      </c>
      <c r="K32" s="1542">
        <f t="shared" si="15"/>
        <v>9.0361445783132526E-3</v>
      </c>
      <c r="L32" s="1542">
        <f t="shared" si="15"/>
        <v>7.2904009720534627E-3</v>
      </c>
      <c r="M32" s="1542">
        <f t="shared" si="15"/>
        <v>5.028735632183908E-3</v>
      </c>
      <c r="N32" s="1542">
        <f t="shared" si="1"/>
        <v>5.028735632183908E-3</v>
      </c>
      <c r="O32" s="49"/>
      <c r="P32" s="49"/>
      <c r="Q32" s="49"/>
      <c r="R32" s="47"/>
      <c r="S32" s="52" t="s">
        <v>1226</v>
      </c>
    </row>
    <row r="33" spans="2:19">
      <c r="B33" s="46" t="s">
        <v>1195</v>
      </c>
      <c r="C33" s="46" t="s">
        <v>1196</v>
      </c>
      <c r="D33" s="49">
        <v>0.02</v>
      </c>
      <c r="E33" s="49">
        <v>0.02</v>
      </c>
      <c r="F33" s="49">
        <f t="shared" si="13"/>
        <v>0.02</v>
      </c>
      <c r="G33" s="49">
        <f t="shared" si="13"/>
        <v>2.2499999999999999E-2</v>
      </c>
      <c r="H33" s="49">
        <f t="shared" si="14"/>
        <v>0.02</v>
      </c>
      <c r="I33" s="49">
        <f t="shared" si="14"/>
        <v>1.7500000000000002E-2</v>
      </c>
      <c r="J33" s="49">
        <f t="shared" si="15"/>
        <v>1.4999999999999999E-2</v>
      </c>
      <c r="K33" s="1542">
        <f t="shared" si="15"/>
        <v>9.0361445783132526E-3</v>
      </c>
      <c r="L33" s="1542">
        <f t="shared" si="15"/>
        <v>7.2904009720534627E-3</v>
      </c>
      <c r="M33" s="1542">
        <f t="shared" si="15"/>
        <v>5.028735632183908E-3</v>
      </c>
      <c r="N33" s="1542">
        <f t="shared" si="1"/>
        <v>5.028735632183908E-3</v>
      </c>
      <c r="O33" s="49"/>
      <c r="P33" s="49"/>
      <c r="Q33" s="49"/>
      <c r="R33" s="47"/>
    </row>
    <row r="34" spans="2:19">
      <c r="B34" s="46" t="s">
        <v>1197</v>
      </c>
      <c r="C34" s="46" t="s">
        <v>1198</v>
      </c>
      <c r="D34" s="49">
        <v>0.02</v>
      </c>
      <c r="E34" s="49">
        <v>0.02</v>
      </c>
      <c r="F34" s="49">
        <f t="shared" si="13"/>
        <v>0.02</v>
      </c>
      <c r="G34" s="49">
        <f t="shared" si="13"/>
        <v>2.2499999999999999E-2</v>
      </c>
      <c r="H34" s="49">
        <f t="shared" si="14"/>
        <v>0.02</v>
      </c>
      <c r="I34" s="49">
        <f t="shared" si="14"/>
        <v>1.7500000000000002E-2</v>
      </c>
      <c r="J34" s="49">
        <f t="shared" si="15"/>
        <v>1.4999999999999999E-2</v>
      </c>
      <c r="K34" s="1542">
        <f t="shared" si="15"/>
        <v>9.0361445783132526E-3</v>
      </c>
      <c r="L34" s="1542">
        <f t="shared" si="15"/>
        <v>7.2904009720534627E-3</v>
      </c>
      <c r="M34" s="1542">
        <f t="shared" si="15"/>
        <v>5.028735632183908E-3</v>
      </c>
      <c r="N34" s="1542">
        <f t="shared" si="1"/>
        <v>5.028735632183908E-3</v>
      </c>
      <c r="O34" s="49"/>
      <c r="P34" s="49"/>
      <c r="Q34" s="49"/>
      <c r="R34" s="47"/>
    </row>
    <row r="35" spans="2:19">
      <c r="B35" s="46" t="s">
        <v>1050</v>
      </c>
      <c r="C35" s="46" t="s">
        <v>1051</v>
      </c>
      <c r="D35" s="49">
        <v>4.0000000000000001E-3</v>
      </c>
      <c r="E35" s="49">
        <v>4.0000000000000001E-3</v>
      </c>
      <c r="F35" s="49">
        <f t="shared" ref="F35:I36" si="16">X$12*0.05</f>
        <v>4.0000000000000001E-3</v>
      </c>
      <c r="G35" s="49">
        <f t="shared" si="16"/>
        <v>4.4999999999999997E-3</v>
      </c>
      <c r="H35" s="49">
        <f t="shared" si="16"/>
        <v>4.0000000000000001E-3</v>
      </c>
      <c r="I35" s="49">
        <f t="shared" si="16"/>
        <v>3.5000000000000005E-3</v>
      </c>
      <c r="J35" s="49">
        <f t="shared" ref="J35:M36" si="17">AC$12*0.05</f>
        <v>3.0000000000000001E-3</v>
      </c>
      <c r="K35" s="1542">
        <f t="shared" si="17"/>
        <v>1.8072289156626507E-3</v>
      </c>
      <c r="L35" s="1542">
        <f t="shared" si="17"/>
        <v>1.4580801944106927E-3</v>
      </c>
      <c r="M35" s="1542">
        <f t="shared" si="17"/>
        <v>1.0057471264367816E-3</v>
      </c>
      <c r="N35" s="1542">
        <f t="shared" si="1"/>
        <v>1.0057471264367816E-3</v>
      </c>
      <c r="O35" s="49"/>
      <c r="P35" s="49"/>
      <c r="Q35" s="49"/>
      <c r="R35" s="47"/>
    </row>
    <row r="36" spans="2:19">
      <c r="B36" s="46" t="s">
        <v>1048</v>
      </c>
      <c r="C36" s="46" t="s">
        <v>1049</v>
      </c>
      <c r="D36" s="49">
        <v>4.0000000000000001E-3</v>
      </c>
      <c r="E36" s="49">
        <v>4.0000000000000001E-3</v>
      </c>
      <c r="F36" s="49">
        <f t="shared" si="16"/>
        <v>4.0000000000000001E-3</v>
      </c>
      <c r="G36" s="49">
        <f t="shared" si="16"/>
        <v>4.4999999999999997E-3</v>
      </c>
      <c r="H36" s="49">
        <f t="shared" si="16"/>
        <v>4.0000000000000001E-3</v>
      </c>
      <c r="I36" s="49">
        <f t="shared" si="16"/>
        <v>3.5000000000000005E-3</v>
      </c>
      <c r="J36" s="49">
        <f t="shared" si="17"/>
        <v>3.0000000000000001E-3</v>
      </c>
      <c r="K36" s="1542">
        <f t="shared" si="17"/>
        <v>1.8072289156626507E-3</v>
      </c>
      <c r="L36" s="1542">
        <f t="shared" si="17"/>
        <v>1.4580801944106927E-3</v>
      </c>
      <c r="M36" s="1542">
        <f t="shared" si="17"/>
        <v>1.0057471264367816E-3</v>
      </c>
      <c r="N36" s="1542">
        <f t="shared" si="1"/>
        <v>1.0057471264367816E-3</v>
      </c>
      <c r="O36" s="49"/>
      <c r="P36" s="49"/>
      <c r="Q36" s="49"/>
      <c r="R36" s="47"/>
    </row>
    <row r="37" spans="2:19">
      <c r="B37" s="46" t="s">
        <v>1052</v>
      </c>
      <c r="C37" s="46" t="s">
        <v>1053</v>
      </c>
      <c r="D37" s="49">
        <v>1.2E-2</v>
      </c>
      <c r="E37" s="49">
        <v>1.2E-2</v>
      </c>
      <c r="F37" s="49">
        <f>X$12*0.15</f>
        <v>1.2E-2</v>
      </c>
      <c r="G37" s="49">
        <f>Y$12*0.15</f>
        <v>1.35E-2</v>
      </c>
      <c r="H37" s="49">
        <f>Z$12*0.15</f>
        <v>1.2E-2</v>
      </c>
      <c r="I37" s="49">
        <f>AA$12*0.15</f>
        <v>1.0500000000000001E-2</v>
      </c>
      <c r="J37" s="49">
        <f>AC$12*0.15</f>
        <v>8.9999999999999993E-3</v>
      </c>
      <c r="K37" s="1542">
        <f>AD$12*0.15</f>
        <v>5.4216867469879517E-3</v>
      </c>
      <c r="L37" s="1542">
        <f>AE$12*0.15</f>
        <v>4.3742405832320778E-3</v>
      </c>
      <c r="M37" s="1542">
        <f>AF$12*0.15</f>
        <v>3.0172413793103448E-3</v>
      </c>
      <c r="N37" s="1542">
        <f t="shared" si="1"/>
        <v>3.0172413793103448E-3</v>
      </c>
      <c r="O37" s="49"/>
      <c r="P37" s="49"/>
      <c r="Q37" s="49"/>
      <c r="R37" s="47"/>
    </row>
    <row r="38" spans="2:19">
      <c r="B38" s="46" t="s">
        <v>1199</v>
      </c>
      <c r="C38" s="46" t="s">
        <v>1200</v>
      </c>
      <c r="D38" s="49">
        <v>2.8E-3</v>
      </c>
      <c r="E38" s="49">
        <v>2.8E-3</v>
      </c>
      <c r="F38" s="49">
        <f t="shared" ref="F38:I43" si="18">(X$11-F$44-F$45-F$49)/10</f>
        <v>2.8E-3</v>
      </c>
      <c r="G38" s="49">
        <f t="shared" si="18"/>
        <v>2.8E-3</v>
      </c>
      <c r="H38" s="49">
        <f t="shared" si="18"/>
        <v>3.7999999999999978E-3</v>
      </c>
      <c r="I38" s="49">
        <f t="shared" si="18"/>
        <v>4.7999999999999987E-3</v>
      </c>
      <c r="J38" s="49">
        <f t="shared" ref="J38:M43" si="19">(AC$11-J$44-J$45-J$49)/10</f>
        <v>6.7999999999999988E-3</v>
      </c>
      <c r="K38" s="1542">
        <f>(AD$11-K$44-K$45-K$49)/10</f>
        <v>1.9273092369477909E-3</v>
      </c>
      <c r="L38" s="1542">
        <f t="shared" si="19"/>
        <v>1.0527339003645198E-3</v>
      </c>
      <c r="M38" s="1542">
        <f t="shared" si="19"/>
        <v>6.8911877394636015E-3</v>
      </c>
      <c r="N38" s="1542">
        <f t="shared" si="1"/>
        <v>6.8911877394636015E-3</v>
      </c>
      <c r="O38" s="49"/>
      <c r="P38" s="49"/>
      <c r="Q38" s="49"/>
      <c r="R38" s="47"/>
    </row>
    <row r="39" spans="2:19">
      <c r="B39" s="46" t="s">
        <v>493</v>
      </c>
      <c r="C39" s="46" t="s">
        <v>142</v>
      </c>
      <c r="D39" s="49">
        <v>2.8E-3</v>
      </c>
      <c r="E39" s="49">
        <v>2.8E-3</v>
      </c>
      <c r="F39" s="49">
        <f t="shared" si="18"/>
        <v>2.8E-3</v>
      </c>
      <c r="G39" s="49">
        <f t="shared" si="18"/>
        <v>2.8E-3</v>
      </c>
      <c r="H39" s="49">
        <f t="shared" si="18"/>
        <v>3.7999999999999978E-3</v>
      </c>
      <c r="I39" s="49">
        <f t="shared" si="18"/>
        <v>4.7999999999999987E-3</v>
      </c>
      <c r="J39" s="49">
        <f t="shared" si="19"/>
        <v>6.7999999999999988E-3</v>
      </c>
      <c r="K39" s="1542">
        <f t="shared" si="19"/>
        <v>1.9273092369477909E-3</v>
      </c>
      <c r="L39" s="1542">
        <f t="shared" si="19"/>
        <v>1.0527339003645198E-3</v>
      </c>
      <c r="M39" s="1542">
        <f t="shared" si="19"/>
        <v>6.8911877394636015E-3</v>
      </c>
      <c r="N39" s="1542">
        <f t="shared" si="1"/>
        <v>6.8911877394636015E-3</v>
      </c>
      <c r="O39" s="49"/>
      <c r="P39" s="49"/>
      <c r="Q39" s="49"/>
      <c r="R39" s="47"/>
    </row>
    <row r="40" spans="2:19">
      <c r="B40" s="46" t="s">
        <v>1201</v>
      </c>
      <c r="C40" s="46" t="s">
        <v>1202</v>
      </c>
      <c r="D40" s="49">
        <v>2.8E-3</v>
      </c>
      <c r="E40" s="49">
        <v>2.8E-3</v>
      </c>
      <c r="F40" s="49">
        <f t="shared" si="18"/>
        <v>2.8E-3</v>
      </c>
      <c r="G40" s="49">
        <f t="shared" si="18"/>
        <v>2.8E-3</v>
      </c>
      <c r="H40" s="49">
        <f t="shared" si="18"/>
        <v>3.7999999999999978E-3</v>
      </c>
      <c r="I40" s="49">
        <f t="shared" si="18"/>
        <v>4.7999999999999987E-3</v>
      </c>
      <c r="J40" s="49">
        <f t="shared" si="19"/>
        <v>6.7999999999999988E-3</v>
      </c>
      <c r="K40" s="1542">
        <f t="shared" si="19"/>
        <v>1.9273092369477909E-3</v>
      </c>
      <c r="L40" s="1542">
        <f t="shared" si="19"/>
        <v>1.0527339003645198E-3</v>
      </c>
      <c r="M40" s="1542">
        <f t="shared" si="19"/>
        <v>6.8911877394636015E-3</v>
      </c>
      <c r="N40" s="1542">
        <f t="shared" si="1"/>
        <v>6.8911877394636015E-3</v>
      </c>
      <c r="O40" s="49"/>
      <c r="P40" s="49"/>
      <c r="Q40" s="49"/>
      <c r="R40" s="47"/>
    </row>
    <row r="41" spans="2:19">
      <c r="B41" s="46" t="s">
        <v>490</v>
      </c>
      <c r="C41" s="46" t="s">
        <v>139</v>
      </c>
      <c r="D41" s="49">
        <v>2.8E-3</v>
      </c>
      <c r="E41" s="49">
        <v>2.8E-3</v>
      </c>
      <c r="F41" s="49">
        <f t="shared" si="18"/>
        <v>2.8E-3</v>
      </c>
      <c r="G41" s="49">
        <f t="shared" si="18"/>
        <v>2.8E-3</v>
      </c>
      <c r="H41" s="49">
        <f t="shared" si="18"/>
        <v>3.7999999999999978E-3</v>
      </c>
      <c r="I41" s="49">
        <f t="shared" si="18"/>
        <v>4.7999999999999987E-3</v>
      </c>
      <c r="J41" s="49">
        <f t="shared" si="19"/>
        <v>6.7999999999999988E-3</v>
      </c>
      <c r="K41" s="1542">
        <f t="shared" si="19"/>
        <v>1.9273092369477909E-3</v>
      </c>
      <c r="L41" s="1542">
        <f t="shared" si="19"/>
        <v>1.0527339003645198E-3</v>
      </c>
      <c r="M41" s="1542">
        <f t="shared" si="19"/>
        <v>6.8911877394636015E-3</v>
      </c>
      <c r="N41" s="1542">
        <f t="shared" si="1"/>
        <v>6.8911877394636015E-3</v>
      </c>
      <c r="O41" s="49"/>
      <c r="P41" s="49"/>
      <c r="Q41" s="49"/>
      <c r="R41" s="47"/>
    </row>
    <row r="42" spans="2:19">
      <c r="B42" s="46" t="s">
        <v>1203</v>
      </c>
      <c r="C42" s="46" t="s">
        <v>1204</v>
      </c>
      <c r="D42" s="49">
        <v>2.8E-3</v>
      </c>
      <c r="E42" s="49">
        <v>2.8E-3</v>
      </c>
      <c r="F42" s="49">
        <f t="shared" si="18"/>
        <v>2.8E-3</v>
      </c>
      <c r="G42" s="49">
        <f t="shared" si="18"/>
        <v>2.8E-3</v>
      </c>
      <c r="H42" s="49">
        <f t="shared" si="18"/>
        <v>3.7999999999999978E-3</v>
      </c>
      <c r="I42" s="49">
        <f t="shared" si="18"/>
        <v>4.7999999999999987E-3</v>
      </c>
      <c r="J42" s="49">
        <f t="shared" si="19"/>
        <v>6.7999999999999988E-3</v>
      </c>
      <c r="K42" s="1542">
        <f t="shared" si="19"/>
        <v>1.9273092369477909E-3</v>
      </c>
      <c r="L42" s="1542">
        <f t="shared" si="19"/>
        <v>1.0527339003645198E-3</v>
      </c>
      <c r="M42" s="1542">
        <f t="shared" si="19"/>
        <v>6.8911877394636015E-3</v>
      </c>
      <c r="N42" s="1542">
        <f t="shared" si="1"/>
        <v>6.8911877394636015E-3</v>
      </c>
      <c r="O42" s="49"/>
      <c r="P42" s="49"/>
      <c r="Q42" s="49"/>
      <c r="R42" s="47"/>
    </row>
    <row r="43" spans="2:19">
      <c r="B43" s="46" t="s">
        <v>1205</v>
      </c>
      <c r="C43" s="46" t="s">
        <v>1206</v>
      </c>
      <c r="D43" s="49">
        <v>2.8E-3</v>
      </c>
      <c r="E43" s="49">
        <v>2.8E-3</v>
      </c>
      <c r="F43" s="49">
        <f t="shared" si="18"/>
        <v>2.8E-3</v>
      </c>
      <c r="G43" s="49">
        <f t="shared" si="18"/>
        <v>2.8E-3</v>
      </c>
      <c r="H43" s="49">
        <f t="shared" si="18"/>
        <v>3.7999999999999978E-3</v>
      </c>
      <c r="I43" s="49">
        <f t="shared" si="18"/>
        <v>4.7999999999999987E-3</v>
      </c>
      <c r="J43" s="49">
        <f t="shared" si="19"/>
        <v>6.7999999999999988E-3</v>
      </c>
      <c r="K43" s="1542">
        <f t="shared" si="19"/>
        <v>1.9273092369477909E-3</v>
      </c>
      <c r="L43" s="1542">
        <f t="shared" si="19"/>
        <v>1.0527339003645198E-3</v>
      </c>
      <c r="M43" s="1542">
        <f t="shared" si="19"/>
        <v>6.8911877394636015E-3</v>
      </c>
      <c r="N43" s="1542">
        <f t="shared" si="1"/>
        <v>6.8911877394636015E-3</v>
      </c>
      <c r="O43" s="49"/>
      <c r="P43" s="49"/>
      <c r="Q43" s="49"/>
      <c r="R43" s="47"/>
      <c r="S43" s="52" t="s">
        <v>1227</v>
      </c>
    </row>
    <row r="44" spans="2:19">
      <c r="B44" s="46" t="s">
        <v>1058</v>
      </c>
      <c r="C44" s="46" t="s">
        <v>141</v>
      </c>
      <c r="D44" s="49">
        <v>7.0000000000000007E-2</v>
      </c>
      <c r="E44" s="49">
        <v>7.0000000000000007E-2</v>
      </c>
      <c r="F44" s="49">
        <f t="shared" ref="F44:J44" si="20">0.14*0.5</f>
        <v>7.0000000000000007E-2</v>
      </c>
      <c r="G44" s="49">
        <f t="shared" si="20"/>
        <v>7.0000000000000007E-2</v>
      </c>
      <c r="H44" s="49">
        <f t="shared" si="20"/>
        <v>7.0000000000000007E-2</v>
      </c>
      <c r="I44" s="49">
        <f t="shared" si="20"/>
        <v>7.0000000000000007E-2</v>
      </c>
      <c r="J44" s="49">
        <f t="shared" si="20"/>
        <v>7.0000000000000007E-2</v>
      </c>
      <c r="K44" s="1542">
        <f>0.07*0.5</f>
        <v>3.5000000000000003E-2</v>
      </c>
      <c r="L44" s="1542">
        <f>0.04*0.5</f>
        <v>0.02</v>
      </c>
      <c r="M44" s="1542">
        <f>0.03*0.5</f>
        <v>1.4999999999999999E-2</v>
      </c>
      <c r="N44" s="1542">
        <f t="shared" si="1"/>
        <v>1.4999999999999999E-2</v>
      </c>
      <c r="O44" s="49"/>
      <c r="P44" s="49"/>
      <c r="Q44" s="49"/>
      <c r="R44" s="47"/>
      <c r="S44" s="52" t="s">
        <v>1228</v>
      </c>
    </row>
    <row r="45" spans="2:19">
      <c r="B45" s="46" t="s">
        <v>491</v>
      </c>
      <c r="C45" s="46" t="s">
        <v>140</v>
      </c>
      <c r="D45" s="49">
        <v>2.8000000000000004E-2</v>
      </c>
      <c r="E45" s="49">
        <v>2.8000000000000004E-2</v>
      </c>
      <c r="F45" s="49">
        <f t="shared" ref="F45:J45" si="21">0.14*0.2</f>
        <v>2.8000000000000004E-2</v>
      </c>
      <c r="G45" s="49">
        <f t="shared" si="21"/>
        <v>2.8000000000000004E-2</v>
      </c>
      <c r="H45" s="49">
        <f t="shared" si="21"/>
        <v>2.8000000000000004E-2</v>
      </c>
      <c r="I45" s="49">
        <f t="shared" si="21"/>
        <v>2.8000000000000004E-2</v>
      </c>
      <c r="J45" s="49">
        <f t="shared" si="21"/>
        <v>2.8000000000000004E-2</v>
      </c>
      <c r="K45" s="1542">
        <f>0.07*0.2</f>
        <v>1.4000000000000002E-2</v>
      </c>
      <c r="L45" s="1542">
        <f>0.04*0.2</f>
        <v>8.0000000000000002E-3</v>
      </c>
      <c r="M45" s="1542">
        <f>0.03*0.2</f>
        <v>6.0000000000000001E-3</v>
      </c>
      <c r="N45" s="1542">
        <f t="shared" si="1"/>
        <v>6.0000000000000001E-3</v>
      </c>
      <c r="O45" s="49"/>
      <c r="P45" s="49"/>
      <c r="Q45" s="49"/>
      <c r="R45" s="47"/>
    </row>
    <row r="46" spans="2:19">
      <c r="B46" s="46" t="s">
        <v>1207</v>
      </c>
      <c r="C46" s="46" t="s">
        <v>1208</v>
      </c>
      <c r="D46" s="49">
        <v>2.8E-3</v>
      </c>
      <c r="E46" s="49">
        <v>2.8E-3</v>
      </c>
      <c r="F46" s="49">
        <f t="shared" ref="F46:I48" si="22">(X$11-F$44-F$45-F$49)/10</f>
        <v>2.8E-3</v>
      </c>
      <c r="G46" s="49">
        <f t="shared" si="22"/>
        <v>2.8E-3</v>
      </c>
      <c r="H46" s="49">
        <f t="shared" si="22"/>
        <v>3.7999999999999978E-3</v>
      </c>
      <c r="I46" s="49">
        <f t="shared" si="22"/>
        <v>4.7999999999999987E-3</v>
      </c>
      <c r="J46" s="49">
        <f t="shared" ref="J46:M48" si="23">(AC$11-J$44-J$45-J$49)/10</f>
        <v>6.7999999999999988E-3</v>
      </c>
      <c r="K46" s="1542">
        <f t="shared" si="23"/>
        <v>1.9273092369477909E-3</v>
      </c>
      <c r="L46" s="1542">
        <f t="shared" si="23"/>
        <v>1.0527339003645198E-3</v>
      </c>
      <c r="M46" s="1542">
        <f t="shared" si="23"/>
        <v>6.8911877394636015E-3</v>
      </c>
      <c r="N46" s="1542">
        <f t="shared" si="1"/>
        <v>6.8911877394636015E-3</v>
      </c>
      <c r="O46" s="49"/>
      <c r="P46" s="49"/>
      <c r="Q46" s="49"/>
      <c r="R46" s="47"/>
    </row>
    <row r="47" spans="2:19">
      <c r="B47" s="46" t="s">
        <v>1209</v>
      </c>
      <c r="C47" s="46" t="s">
        <v>1210</v>
      </c>
      <c r="D47" s="49">
        <v>2.8E-3</v>
      </c>
      <c r="E47" s="49">
        <v>2.8E-3</v>
      </c>
      <c r="F47" s="49">
        <f t="shared" si="22"/>
        <v>2.8E-3</v>
      </c>
      <c r="G47" s="49">
        <f t="shared" si="22"/>
        <v>2.8E-3</v>
      </c>
      <c r="H47" s="49">
        <f t="shared" si="22"/>
        <v>3.7999999999999978E-3</v>
      </c>
      <c r="I47" s="49">
        <f t="shared" si="22"/>
        <v>4.7999999999999987E-3</v>
      </c>
      <c r="J47" s="49">
        <f t="shared" si="23"/>
        <v>6.7999999999999988E-3</v>
      </c>
      <c r="K47" s="1542">
        <f t="shared" si="23"/>
        <v>1.9273092369477909E-3</v>
      </c>
      <c r="L47" s="1542">
        <f t="shared" si="23"/>
        <v>1.0527339003645198E-3</v>
      </c>
      <c r="M47" s="1542">
        <f t="shared" si="23"/>
        <v>6.8911877394636015E-3</v>
      </c>
      <c r="N47" s="1542">
        <f t="shared" si="1"/>
        <v>6.8911877394636015E-3</v>
      </c>
      <c r="O47" s="49"/>
      <c r="P47" s="49"/>
      <c r="Q47" s="49"/>
      <c r="R47" s="47"/>
    </row>
    <row r="48" spans="2:19">
      <c r="B48" s="46" t="s">
        <v>1211</v>
      </c>
      <c r="C48" s="46" t="s">
        <v>1212</v>
      </c>
      <c r="D48" s="49">
        <v>2.8E-3</v>
      </c>
      <c r="E48" s="49">
        <v>2.8E-3</v>
      </c>
      <c r="F48" s="49">
        <f t="shared" si="22"/>
        <v>2.8E-3</v>
      </c>
      <c r="G48" s="49">
        <f t="shared" si="22"/>
        <v>2.8E-3</v>
      </c>
      <c r="H48" s="49">
        <f t="shared" si="22"/>
        <v>3.7999999999999978E-3</v>
      </c>
      <c r="I48" s="49">
        <f t="shared" si="22"/>
        <v>4.7999999999999987E-3</v>
      </c>
      <c r="J48" s="49">
        <f t="shared" si="23"/>
        <v>6.7999999999999988E-3</v>
      </c>
      <c r="K48" s="1542">
        <f t="shared" si="23"/>
        <v>1.9273092369477909E-3</v>
      </c>
      <c r="L48" s="1542">
        <f t="shared" si="23"/>
        <v>1.0527339003645198E-3</v>
      </c>
      <c r="M48" s="1542">
        <f t="shared" si="23"/>
        <v>6.8911877394636015E-3</v>
      </c>
      <c r="N48" s="1542">
        <f t="shared" si="1"/>
        <v>6.8911877394636015E-3</v>
      </c>
      <c r="O48" s="49"/>
      <c r="P48" s="49"/>
      <c r="Q48" s="49"/>
      <c r="R48" s="47"/>
    </row>
    <row r="49" spans="2:19">
      <c r="B49" s="46" t="s">
        <v>407</v>
      </c>
      <c r="C49" s="46" t="s">
        <v>138</v>
      </c>
      <c r="D49" s="49">
        <v>1.4000000000000002E-2</v>
      </c>
      <c r="E49" s="49">
        <v>1.4000000000000002E-2</v>
      </c>
      <c r="F49" s="49">
        <f t="shared" ref="F49:J49" si="24">0.14*0.1</f>
        <v>1.4000000000000002E-2</v>
      </c>
      <c r="G49" s="49">
        <f t="shared" si="24"/>
        <v>1.4000000000000002E-2</v>
      </c>
      <c r="H49" s="49">
        <f t="shared" si="24"/>
        <v>1.4000000000000002E-2</v>
      </c>
      <c r="I49" s="49">
        <f t="shared" si="24"/>
        <v>1.4000000000000002E-2</v>
      </c>
      <c r="J49" s="49">
        <f t="shared" si="24"/>
        <v>1.4000000000000002E-2</v>
      </c>
      <c r="K49" s="1542">
        <v>0</v>
      </c>
      <c r="L49" s="1542">
        <f>0.04*0.1</f>
        <v>4.0000000000000001E-3</v>
      </c>
      <c r="M49" s="1542">
        <f>0.03*0.1</f>
        <v>3.0000000000000001E-3</v>
      </c>
      <c r="N49" s="1542">
        <f t="shared" si="1"/>
        <v>3.0000000000000001E-3</v>
      </c>
      <c r="O49" s="49"/>
      <c r="P49" s="49"/>
      <c r="Q49" s="49"/>
      <c r="R49" s="47"/>
    </row>
    <row r="50" spans="2:19">
      <c r="B50" s="46" t="s">
        <v>406</v>
      </c>
      <c r="C50" s="46" t="s">
        <v>137</v>
      </c>
      <c r="D50" s="49">
        <v>2.8E-3</v>
      </c>
      <c r="E50" s="49">
        <v>2.8E-3</v>
      </c>
      <c r="F50" s="49">
        <f>(X$11-F$44-F$45-F$49)/10</f>
        <v>2.8E-3</v>
      </c>
      <c r="G50" s="49">
        <f>(Y$11-G$44-G$45-G$49)/10</f>
        <v>2.8E-3</v>
      </c>
      <c r="H50" s="49">
        <f>(Z$11-H$44-H$45-H$49)/10</f>
        <v>3.7999999999999978E-3</v>
      </c>
      <c r="I50" s="49">
        <f>(AA$11-I$44-I$45-I$49)/10</f>
        <v>4.7999999999999987E-3</v>
      </c>
      <c r="J50" s="49">
        <f>(AC$11-J$44-J$45-J$49)/10</f>
        <v>6.7999999999999988E-3</v>
      </c>
      <c r="K50" s="1542">
        <f>(AD$11-K$44-K$45-K$49)/10</f>
        <v>1.9273092369477909E-3</v>
      </c>
      <c r="L50" s="1542">
        <f>(AE$11-L$44-L$45-L$49)/10</f>
        <v>1.0527339003645198E-3</v>
      </c>
      <c r="M50" s="1542">
        <f>(AF$11-M$44-M$45-M$49)/10</f>
        <v>6.8911877394636015E-3</v>
      </c>
      <c r="N50" s="1542">
        <f t="shared" si="1"/>
        <v>6.8911877394636015E-3</v>
      </c>
      <c r="O50" s="49"/>
      <c r="P50" s="49"/>
      <c r="Q50" s="49"/>
      <c r="R50" s="47"/>
    </row>
    <row r="51" spans="2:19">
      <c r="B51" s="184" t="s">
        <v>1140</v>
      </c>
      <c r="C51" s="184"/>
      <c r="D51" s="185">
        <v>1</v>
      </c>
      <c r="E51" s="185">
        <v>1</v>
      </c>
      <c r="F51" s="185">
        <f t="shared" ref="F51:N51" si="25">SUM(F3:F50)</f>
        <v>1</v>
      </c>
      <c r="G51" s="185">
        <f t="shared" si="25"/>
        <v>0.99999999999999956</v>
      </c>
      <c r="H51" s="185">
        <f t="shared" si="25"/>
        <v>1</v>
      </c>
      <c r="I51" s="186">
        <f t="shared" si="25"/>
        <v>1.0000397999999997</v>
      </c>
      <c r="J51" s="186">
        <f t="shared" si="25"/>
        <v>1.0000398000000008</v>
      </c>
      <c r="K51" s="186">
        <f t="shared" si="25"/>
        <v>1.0000397590361445</v>
      </c>
      <c r="L51" s="186">
        <f t="shared" si="25"/>
        <v>1.0000211664641561</v>
      </c>
      <c r="M51" s="186">
        <f t="shared" si="25"/>
        <v>1.0000477586206895</v>
      </c>
      <c r="N51" s="186">
        <f t="shared" si="25"/>
        <v>1.0000477586206895</v>
      </c>
      <c r="O51" s="186"/>
      <c r="P51" s="186"/>
      <c r="Q51" s="186"/>
    </row>
    <row r="52" spans="2:19">
      <c r="B52" s="187" t="s">
        <v>1215</v>
      </c>
      <c r="C52" s="188"/>
      <c r="D52" s="188" t="b">
        <v>1</v>
      </c>
      <c r="E52" s="188" t="b">
        <v>1</v>
      </c>
      <c r="F52" s="188" t="b">
        <f t="shared" ref="F52:L52" si="26">IF(SUM(F48+F34+F43+F27+F12+F5)&lt;0.3, TRUE, FALSE)</f>
        <v>1</v>
      </c>
      <c r="G52" s="188" t="b">
        <f t="shared" si="26"/>
        <v>1</v>
      </c>
      <c r="H52" s="188" t="b">
        <f t="shared" si="26"/>
        <v>1</v>
      </c>
      <c r="I52" s="188" t="b">
        <f t="shared" si="26"/>
        <v>1</v>
      </c>
      <c r="J52" s="188" t="b">
        <f t="shared" si="26"/>
        <v>1</v>
      </c>
      <c r="K52" s="188" t="b">
        <f t="shared" si="26"/>
        <v>1</v>
      </c>
      <c r="L52" s="188" t="b">
        <f t="shared" si="26"/>
        <v>1</v>
      </c>
      <c r="M52" s="188" t="b">
        <f t="shared" ref="M52:N52" si="27">IF(SUM(M48+M34+M43+M27+M12+M5)&lt;0.3, TRUE, FALSE)</f>
        <v>1</v>
      </c>
      <c r="N52" s="188" t="b">
        <f t="shared" si="27"/>
        <v>1</v>
      </c>
      <c r="O52" s="188"/>
      <c r="P52" s="188"/>
      <c r="Q52" s="188"/>
    </row>
    <row r="53" spans="2:19">
      <c r="B53" s="46" t="s">
        <v>488</v>
      </c>
      <c r="C53" s="46" t="s">
        <v>135</v>
      </c>
      <c r="D53" s="49">
        <v>0</v>
      </c>
      <c r="E53" s="49">
        <v>0</v>
      </c>
      <c r="F53" s="49">
        <v>0</v>
      </c>
      <c r="G53" s="49">
        <v>0</v>
      </c>
      <c r="H53" s="49"/>
      <c r="I53" s="49"/>
      <c r="J53" s="49">
        <v>0</v>
      </c>
      <c r="K53" s="49"/>
      <c r="L53" s="49"/>
      <c r="M53" s="49"/>
      <c r="N53" s="49"/>
      <c r="O53" s="49"/>
      <c r="P53" s="49"/>
      <c r="Q53" s="49"/>
    </row>
    <row r="54" spans="2:19">
      <c r="B54" s="46" t="s">
        <v>468</v>
      </c>
      <c r="C54" s="46" t="s">
        <v>60</v>
      </c>
      <c r="D54" s="49">
        <v>0</v>
      </c>
      <c r="E54" s="49">
        <v>0</v>
      </c>
      <c r="F54" s="49">
        <v>0</v>
      </c>
      <c r="G54" s="49">
        <v>0</v>
      </c>
      <c r="H54" s="49"/>
      <c r="I54" s="49"/>
      <c r="J54" s="49">
        <v>0</v>
      </c>
      <c r="K54" s="49"/>
      <c r="L54" s="49"/>
      <c r="M54" s="49"/>
      <c r="N54" s="49"/>
      <c r="O54" s="49"/>
      <c r="P54" s="49"/>
      <c r="Q54" s="49"/>
    </row>
    <row r="55" spans="2:19">
      <c r="B55" s="46" t="s">
        <v>467</v>
      </c>
      <c r="C55" s="46" t="s">
        <v>59</v>
      </c>
      <c r="D55" s="49">
        <v>0.69</v>
      </c>
      <c r="E55" s="49">
        <v>0.69</v>
      </c>
      <c r="F55" s="49">
        <v>0.69</v>
      </c>
      <c r="G55" s="49">
        <v>0.69</v>
      </c>
      <c r="H55" s="49"/>
      <c r="I55" s="49"/>
      <c r="J55" s="49">
        <v>0.69</v>
      </c>
      <c r="K55" s="49">
        <f>J55</f>
        <v>0.69</v>
      </c>
      <c r="L55" s="49">
        <f t="shared" ref="L55:N55" si="28">K55</f>
        <v>0.69</v>
      </c>
      <c r="M55" s="49">
        <f t="shared" si="28"/>
        <v>0.69</v>
      </c>
      <c r="N55" s="49">
        <f t="shared" si="28"/>
        <v>0.69</v>
      </c>
      <c r="O55" s="49"/>
      <c r="P55" s="49"/>
      <c r="Q55" s="49"/>
      <c r="S55" s="52" t="s">
        <v>1229</v>
      </c>
    </row>
    <row r="56" spans="2:19">
      <c r="B56" s="46" t="s">
        <v>466</v>
      </c>
      <c r="C56" s="46" t="s">
        <v>58</v>
      </c>
      <c r="D56" s="49">
        <v>0.31</v>
      </c>
      <c r="E56" s="49">
        <v>0.31</v>
      </c>
      <c r="F56" s="49">
        <v>0.31</v>
      </c>
      <c r="G56" s="49">
        <v>0.31</v>
      </c>
      <c r="H56" s="49"/>
      <c r="I56" s="49"/>
      <c r="J56" s="49">
        <v>0.31</v>
      </c>
      <c r="K56" s="49">
        <f>J56</f>
        <v>0.31</v>
      </c>
      <c r="L56" s="49">
        <f t="shared" ref="L56:N56" si="29">K56</f>
        <v>0.31</v>
      </c>
      <c r="M56" s="49">
        <f t="shared" si="29"/>
        <v>0.31</v>
      </c>
      <c r="N56" s="49">
        <f t="shared" si="29"/>
        <v>0.31</v>
      </c>
      <c r="O56" s="49"/>
      <c r="P56" s="49"/>
      <c r="Q56" s="49"/>
    </row>
    <row r="57" spans="2:19">
      <c r="B57" s="46" t="s">
        <v>1054</v>
      </c>
      <c r="C57" s="46" t="s">
        <v>1055</v>
      </c>
      <c r="D57" s="49">
        <v>0</v>
      </c>
      <c r="E57" s="49">
        <v>0</v>
      </c>
      <c r="F57" s="49">
        <v>0</v>
      </c>
      <c r="G57" s="49">
        <v>0</v>
      </c>
      <c r="H57" s="49"/>
      <c r="I57" s="49"/>
      <c r="J57" s="49">
        <v>0</v>
      </c>
      <c r="K57" s="49"/>
      <c r="L57" s="49"/>
      <c r="M57" s="49"/>
      <c r="N57" s="49"/>
      <c r="O57" s="49"/>
      <c r="P57" s="49"/>
      <c r="Q57" s="49"/>
    </row>
    <row r="58" spans="2:19">
      <c r="B58" s="46" t="s">
        <v>1213</v>
      </c>
      <c r="C58" s="46" t="s">
        <v>1214</v>
      </c>
      <c r="D58" s="49">
        <v>1.4999999999999999E-2</v>
      </c>
      <c r="E58" s="49">
        <v>1.4999999999999999E-2</v>
      </c>
      <c r="F58" s="49" t="e">
        <f>#REF!*0.1</f>
        <v>#REF!</v>
      </c>
      <c r="G58" s="49" t="e">
        <f>#REF!*0.1</f>
        <v>#REF!</v>
      </c>
      <c r="H58" s="49"/>
      <c r="I58" s="49"/>
      <c r="J58" s="49" t="e">
        <f>#REF!*0.1</f>
        <v>#REF!</v>
      </c>
      <c r="K58" s="49"/>
      <c r="L58" s="49"/>
      <c r="M58" s="49"/>
      <c r="N58" s="49"/>
      <c r="O58" s="49"/>
      <c r="P58" s="49"/>
      <c r="Q58" s="49"/>
      <c r="S58" s="52" t="s">
        <v>1230</v>
      </c>
    </row>
    <row r="59" spans="2:19">
      <c r="B59" s="80"/>
      <c r="C59" s="80"/>
      <c r="D59" s="81"/>
      <c r="E59" s="81"/>
      <c r="F59" s="81"/>
      <c r="G59" s="81"/>
      <c r="H59" s="81"/>
      <c r="I59" s="81"/>
      <c r="J59" s="81"/>
      <c r="K59" s="81"/>
      <c r="L59" s="81"/>
      <c r="M59" s="81"/>
      <c r="N59" s="81"/>
      <c r="O59" s="81"/>
      <c r="P59" s="81"/>
      <c r="Q59" s="81"/>
    </row>
    <row r="60" spans="2:19">
      <c r="B60" s="46" t="s">
        <v>1046</v>
      </c>
      <c r="C60" s="46" t="s">
        <v>1047</v>
      </c>
      <c r="D60" s="49">
        <v>0</v>
      </c>
      <c r="E60" s="49">
        <v>0</v>
      </c>
      <c r="F60" s="49">
        <v>0</v>
      </c>
      <c r="G60" s="49">
        <v>0</v>
      </c>
      <c r="H60" s="49"/>
      <c r="I60" s="49"/>
      <c r="J60" s="49">
        <v>0</v>
      </c>
      <c r="K60" s="49"/>
      <c r="L60" s="49"/>
      <c r="M60" s="49"/>
      <c r="N60" s="49"/>
      <c r="O60" s="49"/>
      <c r="P60" s="49"/>
      <c r="Q60" s="49"/>
    </row>
    <row r="61" spans="2:19">
      <c r="B61" s="46" t="s">
        <v>1056</v>
      </c>
      <c r="C61" s="46" t="s">
        <v>1057</v>
      </c>
      <c r="D61" s="49">
        <v>0</v>
      </c>
      <c r="E61" s="49">
        <v>0</v>
      </c>
      <c r="F61" s="49">
        <v>0</v>
      </c>
      <c r="G61" s="49">
        <v>0</v>
      </c>
      <c r="H61" s="49"/>
      <c r="I61" s="49"/>
      <c r="J61" s="49">
        <v>0</v>
      </c>
      <c r="K61" s="49"/>
      <c r="L61" s="49"/>
      <c r="M61" s="49"/>
      <c r="N61" s="49"/>
      <c r="O61" s="49"/>
      <c r="P61" s="49"/>
      <c r="Q61" s="49"/>
    </row>
  </sheetData>
  <conditionalFormatting sqref="B3:C51">
    <cfRule type="expression" dxfId="12" priority="13">
      <formula>"ERROR" = INDEX(s,ROW(),COLUMN())</formula>
    </cfRule>
    <cfRule type="expression" dxfId="11" priority="14">
      <formula>NOT(EXACT(IF(ISNUMBER(INDEX(E_ALL_ULE.L,ROW(),COLUMN())),ROUND(INDEX(E_ALL_ULE.L,ROW(),COLUMN()),6),INDEX(E_ALL_ULE.L,ROW(),COLUMN())),IF(ISNUMBER(INDEX(L_ALL_ULE.L,ROW(),COLUMN())),ROUND(INDEX(L_ALL_ULE.L,ROW(),COLUMN()),6),INDEX(L_ALL_ULE.L,ROW(),COLUMN()))))</formula>
    </cfRule>
    <cfRule type="expression" dxfId="10" priority="15">
      <formula>"Estimate" = INDEX(E_ALL_ULE.L,2,COLUMN())</formula>
    </cfRule>
    <cfRule type="expression" dxfId="9" priority="16">
      <formula>"Preliminary" = INDEX(E_ALL_ULE.L,2,COLUMN())</formula>
    </cfRule>
    <cfRule type="expression" dxfId="8" priority="17">
      <formula>"Actual" = INDEX(E_ALL_ULE.L,2,COLUMN())</formula>
    </cfRule>
    <cfRule type="expression" dxfId="7" priority="18">
      <formula>"Restated" = INDEX(E_ALL_ULE.L,2,COLUMN())</formula>
    </cfRule>
  </conditionalFormatting>
  <conditionalFormatting sqref="B53:C59">
    <cfRule type="expression" dxfId="6" priority="1">
      <formula>"ERROR" = INDEX(s,ROW(),COLUMN())</formula>
    </cfRule>
  </conditionalFormatting>
  <conditionalFormatting sqref="B53:C61">
    <cfRule type="expression" dxfId="5" priority="2">
      <formula>NOT(EXACT(IF(ISNUMBER(INDEX(E_ALL_ULE.L,ROW(),COLUMN())),ROUND(INDEX(E_ALL_ULE.L,ROW(),COLUMN()),6),INDEX(E_ALL_ULE.L,ROW(),COLUMN())),IF(ISNUMBER(INDEX(L_ALL_ULE.L,ROW(),COLUMN())),ROUND(INDEX(L_ALL_ULE.L,ROW(),COLUMN()),6),INDEX(L_ALL_ULE.L,ROW(),COLUMN()))))</formula>
    </cfRule>
    <cfRule type="expression" dxfId="4" priority="3">
      <formula>"Estimate" = INDEX(E_ALL_ULE.L,2,COLUMN())</formula>
    </cfRule>
    <cfRule type="expression" dxfId="3" priority="4">
      <formula>"Preliminary" = INDEX(E_ALL_ULE.L,2,COLUMN())</formula>
    </cfRule>
    <cfRule type="expression" dxfId="2" priority="5">
      <formula>"Actual" = INDEX(E_ALL_ULE.L,2,COLUMN())</formula>
    </cfRule>
    <cfRule type="expression" dxfId="1" priority="6">
      <formula>"Restated" = INDEX(E_ALL_ULE.L,2,COLUMN())</formula>
    </cfRule>
  </conditionalFormatting>
  <conditionalFormatting sqref="B60:C61">
    <cfRule type="expression" dxfId="0" priority="7">
      <formula>"ERROR" = INDEX(V_ALL_ULE.L,ROW(),COLUMN())</formula>
    </cfRule>
  </conditionalFormatting>
  <pageMargins left="0.7" right="0.7" top="0.75" bottom="0.75" header="0.3" footer="0.3"/>
  <pageSetup orientation="portrait" r:id="rId1"/>
  <customProperties>
    <customPr name="Qube.Worksheet.Visibility" r:id="rId2"/>
    <customPr name="QXL_SHEET_ID" r:id="rId3"/>
  </customPropertie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25">
    <tabColor theme="0"/>
    <pageSetUpPr autoPageBreaks="0" fitToPage="1"/>
  </sheetPr>
  <dimension ref="A1:W63"/>
  <sheetViews>
    <sheetView showGridLines="0" zoomScale="130" zoomScaleNormal="130" workbookViewId="0">
      <selection activeCell="W54" sqref="W54"/>
    </sheetView>
  </sheetViews>
  <sheetFormatPr defaultColWidth="9" defaultRowHeight="11.25" outlineLevelRow="1" outlineLevelCol="1"/>
  <cols>
    <col min="1" max="1" width="5.75" style="318" customWidth="1"/>
    <col min="2" max="2" width="29" style="213" customWidth="1"/>
    <col min="3" max="6" width="7" style="213" hidden="1" customWidth="1" outlineLevel="1"/>
    <col min="7" max="7" width="7" style="213" hidden="1" customWidth="1" collapsed="1"/>
    <col min="8" max="17" width="7" style="213" customWidth="1"/>
    <col min="18" max="18" width="0.75" style="213" customWidth="1"/>
    <col min="19" max="20" width="7" style="213" customWidth="1"/>
    <col min="21" max="21" width="0.75" style="213" customWidth="1"/>
    <col min="22" max="22" width="60.125" style="213" customWidth="1"/>
    <col min="23" max="23" width="2.75" style="213" customWidth="1"/>
    <col min="24" max="16384" width="9" style="213"/>
  </cols>
  <sheetData>
    <row r="1" spans="2:23">
      <c r="C1" s="213" t="s">
        <v>1611</v>
      </c>
    </row>
    <row r="2" spans="2:23" ht="4.5" customHeight="1"/>
    <row r="3" spans="2:23" ht="15.75" customHeight="1">
      <c r="B3" s="787" t="s">
        <v>732</v>
      </c>
      <c r="C3" s="787">
        <v>2014</v>
      </c>
      <c r="D3" s="787">
        <v>2015</v>
      </c>
      <c r="E3" s="787">
        <v>2016</v>
      </c>
      <c r="F3" s="787">
        <v>2017</v>
      </c>
      <c r="G3" s="787">
        <v>2018</v>
      </c>
      <c r="H3" s="787">
        <v>2019</v>
      </c>
      <c r="I3" s="787">
        <v>2020</v>
      </c>
      <c r="J3" s="787">
        <v>2021</v>
      </c>
      <c r="K3" s="787">
        <v>2022</v>
      </c>
      <c r="L3" s="787">
        <v>2023</v>
      </c>
      <c r="M3" s="787" t="s">
        <v>955</v>
      </c>
      <c r="N3" s="787" t="s">
        <v>954</v>
      </c>
      <c r="O3" s="787" t="s">
        <v>1430</v>
      </c>
      <c r="P3" s="787" t="s">
        <v>1450</v>
      </c>
      <c r="Q3" s="787" t="s">
        <v>1451</v>
      </c>
      <c r="S3" s="787" t="s">
        <v>1548</v>
      </c>
      <c r="T3" s="787" t="s">
        <v>1549</v>
      </c>
      <c r="V3" s="859" t="s">
        <v>1134</v>
      </c>
    </row>
    <row r="4" spans="2:23">
      <c r="B4" s="860" t="s">
        <v>791</v>
      </c>
      <c r="C4" s="318"/>
      <c r="D4" s="318"/>
      <c r="E4" s="318"/>
      <c r="F4" s="318"/>
      <c r="G4" s="318"/>
      <c r="H4" s="318"/>
      <c r="I4" s="318"/>
      <c r="J4" s="318"/>
      <c r="K4" s="318"/>
      <c r="L4" s="318"/>
      <c r="M4" s="318"/>
      <c r="N4" s="318"/>
      <c r="O4" s="318"/>
      <c r="P4" s="318"/>
      <c r="Q4" s="318"/>
      <c r="R4" s="490"/>
      <c r="S4" s="318"/>
      <c r="T4" s="318"/>
      <c r="U4" s="490"/>
      <c r="V4" s="861"/>
      <c r="W4" s="490"/>
    </row>
    <row r="5" spans="2:23">
      <c r="B5" s="862" t="s">
        <v>978</v>
      </c>
      <c r="C5" s="863">
        <f>'Income Statement'!P5</f>
        <v>8153</v>
      </c>
      <c r="D5" s="863">
        <f>'Income Statement'!Q5</f>
        <v>9319</v>
      </c>
      <c r="E5" s="863">
        <f>'Income Statement'!R5</f>
        <v>9391</v>
      </c>
      <c r="F5" s="863">
        <f>'Income Statement'!S5</f>
        <v>9357</v>
      </c>
      <c r="G5" s="863">
        <f>'Income Statement'!T5</f>
        <v>10579</v>
      </c>
      <c r="H5" s="863">
        <f>'Income Statement'!U5</f>
        <v>12045</v>
      </c>
      <c r="I5" s="863">
        <f>'Income Statement'!V5</f>
        <v>7663</v>
      </c>
      <c r="J5" s="863">
        <f>'Income Statement'!W5</f>
        <v>7439</v>
      </c>
      <c r="K5" s="863">
        <f>'Income Statement'!X5</f>
        <v>9506</v>
      </c>
      <c r="L5" s="863">
        <f>'Income Statement'!Y5</f>
        <v>11876</v>
      </c>
      <c r="M5" s="863">
        <f>'Income Statement'!Z5</f>
        <v>13652</v>
      </c>
      <c r="N5" s="863">
        <f>'Income Statement'!AA5</f>
        <v>15370.630147753953</v>
      </c>
      <c r="O5" s="863">
        <f>'Income Statement'!AB5</f>
        <v>17237.134137577486</v>
      </c>
      <c r="P5" s="863">
        <f>'Income Statement'!AC5</f>
        <v>19144.030748250396</v>
      </c>
      <c r="Q5" s="863">
        <f>'Income Statement'!AD5</f>
        <v>20696.68079515608</v>
      </c>
      <c r="R5" s="490"/>
      <c r="S5" s="864">
        <f>(J5/E5)^0.2-1</f>
        <v>-4.5533821827945298E-2</v>
      </c>
      <c r="T5" s="864">
        <f>(O5/J5)^0.2-1</f>
        <v>0.1830145892973063</v>
      </c>
      <c r="U5" s="490"/>
      <c r="V5" s="865" t="s">
        <v>1613</v>
      </c>
      <c r="W5" s="490"/>
    </row>
    <row r="6" spans="2:23">
      <c r="B6" s="862" t="s">
        <v>1305</v>
      </c>
      <c r="C6" s="863"/>
      <c r="D6" s="863"/>
      <c r="E6" s="863"/>
      <c r="F6" s="863"/>
      <c r="G6" s="863">
        <f>'Income Statement'!T6</f>
        <v>7942</v>
      </c>
      <c r="H6" s="863">
        <f>'Income Statement'!U6</f>
        <v>9256</v>
      </c>
      <c r="I6" s="863">
        <f>'Income Statement'!V6</f>
        <v>6893</v>
      </c>
      <c r="J6" s="863">
        <f>'Income Statement'!W6</f>
        <v>6325</v>
      </c>
      <c r="K6" s="863">
        <f>'Income Statement'!X6</f>
        <v>7535</v>
      </c>
      <c r="L6" s="863">
        <f>'Income Statement'!Y6</f>
        <v>8835</v>
      </c>
      <c r="M6" s="863">
        <f>'Income Statement'!Z6</f>
        <v>10618</v>
      </c>
      <c r="N6" s="863">
        <f>'Income Statement'!AA6</f>
        <v>12191.476774649433</v>
      </c>
      <c r="O6" s="863">
        <f>'Income Statement'!AB6</f>
        <v>13490.447545949384</v>
      </c>
      <c r="P6" s="863">
        <f>'Income Statement'!AC6</f>
        <v>14881.971979736896</v>
      </c>
      <c r="Q6" s="863">
        <f>'Income Statement'!AD6</f>
        <v>16221.876397768472</v>
      </c>
      <c r="R6" s="490"/>
      <c r="S6" s="864">
        <f>(J6/G6)^(1/3)-1</f>
        <v>-7.3077233757033455E-2</v>
      </c>
      <c r="T6" s="864">
        <f t="shared" ref="T6:T9" si="0">(O6/J6)^0.2-1</f>
        <v>0.16357174184888335</v>
      </c>
      <c r="U6" s="490"/>
      <c r="V6" s="865" t="s">
        <v>1337</v>
      </c>
      <c r="W6" s="490"/>
    </row>
    <row r="7" spans="2:23">
      <c r="B7" s="862" t="s">
        <v>1293</v>
      </c>
      <c r="C7" s="863"/>
      <c r="D7" s="863"/>
      <c r="E7" s="863"/>
      <c r="F7" s="863"/>
      <c r="G7" s="863">
        <f>'Income Statement'!T7</f>
        <v>2511</v>
      </c>
      <c r="H7" s="863">
        <f>'Income Statement'!U7</f>
        <v>3321</v>
      </c>
      <c r="I7" s="863">
        <f>'Income Statement'!V7</f>
        <v>1922</v>
      </c>
      <c r="J7" s="863">
        <f>'Income Statement'!W7</f>
        <v>1475</v>
      </c>
      <c r="K7" s="863">
        <f>'Income Statement'!X7</f>
        <v>1978</v>
      </c>
      <c r="L7" s="863">
        <f>'Income Statement'!Y7</f>
        <v>2477</v>
      </c>
      <c r="M7" s="863">
        <f>'Income Statement'!Z7</f>
        <v>3037</v>
      </c>
      <c r="N7" s="863">
        <f>'Income Statement'!AA7</f>
        <v>3423.86</v>
      </c>
      <c r="O7" s="863">
        <f>'Income Statement'!AB7</f>
        <v>3783.125</v>
      </c>
      <c r="P7" s="863">
        <f>'Income Statement'!AC7</f>
        <v>4134.5880820000002</v>
      </c>
      <c r="Q7" s="863">
        <f>'Income Statement'!AD7</f>
        <v>4471.8616129800002</v>
      </c>
      <c r="R7" s="490"/>
      <c r="S7" s="864">
        <f>(J7/G7)^(1/3)-1</f>
        <v>-0.16250587491205881</v>
      </c>
      <c r="T7" s="864">
        <f t="shared" si="0"/>
        <v>0.20729036363329256</v>
      </c>
      <c r="U7" s="490"/>
      <c r="V7" s="865" t="s">
        <v>1338</v>
      </c>
      <c r="W7" s="490"/>
    </row>
    <row r="8" spans="2:23">
      <c r="B8" s="862" t="s">
        <v>776</v>
      </c>
      <c r="C8" s="863"/>
      <c r="D8" s="863"/>
      <c r="E8" s="863"/>
      <c r="F8" s="863"/>
      <c r="G8" s="863">
        <f>'Income Statement'!T8</f>
        <v>18</v>
      </c>
      <c r="H8" s="863">
        <f>'Income Statement'!U8</f>
        <v>18</v>
      </c>
      <c r="I8" s="863">
        <f>'Income Statement'!V8</f>
        <v>20</v>
      </c>
      <c r="J8" s="863">
        <f>'Income Statement'!W8</f>
        <v>18</v>
      </c>
      <c r="K8" s="863">
        <f>'Income Statement'!X8</f>
        <v>16</v>
      </c>
      <c r="L8" s="863">
        <f>'Income Statement'!Y8</f>
        <v>11</v>
      </c>
      <c r="M8" s="863">
        <f>'Income Statement'!Z8</f>
        <v>10</v>
      </c>
      <c r="N8" s="863">
        <f>'Income Statement'!AA8</f>
        <v>10</v>
      </c>
      <c r="O8" s="863">
        <f>'Income Statement'!AB8</f>
        <v>10</v>
      </c>
      <c r="P8" s="863">
        <f>'Income Statement'!AC8</f>
        <v>10</v>
      </c>
      <c r="Q8" s="863">
        <f>'Income Statement'!AD8</f>
        <v>10</v>
      </c>
      <c r="R8" s="490"/>
      <c r="S8" s="864" t="s">
        <v>1517</v>
      </c>
      <c r="T8" s="864" t="s">
        <v>1517</v>
      </c>
      <c r="U8" s="490"/>
      <c r="V8" s="865"/>
      <c r="W8" s="490"/>
    </row>
    <row r="9" spans="2:23">
      <c r="B9" s="866" t="s">
        <v>1008</v>
      </c>
      <c r="C9" s="867">
        <f>'Income Statement'!P9</f>
        <v>15355</v>
      </c>
      <c r="D9" s="867">
        <f>'Income Statement'!Q9</f>
        <v>17414</v>
      </c>
      <c r="E9" s="867">
        <f>'Income Statement'!R9</f>
        <v>15781</v>
      </c>
      <c r="F9" s="867">
        <f>'Income Statement'!S9</f>
        <v>15953</v>
      </c>
      <c r="G9" s="867">
        <f>'Income Statement'!T9</f>
        <v>21050</v>
      </c>
      <c r="H9" s="867">
        <f>'Income Statement'!U9</f>
        <v>24640</v>
      </c>
      <c r="I9" s="867">
        <f>'Income Statement'!V9</f>
        <v>16498</v>
      </c>
      <c r="J9" s="867">
        <f>'Income Statement'!W9</f>
        <v>15257</v>
      </c>
      <c r="K9" s="867">
        <f>'Income Statement'!X9</f>
        <v>19035</v>
      </c>
      <c r="L9" s="867">
        <f>'Income Statement'!Y9</f>
        <v>23199</v>
      </c>
      <c r="M9" s="867">
        <f>'Income Statement'!Z9</f>
        <v>27317</v>
      </c>
      <c r="N9" s="867">
        <f>'Income Statement'!AA9</f>
        <v>30995.966922403386</v>
      </c>
      <c r="O9" s="867">
        <f>'Income Statement'!AB9</f>
        <v>34520.706683526871</v>
      </c>
      <c r="P9" s="867">
        <f>'Income Statement'!AC9</f>
        <v>38170.59080998729</v>
      </c>
      <c r="Q9" s="867">
        <f>'Income Statement'!AD9</f>
        <v>41400.418805904548</v>
      </c>
      <c r="R9" s="490"/>
      <c r="S9" s="868">
        <f>(J9/E9)^0.2-1</f>
        <v>-6.7308994594876825E-3</v>
      </c>
      <c r="T9" s="868">
        <f t="shared" si="0"/>
        <v>0.17739478072154369</v>
      </c>
      <c r="U9" s="490"/>
      <c r="V9" s="869"/>
      <c r="W9" s="490"/>
    </row>
    <row r="10" spans="2:23" ht="4.5" customHeight="1">
      <c r="B10" s="862"/>
      <c r="C10" s="318"/>
      <c r="D10" s="318"/>
      <c r="E10" s="318"/>
      <c r="F10" s="318"/>
      <c r="G10" s="318"/>
      <c r="H10" s="318"/>
      <c r="I10" s="318"/>
      <c r="J10" s="318"/>
      <c r="K10" s="318"/>
      <c r="L10" s="318"/>
      <c r="M10" s="318"/>
      <c r="N10" s="318"/>
      <c r="O10" s="318"/>
      <c r="P10" s="318"/>
      <c r="Q10" s="318"/>
      <c r="R10" s="490"/>
      <c r="S10" s="318"/>
      <c r="T10" s="864"/>
      <c r="U10" s="490"/>
      <c r="V10" s="861"/>
      <c r="W10" s="490"/>
    </row>
    <row r="11" spans="2:23">
      <c r="B11" s="870" t="s">
        <v>746</v>
      </c>
      <c r="C11" s="318"/>
      <c r="D11" s="318"/>
      <c r="E11" s="318"/>
      <c r="F11" s="318"/>
      <c r="G11" s="318"/>
      <c r="H11" s="318"/>
      <c r="I11" s="318"/>
      <c r="J11" s="318"/>
      <c r="K11" s="318"/>
      <c r="L11" s="318"/>
      <c r="M11" s="318"/>
      <c r="N11" s="318"/>
      <c r="O11" s="318"/>
      <c r="P11" s="318"/>
      <c r="Q11" s="318"/>
      <c r="R11" s="490"/>
      <c r="S11" s="318"/>
      <c r="T11" s="864"/>
      <c r="U11" s="490"/>
      <c r="V11" s="861"/>
      <c r="W11" s="490"/>
    </row>
    <row r="12" spans="2:23">
      <c r="B12" s="862" t="s">
        <v>978</v>
      </c>
      <c r="C12" s="871">
        <f>'Income Statement'!P12</f>
        <v>7.4318091975227318E-2</v>
      </c>
      <c r="D12" s="871">
        <f>'Income Statement'!Q12</f>
        <v>0.14301484116276209</v>
      </c>
      <c r="E12" s="871">
        <f>'Income Statement'!R12</f>
        <v>7.7261508745574137E-3</v>
      </c>
      <c r="F12" s="871">
        <f>'Income Statement'!S12</f>
        <v>-3.6204877009903269E-3</v>
      </c>
      <c r="G12" s="871">
        <f>'Income Statement'!T12</f>
        <v>0.13059741370097244</v>
      </c>
      <c r="H12" s="871">
        <f>'Income Statement'!U12</f>
        <v>0.13857642499291045</v>
      </c>
      <c r="I12" s="871">
        <f>'Income Statement'!V12</f>
        <v>-0.36380240763802407</v>
      </c>
      <c r="J12" s="871">
        <f>'Income Statement'!W12</f>
        <v>-2.9231371525512251E-2</v>
      </c>
      <c r="K12" s="871">
        <f>'Income Statement'!X12</f>
        <v>0.27785992740959808</v>
      </c>
      <c r="L12" s="871">
        <f>'Income Statement'!Y12</f>
        <v>0.24931622133389442</v>
      </c>
      <c r="M12" s="871">
        <f>'Income Statement'!Z12</f>
        <v>0.14954530144829903</v>
      </c>
      <c r="N12" s="871">
        <f>'Income Statement'!AA12</f>
        <v>0.12588852532624917</v>
      </c>
      <c r="O12" s="871">
        <f>'Income Statement'!AB12</f>
        <v>0.12143314697454222</v>
      </c>
      <c r="P12" s="871">
        <f>'Income Statement'!AC12</f>
        <v>0.11062724206083741</v>
      </c>
      <c r="Q12" s="871">
        <f>'Income Statement'!AD12</f>
        <v>8.1103612260316815E-2</v>
      </c>
      <c r="R12" s="490"/>
      <c r="S12" s="864" t="s">
        <v>1517</v>
      </c>
      <c r="T12" s="864" t="s">
        <v>1517</v>
      </c>
      <c r="U12" s="490"/>
      <c r="V12" s="872"/>
      <c r="W12" s="490"/>
    </row>
    <row r="13" spans="2:23">
      <c r="B13" s="862" t="s">
        <v>1305</v>
      </c>
      <c r="C13" s="871"/>
      <c r="D13" s="871"/>
      <c r="E13" s="871"/>
      <c r="F13" s="871"/>
      <c r="G13" s="871"/>
      <c r="H13" s="871">
        <f>'Income Statement'!U13</f>
        <v>0.16544950893981358</v>
      </c>
      <c r="I13" s="871">
        <f>'Income Statement'!V13</f>
        <v>-0.25529386343993088</v>
      </c>
      <c r="J13" s="871">
        <f>'Income Statement'!W13</f>
        <v>-8.2402437255186367E-2</v>
      </c>
      <c r="K13" s="871">
        <f>'Income Statement'!X13</f>
        <v>0.19130434782608696</v>
      </c>
      <c r="L13" s="871">
        <f>'Income Statement'!Y13</f>
        <v>0.17252820172528205</v>
      </c>
      <c r="M13" s="871">
        <f>'Income Statement'!Z13</f>
        <v>0.20181097906055467</v>
      </c>
      <c r="N13" s="871">
        <f>'Income Statement'!AA13</f>
        <v>0.14818956250230109</v>
      </c>
      <c r="O13" s="871">
        <f>'Income Statement'!AB13</f>
        <v>0.10654745075682626</v>
      </c>
      <c r="P13" s="871">
        <f>'Income Statement'!AC13</f>
        <v>0.10314887101023773</v>
      </c>
      <c r="Q13" s="871">
        <f>'Income Statement'!AD13</f>
        <v>9.003540793222653E-2</v>
      </c>
      <c r="R13" s="490"/>
      <c r="S13" s="864" t="s">
        <v>1517</v>
      </c>
      <c r="T13" s="864" t="s">
        <v>1517</v>
      </c>
      <c r="U13" s="490"/>
      <c r="V13" s="872"/>
      <c r="W13" s="490"/>
    </row>
    <row r="14" spans="2:23">
      <c r="B14" s="862" t="s">
        <v>1293</v>
      </c>
      <c r="C14" s="871"/>
      <c r="D14" s="871"/>
      <c r="E14" s="871"/>
      <c r="F14" s="871"/>
      <c r="G14" s="871"/>
      <c r="H14" s="871">
        <f>'Income Statement'!U14</f>
        <v>0.32258064516129026</v>
      </c>
      <c r="I14" s="871">
        <f>'Income Statement'!V14</f>
        <v>-0.42125865703101473</v>
      </c>
      <c r="J14" s="871">
        <f>'Income Statement'!W14</f>
        <v>-0.2325702393340271</v>
      </c>
      <c r="K14" s="871">
        <f>'Income Statement'!X14</f>
        <v>0.34101694915254233</v>
      </c>
      <c r="L14" s="871">
        <f>'Income Statement'!Y14</f>
        <v>0.25227502527805856</v>
      </c>
      <c r="M14" s="871">
        <f>'Income Statement'!Z14</f>
        <v>0.22607993540573279</v>
      </c>
      <c r="N14" s="871">
        <f>'Income Statement'!AA14</f>
        <v>0.12738228514981897</v>
      </c>
      <c r="O14" s="871">
        <f>'Income Statement'!AB14</f>
        <v>0.10492981605556295</v>
      </c>
      <c r="P14" s="871">
        <f>'Income Statement'!AC14</f>
        <v>9.2902846720634535E-2</v>
      </c>
      <c r="Q14" s="871">
        <f>'Income Statement'!AD14</f>
        <v>8.1573671739713527E-2</v>
      </c>
      <c r="R14" s="490"/>
      <c r="S14" s="864" t="s">
        <v>1517</v>
      </c>
      <c r="T14" s="864" t="s">
        <v>1517</v>
      </c>
      <c r="U14" s="490"/>
      <c r="V14" s="872"/>
      <c r="W14" s="490"/>
    </row>
    <row r="15" spans="2:23">
      <c r="B15" s="862" t="s">
        <v>1008</v>
      </c>
      <c r="C15" s="871">
        <f>'Income Statement'!P16</f>
        <v>6.906635104086889E-2</v>
      </c>
      <c r="D15" s="871">
        <f>'Income Statement'!Q16</f>
        <v>0.13409312927385209</v>
      </c>
      <c r="E15" s="871">
        <f>'Income Statement'!R16</f>
        <v>-9.3775123463879617E-2</v>
      </c>
      <c r="F15" s="871">
        <f>'Income Statement'!S16</f>
        <v>1.0899182561307841E-2</v>
      </c>
      <c r="G15" s="871">
        <f>'Income Statement'!T16</f>
        <v>0.31950103428822163</v>
      </c>
      <c r="H15" s="871">
        <f>'Income Statement'!U16</f>
        <v>0.17054631828978617</v>
      </c>
      <c r="I15" s="871">
        <f>'Income Statement'!V16</f>
        <v>-0.33043831168831173</v>
      </c>
      <c r="J15" s="871">
        <f>'Income Statement'!W16</f>
        <v>-7.5221238938053103E-2</v>
      </c>
      <c r="K15" s="871">
        <f>'Income Statement'!X16</f>
        <v>0.24762404142360883</v>
      </c>
      <c r="L15" s="871">
        <f>'Income Statement'!Y16</f>
        <v>0.21875492513790395</v>
      </c>
      <c r="M15" s="871">
        <f>'Income Statement'!Z16</f>
        <v>0.17750765119186163</v>
      </c>
      <c r="N15" s="871">
        <f>'Income Statement'!AA16</f>
        <v>0.13467682843662865</v>
      </c>
      <c r="O15" s="871">
        <f>'Income Statement'!AB16</f>
        <v>0.11371607699632236</v>
      </c>
      <c r="P15" s="871">
        <f>'Income Statement'!AC16</f>
        <v>0.10573028414282515</v>
      </c>
      <c r="Q15" s="871">
        <f>'Income Statement'!AD16</f>
        <v>8.461561446599819E-2</v>
      </c>
      <c r="R15" s="490"/>
      <c r="S15" s="864" t="s">
        <v>1517</v>
      </c>
      <c r="T15" s="864" t="s">
        <v>1517</v>
      </c>
      <c r="U15" s="490"/>
      <c r="V15" s="872"/>
      <c r="W15" s="490"/>
    </row>
    <row r="16" spans="2:23">
      <c r="B16" s="862" t="s">
        <v>1582</v>
      </c>
      <c r="C16" s="871" t="e">
        <f>'Income Statement'!#REF!</f>
        <v>#REF!</v>
      </c>
      <c r="D16" s="871" t="e">
        <f>'Income Statement'!#REF!</f>
        <v>#REF!</v>
      </c>
      <c r="E16" s="871" t="e">
        <f>'Income Statement'!#REF!</f>
        <v>#REF!</v>
      </c>
      <c r="F16" s="871" t="e">
        <f>'Income Statement'!#REF!</f>
        <v>#REF!</v>
      </c>
      <c r="G16" s="871" t="e">
        <f>'Income Statement'!#REF!</f>
        <v>#REF!</v>
      </c>
      <c r="H16" s="871" t="e">
        <f>'Income Statement'!#REF!</f>
        <v>#REF!</v>
      </c>
      <c r="I16" s="871" t="e">
        <f>'Income Statement'!#REF!</f>
        <v>#REF!</v>
      </c>
      <c r="J16" s="871" t="e">
        <f>'Income Statement'!#REF!</f>
        <v>#REF!</v>
      </c>
      <c r="K16" s="871" t="e">
        <f>'Income Statement'!#REF!</f>
        <v>#REF!</v>
      </c>
      <c r="L16" s="871" t="e">
        <f>'Income Statement'!#REF!</f>
        <v>#REF!</v>
      </c>
      <c r="M16" s="871" t="e">
        <f>'Income Statement'!#REF!</f>
        <v>#REF!</v>
      </c>
      <c r="N16" s="871" t="e">
        <f>'Income Statement'!#REF!</f>
        <v>#REF!</v>
      </c>
      <c r="O16" s="871" t="e">
        <f>'Income Statement'!#REF!</f>
        <v>#REF!</v>
      </c>
      <c r="P16" s="871" t="e">
        <f>'Income Statement'!#REF!</f>
        <v>#REF!</v>
      </c>
      <c r="Q16" s="871" t="e">
        <f>'Income Statement'!#REF!</f>
        <v>#REF!</v>
      </c>
      <c r="R16" s="490"/>
      <c r="S16" s="864"/>
      <c r="T16" s="864"/>
      <c r="U16" s="490"/>
      <c r="V16" s="872"/>
      <c r="W16" s="490"/>
    </row>
    <row r="17" spans="2:23" ht="4.5" customHeight="1">
      <c r="B17" s="862"/>
      <c r="C17" s="318"/>
      <c r="D17" s="318"/>
      <c r="E17" s="318"/>
      <c r="F17" s="318"/>
      <c r="G17" s="318"/>
      <c r="H17" s="318"/>
      <c r="I17" s="318"/>
      <c r="J17" s="318"/>
      <c r="K17" s="318"/>
      <c r="L17" s="318"/>
      <c r="M17" s="318"/>
      <c r="N17" s="318"/>
      <c r="O17" s="318"/>
      <c r="P17" s="318"/>
      <c r="Q17" s="318"/>
      <c r="R17" s="490"/>
      <c r="S17" s="318"/>
      <c r="T17" s="864"/>
      <c r="U17" s="490"/>
      <c r="V17" s="861"/>
      <c r="W17" s="490"/>
    </row>
    <row r="18" spans="2:23">
      <c r="B18" s="873" t="s">
        <v>1121</v>
      </c>
      <c r="C18" s="318"/>
      <c r="D18" s="318"/>
      <c r="E18" s="318"/>
      <c r="F18" s="318"/>
      <c r="G18" s="318"/>
      <c r="H18" s="318"/>
      <c r="I18" s="318"/>
      <c r="J18" s="318"/>
      <c r="K18" s="318"/>
      <c r="L18" s="318"/>
      <c r="M18" s="318"/>
      <c r="N18" s="318"/>
      <c r="O18" s="318"/>
      <c r="P18" s="318"/>
      <c r="Q18" s="318"/>
      <c r="R18" s="490"/>
      <c r="S18" s="318"/>
      <c r="T18" s="864"/>
      <c r="U18" s="490"/>
      <c r="V18" s="861"/>
      <c r="W18" s="490"/>
    </row>
    <row r="19" spans="2:23">
      <c r="B19" s="862" t="s">
        <v>978</v>
      </c>
      <c r="C19" s="863">
        <f>'Income Statement'!P19</f>
        <v>0</v>
      </c>
      <c r="D19" s="863">
        <f>'Income Statement'!Q19</f>
        <v>0</v>
      </c>
      <c r="E19" s="863">
        <f>'Income Statement'!R19</f>
        <v>0</v>
      </c>
      <c r="F19" s="863">
        <f>'Income Statement'!S19</f>
        <v>1516</v>
      </c>
      <c r="G19" s="863">
        <f>'Income Statement'!T19</f>
        <v>2030</v>
      </c>
      <c r="H19" s="863">
        <f>'Income Statement'!U19</f>
        <v>2485</v>
      </c>
      <c r="I19" s="863">
        <f>'Income Statement'!V19</f>
        <v>1192</v>
      </c>
      <c r="J19" s="863">
        <f>'Income Statement'!W19</f>
        <v>1342</v>
      </c>
      <c r="K19" s="863">
        <f>'Income Statement'!X19</f>
        <v>1710</v>
      </c>
      <c r="L19" s="863">
        <f>'Income Statement'!Y19</f>
        <v>2390</v>
      </c>
      <c r="M19" s="863">
        <f>'Income Statement'!Z19</f>
        <v>2819</v>
      </c>
      <c r="N19" s="863">
        <f>'Income Statement'!AA19</f>
        <v>3498.7921191512232</v>
      </c>
      <c r="O19" s="863">
        <f>'Income Statement'!AB19</f>
        <v>3987.5038763717052</v>
      </c>
      <c r="P19" s="863">
        <f>'Income Statement'!AC19</f>
        <v>4435.8248269170235</v>
      </c>
      <c r="Q19" s="863">
        <f>'Income Statement'!AD19</f>
        <v>4851.267807475032</v>
      </c>
      <c r="R19" s="490"/>
      <c r="S19" s="864" t="e">
        <f>(J19/E19)^0.2-1</f>
        <v>#DIV/0!</v>
      </c>
      <c r="T19" s="864">
        <f>(O19/J19)^0.2-1</f>
        <v>0.24333946963457809</v>
      </c>
      <c r="U19" s="490"/>
      <c r="V19" s="865" t="s">
        <v>1310</v>
      </c>
      <c r="W19" s="490"/>
    </row>
    <row r="20" spans="2:23">
      <c r="B20" s="862" t="s">
        <v>1305</v>
      </c>
      <c r="C20" s="863"/>
      <c r="D20" s="863"/>
      <c r="E20" s="863"/>
      <c r="F20" s="863"/>
      <c r="G20" s="863">
        <f>'Income Statement'!T20</f>
        <v>992</v>
      </c>
      <c r="H20" s="863">
        <f>'Income Statement'!U20</f>
        <v>1209</v>
      </c>
      <c r="I20" s="863">
        <f>'Income Statement'!V20</f>
        <v>687</v>
      </c>
      <c r="J20" s="863">
        <f>'Income Statement'!W20</f>
        <v>650</v>
      </c>
      <c r="K20" s="863">
        <f>'Income Statement'!X20</f>
        <v>874</v>
      </c>
      <c r="L20" s="863">
        <f>'Income Statement'!Y20</f>
        <v>992</v>
      </c>
      <c r="M20" s="863">
        <f>'Income Statement'!Z20</f>
        <v>1298</v>
      </c>
      <c r="N20" s="863">
        <f>'Income Statement'!AA20</f>
        <v>1601.943770022559</v>
      </c>
      <c r="O20" s="863">
        <f>'Income Statement'!AB20</f>
        <v>1858.4702757019843</v>
      </c>
      <c r="P20" s="863">
        <f>'Income Statement'!AC20</f>
        <v>2134.7102122690167</v>
      </c>
      <c r="Q20" s="863">
        <f>'Income Statement'!AD20</f>
        <v>2389.6484999709569</v>
      </c>
      <c r="R20" s="490"/>
      <c r="S20" s="864">
        <f>(J20/G20)^(1/3)-1</f>
        <v>-0.13143852669503997</v>
      </c>
      <c r="T20" s="864">
        <f t="shared" ref="T20:T23" si="1">(O20/J20)^0.2-1</f>
        <v>0.23381047353803064</v>
      </c>
      <c r="U20" s="490"/>
      <c r="V20" s="865"/>
      <c r="W20" s="490"/>
    </row>
    <row r="21" spans="2:23">
      <c r="B21" s="862" t="s">
        <v>1293</v>
      </c>
      <c r="C21" s="863"/>
      <c r="D21" s="863"/>
      <c r="E21" s="863"/>
      <c r="F21" s="863"/>
      <c r="G21" s="863">
        <f>'Income Statement'!T21</f>
        <v>81</v>
      </c>
      <c r="H21" s="863">
        <f>'Income Statement'!U21</f>
        <v>188</v>
      </c>
      <c r="I21" s="863">
        <f>'Income Statement'!V21</f>
        <v>-174</v>
      </c>
      <c r="J21" s="863">
        <f>'Income Statement'!W21</f>
        <v>-167</v>
      </c>
      <c r="K21" s="863">
        <f>'Income Statement'!X21</f>
        <v>-140</v>
      </c>
      <c r="L21" s="863">
        <f>'Income Statement'!Y21</f>
        <v>-116</v>
      </c>
      <c r="M21" s="863">
        <f>'Income Statement'!Z21</f>
        <v>27</v>
      </c>
      <c r="N21" s="863">
        <f>'Income Statement'!AA21</f>
        <v>106.69281550872572</v>
      </c>
      <c r="O21" s="863">
        <f>'Income Statement'!AB21</f>
        <v>200.53140626440566</v>
      </c>
      <c r="P21" s="863">
        <f>'Income Statement'!AC21</f>
        <v>309.38033969793548</v>
      </c>
      <c r="Q21" s="863">
        <f>'Income Statement'!AD21</f>
        <v>401.1613011765312</v>
      </c>
      <c r="R21" s="490"/>
      <c r="S21" s="864">
        <f>(J21/G21)^(1/3)-1</f>
        <v>-2.2727520857603931</v>
      </c>
      <c r="T21" s="864">
        <f>-(O21/J21)^0.2-1</f>
        <v>3.7273267984013758E-2</v>
      </c>
      <c r="U21" s="490"/>
      <c r="V21" s="865" t="s">
        <v>1336</v>
      </c>
      <c r="W21" s="490"/>
    </row>
    <row r="22" spans="2:23">
      <c r="B22" s="862" t="s">
        <v>776</v>
      </c>
      <c r="C22" s="863"/>
      <c r="D22" s="863"/>
      <c r="E22" s="863"/>
      <c r="F22" s="863"/>
      <c r="G22" s="863">
        <f>'Income Statement'!T22</f>
        <v>-80</v>
      </c>
      <c r="H22" s="863">
        <f>'Income Statement'!U22</f>
        <v>-62</v>
      </c>
      <c r="I22" s="863">
        <f>'Income Statement'!V22</f>
        <v>-19</v>
      </c>
      <c r="J22" s="863">
        <f>'Income Statement'!W22</f>
        <v>-20</v>
      </c>
      <c r="K22" s="863">
        <f>'Income Statement'!X22</f>
        <v>-36</v>
      </c>
      <c r="L22" s="863">
        <f>'Income Statement'!Y22</f>
        <v>-100</v>
      </c>
      <c r="M22" s="863">
        <f>'Income Statement'!Z22</f>
        <v>-25</v>
      </c>
      <c r="N22" s="863">
        <f>'Income Statement'!AA22</f>
        <v>-28.366920710915718</v>
      </c>
      <c r="O22" s="863">
        <f>'Income Statement'!AB22</f>
        <v>-31.59269565062678</v>
      </c>
      <c r="P22" s="863">
        <f>'Income Statement'!AC22</f>
        <v>-34.933000338605346</v>
      </c>
      <c r="Q22" s="863">
        <f>'Income Statement'!AD22</f>
        <v>-37.888877627397363</v>
      </c>
      <c r="R22" s="490"/>
      <c r="S22" s="864" t="s">
        <v>1517</v>
      </c>
      <c r="T22" s="864" t="s">
        <v>1517</v>
      </c>
      <c r="U22" s="490"/>
      <c r="V22" s="865"/>
      <c r="W22" s="490"/>
    </row>
    <row r="23" spans="2:23">
      <c r="B23" s="874" t="s">
        <v>1008</v>
      </c>
      <c r="C23" s="867">
        <f>'Income Statement'!P23</f>
        <v>-175</v>
      </c>
      <c r="D23" s="867">
        <f>'Income Statement'!Q23</f>
        <v>-82</v>
      </c>
      <c r="E23" s="867">
        <f>'Income Statement'!R23</f>
        <v>-25</v>
      </c>
      <c r="F23" s="867">
        <f>'Income Statement'!S23</f>
        <v>2192</v>
      </c>
      <c r="G23" s="867">
        <f>'Income Statement'!T23</f>
        <v>3023</v>
      </c>
      <c r="H23" s="867">
        <f>'Income Statement'!U23</f>
        <v>3820</v>
      </c>
      <c r="I23" s="867">
        <f>'Income Statement'!V23</f>
        <v>1686</v>
      </c>
      <c r="J23" s="867">
        <f>'Income Statement'!W23</f>
        <v>1805</v>
      </c>
      <c r="K23" s="867">
        <f>'Income Statement'!X23</f>
        <v>2408</v>
      </c>
      <c r="L23" s="867">
        <f>'Income Statement'!Y23</f>
        <v>3166</v>
      </c>
      <c r="M23" s="867">
        <f>'Income Statement'!Z23</f>
        <v>4119</v>
      </c>
      <c r="N23" s="867">
        <f>'Income Statement'!AA23</f>
        <v>5179.0617839715915</v>
      </c>
      <c r="O23" s="867">
        <f>'Income Statement'!AB23</f>
        <v>6014.912862687469</v>
      </c>
      <c r="P23" s="867">
        <f>'Income Statement'!AC23</f>
        <v>6844.98237854537</v>
      </c>
      <c r="Q23" s="867">
        <f>'Income Statement'!AD23</f>
        <v>7604.1887309951226</v>
      </c>
      <c r="R23" s="875"/>
      <c r="S23" s="868">
        <f>(J23/E23)^0.2-1</f>
        <v>-3.3534633499846289</v>
      </c>
      <c r="T23" s="868">
        <f t="shared" si="1"/>
        <v>0.27218545745176459</v>
      </c>
      <c r="U23" s="490"/>
      <c r="V23" s="869"/>
      <c r="W23" s="490"/>
    </row>
    <row r="24" spans="2:23" ht="4.5" customHeight="1">
      <c r="B24" s="862"/>
      <c r="C24" s="318"/>
      <c r="D24" s="318"/>
      <c r="E24" s="318"/>
      <c r="F24" s="318"/>
      <c r="G24" s="318"/>
      <c r="H24" s="318"/>
      <c r="I24" s="318"/>
      <c r="J24" s="318"/>
      <c r="K24" s="318"/>
      <c r="L24" s="318"/>
      <c r="M24" s="318"/>
      <c r="N24" s="318"/>
      <c r="O24" s="318"/>
      <c r="P24" s="318"/>
      <c r="Q24" s="318"/>
      <c r="R24" s="490"/>
      <c r="S24" s="318"/>
      <c r="T24" s="864"/>
      <c r="U24" s="490"/>
      <c r="V24" s="861"/>
      <c r="W24" s="490"/>
    </row>
    <row r="25" spans="2:23">
      <c r="B25" s="870" t="s">
        <v>983</v>
      </c>
      <c r="C25" s="871"/>
      <c r="D25" s="871"/>
      <c r="E25" s="871"/>
      <c r="F25" s="871"/>
      <c r="G25" s="871"/>
      <c r="H25" s="871"/>
      <c r="I25" s="871"/>
      <c r="J25" s="871"/>
      <c r="K25" s="871"/>
      <c r="L25" s="871"/>
      <c r="M25" s="871"/>
      <c r="N25" s="871"/>
      <c r="O25" s="871"/>
      <c r="P25" s="871"/>
      <c r="Q25" s="871"/>
      <c r="R25" s="490"/>
      <c r="S25" s="871"/>
      <c r="T25" s="864"/>
      <c r="U25" s="490"/>
      <c r="V25" s="872"/>
      <c r="W25" s="490"/>
    </row>
    <row r="26" spans="2:23">
      <c r="B26" s="862" t="s">
        <v>978</v>
      </c>
      <c r="C26" s="871">
        <f>'Income Statement'!P26</f>
        <v>0</v>
      </c>
      <c r="D26" s="871">
        <f>'Income Statement'!Q26</f>
        <v>0</v>
      </c>
      <c r="E26" s="871">
        <f>'Income Statement'!R26</f>
        <v>0</v>
      </c>
      <c r="F26" s="871">
        <f>'Income Statement'!S26</f>
        <v>0.1620177407288661</v>
      </c>
      <c r="G26" s="871">
        <f>'Income Statement'!T26</f>
        <v>0.19188959258909161</v>
      </c>
      <c r="H26" s="871">
        <f>'Income Statement'!U26</f>
        <v>0.20630967206309672</v>
      </c>
      <c r="I26" s="871">
        <f>'Income Statement'!V26</f>
        <v>0.15555265561790421</v>
      </c>
      <c r="J26" s="871">
        <f>'Income Statement'!W26</f>
        <v>0.1804005914773491</v>
      </c>
      <c r="K26" s="871">
        <f>'Income Statement'!X26</f>
        <v>0.17988638754470859</v>
      </c>
      <c r="L26" s="871">
        <f>'Income Statement'!Y26</f>
        <v>0.20124621084540248</v>
      </c>
      <c r="M26" s="871">
        <f>'Income Statement'!Z26</f>
        <v>0.20648989159097569</v>
      </c>
      <c r="N26" s="871">
        <f>'Income Statement'!AA26</f>
        <v>0.227628411165855</v>
      </c>
      <c r="O26" s="871">
        <f>'Income Statement'!AB26</f>
        <v>0.23133218344451026</v>
      </c>
      <c r="P26" s="871">
        <f>'Income Statement'!AC26</f>
        <v>0.23170798695684403</v>
      </c>
      <c r="Q26" s="871">
        <f>'Income Statement'!AD26</f>
        <v>0.23439834896668255</v>
      </c>
      <c r="R26" s="490"/>
      <c r="S26" s="876">
        <f>(J26-E26)*100</f>
        <v>18.040059147734912</v>
      </c>
      <c r="T26" s="876">
        <f>(O26-J26)*100</f>
        <v>5.0931591967161154</v>
      </c>
      <c r="U26" s="490"/>
      <c r="V26" s="872"/>
      <c r="W26" s="490"/>
    </row>
    <row r="27" spans="2:23">
      <c r="B27" s="862" t="s">
        <v>1305</v>
      </c>
      <c r="C27" s="871"/>
      <c r="D27" s="871"/>
      <c r="E27" s="871"/>
      <c r="F27" s="871"/>
      <c r="G27" s="871">
        <f>'Income Statement'!T27</f>
        <v>0.12490556534877864</v>
      </c>
      <c r="H27" s="871">
        <f>'Income Statement'!U27</f>
        <v>0.1306179775280899</v>
      </c>
      <c r="I27" s="871">
        <f>'Income Statement'!V27</f>
        <v>9.966632815900188E-2</v>
      </c>
      <c r="J27" s="871">
        <f>'Income Statement'!W27</f>
        <v>0.10276679841897234</v>
      </c>
      <c r="K27" s="871">
        <f>'Income Statement'!X27</f>
        <v>0.11599203715992037</v>
      </c>
      <c r="L27" s="871">
        <f>'Income Statement'!Y27</f>
        <v>0.11228070175438597</v>
      </c>
      <c r="M27" s="871">
        <f>'Income Statement'!Z27</f>
        <v>0.12224524392540968</v>
      </c>
      <c r="N27" s="871">
        <f>'Income Statement'!AA27</f>
        <v>0.13139866479125725</v>
      </c>
      <c r="O27" s="871">
        <f>'Income Statement'!AB27</f>
        <v>0.13776194372884279</v>
      </c>
      <c r="P27" s="871">
        <f>'Income Statement'!AC27</f>
        <v>0.14344269799564272</v>
      </c>
      <c r="Q27" s="871">
        <f>'Income Statement'!AD27</f>
        <v>0.14731023966498005</v>
      </c>
      <c r="R27" s="490"/>
      <c r="S27" s="876">
        <f>(J27-G27)*100</f>
        <v>-2.2138766929806306</v>
      </c>
      <c r="T27" s="876">
        <f>(O27-J27)*100</f>
        <v>3.4995145309870455</v>
      </c>
      <c r="U27" s="490"/>
      <c r="V27" s="872"/>
      <c r="W27" s="490"/>
    </row>
    <row r="28" spans="2:23">
      <c r="B28" s="862" t="s">
        <v>1293</v>
      </c>
      <c r="C28" s="871"/>
      <c r="D28" s="871"/>
      <c r="E28" s="871"/>
      <c r="F28" s="871"/>
      <c r="G28" s="871">
        <f>'Income Statement'!T28</f>
        <v>3.2258064516129031E-2</v>
      </c>
      <c r="H28" s="871">
        <f>'Income Statement'!U28</f>
        <v>5.6609454983438723E-2</v>
      </c>
      <c r="I28" s="871">
        <f>'Income Statement'!V28</f>
        <v>-9.053069719042664E-2</v>
      </c>
      <c r="J28" s="871">
        <f>'Income Statement'!W28</f>
        <v>-0.11322033898305085</v>
      </c>
      <c r="K28" s="871">
        <f>'Income Statement'!X28</f>
        <v>-7.0778564206268962E-2</v>
      </c>
      <c r="L28" s="871">
        <f>'Income Statement'!Y28</f>
        <v>-4.6830843762616065E-2</v>
      </c>
      <c r="M28" s="871">
        <f>'Income Statement'!Z28</f>
        <v>8.8903523213697735E-3</v>
      </c>
      <c r="N28" s="871">
        <f>'Income Statement'!AA28</f>
        <v>3.1161559032415378E-2</v>
      </c>
      <c r="O28" s="871">
        <f>'Income Statement'!AB28</f>
        <v>5.3006814806385111E-2</v>
      </c>
      <c r="P28" s="871">
        <f>'Income Statement'!AC28</f>
        <v>7.4827366973950343E-2</v>
      </c>
      <c r="Q28" s="871">
        <f>'Income Statement'!AD28</f>
        <v>8.9707897044962806E-2</v>
      </c>
      <c r="R28" s="490"/>
      <c r="S28" s="876">
        <f>(J28-G28)*100</f>
        <v>-14.54784034991799</v>
      </c>
      <c r="T28" s="876">
        <f>(O28-J28)*100</f>
        <v>16.622715378943596</v>
      </c>
      <c r="U28" s="490"/>
      <c r="V28" s="872"/>
      <c r="W28" s="490"/>
    </row>
    <row r="29" spans="2:23">
      <c r="B29" s="862" t="s">
        <v>1008</v>
      </c>
      <c r="C29" s="871">
        <f>'Income Statement'!P29</f>
        <v>-1.1396939107782481E-2</v>
      </c>
      <c r="D29" s="871">
        <f>'Income Statement'!Q29</f>
        <v>-4.7088549442976914E-3</v>
      </c>
      <c r="E29" s="871">
        <f>'Income Statement'!R29</f>
        <v>-1.5841835118180091E-3</v>
      </c>
      <c r="F29" s="871">
        <f>'Income Statement'!S29</f>
        <v>0.13740362314298252</v>
      </c>
      <c r="G29" s="871">
        <f>'Income Statement'!T29</f>
        <v>0.14361045130641331</v>
      </c>
      <c r="H29" s="871">
        <f>'Income Statement'!U29</f>
        <v>0.15503246753246752</v>
      </c>
      <c r="I29" s="871">
        <f>'Income Statement'!V29</f>
        <v>0.10219420535822524</v>
      </c>
      <c r="J29" s="871">
        <f>'Income Statement'!W29</f>
        <v>0.11830635118306351</v>
      </c>
      <c r="K29" s="871">
        <f>'Income Statement'!X29</f>
        <v>0.12650380877331233</v>
      </c>
      <c r="L29" s="871">
        <f>'Income Statement'!Y29</f>
        <v>0.13647139962929436</v>
      </c>
      <c r="M29" s="871">
        <f>'Income Statement'!Z29</f>
        <v>0.15078522531756783</v>
      </c>
      <c r="N29" s="871">
        <f>'Income Statement'!AA29</f>
        <v>0.16708824722058432</v>
      </c>
      <c r="O29" s="871">
        <f>'Income Statement'!AB29</f>
        <v>0.1742407221795885</v>
      </c>
      <c r="P29" s="871">
        <f>'Income Statement'!AC29</f>
        <v>0.1793260788815034</v>
      </c>
      <c r="Q29" s="871">
        <f>'Income Statement'!AD29</f>
        <v>0.18367419824049241</v>
      </c>
      <c r="R29" s="490"/>
      <c r="S29" s="876">
        <f>(J29-E29)*100</f>
        <v>11.989053469488152</v>
      </c>
      <c r="T29" s="876">
        <f>(O29-J29)*100</f>
        <v>5.5934370996524985</v>
      </c>
      <c r="U29" s="490"/>
      <c r="V29" s="872"/>
      <c r="W29" s="490"/>
    </row>
    <row r="30" spans="2:23" ht="4.5" customHeight="1">
      <c r="B30" s="862"/>
      <c r="C30" s="871"/>
      <c r="D30" s="871"/>
      <c r="E30" s="871"/>
      <c r="F30" s="871"/>
      <c r="G30" s="871"/>
      <c r="H30" s="871"/>
      <c r="I30" s="871"/>
      <c r="J30" s="871"/>
      <c r="K30" s="871"/>
      <c r="L30" s="871"/>
      <c r="M30" s="871"/>
      <c r="N30" s="871"/>
      <c r="O30" s="871"/>
      <c r="P30" s="871"/>
      <c r="Q30" s="871"/>
      <c r="R30" s="490"/>
      <c r="S30" s="864"/>
      <c r="T30" s="864"/>
      <c r="U30" s="490"/>
      <c r="V30" s="872"/>
      <c r="W30" s="490"/>
    </row>
    <row r="31" spans="2:23">
      <c r="B31" s="870" t="s">
        <v>1009</v>
      </c>
      <c r="C31" s="871"/>
      <c r="D31" s="871"/>
      <c r="E31" s="871"/>
      <c r="F31" s="871"/>
      <c r="G31" s="871"/>
      <c r="H31" s="871"/>
      <c r="I31" s="871"/>
      <c r="J31" s="871"/>
      <c r="K31" s="871"/>
      <c r="L31" s="871"/>
      <c r="M31" s="871"/>
      <c r="N31" s="871"/>
      <c r="O31" s="871"/>
      <c r="P31" s="871"/>
      <c r="Q31" s="871"/>
      <c r="R31" s="490"/>
      <c r="S31" s="871"/>
      <c r="T31" s="864"/>
      <c r="U31" s="490"/>
      <c r="V31" s="872"/>
      <c r="W31" s="490"/>
    </row>
    <row r="32" spans="2:23" hidden="1" outlineLevel="1">
      <c r="B32" s="862" t="s">
        <v>978</v>
      </c>
      <c r="C32" s="871" t="e">
        <f>'Income Statement'!P32</f>
        <v>#DIV/0!</v>
      </c>
      <c r="D32" s="871" t="e">
        <f>'Income Statement'!Q32</f>
        <v>#DIV/0!</v>
      </c>
      <c r="E32" s="871" t="e">
        <f>'Income Statement'!R32</f>
        <v>#DIV/0!</v>
      </c>
      <c r="F32" s="871" t="e">
        <f>'Income Statement'!S32</f>
        <v>#DIV/0!</v>
      </c>
      <c r="G32" s="871">
        <f>'Income Statement'!T32</f>
        <v>0.33905013192612143</v>
      </c>
      <c r="H32" s="871">
        <f>'Income Statement'!U32</f>
        <v>0.22413793103448265</v>
      </c>
      <c r="I32" s="871">
        <f>'Income Statement'!V32</f>
        <v>-0.52032193158953721</v>
      </c>
      <c r="J32" s="871">
        <f>'Income Statement'!W32</f>
        <v>0.12583892617449655</v>
      </c>
      <c r="K32" s="871">
        <f>'Income Statement'!X32</f>
        <v>0.27421758569299559</v>
      </c>
      <c r="L32" s="871">
        <f>'Income Statement'!Y32</f>
        <v>0.39766081871345027</v>
      </c>
      <c r="M32" s="871">
        <f>'Income Statement'!Z32</f>
        <v>0.1794979079497907</v>
      </c>
      <c r="N32" s="871">
        <f>'Income Statement'!AA32</f>
        <v>0.24114654812033454</v>
      </c>
      <c r="O32" s="871">
        <f>'Income Statement'!AB32</f>
        <v>0.13968013548030944</v>
      </c>
      <c r="P32" s="871">
        <f>'Income Statement'!AC32</f>
        <v>0.1124314770455479</v>
      </c>
      <c r="Q32" s="871">
        <f>'Income Statement'!AD32</f>
        <v>9.365630897709476E-2</v>
      </c>
      <c r="R32" s="490"/>
      <c r="S32" s="871"/>
      <c r="T32" s="864"/>
      <c r="U32" s="490"/>
      <c r="V32" s="872"/>
      <c r="W32" s="490"/>
    </row>
    <row r="33" spans="2:23" hidden="1" outlineLevel="1">
      <c r="B33" s="862" t="s">
        <v>1305</v>
      </c>
      <c r="C33" s="871"/>
      <c r="D33" s="871"/>
      <c r="E33" s="871"/>
      <c r="F33" s="871"/>
      <c r="G33" s="871"/>
      <c r="H33" s="871">
        <f>'Income Statement'!U33</f>
        <v>0.21875</v>
      </c>
      <c r="I33" s="871">
        <f>'Income Statement'!V33</f>
        <v>-0.43176178660049624</v>
      </c>
      <c r="J33" s="871">
        <f>'Income Statement'!W33</f>
        <v>-5.3857350800582293E-2</v>
      </c>
      <c r="K33" s="871">
        <f>'Income Statement'!X33</f>
        <v>0.34461538461538455</v>
      </c>
      <c r="L33" s="871">
        <f>'Income Statement'!Y33</f>
        <v>0.13501144164759715</v>
      </c>
      <c r="M33" s="871">
        <f>'Income Statement'!Z33</f>
        <v>0.30846774193548376</v>
      </c>
      <c r="N33" s="871">
        <f>'Income Statement'!AA33</f>
        <v>0.2341631510189206</v>
      </c>
      <c r="O33" s="871">
        <f>'Income Statement'!AB33</f>
        <v>0.16013452561809505</v>
      </c>
      <c r="P33" s="871">
        <f>'Income Statement'!AC33</f>
        <v>0.14863833991786102</v>
      </c>
      <c r="Q33" s="871">
        <f>'Income Statement'!AD33</f>
        <v>0.11942524387465325</v>
      </c>
      <c r="R33" s="490"/>
      <c r="S33" s="871"/>
      <c r="T33" s="864"/>
      <c r="U33" s="490"/>
      <c r="V33" s="872"/>
      <c r="W33" s="490"/>
    </row>
    <row r="34" spans="2:23" hidden="1" outlineLevel="1">
      <c r="B34" s="862" t="s">
        <v>1293</v>
      </c>
      <c r="C34" s="871"/>
      <c r="D34" s="871"/>
      <c r="E34" s="871"/>
      <c r="F34" s="871"/>
      <c r="G34" s="871"/>
      <c r="H34" s="871">
        <f>'Income Statement'!U34</f>
        <v>1.3209876543209877</v>
      </c>
      <c r="I34" s="871">
        <f>'Income Statement'!V34</f>
        <v>-1.925531914893617</v>
      </c>
      <c r="J34" s="871">
        <f>'Income Statement'!W34</f>
        <v>-4.0229885057471271E-2</v>
      </c>
      <c r="K34" s="871">
        <f>'Income Statement'!X34</f>
        <v>0.16167664670658688</v>
      </c>
      <c r="L34" s="871">
        <f>'Income Statement'!Y34</f>
        <v>0.17142857142857137</v>
      </c>
      <c r="M34" s="871">
        <f>'Income Statement'!Z34</f>
        <v>1.2327586206896552</v>
      </c>
      <c r="N34" s="871">
        <f>'Income Statement'!AA34</f>
        <v>2.951585759582434</v>
      </c>
      <c r="O34" s="871">
        <f>'Income Statement'!AB34</f>
        <v>0.87952117776857697</v>
      </c>
      <c r="P34" s="871">
        <f>'Income Statement'!AC34</f>
        <v>0.54280242412507596</v>
      </c>
      <c r="Q34" s="871">
        <f>'Income Statement'!AD34</f>
        <v>0.2966606138198904</v>
      </c>
      <c r="R34" s="490"/>
      <c r="S34" s="871"/>
      <c r="T34" s="864"/>
      <c r="U34" s="490"/>
      <c r="V34" s="872"/>
      <c r="W34" s="490"/>
    </row>
    <row r="35" spans="2:23" collapsed="1">
      <c r="B35" s="862" t="s">
        <v>1008</v>
      </c>
      <c r="C35" s="871">
        <f>'Income Statement'!P35</f>
        <v>0.10759493670886067</v>
      </c>
      <c r="D35" s="871">
        <f>'Income Statement'!Q35</f>
        <v>-0.53142857142857136</v>
      </c>
      <c r="E35" s="871">
        <f>'Income Statement'!R35</f>
        <v>-0.69512195121951215</v>
      </c>
      <c r="F35" s="871">
        <f>'Income Statement'!S35</f>
        <v>-88.68</v>
      </c>
      <c r="G35" s="871">
        <f>'Income Statement'!T35</f>
        <v>0.37910583941605847</v>
      </c>
      <c r="H35" s="871">
        <f>'Income Statement'!U35</f>
        <v>0.26364538537876281</v>
      </c>
      <c r="I35" s="871">
        <f>'Income Statement'!V35</f>
        <v>-0.55863874345549736</v>
      </c>
      <c r="J35" s="871">
        <f>'Income Statement'!W35</f>
        <v>7.0581257413997678E-2</v>
      </c>
      <c r="K35" s="871">
        <f>'Income Statement'!X35</f>
        <v>0.33407202216066478</v>
      </c>
      <c r="L35" s="871">
        <f>'Income Statement'!Y35</f>
        <v>0.3147840531561461</v>
      </c>
      <c r="M35" s="871">
        <f>'Income Statement'!Z35</f>
        <v>0.30101073910296905</v>
      </c>
      <c r="N35" s="871">
        <f>'Income Statement'!AA35</f>
        <v>0.25735901528807759</v>
      </c>
      <c r="O35" s="871">
        <f>'Income Statement'!AB35</f>
        <v>0.16139044359399413</v>
      </c>
      <c r="P35" s="871">
        <f>'Income Statement'!AC35</f>
        <v>0.13800191869895606</v>
      </c>
      <c r="Q35" s="871">
        <f>'Income Statement'!AD35</f>
        <v>0.11091428881239751</v>
      </c>
      <c r="R35" s="490"/>
      <c r="S35" s="864" t="s">
        <v>1517</v>
      </c>
      <c r="T35" s="864" t="s">
        <v>1517</v>
      </c>
      <c r="U35" s="490"/>
      <c r="V35" s="872"/>
      <c r="W35" s="490"/>
    </row>
    <row r="36" spans="2:23">
      <c r="B36" s="193"/>
      <c r="C36" s="863"/>
      <c r="D36" s="863"/>
      <c r="E36" s="863"/>
      <c r="F36" s="863"/>
      <c r="G36" s="863"/>
      <c r="H36" s="863"/>
      <c r="I36" s="863"/>
      <c r="J36" s="863"/>
      <c r="K36" s="863"/>
      <c r="L36" s="863"/>
      <c r="M36" s="863"/>
      <c r="N36" s="863"/>
      <c r="O36" s="863"/>
      <c r="P36" s="863"/>
      <c r="Q36" s="863"/>
      <c r="R36" s="490"/>
      <c r="S36" s="863"/>
      <c r="T36" s="864"/>
      <c r="U36" s="490"/>
      <c r="V36" s="865"/>
      <c r="W36" s="490"/>
    </row>
    <row r="37" spans="2:23" hidden="1" outlineLevel="1">
      <c r="B37" s="193" t="s">
        <v>1165</v>
      </c>
      <c r="C37" s="863">
        <f>OpMod!R243</f>
        <v>-165</v>
      </c>
      <c r="D37" s="863">
        <f>OpMod!S243</f>
        <v>-225</v>
      </c>
      <c r="E37" s="863">
        <f>OpMod!T243</f>
        <v>-144</v>
      </c>
      <c r="F37" s="863">
        <f>OpMod!U243</f>
        <v>26</v>
      </c>
      <c r="G37" s="863">
        <f>OpMod!V243</f>
        <v>-211</v>
      </c>
      <c r="H37" s="863">
        <f>OpMod!W243</f>
        <v>-89</v>
      </c>
      <c r="I37" s="863">
        <f>OpMod!X243</f>
        <v>-7</v>
      </c>
      <c r="J37" s="863">
        <f>OpMod!Y243</f>
        <v>-204</v>
      </c>
      <c r="K37" s="863">
        <f>OpMod!Z243</f>
        <v>-186</v>
      </c>
      <c r="L37" s="863">
        <f>OpMod!AA243</f>
        <v>174</v>
      </c>
      <c r="M37" s="863">
        <f>OpMod!AB243</f>
        <v>23</v>
      </c>
      <c r="N37" s="863">
        <f>OpMod!AC243</f>
        <v>85.985000000000014</v>
      </c>
      <c r="O37" s="863">
        <f>OpMod!AD243</f>
        <v>98.92821272622497</v>
      </c>
      <c r="P37" s="863">
        <f>OpMod!AE243</f>
        <v>115.85053320935441</v>
      </c>
      <c r="Q37" s="863">
        <f>OpMod!AF243</f>
        <v>140.32129448281512</v>
      </c>
      <c r="R37" s="490"/>
      <c r="S37" s="863"/>
      <c r="T37" s="864"/>
      <c r="U37" s="490"/>
      <c r="V37" s="865"/>
      <c r="W37" s="490"/>
    </row>
    <row r="38" spans="2:23" hidden="1" outlineLevel="1">
      <c r="B38" s="193"/>
      <c r="C38" s="863"/>
      <c r="D38" s="863"/>
      <c r="E38" s="863"/>
      <c r="F38" s="863"/>
      <c r="G38" s="863"/>
      <c r="H38" s="863"/>
      <c r="I38" s="863"/>
      <c r="J38" s="863"/>
      <c r="K38" s="863"/>
      <c r="L38" s="863"/>
      <c r="M38" s="863"/>
      <c r="N38" s="863"/>
      <c r="O38" s="863"/>
      <c r="P38" s="863"/>
      <c r="Q38" s="863"/>
      <c r="R38" s="490"/>
      <c r="S38" s="863"/>
      <c r="T38" s="864"/>
      <c r="U38" s="490"/>
      <c r="V38" s="865"/>
      <c r="W38" s="490"/>
    </row>
    <row r="39" spans="2:23" hidden="1" outlineLevel="1">
      <c r="B39" s="193" t="s">
        <v>775</v>
      </c>
      <c r="C39" s="863">
        <f>OpMod!R248</f>
        <v>18</v>
      </c>
      <c r="D39" s="863">
        <f>OpMod!S248</f>
        <v>0</v>
      </c>
      <c r="E39" s="863">
        <f>OpMod!T248</f>
        <v>0</v>
      </c>
      <c r="F39" s="863">
        <f>OpMod!U248</f>
        <v>0</v>
      </c>
      <c r="G39" s="863">
        <f>OpMod!V248</f>
        <v>0</v>
      </c>
      <c r="H39" s="863">
        <f>OpMod!W248</f>
        <v>0</v>
      </c>
      <c r="I39" s="863">
        <f>OpMod!X248</f>
        <v>0</v>
      </c>
      <c r="J39" s="863">
        <f>OpMod!Y248</f>
        <v>0</v>
      </c>
      <c r="K39" s="863">
        <f>OpMod!Z248</f>
        <v>0</v>
      </c>
      <c r="L39" s="863">
        <f>OpMod!AA248</f>
        <v>0</v>
      </c>
      <c r="M39" s="863">
        <f>OpMod!AB248</f>
        <v>0</v>
      </c>
      <c r="N39" s="863">
        <f>OpMod!AC248</f>
        <v>0</v>
      </c>
      <c r="O39" s="863">
        <f>OpMod!AD248</f>
        <v>0</v>
      </c>
      <c r="P39" s="863">
        <f>OpMod!AE248</f>
        <v>0</v>
      </c>
      <c r="Q39" s="863">
        <f>OpMod!AF248</f>
        <v>0</v>
      </c>
      <c r="R39" s="490"/>
      <c r="S39" s="863"/>
      <c r="T39" s="864"/>
      <c r="U39" s="490"/>
      <c r="V39" s="865"/>
      <c r="W39" s="490"/>
    </row>
    <row r="40" spans="2:23" hidden="1" outlineLevel="1">
      <c r="B40" s="193"/>
      <c r="C40" s="863"/>
      <c r="D40" s="863"/>
      <c r="E40" s="863"/>
      <c r="F40" s="863"/>
      <c r="G40" s="863"/>
      <c r="H40" s="863"/>
      <c r="I40" s="863"/>
      <c r="J40" s="863"/>
      <c r="K40" s="863"/>
      <c r="L40" s="863"/>
      <c r="M40" s="863"/>
      <c r="N40" s="863"/>
      <c r="O40" s="863"/>
      <c r="P40" s="863"/>
      <c r="Q40" s="863"/>
      <c r="R40" s="490"/>
      <c r="S40" s="863"/>
      <c r="T40" s="864"/>
      <c r="U40" s="490"/>
      <c r="V40" s="865"/>
      <c r="W40" s="490"/>
    </row>
    <row r="41" spans="2:23" hidden="1" outlineLevel="1">
      <c r="B41" s="193" t="s">
        <v>773</v>
      </c>
      <c r="C41" s="863">
        <f>OpMod!R251</f>
        <v>-429</v>
      </c>
      <c r="D41" s="863">
        <f>OpMod!S251</f>
        <v>-1005</v>
      </c>
      <c r="E41" s="863">
        <f>OpMod!T251</f>
        <v>-187</v>
      </c>
      <c r="F41" s="863">
        <f>OpMod!U251</f>
        <v>2128</v>
      </c>
      <c r="G41" s="863">
        <f>OpMod!V251</f>
        <v>2697</v>
      </c>
      <c r="H41" s="863">
        <f>OpMod!W251</f>
        <v>3744</v>
      </c>
      <c r="I41" s="863">
        <f>OpMod!X251</f>
        <v>1213</v>
      </c>
      <c r="J41" s="863">
        <f>OpMod!Y251</f>
        <v>1196</v>
      </c>
      <c r="K41" s="863">
        <f>OpMod!Z251</f>
        <v>1772</v>
      </c>
      <c r="L41" s="863">
        <f>OpMod!AA251</f>
        <v>2829</v>
      </c>
      <c r="M41" s="863">
        <f>OpMod!AB251</f>
        <v>4148</v>
      </c>
      <c r="N41" s="863">
        <f>OpMod!AC251</f>
        <v>5265.0467839715911</v>
      </c>
      <c r="O41" s="863">
        <f>OpMod!AD251</f>
        <v>6113.8410754136939</v>
      </c>
      <c r="P41" s="863">
        <f>OpMod!AE251</f>
        <v>6960.8329117547246</v>
      </c>
      <c r="Q41" s="863">
        <f>OpMod!AF251</f>
        <v>7744.5100254779372</v>
      </c>
      <c r="R41" s="490"/>
      <c r="S41" s="863"/>
      <c r="T41" s="864"/>
      <c r="U41" s="490"/>
      <c r="V41" s="865"/>
      <c r="W41" s="490"/>
    </row>
    <row r="42" spans="2:23" hidden="1" outlineLevel="1">
      <c r="B42" s="193"/>
      <c r="C42" s="863"/>
      <c r="D42" s="863"/>
      <c r="E42" s="863"/>
      <c r="F42" s="863"/>
      <c r="G42" s="863"/>
      <c r="H42" s="863"/>
      <c r="I42" s="863"/>
      <c r="J42" s="863"/>
      <c r="K42" s="863"/>
      <c r="L42" s="863"/>
      <c r="M42" s="863"/>
      <c r="N42" s="863"/>
      <c r="O42" s="863"/>
      <c r="P42" s="863"/>
      <c r="Q42" s="863"/>
      <c r="R42" s="490"/>
      <c r="S42" s="863"/>
      <c r="T42" s="864"/>
      <c r="U42" s="490"/>
      <c r="V42" s="865"/>
      <c r="W42" s="490"/>
    </row>
    <row r="43" spans="2:23" hidden="1" outlineLevel="1">
      <c r="B43" s="862" t="s">
        <v>771</v>
      </c>
      <c r="C43" s="863">
        <f>OpMod!R255</f>
        <v>-522</v>
      </c>
      <c r="D43" s="863">
        <f>OpMod!S255</f>
        <v>-403</v>
      </c>
      <c r="E43" s="863">
        <f>OpMod!T255</f>
        <v>-498</v>
      </c>
      <c r="F43" s="863">
        <f>OpMod!U255</f>
        <v>-542</v>
      </c>
      <c r="G43" s="863">
        <f>OpMod!V255</f>
        <v>-638</v>
      </c>
      <c r="H43" s="863">
        <f>OpMod!W255</f>
        <v>-1012</v>
      </c>
      <c r="I43" s="863">
        <f>OpMod!X255</f>
        <v>-334</v>
      </c>
      <c r="J43" s="863">
        <f>OpMod!Y255</f>
        <v>-412</v>
      </c>
      <c r="K43" s="863">
        <f>OpMod!Z255</f>
        <v>-557</v>
      </c>
      <c r="L43" s="863">
        <f>OpMod!AA255</f>
        <v>-724</v>
      </c>
      <c r="M43" s="863">
        <f>OpMod!AB255</f>
        <v>-987</v>
      </c>
      <c r="N43" s="863">
        <f>OpMod!AC255</f>
        <v>-1801.6990094750786</v>
      </c>
      <c r="O43" s="863">
        <f>OpMod!AD255</f>
        <v>-1840.8775478070634</v>
      </c>
      <c r="P43" s="863">
        <f>OpMod!AE255</f>
        <v>-1809.8165570562285</v>
      </c>
      <c r="Q43" s="863">
        <f>OpMod!AF255</f>
        <v>-2013.5726066242637</v>
      </c>
      <c r="R43" s="490"/>
      <c r="S43" s="863"/>
      <c r="T43" s="864"/>
      <c r="U43" s="490"/>
      <c r="V43" s="865"/>
      <c r="W43" s="490"/>
    </row>
    <row r="44" spans="2:23" hidden="1" outlineLevel="1">
      <c r="B44" s="862" t="s">
        <v>770</v>
      </c>
      <c r="C44" s="877">
        <f>OpMod!R256</f>
        <v>1.2167832167832169</v>
      </c>
      <c r="D44" s="877">
        <f>OpMod!S256</f>
        <v>0.40099502487562189</v>
      </c>
      <c r="E44" s="877">
        <f>OpMod!T256</f>
        <v>2.6631016042780749</v>
      </c>
      <c r="F44" s="877">
        <f>OpMod!U256</f>
        <v>-0.25469924812030076</v>
      </c>
      <c r="G44" s="877">
        <f>OpMod!V256</f>
        <v>-0.23655913978494625</v>
      </c>
      <c r="H44" s="877">
        <f>OpMod!W256</f>
        <v>-0.27029914529914528</v>
      </c>
      <c r="I44" s="877">
        <f>OpMod!X256</f>
        <v>-0.27535037098103876</v>
      </c>
      <c r="J44" s="877">
        <f>OpMod!Y256</f>
        <v>-0.34448160535117056</v>
      </c>
      <c r="K44" s="877">
        <f>OpMod!Z256</f>
        <v>-0.31433408577878102</v>
      </c>
      <c r="L44" s="877">
        <f>OpMod!AA256</f>
        <v>-0.25592082007776601</v>
      </c>
      <c r="M44" s="877">
        <f>OpMod!AB256</f>
        <v>-0.23794599807135969</v>
      </c>
      <c r="N44" s="877">
        <f>OpMod!AC256</f>
        <v>-0.3422</v>
      </c>
      <c r="O44" s="877">
        <f>OpMod!AD256</f>
        <v>-0.30110000000000003</v>
      </c>
      <c r="P44" s="877">
        <f>OpMod!AE256</f>
        <v>-0.26</v>
      </c>
      <c r="Q44" s="877">
        <f>OpMod!AF256</f>
        <v>-0.26</v>
      </c>
      <c r="R44" s="490"/>
      <c r="S44" s="877"/>
      <c r="T44" s="864"/>
      <c r="U44" s="490"/>
      <c r="V44" s="878"/>
      <c r="W44" s="490"/>
    </row>
    <row r="45" spans="2:23" hidden="1" outlineLevel="1">
      <c r="B45" s="193"/>
      <c r="C45" s="318"/>
      <c r="D45" s="318"/>
      <c r="E45" s="318"/>
      <c r="F45" s="318"/>
      <c r="G45" s="318"/>
      <c r="H45" s="318"/>
      <c r="I45" s="318"/>
      <c r="J45" s="318"/>
      <c r="K45" s="318"/>
      <c r="L45" s="318"/>
      <c r="M45" s="318"/>
      <c r="N45" s="318"/>
      <c r="O45" s="318"/>
      <c r="P45" s="318"/>
      <c r="Q45" s="318"/>
      <c r="R45" s="490"/>
      <c r="S45" s="318"/>
      <c r="T45" s="864"/>
      <c r="U45" s="490"/>
      <c r="V45" s="861"/>
      <c r="W45" s="490"/>
    </row>
    <row r="46" spans="2:23" hidden="1" outlineLevel="1">
      <c r="B46" s="862" t="s">
        <v>768</v>
      </c>
      <c r="C46" s="863">
        <f>OpMod!R259</f>
        <v>-65</v>
      </c>
      <c r="D46" s="863">
        <f>OpMod!S259</f>
        <v>-50</v>
      </c>
      <c r="E46" s="863">
        <f>OpMod!T259</f>
        <v>-55</v>
      </c>
      <c r="F46" s="863">
        <f>OpMod!U259</f>
        <v>-64</v>
      </c>
      <c r="G46" s="863">
        <f>OpMod!V259</f>
        <v>-78</v>
      </c>
      <c r="H46" s="863">
        <f>OpMod!W259</f>
        <v>-67</v>
      </c>
      <c r="I46" s="863">
        <f>OpMod!X259</f>
        <v>-35</v>
      </c>
      <c r="J46" s="863">
        <f>OpMod!Y259</f>
        <v>-24</v>
      </c>
      <c r="K46" s="863">
        <f>OpMod!Z259</f>
        <v>-37</v>
      </c>
      <c r="L46" s="863">
        <f>OpMod!AA259</f>
        <v>-77</v>
      </c>
      <c r="M46" s="863">
        <f>OpMod!AB259</f>
        <v>-93</v>
      </c>
      <c r="N46" s="863">
        <f>OpMod!AC259</f>
        <v>-102.88746416730811</v>
      </c>
      <c r="O46" s="863">
        <f>OpMod!AD259</f>
        <v>-114.58742296451408</v>
      </c>
      <c r="P46" s="863">
        <f>OpMod!AE259</f>
        <v>-126.70278375374625</v>
      </c>
      <c r="Q46" s="863">
        <f>OpMod!AF259</f>
        <v>-137.42381765562197</v>
      </c>
      <c r="R46" s="490"/>
      <c r="S46" s="879"/>
      <c r="T46" s="864"/>
      <c r="U46" s="490"/>
      <c r="V46" s="880"/>
      <c r="W46" s="490"/>
    </row>
    <row r="47" spans="2:23" hidden="1" outlineLevel="1">
      <c r="B47" s="862" t="s">
        <v>767</v>
      </c>
      <c r="C47" s="863">
        <f>OpMod!R260</f>
        <v>0</v>
      </c>
      <c r="D47" s="863">
        <f>OpMod!S260</f>
        <v>421</v>
      </c>
      <c r="E47" s="863">
        <f>OpMod!T260</f>
        <v>0</v>
      </c>
      <c r="F47" s="863">
        <f>OpMod!U260</f>
        <v>0</v>
      </c>
      <c r="G47" s="863">
        <f>OpMod!V260</f>
        <v>0</v>
      </c>
      <c r="H47" s="863">
        <f>OpMod!W260</f>
        <v>0</v>
      </c>
      <c r="I47" s="863">
        <f>OpMod!X260</f>
        <v>0</v>
      </c>
      <c r="J47" s="863">
        <f>OpMod!Y260</f>
        <v>0</v>
      </c>
      <c r="K47" s="863">
        <f>OpMod!Z260</f>
        <v>0</v>
      </c>
      <c r="L47" s="863">
        <f>OpMod!AA260</f>
        <v>0</v>
      </c>
      <c r="M47" s="863">
        <f>OpMod!AB260</f>
        <v>0</v>
      </c>
      <c r="N47" s="863">
        <f>OpMod!AC260</f>
        <v>0</v>
      </c>
      <c r="O47" s="863">
        <f>OpMod!AD260</f>
        <v>0</v>
      </c>
      <c r="P47" s="863">
        <f>OpMod!AE260</f>
        <v>0</v>
      </c>
      <c r="Q47" s="863">
        <f>OpMod!AF260</f>
        <v>0</v>
      </c>
      <c r="R47" s="490"/>
      <c r="S47" s="318"/>
      <c r="T47" s="864"/>
      <c r="U47" s="490"/>
      <c r="V47" s="861"/>
      <c r="W47" s="490"/>
    </row>
    <row r="48" spans="2:23" hidden="1" outlineLevel="1" collapsed="1">
      <c r="B48" s="862" t="s">
        <v>998</v>
      </c>
      <c r="C48" s="863"/>
      <c r="D48" s="863"/>
      <c r="E48" s="863">
        <f>E37</f>
        <v>-144</v>
      </c>
      <c r="F48" s="863">
        <f t="shared" ref="F48:K48" si="2">F37</f>
        <v>26</v>
      </c>
      <c r="G48" s="863">
        <f t="shared" si="2"/>
        <v>-211</v>
      </c>
      <c r="H48" s="863">
        <f t="shared" si="2"/>
        <v>-89</v>
      </c>
      <c r="I48" s="863">
        <f t="shared" si="2"/>
        <v>-7</v>
      </c>
      <c r="J48" s="863">
        <f t="shared" si="2"/>
        <v>-204</v>
      </c>
      <c r="K48" s="863">
        <f t="shared" si="2"/>
        <v>-186</v>
      </c>
      <c r="L48" s="863">
        <f t="shared" ref="L48:Q48" si="3">L37</f>
        <v>174</v>
      </c>
      <c r="M48" s="863">
        <f t="shared" si="3"/>
        <v>23</v>
      </c>
      <c r="N48" s="863">
        <f t="shared" si="3"/>
        <v>85.985000000000014</v>
      </c>
      <c r="O48" s="863">
        <f t="shared" si="3"/>
        <v>98.92821272622497</v>
      </c>
      <c r="P48" s="863">
        <f t="shared" si="3"/>
        <v>115.85053320935441</v>
      </c>
      <c r="Q48" s="863">
        <f t="shared" si="3"/>
        <v>140.32129448281512</v>
      </c>
      <c r="R48" s="490"/>
      <c r="S48" s="863"/>
      <c r="T48" s="864"/>
      <c r="U48" s="490"/>
      <c r="V48" s="865" t="s">
        <v>1287</v>
      </c>
      <c r="W48" s="490"/>
    </row>
    <row r="49" spans="1:23" hidden="1" outlineLevel="1">
      <c r="B49" s="862" t="s">
        <v>947</v>
      </c>
      <c r="C49" s="863"/>
      <c r="D49" s="863"/>
      <c r="E49" s="863">
        <f>E43</f>
        <v>-498</v>
      </c>
      <c r="F49" s="863">
        <f t="shared" ref="F49:K49" si="4">F43</f>
        <v>-542</v>
      </c>
      <c r="G49" s="863">
        <f t="shared" si="4"/>
        <v>-638</v>
      </c>
      <c r="H49" s="863">
        <f t="shared" si="4"/>
        <v>-1012</v>
      </c>
      <c r="I49" s="863">
        <f t="shared" si="4"/>
        <v>-334</v>
      </c>
      <c r="J49" s="863">
        <f t="shared" si="4"/>
        <v>-412</v>
      </c>
      <c r="K49" s="863">
        <f t="shared" si="4"/>
        <v>-557</v>
      </c>
      <c r="L49" s="863">
        <f t="shared" ref="L49:Q49" si="5">L43</f>
        <v>-724</v>
      </c>
      <c r="M49" s="863">
        <f t="shared" si="5"/>
        <v>-987</v>
      </c>
      <c r="N49" s="863">
        <f t="shared" si="5"/>
        <v>-1801.6990094750786</v>
      </c>
      <c r="O49" s="863">
        <f t="shared" si="5"/>
        <v>-1840.8775478070634</v>
      </c>
      <c r="P49" s="863">
        <f t="shared" si="5"/>
        <v>-1809.8165570562285</v>
      </c>
      <c r="Q49" s="863">
        <f t="shared" si="5"/>
        <v>-2013.5726066242637</v>
      </c>
      <c r="R49" s="490"/>
      <c r="S49" s="863"/>
      <c r="T49" s="864"/>
      <c r="U49" s="490"/>
      <c r="V49" s="865" t="s">
        <v>1307</v>
      </c>
      <c r="W49" s="490"/>
    </row>
    <row r="50" spans="1:23" hidden="1" outlineLevel="1">
      <c r="B50" s="862" t="s">
        <v>776</v>
      </c>
      <c r="C50" s="879"/>
      <c r="D50" s="879"/>
      <c r="E50" s="879">
        <f>E46</f>
        <v>-55</v>
      </c>
      <c r="F50" s="879">
        <f t="shared" ref="F50:K50" si="6">F46</f>
        <v>-64</v>
      </c>
      <c r="G50" s="879">
        <f t="shared" si="6"/>
        <v>-78</v>
      </c>
      <c r="H50" s="879">
        <f t="shared" si="6"/>
        <v>-67</v>
      </c>
      <c r="I50" s="879">
        <f t="shared" si="6"/>
        <v>-35</v>
      </c>
      <c r="J50" s="879">
        <f t="shared" si="6"/>
        <v>-24</v>
      </c>
      <c r="K50" s="879">
        <f t="shared" si="6"/>
        <v>-37</v>
      </c>
      <c r="L50" s="879">
        <f t="shared" ref="L50:Q50" si="7">L46</f>
        <v>-77</v>
      </c>
      <c r="M50" s="879">
        <f t="shared" si="7"/>
        <v>-93</v>
      </c>
      <c r="N50" s="879">
        <f t="shared" si="7"/>
        <v>-102.88746416730811</v>
      </c>
      <c r="O50" s="879">
        <f t="shared" si="7"/>
        <v>-114.58742296451408</v>
      </c>
      <c r="P50" s="879">
        <f t="shared" si="7"/>
        <v>-126.70278375374625</v>
      </c>
      <c r="Q50" s="879">
        <f t="shared" si="7"/>
        <v>-137.42381765562197</v>
      </c>
      <c r="R50" s="490"/>
      <c r="S50" s="879"/>
      <c r="T50" s="864"/>
      <c r="U50" s="490"/>
      <c r="V50" s="880"/>
      <c r="W50" s="490"/>
    </row>
    <row r="51" spans="1:23" hidden="1" outlineLevel="1">
      <c r="B51" s="193"/>
      <c r="C51" s="318"/>
      <c r="D51" s="318"/>
      <c r="E51" s="318"/>
      <c r="F51" s="318"/>
      <c r="G51" s="318"/>
      <c r="H51" s="318"/>
      <c r="I51" s="318"/>
      <c r="J51" s="318"/>
      <c r="K51" s="318"/>
      <c r="L51" s="318"/>
      <c r="M51" s="318"/>
      <c r="N51" s="318"/>
      <c r="O51" s="318"/>
      <c r="P51" s="318"/>
      <c r="Q51" s="318"/>
      <c r="R51" s="490"/>
      <c r="S51" s="318"/>
      <c r="T51" s="864"/>
      <c r="U51" s="490"/>
      <c r="V51" s="861"/>
      <c r="W51" s="490"/>
    </row>
    <row r="52" spans="1:23" collapsed="1">
      <c r="B52" s="862" t="s">
        <v>765</v>
      </c>
      <c r="C52" s="863">
        <f>OpMod!R263</f>
        <v>-1016</v>
      </c>
      <c r="D52" s="863">
        <f>OpMod!S263</f>
        <v>-1037</v>
      </c>
      <c r="E52" s="863">
        <f>OpMod!T263</f>
        <v>-740</v>
      </c>
      <c r="F52" s="863">
        <f>OpMod!U263</f>
        <v>1522</v>
      </c>
      <c r="G52" s="863">
        <f>OpMod!V263</f>
        <v>1981</v>
      </c>
      <c r="H52" s="863">
        <f>OpMod!W263</f>
        <v>2665</v>
      </c>
      <c r="I52" s="863">
        <f>OpMod!X263</f>
        <v>844</v>
      </c>
      <c r="J52" s="863">
        <f>OpMod!Y263</f>
        <v>760</v>
      </c>
      <c r="K52" s="863">
        <f>OpMod!Z263</f>
        <v>1178</v>
      </c>
      <c r="L52" s="863">
        <f>OpMod!AA263</f>
        <v>2028</v>
      </c>
      <c r="M52" s="863">
        <f>OpMod!AB263</f>
        <v>3068</v>
      </c>
      <c r="N52" s="863">
        <f>OpMod!AC263</f>
        <v>3360.4603103292043</v>
      </c>
      <c r="O52" s="863">
        <f>OpMod!AD263</f>
        <v>4158.3761046421168</v>
      </c>
      <c r="P52" s="863">
        <f>OpMod!AE263</f>
        <v>5024.3135709447497</v>
      </c>
      <c r="Q52" s="863">
        <f>OpMod!AF263</f>
        <v>5593.5136011980512</v>
      </c>
      <c r="R52" s="490"/>
      <c r="S52" s="864">
        <f>(J52/E52)^0.2-1</f>
        <v>-2.0053478986466833</v>
      </c>
      <c r="T52" s="864">
        <f t="shared" ref="T52:T53" si="8">(O52/J52)^0.2-1</f>
        <v>0.40482437765259638</v>
      </c>
      <c r="U52" s="490"/>
      <c r="V52" s="865"/>
      <c r="W52" s="490"/>
    </row>
    <row r="53" spans="1:23" s="57" customFormat="1">
      <c r="A53" s="881"/>
      <c r="B53" s="874" t="s">
        <v>1156</v>
      </c>
      <c r="C53" s="882">
        <f>OpMod!R268</f>
        <v>-2.4398832460152908</v>
      </c>
      <c r="D53" s="882">
        <f>OpMod!S268</f>
        <v>-2.4834217171627366</v>
      </c>
      <c r="E53" s="882">
        <f>OpMod!T268</f>
        <v>-1.7774570113735004</v>
      </c>
      <c r="F53" s="882">
        <f>OpMod!U268</f>
        <v>3.7100139685438545</v>
      </c>
      <c r="G53" s="882">
        <f>OpMod!V268</f>
        <v>4.5972283748732714</v>
      </c>
      <c r="H53" s="882">
        <f>OpMod!W268</f>
        <v>6.2016640789088857</v>
      </c>
      <c r="I53" s="882">
        <f>OpMod!X268</f>
        <v>1.9810544905186496</v>
      </c>
      <c r="J53" s="882">
        <f>OpMod!Y268</f>
        <v>1.7813178083673538</v>
      </c>
      <c r="K53" s="882">
        <f>OpMod!Z268</f>
        <v>2.760846972259162</v>
      </c>
      <c r="L53" s="882">
        <f>OpMod!AA268</f>
        <v>4.8540495022861565</v>
      </c>
      <c r="M53" s="882">
        <f>OpMod!AB268</f>
        <v>7.3723500300480929</v>
      </c>
      <c r="N53" s="882">
        <f>OpMod!AC268</f>
        <v>8.1631379446287493</v>
      </c>
      <c r="O53" s="882">
        <f>OpMod!AD268</f>
        <v>10.212721701231809</v>
      </c>
      <c r="P53" s="882">
        <f>OpMod!AE268</f>
        <v>12.4768963857899</v>
      </c>
      <c r="Q53" s="882">
        <f>OpMod!AF268</f>
        <v>14.046901904032515</v>
      </c>
      <c r="R53" s="875"/>
      <c r="S53" s="868">
        <f>(J53/E53)^0.2-1</f>
        <v>-2.000434041097412</v>
      </c>
      <c r="T53" s="868">
        <f t="shared" si="8"/>
        <v>0.418012363892587</v>
      </c>
      <c r="U53" s="875"/>
      <c r="V53" s="883"/>
      <c r="W53" s="875"/>
    </row>
    <row r="54" spans="1:23">
      <c r="B54" s="193"/>
      <c r="C54" s="318"/>
      <c r="D54" s="318"/>
      <c r="E54" s="318"/>
      <c r="F54" s="318"/>
      <c r="G54" s="318"/>
      <c r="H54" s="318"/>
      <c r="I54" s="318"/>
      <c r="J54" s="318"/>
      <c r="K54" s="318"/>
      <c r="L54" s="318"/>
      <c r="M54" s="318"/>
      <c r="N54" s="318"/>
      <c r="O54" s="318"/>
      <c r="P54" s="318"/>
      <c r="Q54" s="318"/>
      <c r="R54" s="490"/>
      <c r="S54" s="318"/>
      <c r="T54" s="864"/>
      <c r="U54" s="490"/>
      <c r="V54" s="861"/>
      <c r="W54" s="490"/>
    </row>
    <row r="55" spans="1:23">
      <c r="B55" s="213" t="s">
        <v>795</v>
      </c>
      <c r="C55" s="884"/>
      <c r="D55" s="884"/>
      <c r="E55" s="884">
        <f>SUM('Cashflow Statement'!R18:'Cashflow Statement'!R21)</f>
        <v>-168</v>
      </c>
      <c r="F55" s="884">
        <f>SUM('Cashflow Statement'!S18:'Cashflow Statement'!S21)</f>
        <v>691</v>
      </c>
      <c r="G55" s="884">
        <f>SUM('Cashflow Statement'!T18:'Cashflow Statement'!T21)</f>
        <v>-27</v>
      </c>
      <c r="H55" s="884">
        <f>SUM('Cashflow Statement'!U18:'Cashflow Statement'!U21)</f>
        <v>-897</v>
      </c>
      <c r="I55" s="884">
        <f>SUM('Cashflow Statement'!V18:'Cashflow Statement'!V21)</f>
        <v>-8</v>
      </c>
      <c r="J55" s="884">
        <f>SUM('Cashflow Statement'!W18:'Cashflow Statement'!W21)</f>
        <v>250</v>
      </c>
      <c r="K55" s="884">
        <f>SUM('Cashflow Statement'!X18:'Cashflow Statement'!X21)</f>
        <v>729</v>
      </c>
      <c r="L55" s="884">
        <f>SUM('Cashflow Statement'!Y18:'Cashflow Statement'!Y21)</f>
        <v>758</v>
      </c>
      <c r="M55" s="884">
        <f>SUM('Cashflow Statement'!Z18:'Cashflow Statement'!Z21)</f>
        <v>7</v>
      </c>
      <c r="N55" s="884">
        <f>SUM('Cashflow Statement'!AA18:'Cashflow Statement'!AA21)</f>
        <v>134.24465624493496</v>
      </c>
      <c r="O55" s="884">
        <f>SUM('Cashflow Statement'!AB18:'Cashflow Statement'!AB21)</f>
        <v>228.01263880030092</v>
      </c>
      <c r="P55" s="884">
        <f>SUM('Cashflow Statement'!AC18:'Cashflow Statement'!AC21)</f>
        <v>-54.587281404747046</v>
      </c>
      <c r="Q55" s="884">
        <f>SUM('Cashflow Statement'!AD18:'Cashflow Statement'!AD21)</f>
        <v>-501.92971793559809</v>
      </c>
      <c r="R55" s="490"/>
      <c r="S55" s="864">
        <f t="shared" ref="S55:S59" si="9">(J55/E55)^0.2-1</f>
        <v>-2.0827448965556545</v>
      </c>
      <c r="T55" s="885">
        <f t="shared" ref="T55:T59" si="10">(O55/J55)^0.2-1</f>
        <v>-1.8243506583776048E-2</v>
      </c>
      <c r="U55" s="490"/>
      <c r="V55" s="886" t="s">
        <v>1311</v>
      </c>
      <c r="W55" s="490"/>
    </row>
    <row r="56" spans="1:23">
      <c r="B56" s="213" t="s">
        <v>1129</v>
      </c>
      <c r="C56" s="884"/>
      <c r="D56" s="884"/>
      <c r="E56" s="884">
        <f>'Cashflow Statement'!R5+'Cashflow Statement'!R7</f>
        <v>726</v>
      </c>
      <c r="F56" s="884">
        <f>'Cashflow Statement'!S5+'Cashflow Statement'!S7</f>
        <v>788</v>
      </c>
      <c r="G56" s="884">
        <f>'Cashflow Statement'!T5+'Cashflow Statement'!T7</f>
        <v>1209</v>
      </c>
      <c r="H56" s="884">
        <f>'Cashflow Statement'!U5+'Cashflow Statement'!U7</f>
        <v>1463</v>
      </c>
      <c r="I56" s="884">
        <f>'Cashflow Statement'!V5+'Cashflow Statement'!V7</f>
        <v>1447</v>
      </c>
      <c r="J56" s="884">
        <f>'Cashflow Statement'!W5+'Cashflow Statement'!W7</f>
        <v>1380</v>
      </c>
      <c r="K56" s="884">
        <f>'Cashflow Statement'!X5+'Cashflow Statement'!X7</f>
        <v>1373</v>
      </c>
      <c r="L56" s="884">
        <f>'Cashflow Statement'!Y5+'Cashflow Statement'!Y7</f>
        <v>1336</v>
      </c>
      <c r="M56" s="884">
        <f>'Cashflow Statement'!Z5+'Cashflow Statement'!Z7</f>
        <v>1406</v>
      </c>
      <c r="N56" s="884">
        <f>'Cashflow Statement'!AA5+'Cashflow Statement'!AA7</f>
        <v>1572.3888545569043</v>
      </c>
      <c r="O56" s="884">
        <f>'Cashflow Statement'!AB5+'Cashflow Statement'!AB7</f>
        <v>1819.1631042456681</v>
      </c>
      <c r="P56" s="884">
        <f>'Cashflow Statement'!AC5+'Cashflow Statement'!AC7</f>
        <v>1935.1625545397319</v>
      </c>
      <c r="Q56" s="884">
        <f>'Cashflow Statement'!AD5+'Cashflow Statement'!AD7</f>
        <v>2098.9075231837023</v>
      </c>
      <c r="R56" s="490"/>
      <c r="S56" s="864">
        <f t="shared" si="9"/>
        <v>0.13707338195669916</v>
      </c>
      <c r="T56" s="885">
        <f t="shared" si="10"/>
        <v>5.6813884795049896E-2</v>
      </c>
      <c r="U56" s="490"/>
      <c r="V56" s="886"/>
      <c r="W56" s="490"/>
    </row>
    <row r="57" spans="1:23">
      <c r="B57" s="213" t="s">
        <v>776</v>
      </c>
      <c r="C57" s="884"/>
      <c r="D57" s="884"/>
      <c r="E57" s="884">
        <f>E58-E55-E52-E56</f>
        <v>2665</v>
      </c>
      <c r="F57" s="884">
        <f t="shared" ref="F57:K57" si="11">F58-F55-F52-F56</f>
        <v>-249</v>
      </c>
      <c r="G57" s="884">
        <f t="shared" si="11"/>
        <v>-92</v>
      </c>
      <c r="H57" s="884">
        <f t="shared" si="11"/>
        <v>-86</v>
      </c>
      <c r="I57" s="884">
        <f t="shared" si="11"/>
        <v>-417</v>
      </c>
      <c r="J57" s="884">
        <f t="shared" si="11"/>
        <v>46</v>
      </c>
      <c r="K57" s="884">
        <f t="shared" si="11"/>
        <v>265</v>
      </c>
      <c r="L57" s="884">
        <f t="shared" ref="L57:Q57" si="12">L58-L55-L52-L56</f>
        <v>148</v>
      </c>
      <c r="M57" s="884">
        <f t="shared" si="12"/>
        <v>252</v>
      </c>
      <c r="N57" s="884">
        <f t="shared" si="12"/>
        <v>551.30586416730921</v>
      </c>
      <c r="O57" s="884">
        <f t="shared" si="12"/>
        <v>104.15662296451433</v>
      </c>
      <c r="P57" s="884">
        <f t="shared" si="12"/>
        <v>47.422783753745534</v>
      </c>
      <c r="Q57" s="884">
        <f t="shared" si="12"/>
        <v>258.14381765561939</v>
      </c>
      <c r="R57" s="490"/>
      <c r="S57" s="864">
        <f t="shared" si="9"/>
        <v>-0.55597019393327485</v>
      </c>
      <c r="T57" s="885">
        <f t="shared" si="10"/>
        <v>0.17756750219002959</v>
      </c>
      <c r="U57" s="490"/>
      <c r="V57" s="886"/>
      <c r="W57" s="490"/>
    </row>
    <row r="58" spans="1:23" s="57" customFormat="1">
      <c r="A58" s="881"/>
      <c r="B58" s="887" t="s">
        <v>1285</v>
      </c>
      <c r="C58" s="888"/>
      <c r="D58" s="888"/>
      <c r="E58" s="888">
        <f>'Cashflow Statement'!R24</f>
        <v>2483</v>
      </c>
      <c r="F58" s="888">
        <f>'Cashflow Statement'!S24</f>
        <v>2752</v>
      </c>
      <c r="G58" s="888">
        <f>'Cashflow Statement'!T24</f>
        <v>3071</v>
      </c>
      <c r="H58" s="888">
        <f>'Cashflow Statement'!U24</f>
        <v>3145</v>
      </c>
      <c r="I58" s="888">
        <f>'Cashflow Statement'!V24</f>
        <v>1866</v>
      </c>
      <c r="J58" s="888">
        <f>'Cashflow Statement'!W24</f>
        <v>2436</v>
      </c>
      <c r="K58" s="888">
        <f>'Cashflow Statement'!X24</f>
        <v>3545</v>
      </c>
      <c r="L58" s="888">
        <f>'Cashflow Statement'!Y24</f>
        <v>4270</v>
      </c>
      <c r="M58" s="888">
        <f>'Cashflow Statement'!Z24</f>
        <v>4733</v>
      </c>
      <c r="N58" s="888">
        <f>'Cashflow Statement'!AA24</f>
        <v>5618.3996852983528</v>
      </c>
      <c r="O58" s="888">
        <f>'Cashflow Statement'!AB24</f>
        <v>6309.7084706526002</v>
      </c>
      <c r="P58" s="888">
        <f>'Cashflow Statement'!AC24</f>
        <v>6952.3116278334801</v>
      </c>
      <c r="Q58" s="888">
        <f>'Cashflow Statement'!AD24</f>
        <v>7448.6352241017748</v>
      </c>
      <c r="R58" s="875"/>
      <c r="S58" s="889">
        <f>(J58/E58)^0.2-1</f>
        <v>-3.8147366703493724E-3</v>
      </c>
      <c r="T58" s="889">
        <f t="shared" si="10"/>
        <v>0.20966858439137592</v>
      </c>
      <c r="U58" s="875"/>
      <c r="V58" s="890"/>
      <c r="W58" s="875"/>
    </row>
    <row r="59" spans="1:23">
      <c r="B59" s="213" t="s">
        <v>965</v>
      </c>
      <c r="C59" s="891"/>
      <c r="D59" s="891"/>
      <c r="E59" s="891">
        <f>'Cashflow Statement'!R26+'Cashflow Statement'!R28</f>
        <v>-1028</v>
      </c>
      <c r="F59" s="891">
        <f>'Cashflow Statement'!S26+'Cashflow Statement'!S28</f>
        <v>-1314</v>
      </c>
      <c r="G59" s="891">
        <f>'Cashflow Statement'!T26+'Cashflow Statement'!T28</f>
        <v>-1290</v>
      </c>
      <c r="H59" s="891">
        <f>'Cashflow Statement'!U26+'Cashflow Statement'!U28</f>
        <v>-1162</v>
      </c>
      <c r="I59" s="891">
        <f>'Cashflow Statement'!V26+'Cashflow Statement'!V28</f>
        <v>-793</v>
      </c>
      <c r="J59" s="891">
        <f>'Cashflow Statement'!W26+'Cashflow Statement'!W28</f>
        <v>-756</v>
      </c>
      <c r="K59" s="891">
        <f>'Cashflow Statement'!X26+'Cashflow Statement'!X28</f>
        <v>-879</v>
      </c>
      <c r="L59" s="891">
        <f>'Cashflow Statement'!Y26+'Cashflow Statement'!Y28</f>
        <v>-1325</v>
      </c>
      <c r="M59" s="891">
        <f>'Cashflow Statement'!Z26+'Cashflow Statement'!Z28</f>
        <v>-1544</v>
      </c>
      <c r="N59" s="891">
        <f>'Cashflow Statement'!AA26+'Cashflow Statement'!AA28</f>
        <v>-2099.7983461201693</v>
      </c>
      <c r="O59" s="891">
        <f>'Cashflow Statement'!AB26+'Cashflow Statement'!AB28</f>
        <v>-2103.4318007587094</v>
      </c>
      <c r="P59" s="891">
        <f>'Cashflow Statement'!AC26+'Cashflow Statement'!AC28</f>
        <v>-2076.823632399492</v>
      </c>
      <c r="Q59" s="891">
        <f>'Cashflow Statement'!AD26+'Cashflow Statement'!AD28</f>
        <v>-1999.0146582066595</v>
      </c>
      <c r="R59" s="490"/>
      <c r="S59" s="864">
        <f t="shared" si="9"/>
        <v>-5.9614906774350884E-2</v>
      </c>
      <c r="T59" s="885">
        <f t="shared" si="10"/>
        <v>0.22710387629986029</v>
      </c>
      <c r="U59" s="490"/>
      <c r="V59" s="892"/>
      <c r="W59" s="490"/>
    </row>
    <row r="60" spans="1:23">
      <c r="B60" s="261" t="s">
        <v>1286</v>
      </c>
      <c r="C60" s="893"/>
      <c r="D60" s="893"/>
      <c r="E60" s="893">
        <f t="shared" ref="E60:O60" si="13">E59/E9</f>
        <v>-6.5141626005956535E-2</v>
      </c>
      <c r="F60" s="893">
        <f t="shared" si="13"/>
        <v>-8.2366952924214878E-2</v>
      </c>
      <c r="G60" s="893">
        <f t="shared" si="13"/>
        <v>-6.1282660332541566E-2</v>
      </c>
      <c r="H60" s="893">
        <f t="shared" si="13"/>
        <v>-4.7159090909090907E-2</v>
      </c>
      <c r="I60" s="893">
        <f t="shared" si="13"/>
        <v>-4.8066432294823616E-2</v>
      </c>
      <c r="J60" s="893">
        <f t="shared" si="13"/>
        <v>-4.9551025758668155E-2</v>
      </c>
      <c r="K60" s="893">
        <f t="shared" si="13"/>
        <v>-4.6178092986603622E-2</v>
      </c>
      <c r="L60" s="893">
        <f t="shared" si="13"/>
        <v>-5.7114530798741327E-2</v>
      </c>
      <c r="M60" s="893">
        <f t="shared" si="13"/>
        <v>-5.6521579968517775E-2</v>
      </c>
      <c r="N60" s="893">
        <f t="shared" si="13"/>
        <v>-6.7744243997191422E-2</v>
      </c>
      <c r="O60" s="893">
        <f t="shared" si="13"/>
        <v>-6.0932466419132081E-2</v>
      </c>
      <c r="P60" s="893">
        <f t="shared" ref="P60:Q60" si="14">P59/P9</f>
        <v>-5.4408998873973248E-2</v>
      </c>
      <c r="Q60" s="893">
        <f t="shared" si="14"/>
        <v>-4.8284889763519953E-2</v>
      </c>
      <c r="R60" s="490"/>
      <c r="S60" s="893" t="s">
        <v>1517</v>
      </c>
      <c r="T60" s="885" t="s">
        <v>1517</v>
      </c>
      <c r="U60" s="490"/>
      <c r="V60" s="892"/>
      <c r="W60" s="490"/>
    </row>
    <row r="61" spans="1:23" s="57" customFormat="1">
      <c r="A61" s="881"/>
      <c r="B61" s="874" t="s">
        <v>1130</v>
      </c>
      <c r="C61" s="867">
        <f>'Cashflow Statement'!P57</f>
        <v>740</v>
      </c>
      <c r="D61" s="867">
        <f>'Cashflow Statement'!Q57</f>
        <v>929</v>
      </c>
      <c r="E61" s="867">
        <f>'Cashflow Statement'!R57</f>
        <v>1455</v>
      </c>
      <c r="F61" s="867">
        <f>'Cashflow Statement'!S57</f>
        <v>1438</v>
      </c>
      <c r="G61" s="867">
        <f>'Cashflow Statement'!T57</f>
        <v>1781</v>
      </c>
      <c r="H61" s="867">
        <f>'Cashflow Statement'!U57</f>
        <v>1983</v>
      </c>
      <c r="I61" s="867">
        <f>'Cashflow Statement'!V57</f>
        <v>1073</v>
      </c>
      <c r="J61" s="867">
        <f>'Cashflow Statement'!W57</f>
        <v>1680</v>
      </c>
      <c r="K61" s="867">
        <f>'Cashflow Statement'!X57</f>
        <v>2666</v>
      </c>
      <c r="L61" s="867">
        <f>'Cashflow Statement'!Y57</f>
        <v>2945</v>
      </c>
      <c r="M61" s="867">
        <f>'Cashflow Statement'!Z57</f>
        <v>3189</v>
      </c>
      <c r="N61" s="867">
        <f>'Cashflow Statement'!AA57</f>
        <v>3518.6013391781835</v>
      </c>
      <c r="O61" s="867">
        <f>'Cashflow Statement'!AB57</f>
        <v>4206.2766698938904</v>
      </c>
      <c r="P61" s="867">
        <f>'Cashflow Statement'!AC57</f>
        <v>4875.4879954339885</v>
      </c>
      <c r="Q61" s="867">
        <f>'Cashflow Statement'!AD57</f>
        <v>5449.6205658951149</v>
      </c>
      <c r="R61" s="875"/>
      <c r="S61" s="889">
        <f>(J61/E61)^0.2-1</f>
        <v>2.9175070127108294E-2</v>
      </c>
      <c r="T61" s="889">
        <f>(O61/J61)^0.2-1</f>
        <v>0.20148322250164896</v>
      </c>
      <c r="U61" s="875"/>
      <c r="V61" s="894" t="s">
        <v>1614</v>
      </c>
      <c r="W61" s="875"/>
    </row>
    <row r="62" spans="1:23">
      <c r="B62" s="895" t="s">
        <v>1308</v>
      </c>
      <c r="C62" s="877">
        <f t="shared" ref="C62:D62" si="15">C61/C52</f>
        <v>-0.72834645669291342</v>
      </c>
      <c r="D62" s="877">
        <f t="shared" si="15"/>
        <v>-0.89585342333654772</v>
      </c>
      <c r="E62" s="877">
        <f>E61/E52</f>
        <v>-1.9662162162162162</v>
      </c>
      <c r="F62" s="877">
        <f>F61/F52</f>
        <v>0.94480946123521681</v>
      </c>
      <c r="G62" s="877">
        <f>G61/G23</f>
        <v>0.5891498511412504</v>
      </c>
      <c r="H62" s="877">
        <f t="shared" ref="H62:O62" si="16">H61/H23</f>
        <v>0.51910994764397911</v>
      </c>
      <c r="I62" s="877">
        <f t="shared" si="16"/>
        <v>0.63641755634638197</v>
      </c>
      <c r="J62" s="877">
        <f t="shared" si="16"/>
        <v>0.93074792243767313</v>
      </c>
      <c r="K62" s="877">
        <f t="shared" si="16"/>
        <v>1.1071428571428572</v>
      </c>
      <c r="L62" s="877">
        <f t="shared" si="16"/>
        <v>0.93019583070120027</v>
      </c>
      <c r="M62" s="877">
        <f t="shared" si="16"/>
        <v>0.77421704297159499</v>
      </c>
      <c r="N62" s="877">
        <f t="shared" si="16"/>
        <v>0.67938972075361592</v>
      </c>
      <c r="O62" s="877">
        <f t="shared" si="16"/>
        <v>0.69930799762484375</v>
      </c>
      <c r="P62" s="877">
        <f t="shared" ref="P62:Q62" si="17">P61/P23</f>
        <v>0.71227181105907833</v>
      </c>
      <c r="Q62" s="877">
        <f t="shared" si="17"/>
        <v>0.71666035111439819</v>
      </c>
      <c r="R62" s="490" t="s">
        <v>1142</v>
      </c>
      <c r="S62" s="893" t="s">
        <v>1517</v>
      </c>
      <c r="T62" s="885" t="s">
        <v>1517</v>
      </c>
      <c r="U62" s="490" t="s">
        <v>1142</v>
      </c>
      <c r="V62" s="878"/>
      <c r="W62" s="490" t="s">
        <v>1142</v>
      </c>
    </row>
    <row r="63" spans="1:23">
      <c r="B63" s="896" t="s">
        <v>1550</v>
      </c>
      <c r="C63" s="877"/>
      <c r="D63" s="877"/>
      <c r="E63" s="877"/>
      <c r="F63" s="877"/>
      <c r="G63" s="877"/>
      <c r="H63" s="877"/>
      <c r="I63" s="877"/>
      <c r="J63" s="877"/>
      <c r="K63" s="877"/>
      <c r="L63" s="877"/>
      <c r="M63" s="877"/>
      <c r="N63" s="877"/>
      <c r="O63" s="877"/>
      <c r="P63" s="877"/>
      <c r="Q63" s="877"/>
      <c r="R63" s="490"/>
      <c r="S63" s="893"/>
      <c r="T63" s="864"/>
      <c r="U63" s="490"/>
      <c r="V63" s="878"/>
      <c r="W63" s="490"/>
    </row>
  </sheetData>
  <printOptions horizontalCentered="1" verticalCentered="1"/>
  <pageMargins left="0.7" right="0.7" top="0.75" bottom="0.75" header="0.3" footer="0.3"/>
  <pageSetup paperSize="9" orientation="portrait" r:id="rId1"/>
  <customProperties>
    <customPr name="Qube.Worksheet.Visibility" r:id="rId2"/>
    <customPr name="QXL_SHEET_ID" r:id="rId3"/>
  </customPropertie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98372F-D5EA-49E3-8AC4-387AEAE727DE}">
  <dimension ref="A1"/>
  <sheetViews>
    <sheetView workbookViewId="0">
      <selection activeCell="W54" sqref="W54"/>
    </sheetView>
  </sheetViews>
  <sheetFormatPr defaultRowHeight="14.25"/>
  <sheetData/>
  <pageMargins left="0.7" right="0.7" top="0.75" bottom="0.75" header="0.3" footer="0.3"/>
  <customProperties>
    <customPr name="Qube.Worksheet.Visibility" r:id="rId1"/>
  </customPropertie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p:coreProperties xmlns:dc="http://purl.org/dc/elements/1.1/" xmlns:cp="http://schemas.openxmlformats.org/package/2006/metadata/core-properties">
  <dc:creator>Andrew Steele</dc:creator>
  <cp:keywords/>
  <dc:description/>
  <dc:subject/>
  <dc:title/>
  <cp:category/>
  <cp:contentStatus/>
</cp:coreProperties>
</file>

<file path=customXml/item2.xml>��
</file>

<file path=customXml/item3.xml><?xml version="1.0" encoding="utf-8"?>
<Properties xmlns="http://schemas.openxmlformats.org/officeDocument/2006/extended-properties">
  <Company>Goldman Sachs &amp; Co</Company>
  <Manager/>
</Properties>
</file>

<file path=customXml/item4.xml><?xml version="1.0" encoding="utf-8"?>
<CoverPageProperties xmlns="http://schemas.microsoft.com/office/2006/coverPageProps">
  <PublishDate/>
  <Abstract/>
  <CompanyAddress/>
  <CompanyPhone/>
  <CompanyFax/>
  <CompanyEmail/>
</CoverPageProperties>
</file>

<file path=customXml/itemProps1.xml><?xml version="1.0" encoding="utf-8"?>
<ds:datastoreItem xmlns:ds="http://schemas.openxmlformats.org/officeDocument/2006/customXml" ds:itemID="{32FE8613-6EDE-4216-BD52-FDEE0643C083}">
  <ds:schemaRefs>
    <ds:schemaRef ds:uri="http://purl.org/dc/elements/1.1/"/>
    <ds:schemaRef ds:uri="http://schemas.openxmlformats.org/package/2006/metadata/core-properties"/>
  </ds:schemaRefs>
</ds:datastoreItem>
</file>

<file path=customXml/itemProps2.xml><?xml version="1.0" encoding="utf-8"?>
<ds:datastoreItem xmlns:ds="http://schemas.openxmlformats.org/officeDocument/2006/customXml" ds:itemID="{9862C8AE-C77A-4AC7-B2F7-3F5BBA43A699}">
  <ds:schemaRefs>
    <ds:schemaRef ds:uri="http://www.w3.org/2001/XMLSchema"/>
    <ds:schemaRef ds:uri="Exchange-SubmissionSheetWrapper"/>
  </ds:schemaRefs>
</ds:datastoreItem>
</file>

<file path=customXml/itemProps3.xml><?xml version="1.0" encoding="utf-8"?>
<ds:datastoreItem xmlns:ds="http://schemas.openxmlformats.org/officeDocument/2006/customXml" ds:itemID="{76EA9963-FEAD-4C63-AD8D-4352F312617E}">
  <ds:schemaRefs>
    <ds:schemaRef ds:uri="http://schemas.openxmlformats.org/officeDocument/2006/extended-properties"/>
  </ds:schemaRefs>
</ds:datastoreItem>
</file>

<file path=customXml/itemProps4.xml><?xml version="1.0" encoding="utf-8"?>
<ds:datastoreItem xmlns:ds="http://schemas.openxmlformats.org/officeDocument/2006/customXml" ds:itemID="{C788A911-D588-41BB-8EC7-3D52D09AB8CF}">
  <ds:schemaRefs>
    <ds:schemaRef ds:uri="http://schemas.microsoft.com/office/2006/coverPageProps"/>
  </ds:schemaRefs>
</ds:datastoreItem>
</file>

<file path=docMetadata/LabelInfo.xml><?xml version="1.0" encoding="utf-8"?>
<clbl:labelList xmlns:clbl="http://schemas.microsoft.com/office/2020/mipLabelMetadata">
  <clbl:label id="{a64882d5-5c68-43ae-b974-91da18426e9b}" enabled="1" method="Standard" siteId="{38651f6f-836b-4bdf-9615-4e255c290fea}"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29</vt:i4>
      </vt:variant>
      <vt:variant>
        <vt:lpstr>Named Ranges</vt:lpstr>
      </vt:variant>
      <vt:variant>
        <vt:i4>3</vt:i4>
      </vt:variant>
    </vt:vector>
  </HeadingPairs>
  <TitlesOfParts>
    <vt:vector size="32" baseType="lpstr">
      <vt:lpstr>_QP_SAF.PA</vt:lpstr>
      <vt:lpstr>Cover Page</vt:lpstr>
      <vt:lpstr>DCF Valuation</vt:lpstr>
      <vt:lpstr>Sheet5</vt:lpstr>
      <vt:lpstr>Sheet4</vt:lpstr>
      <vt:lpstr>MigrationOutput_QP_SAF.PA</vt:lpstr>
      <vt:lpstr>QP_SAF.PA_migrated</vt:lpstr>
      <vt:lpstr>DCF</vt:lpstr>
      <vt:lpstr>DCF Feed</vt:lpstr>
      <vt:lpstr>Income Statement</vt:lpstr>
      <vt:lpstr>Cashflow Statement</vt:lpstr>
      <vt:lpstr>Balance Sheet</vt:lpstr>
      <vt:lpstr>Multiples</vt:lpstr>
      <vt:lpstr>Exhibit 3 Statements</vt:lpstr>
      <vt:lpstr>Interims</vt:lpstr>
      <vt:lpstr>Aerospace Propulsion Division</vt:lpstr>
      <vt:lpstr>Aircraft Interiors Division</vt:lpstr>
      <vt:lpstr>Equipment and Defense</vt:lpstr>
      <vt:lpstr>GSe vs Consensus</vt:lpstr>
      <vt:lpstr>OpMod</vt:lpstr>
      <vt:lpstr>Sheet1</vt:lpstr>
      <vt:lpstr>Results table</vt:lpstr>
      <vt:lpstr>Interim</vt:lpstr>
      <vt:lpstr>Old vs New</vt:lpstr>
      <vt:lpstr>CMD</vt:lpstr>
      <vt:lpstr>Cons implied 4Q23</vt:lpstr>
      <vt:lpstr>Regional Breakdown</vt:lpstr>
      <vt:lpstr>Exhibit Summary</vt:lpstr>
      <vt:lpstr>Sheet2</vt:lpstr>
      <vt:lpstr>MigrationOutput_QP_SAF.PA!ExchangeSheetLink</vt:lpstr>
      <vt:lpstr>MigrationOutput_QP_SAF.PA!HiddenSheetLink</vt:lpstr>
      <vt:lpstr>MigrationOutput_QP_SAF.PA!LastProblemKeyword</vt:lpstr>
    </vt:vector>
  </TitlesOfParts>
  <Company>Goldman Sachs &amp; Co</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Victor.Allard@ln.gir.email.gs.com</dc:creator>
  <cp:lastModifiedBy>Sikchi, Milind [GIR]</cp:lastModifiedBy>
  <cp:lastPrinted>2025-09-17T05:46:33Z</cp:lastPrinted>
  <dcterms:created xsi:type="dcterms:W3CDTF">2013-07-08T08:38:46Z</dcterms:created>
  <dcterms:modified xsi:type="dcterms:W3CDTF">2025-09-22T11:29:21Z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450ab22c-33ee-483d-b876-6fd58643734c</vt:lpwstr>
  </property>
  <property fmtid="{D5CDD505-2E9C-101B-9397-08002B2CF9AE}" pid="3" name="Classification">
    <vt:lpwstr>I</vt:lpwstr>
  </property>
  <property fmtid="{D5CDD505-2E9C-101B-9397-08002B2CF9AE}" pid="4" name="GSRUdf">
    <vt:lpwstr>True</vt:lpwstr>
  </property>
  <property fmtid="{D5CDD505-2E9C-101B-9397-08002B2CF9AE}" pid="5" name="DocNoClass">
    <vt:lpwstr>Not In Use</vt:lpwstr>
  </property>
</Properties>
</file>